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showInkAnnotation="0" codeName="ThisWorkbook"/>
  <bookViews>
    <workbookView xWindow="-15" yWindow="-15" windowWidth="28635" windowHeight="12135" tabRatio="867"/>
  </bookViews>
  <sheets>
    <sheet name="Cover" sheetId="7963" r:id="rId1"/>
    <sheet name="Intro" sheetId="7943" r:id="rId2"/>
    <sheet name="Input" sheetId="1" r:id="rId3"/>
    <sheet name="Adjustment for previous period" sheetId="7942" r:id="rId4"/>
    <sheet name="Actual RAB roll forward" sheetId="18" r:id="rId5"/>
    <sheet name="Total actual RAB roll forward" sheetId="7941" r:id="rId6"/>
    <sheet name="Tax Depn" sheetId="7958" r:id="rId7"/>
    <sheet name="PTRM Tax Inputs" sheetId="7959" r:id="rId8"/>
    <sheet name="Asset lives roll forward" sheetId="7955" r:id="rId9"/>
    <sheet name="Tax value roll forward" sheetId="7944" r:id="rId10"/>
    <sheet name="Summary" sheetId="796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123Graph_APRICE3" localSheetId="0" hidden="1">'[1]IPP Cash Flow'!#REF!</definedName>
    <definedName name="__123Graph_APRICE3" localSheetId="6" hidden="1">'[2]IPP Cash Flow'!#REF!</definedName>
    <definedName name="__123Graph_APRICE3" hidden="1">'[2]IPP Cash Flow'!#REF!</definedName>
    <definedName name="__123Graph_BPRICE3" localSheetId="0" hidden="1">'[1]IPP Cash Flow'!#REF!</definedName>
    <definedName name="__123Graph_BPRICE3" hidden="1">'[2]IPP Cash Flow'!#REF!</definedName>
    <definedName name="a">'[3]Envestra Budget'!$D$3:$P$105</definedName>
    <definedName name="A10acvalue">[4]Input!$K$16</definedName>
    <definedName name="A10remlife" localSheetId="8">Input!$K$16</definedName>
    <definedName name="A10remlife">Input!$K$16</definedName>
    <definedName name="A10stdlife" localSheetId="8">Input!$L$16</definedName>
    <definedName name="A10stdlife">Input!$L$16</definedName>
    <definedName name="A10taxremlife" localSheetId="8">Input!$T$16</definedName>
    <definedName name="A10taxremlife">Input!$T$16</definedName>
    <definedName name="A10taxstdlife" localSheetId="8">Input!$U$16</definedName>
    <definedName name="A10taxstdlife">Input!$U$16</definedName>
    <definedName name="A10taxvalue" localSheetId="8">Input!$S$16</definedName>
    <definedName name="A10taxvalue">Input!$S$16</definedName>
    <definedName name="A10value" localSheetId="8">'Adjustment for previous period'!$H$343</definedName>
    <definedName name="A10value">'Adjustment for previous period'!$H$343</definedName>
    <definedName name="A11acvalue">[4]Input!$K$17</definedName>
    <definedName name="A11remlife" localSheetId="8">Input!$K$17</definedName>
    <definedName name="A11remlife">Input!$K$17</definedName>
    <definedName name="A11stdlife" localSheetId="8">Input!$L$17</definedName>
    <definedName name="A11stdlife">Input!$L$17</definedName>
    <definedName name="A11taxremlife" localSheetId="8">Input!$T$17</definedName>
    <definedName name="A11taxremlife">Input!$T$17</definedName>
    <definedName name="A11taxstdlife" localSheetId="8">Input!$U$17</definedName>
    <definedName name="A11taxstdlife">Input!$U$17</definedName>
    <definedName name="A11taxvalue" localSheetId="8">Input!$S$17</definedName>
    <definedName name="A11taxvalue">Input!$S$17</definedName>
    <definedName name="A11value" localSheetId="8">'Adjustment for previous period'!$H$344</definedName>
    <definedName name="A11value">'Adjustment for previous period'!$H$344</definedName>
    <definedName name="A12acvalue">[4]Input!$K$18</definedName>
    <definedName name="A12remlife" localSheetId="8">Input!$K$18</definedName>
    <definedName name="A12remlife">Input!$K$18</definedName>
    <definedName name="A12stdlife" localSheetId="8">Input!$L$18</definedName>
    <definedName name="A12stdlife">Input!$L$18</definedName>
    <definedName name="A12taxremlife" localSheetId="8">Input!$T$18</definedName>
    <definedName name="A12taxremlife">Input!$T$18</definedName>
    <definedName name="A12taxstdlife" localSheetId="8">Input!$U$18</definedName>
    <definedName name="A12taxstdlife">Input!$U$18</definedName>
    <definedName name="A12taxvalue" localSheetId="8">Input!$S$18</definedName>
    <definedName name="A12taxvalue">Input!$S$18</definedName>
    <definedName name="A12value" localSheetId="8">'Adjustment for previous period'!$H$345</definedName>
    <definedName name="A12value">'Adjustment for previous period'!$H$345</definedName>
    <definedName name="A13acvalue">[4]Input!$K$19</definedName>
    <definedName name="A13remlife" localSheetId="8">Input!$K$19</definedName>
    <definedName name="A13remlife">Input!$K$19</definedName>
    <definedName name="A13stdlife" localSheetId="8">Input!$L$19</definedName>
    <definedName name="A13stdlife">Input!$L$19</definedName>
    <definedName name="A13taxremlife" localSheetId="8">Input!$T$19</definedName>
    <definedName name="A13taxremlife">Input!$T$19</definedName>
    <definedName name="A13taxstdlife" localSheetId="8">Input!$U$19</definedName>
    <definedName name="A13taxstdlife">Input!$U$19</definedName>
    <definedName name="A13taxvalue" localSheetId="8">Input!$S$19</definedName>
    <definedName name="A13taxvalue">Input!$S$19</definedName>
    <definedName name="A13value" localSheetId="8">'Adjustment for previous period'!$H$346</definedName>
    <definedName name="A13value">'Adjustment for previous period'!$H$346</definedName>
    <definedName name="A14acvalue">[4]Input!$K$20</definedName>
    <definedName name="A14remlife" localSheetId="8">Input!$K$20</definedName>
    <definedName name="A14remlife">Input!$K$20</definedName>
    <definedName name="A14stdlife" localSheetId="8">Input!$L$20</definedName>
    <definedName name="A14stdlife">Input!$L$20</definedName>
    <definedName name="A14taxremlife" localSheetId="8">Input!$T$20</definedName>
    <definedName name="A14taxremlife">Input!$T$20</definedName>
    <definedName name="A14taxstdlife" localSheetId="8">Input!$U$20</definedName>
    <definedName name="A14taxstdlife">Input!$U$20</definedName>
    <definedName name="A14taxvalue" localSheetId="8">Input!$S$20</definedName>
    <definedName name="A14taxvalue">Input!$S$20</definedName>
    <definedName name="A14value" localSheetId="8">'Adjustment for previous period'!$H$347</definedName>
    <definedName name="A14value">'Adjustment for previous period'!$H$347</definedName>
    <definedName name="A15acvalue">[4]Input!$K$21</definedName>
    <definedName name="A15remlife" localSheetId="8">Input!$K$21</definedName>
    <definedName name="A15remlife">Input!$K$21</definedName>
    <definedName name="A15stdlife" localSheetId="8">Input!$L$21</definedName>
    <definedName name="A15stdlife">Input!$L$21</definedName>
    <definedName name="A15taxremlife" localSheetId="8">Input!$T$21</definedName>
    <definedName name="A15taxremlife">Input!$T$21</definedName>
    <definedName name="A15taxstdlife" localSheetId="8">Input!$U$21</definedName>
    <definedName name="A15taxstdlife">Input!$U$21</definedName>
    <definedName name="A15taxvalue" localSheetId="8">Input!$S$21</definedName>
    <definedName name="A15taxvalue">Input!$S$21</definedName>
    <definedName name="A15value" localSheetId="8">'Adjustment for previous period'!$H$348</definedName>
    <definedName name="A15value">'Adjustment for previous period'!$H$348</definedName>
    <definedName name="A16acvalue">[4]Input!$K$22</definedName>
    <definedName name="A16remlife" localSheetId="8">Input!$K$22</definedName>
    <definedName name="A16remlife">Input!$K$22</definedName>
    <definedName name="A16stdlife" localSheetId="8">Input!$L$22</definedName>
    <definedName name="A16stdlife">Input!$L$22</definedName>
    <definedName name="A16taxremlife" localSheetId="8">Input!$T$22</definedName>
    <definedName name="A16taxremlife">Input!$T$22</definedName>
    <definedName name="A16taxstdlife" localSheetId="8">Input!$U$22</definedName>
    <definedName name="A16taxstdlife">Input!$U$22</definedName>
    <definedName name="A16taxvalue" localSheetId="8">Input!$S$22</definedName>
    <definedName name="A16taxvalue">Input!$S$22</definedName>
    <definedName name="A16value" localSheetId="8">'Adjustment for previous period'!$H$349</definedName>
    <definedName name="A16value">'Adjustment for previous period'!$H$349</definedName>
    <definedName name="A17acvalue">[4]Input!$K$23</definedName>
    <definedName name="A17remlife" localSheetId="8">Input!$K$23</definedName>
    <definedName name="A17remlife">Input!$K$23</definedName>
    <definedName name="A17stdlife" localSheetId="8">Input!$L$23</definedName>
    <definedName name="A17stdlife">Input!$L$23</definedName>
    <definedName name="A17taxremlife" localSheetId="8">Input!$T$23</definedName>
    <definedName name="A17taxremlife">Input!$T$23</definedName>
    <definedName name="A17taxstdlife" localSheetId="8">Input!$U$23</definedName>
    <definedName name="A17taxstdlife">Input!$U$23</definedName>
    <definedName name="A17taxvalue" localSheetId="8">Input!$S$23</definedName>
    <definedName name="A17taxvalue">Input!$S$23</definedName>
    <definedName name="A17value" localSheetId="8">'Adjustment for previous period'!$H$350</definedName>
    <definedName name="A17value">'Adjustment for previous period'!$H$350</definedName>
    <definedName name="A18acvalue">[4]Input!$K$24</definedName>
    <definedName name="A18remlife" localSheetId="8">Input!$K$24</definedName>
    <definedName name="A18remlife">Input!$K$24</definedName>
    <definedName name="A18stdlife" localSheetId="8">Input!$L$24</definedName>
    <definedName name="A18stdlife">Input!$L$24</definedName>
    <definedName name="A18taxremlife" localSheetId="8">Input!$T$24</definedName>
    <definedName name="A18taxremlife">Input!$T$24</definedName>
    <definedName name="A18taxstdlife" localSheetId="8">Input!$U$24</definedName>
    <definedName name="A18taxstdlife">Input!$U$24</definedName>
    <definedName name="A18taxvalue" localSheetId="8">Input!$S$24</definedName>
    <definedName name="A18taxvalue">Input!$S$24</definedName>
    <definedName name="A18value" localSheetId="8">'Adjustment for previous period'!$H$351</definedName>
    <definedName name="A18value">'Adjustment for previous period'!$H$351</definedName>
    <definedName name="A19acvalue">[4]Input!$K$25</definedName>
    <definedName name="A19remlife" localSheetId="8">Input!$K$25</definedName>
    <definedName name="A19remlife">Input!$K$25</definedName>
    <definedName name="A19stdlife" localSheetId="8">Input!$L$25</definedName>
    <definedName name="A19stdlife">Input!$L$25</definedName>
    <definedName name="A19taxremlife" localSheetId="8">Input!$T$25</definedName>
    <definedName name="A19taxremlife">Input!$T$25</definedName>
    <definedName name="A19taxstdlife" localSheetId="8">Input!$U$25</definedName>
    <definedName name="A19taxstdlife">Input!$U$25</definedName>
    <definedName name="A19taxvalue" localSheetId="8">Input!$S$25</definedName>
    <definedName name="A19taxvalue">Input!$S$25</definedName>
    <definedName name="A19value" localSheetId="8">'Adjustment for previous period'!$H$352</definedName>
    <definedName name="A19value">'Adjustment for previous period'!$H$352</definedName>
    <definedName name="A1acvalue">[4]Input!$K$7</definedName>
    <definedName name="A1remlife" localSheetId="8">Input!$K$7</definedName>
    <definedName name="A1stdlife" localSheetId="8">Input!$L$7</definedName>
    <definedName name="A1stdlife">Input!$L$7</definedName>
    <definedName name="A1taxremlife" localSheetId="8">Input!$T$7</definedName>
    <definedName name="A1taxremlife">Input!$T$7</definedName>
    <definedName name="A1taxstdlife" localSheetId="8">Input!$U$7</definedName>
    <definedName name="A1taxstdlife">Input!$U$7</definedName>
    <definedName name="A1taxvalue" localSheetId="8">Input!$S$7</definedName>
    <definedName name="A1taxvalue">Input!$S$7</definedName>
    <definedName name="A1value" localSheetId="8">'Adjustment for previous period'!$H$334</definedName>
    <definedName name="A1value">'Adjustment for previous period'!$H$334</definedName>
    <definedName name="A20acvalue">[4]Input!$K$26</definedName>
    <definedName name="A20remlife" localSheetId="8">Input!$K$26</definedName>
    <definedName name="A20remlife">Input!$K$26</definedName>
    <definedName name="A20stdlife" localSheetId="8">Input!$L$26</definedName>
    <definedName name="A20stdlife">Input!$L$26</definedName>
    <definedName name="A20taxremlife" localSheetId="8">Input!$T$26</definedName>
    <definedName name="A20taxremlife">Input!$T$26</definedName>
    <definedName name="A20taxstdlife" localSheetId="8">Input!$U$26</definedName>
    <definedName name="A20taxstdlife">Input!$U$26</definedName>
    <definedName name="A20taxvalue" localSheetId="8">Input!$S$26</definedName>
    <definedName name="A20taxvalue">Input!$S$26</definedName>
    <definedName name="A20value" localSheetId="8">'Adjustment for previous period'!$H$353</definedName>
    <definedName name="A20value">'Adjustment for previous period'!$H$353</definedName>
    <definedName name="A21acvalue">[4]Input!$K$27</definedName>
    <definedName name="A21remlife" localSheetId="8">Input!$K$27</definedName>
    <definedName name="A21remlife">Input!$K$27</definedName>
    <definedName name="A21stdlife" localSheetId="8">Input!$L$27</definedName>
    <definedName name="A21stdlife">Input!$L$27</definedName>
    <definedName name="A21taxremlife" localSheetId="8">Input!$T$27</definedName>
    <definedName name="A21taxremlife">Input!$T$27</definedName>
    <definedName name="A21taxstdlife" localSheetId="8">Input!$U$27</definedName>
    <definedName name="A21taxstdlife">Input!$U$27</definedName>
    <definedName name="A21taxvalue" localSheetId="8">Input!$S$27</definedName>
    <definedName name="A21taxvalue">Input!$S$27</definedName>
    <definedName name="A21value" localSheetId="8">'Adjustment for previous period'!$H$354</definedName>
    <definedName name="A21value">'Adjustment for previous period'!$H$354</definedName>
    <definedName name="A22acvalue">[4]Input!$K$28</definedName>
    <definedName name="A22remlife" localSheetId="8">Input!$K$28</definedName>
    <definedName name="A22remlife">Input!$K$28</definedName>
    <definedName name="A22stdlife" localSheetId="8">Input!$L$28</definedName>
    <definedName name="A22stdlife">Input!$L$28</definedName>
    <definedName name="A22taxremlife" localSheetId="8">Input!$T$28</definedName>
    <definedName name="A22taxremlife">Input!$T$28</definedName>
    <definedName name="A22taxstdlife" localSheetId="8">Input!$U$28</definedName>
    <definedName name="A22taxstdlife">Input!$U$28</definedName>
    <definedName name="A22taxvalue" localSheetId="8">Input!$S$28</definedName>
    <definedName name="A22taxvalue">Input!$S$28</definedName>
    <definedName name="A22value" localSheetId="8">'Adjustment for previous period'!$H$355</definedName>
    <definedName name="A22value">'Adjustment for previous period'!$H$355</definedName>
    <definedName name="A23acvalue">[4]Input!$K$29</definedName>
    <definedName name="A23remlife" localSheetId="8">Input!$K$29</definedName>
    <definedName name="A23remlife">Input!$K$29</definedName>
    <definedName name="A23stdlife" localSheetId="8">Input!$L$29</definedName>
    <definedName name="A23stdlife">Input!$L$29</definedName>
    <definedName name="A23taxremlife" localSheetId="8">Input!$T$29</definedName>
    <definedName name="A23taxremlife">Input!$T$29</definedName>
    <definedName name="A23taxstdlife" localSheetId="8">Input!$U$29</definedName>
    <definedName name="A23taxstdlife">Input!$U$29</definedName>
    <definedName name="A23taxvalue" localSheetId="8">Input!$S$29</definedName>
    <definedName name="A23taxvalue">Input!$S$29</definedName>
    <definedName name="A23value" localSheetId="8">'Adjustment for previous period'!$H$356</definedName>
    <definedName name="A23value">'Adjustment for previous period'!$H$356</definedName>
    <definedName name="A24acvalue">[4]Input!$K$30</definedName>
    <definedName name="A24remlife" localSheetId="8">Input!$K$30</definedName>
    <definedName name="A24remlife">Input!$K$30</definedName>
    <definedName name="A24stdlife" localSheetId="8">Input!$L$30</definedName>
    <definedName name="A24stdlife">Input!$L$30</definedName>
    <definedName name="A24taxremlife" localSheetId="8">Input!$T$30</definedName>
    <definedName name="A24taxremlife">Input!$T$30</definedName>
    <definedName name="A24taxstdlife" localSheetId="8">Input!$U$30</definedName>
    <definedName name="A24taxstdlife">Input!$U$30</definedName>
    <definedName name="A24taxvalue" localSheetId="8">Input!$S$30</definedName>
    <definedName name="A24taxvalue">Input!$S$30</definedName>
    <definedName name="A24value" localSheetId="8">'Adjustment for previous period'!$H$357</definedName>
    <definedName name="A24value">'Adjustment for previous period'!$H$357</definedName>
    <definedName name="A25acvalue">[4]Input!$K$31</definedName>
    <definedName name="A25remlife" localSheetId="8">Input!$K$31</definedName>
    <definedName name="A25remlife">Input!$K$31</definedName>
    <definedName name="A25stdlife" localSheetId="8">Input!$L$31</definedName>
    <definedName name="A25stdlife">Input!$L$31</definedName>
    <definedName name="A25taxremlife" localSheetId="8">Input!$T$31</definedName>
    <definedName name="A25taxremlife">Input!$T$31</definedName>
    <definedName name="A25taxstdlife" localSheetId="8">Input!$U$31</definedName>
    <definedName name="A25taxstdlife">Input!$U$31</definedName>
    <definedName name="A25taxvalue" localSheetId="8">Input!$S$31</definedName>
    <definedName name="A25taxvalue">Input!$S$31</definedName>
    <definedName name="A25value" localSheetId="8">'Adjustment for previous period'!$H$358</definedName>
    <definedName name="A25value">'Adjustment for previous period'!$H$358</definedName>
    <definedName name="A26acvalue">[4]Input!$K$32</definedName>
    <definedName name="A26remlife" localSheetId="8">Input!$K$32</definedName>
    <definedName name="A26remlife">Input!$K$32</definedName>
    <definedName name="A26stdlife" localSheetId="8">Input!$L$32</definedName>
    <definedName name="A26stdlife">Input!$L$32</definedName>
    <definedName name="A26taxremlife" localSheetId="8">Input!$T$32</definedName>
    <definedName name="A26taxremlife">Input!$T$32</definedName>
    <definedName name="A26taxstdlife" localSheetId="8">Input!$U$32</definedName>
    <definedName name="A26taxstdlife">Input!$U$32</definedName>
    <definedName name="A26taxvalue" localSheetId="8">Input!$S$32</definedName>
    <definedName name="A26taxvalue">Input!$S$32</definedName>
    <definedName name="A26value" localSheetId="8">'Adjustment for previous period'!$H$359</definedName>
    <definedName name="A26value">'Adjustment for previous period'!$H$359</definedName>
    <definedName name="A27acvalue">[4]Input!$K$33</definedName>
    <definedName name="A27remlife" localSheetId="8">Input!$K$33</definedName>
    <definedName name="A27remlife">Input!$K$33</definedName>
    <definedName name="A27stdlife" localSheetId="8">Input!$L$33</definedName>
    <definedName name="A27stdlife">Input!$L$33</definedName>
    <definedName name="A27taxremlife" localSheetId="8">Input!$T$33</definedName>
    <definedName name="A27taxremlife">Input!$T$33</definedName>
    <definedName name="A27taxstdlife" localSheetId="8">Input!$U$33</definedName>
    <definedName name="A27taxstdlife">Input!$U$33</definedName>
    <definedName name="A27taxvalue" localSheetId="8">Input!$S$33</definedName>
    <definedName name="A27taxvalue">Input!$S$33</definedName>
    <definedName name="A27value" localSheetId="8">'Adjustment for previous period'!$H$360</definedName>
    <definedName name="A27value">'Adjustment for previous period'!$H$360</definedName>
    <definedName name="A28acvalue">[4]Input!$K$34</definedName>
    <definedName name="A28remlife" localSheetId="8">Input!$K$34</definedName>
    <definedName name="A28remlife">Input!$K$34</definedName>
    <definedName name="A28stdlife" localSheetId="8">Input!$L$34</definedName>
    <definedName name="A28stdlife">Input!$L$34</definedName>
    <definedName name="A28taxremlife" localSheetId="8">Input!$T$34</definedName>
    <definedName name="A28taxremlife">Input!$T$34</definedName>
    <definedName name="A28taxstdlife" localSheetId="8">Input!$U$34</definedName>
    <definedName name="A28taxstdlife">Input!$U$34</definedName>
    <definedName name="A28taxvalue" localSheetId="8">Input!$S$34</definedName>
    <definedName name="A28taxvalue">Input!$S$34</definedName>
    <definedName name="A28value" localSheetId="8">'Adjustment for previous period'!$H$361</definedName>
    <definedName name="A28value">'Adjustment for previous period'!$H$361</definedName>
    <definedName name="A29acvalue">[4]Input!$K$35</definedName>
    <definedName name="A29remlife" localSheetId="8">Input!$K$35</definedName>
    <definedName name="A29remlife">Input!$K$35</definedName>
    <definedName name="A29stdlife" localSheetId="8">Input!$L$35</definedName>
    <definedName name="A29stdlife">Input!$L$35</definedName>
    <definedName name="A29taxremlife" localSheetId="8">Input!$T$35</definedName>
    <definedName name="A29taxremlife">Input!$T$35</definedName>
    <definedName name="A29taxstdlife" localSheetId="8">Input!$U$35</definedName>
    <definedName name="A29taxstdlife">Input!$U$35</definedName>
    <definedName name="A29taxvalue" localSheetId="8">Input!$S$35</definedName>
    <definedName name="A29taxvalue">Input!$S$35</definedName>
    <definedName name="A29taxxstdlife">Input!$U$35</definedName>
    <definedName name="A29value" localSheetId="8">'Adjustment for previous period'!$H$362</definedName>
    <definedName name="A29value">'Adjustment for previous period'!$H$362</definedName>
    <definedName name="A2acvalue">[4]Input!$K$8</definedName>
    <definedName name="A2remlife" localSheetId="8">Input!$K$8</definedName>
    <definedName name="A2stdlife" localSheetId="8">Input!$L$8</definedName>
    <definedName name="A2stdlife">Input!$L$8</definedName>
    <definedName name="A2taxremlife" localSheetId="8">Input!$T$8</definedName>
    <definedName name="A2taxremlife">Input!$T$8</definedName>
    <definedName name="A2taxstdlife" localSheetId="8">Input!$U$8</definedName>
    <definedName name="A2taxstdlife">Input!$U$8</definedName>
    <definedName name="A2taxvalue" localSheetId="8">Input!$S$8</definedName>
    <definedName name="A2taxvalue">Input!$S$8</definedName>
    <definedName name="A2value" localSheetId="8">'Adjustment for previous period'!$H$335</definedName>
    <definedName name="A2value">'Adjustment for previous period'!$H$335</definedName>
    <definedName name="A30acvalue">[4]Input!$K$36</definedName>
    <definedName name="A30remlife" localSheetId="8">Input!$K$36</definedName>
    <definedName name="A30remlife">Input!$K$36</definedName>
    <definedName name="A30stdlife" localSheetId="8">Input!$L$36</definedName>
    <definedName name="A30stdlife">Input!$L$36</definedName>
    <definedName name="A30taxremlife" localSheetId="8">Input!$T$36</definedName>
    <definedName name="A30taxremlife">Input!$T$36</definedName>
    <definedName name="A30taxstdlife" localSheetId="8">Input!$U$36</definedName>
    <definedName name="A30taxstdlife">Input!$U$36</definedName>
    <definedName name="A30taxvalue" localSheetId="8">Input!$S$36</definedName>
    <definedName name="A30taxvalue">Input!$S$36</definedName>
    <definedName name="A30value" localSheetId="8">'Adjustment for previous period'!$H$363</definedName>
    <definedName name="A30value">'Adjustment for previous period'!$H$363</definedName>
    <definedName name="A3acvalue">[4]Input!$K$9</definedName>
    <definedName name="A3remlife" localSheetId="8">Input!$K$9</definedName>
    <definedName name="A3stdlife" localSheetId="8">Input!$L$9</definedName>
    <definedName name="A3stdlife">Input!$L$9</definedName>
    <definedName name="A3taxremlife" localSheetId="8">Input!$T$9</definedName>
    <definedName name="A3taxremlife">Input!$T$9</definedName>
    <definedName name="A3taxstdlife" localSheetId="8">Input!$U$9</definedName>
    <definedName name="A3taxstdlife">Input!$U$9</definedName>
    <definedName name="A3taxvalue" localSheetId="8">Input!$S$9</definedName>
    <definedName name="A3taxvalue">Input!$S$9</definedName>
    <definedName name="A3value" localSheetId="8">'Adjustment for previous period'!$H$336</definedName>
    <definedName name="A3value">'Adjustment for previous period'!$H$336</definedName>
    <definedName name="A4acvalue">[4]Input!$K$10</definedName>
    <definedName name="A4remlife" localSheetId="8">Input!$K$10</definedName>
    <definedName name="A4stdlife" localSheetId="8">Input!$L$10</definedName>
    <definedName name="A4stdlife">Input!$L$10</definedName>
    <definedName name="A4taxremlife" localSheetId="8">Input!$T$10</definedName>
    <definedName name="A4taxremlife">Input!$T$10</definedName>
    <definedName name="A4taxstdlife" localSheetId="8">Input!$U$10</definedName>
    <definedName name="A4taxstdlife">Input!$U$10</definedName>
    <definedName name="A4taxvalue" localSheetId="8">Input!$S$10</definedName>
    <definedName name="A4taxvalue">Input!$S$10</definedName>
    <definedName name="A4value" localSheetId="8">'Adjustment for previous period'!$H$337</definedName>
    <definedName name="A4value">'Adjustment for previous period'!$H$337</definedName>
    <definedName name="A5acvalue">[4]Input!$K$11</definedName>
    <definedName name="A5remlife" localSheetId="8">Input!$K$11</definedName>
    <definedName name="A5stdlife" localSheetId="8">Input!$L$11</definedName>
    <definedName name="A5stdlife">Input!$L$11</definedName>
    <definedName name="A5taxremlife" localSheetId="8">Input!$T$11</definedName>
    <definedName name="A5taxremlife">Input!$T$11</definedName>
    <definedName name="A5taxstdlife" localSheetId="8">Input!$U$11</definedName>
    <definedName name="A5taxstdlife">Input!$U$11</definedName>
    <definedName name="A5taxvalue" localSheetId="8">Input!$S$11</definedName>
    <definedName name="A5taxvalue">Input!$S$11</definedName>
    <definedName name="A5value" localSheetId="8">'Adjustment for previous period'!$H$338</definedName>
    <definedName name="A5value">'Adjustment for previous period'!$H$338</definedName>
    <definedName name="A6acvalue">[4]Input!$K$12</definedName>
    <definedName name="A6remlife" localSheetId="8">Input!$K$12</definedName>
    <definedName name="A6stdlife" localSheetId="8">Input!$L$12</definedName>
    <definedName name="A6stdlife">Input!$L$12</definedName>
    <definedName name="A6taxremlife" localSheetId="8">Input!$T$12</definedName>
    <definedName name="A6taxremlife">Input!$T$12</definedName>
    <definedName name="A6taxstdlife" localSheetId="8">Input!$U$12</definedName>
    <definedName name="A6taxstdlife">Input!$U$12</definedName>
    <definedName name="A6taxvalue" localSheetId="8">Input!$S$12</definedName>
    <definedName name="A6taxvalue">Input!$S$12</definedName>
    <definedName name="A6value" localSheetId="8">'Adjustment for previous period'!$H$339</definedName>
    <definedName name="A6value">'Adjustment for previous period'!$H$339</definedName>
    <definedName name="A7acvalue">[4]Input!$K$13</definedName>
    <definedName name="A7remlife" localSheetId="8">Input!$K$13</definedName>
    <definedName name="A7stdlife" localSheetId="8">Input!$L$13</definedName>
    <definedName name="A7taxremlife" localSheetId="8">Input!$T$13</definedName>
    <definedName name="A7taxremlife">Input!$T$13</definedName>
    <definedName name="A7taxstdlife" localSheetId="8">Input!$U$13</definedName>
    <definedName name="A7taxstdlife">Input!$U$13</definedName>
    <definedName name="A7taxvalue" localSheetId="8">Input!$S$13</definedName>
    <definedName name="A7taxvalue">Input!$S$13</definedName>
    <definedName name="A7value" localSheetId="8">'Adjustment for previous period'!$H$340</definedName>
    <definedName name="A7value">'Adjustment for previous period'!$H$340</definedName>
    <definedName name="A8acvalue">[4]Input!$K$14</definedName>
    <definedName name="A8remlife" localSheetId="8">Input!$K$14</definedName>
    <definedName name="A8remlife">Input!$K$14</definedName>
    <definedName name="A8stdlife" localSheetId="8">Input!$L$14</definedName>
    <definedName name="A8stdlife">Input!$L$14</definedName>
    <definedName name="A8taxremlife" localSheetId="8">Input!$T$14</definedName>
    <definedName name="A8taxremlife">Input!$T$14</definedName>
    <definedName name="A8taxstdlife" localSheetId="8">Input!$U$14</definedName>
    <definedName name="A8taxstdlife">Input!$U$14</definedName>
    <definedName name="A8taxvalue" localSheetId="8">Input!$S$14</definedName>
    <definedName name="A8taxvalue">Input!$S$14</definedName>
    <definedName name="A8value" localSheetId="8">'Adjustment for previous period'!$H$341</definedName>
    <definedName name="A8value">'Adjustment for previous period'!$H$341</definedName>
    <definedName name="A9acvalue">[4]Input!$K$15</definedName>
    <definedName name="A9remlife" localSheetId="8">Input!$K$15</definedName>
    <definedName name="A9remlife">Input!$K$15</definedName>
    <definedName name="A9stdlife" localSheetId="8">Input!$L$15</definedName>
    <definedName name="A9stdlife">Input!$L$15</definedName>
    <definedName name="A9taxremlife" localSheetId="8">Input!$T$15</definedName>
    <definedName name="A9taxremlife">Input!$T$15</definedName>
    <definedName name="A9taxstdlife" localSheetId="8">Input!$U$15</definedName>
    <definedName name="A9taxstdlife">Input!$U$15</definedName>
    <definedName name="A9taxvalue" localSheetId="8">Input!$S$15</definedName>
    <definedName name="A9taxvalue">Input!$S$15</definedName>
    <definedName name="A9value" localSheetId="8">'Adjustment for previous period'!$H$342</definedName>
    <definedName name="A9value">'Adjustment for previous period'!$H$342</definedName>
    <definedName name="anscount" hidden="1">1</definedName>
    <definedName name="Asset1" localSheetId="8">Input!$G$7</definedName>
    <definedName name="Asset1">Input!$G$7</definedName>
    <definedName name="Asset10" localSheetId="8">Input!$G$16</definedName>
    <definedName name="Asset10">Input!$G$16</definedName>
    <definedName name="Asset11" localSheetId="8">Input!$G$17</definedName>
    <definedName name="Asset11">Input!$G$17</definedName>
    <definedName name="Asset12" localSheetId="8">Input!$G$18</definedName>
    <definedName name="Asset12">Input!$G$18</definedName>
    <definedName name="Asset13" localSheetId="8">Input!$G$19</definedName>
    <definedName name="Asset13">Input!$G$19</definedName>
    <definedName name="Asset14" localSheetId="8">Input!$G$20</definedName>
    <definedName name="Asset14">Input!$G$20</definedName>
    <definedName name="Asset15" localSheetId="8">Input!$G$21</definedName>
    <definedName name="Asset15">Input!$G$21</definedName>
    <definedName name="Asset16" localSheetId="8">Input!$G$22</definedName>
    <definedName name="Asset16">Input!$G$22</definedName>
    <definedName name="Asset17" localSheetId="8">Input!$G$23</definedName>
    <definedName name="Asset17">Input!$G$23</definedName>
    <definedName name="Asset18" localSheetId="8">Input!$G$24</definedName>
    <definedName name="Asset18">Input!$G$24</definedName>
    <definedName name="Asset19" localSheetId="8">Input!$G$25</definedName>
    <definedName name="Asset19">Input!$G$25</definedName>
    <definedName name="Asset2" localSheetId="8">Input!$G$8</definedName>
    <definedName name="Asset2">Input!$G$8</definedName>
    <definedName name="Asset20" localSheetId="8">Input!$G$26</definedName>
    <definedName name="Asset20">Input!$G$26</definedName>
    <definedName name="Asset21" localSheetId="8">Input!$G$27</definedName>
    <definedName name="Asset21">Input!$G$27</definedName>
    <definedName name="Asset22" localSheetId="8">Input!$G$28</definedName>
    <definedName name="Asset22">Input!$G$28</definedName>
    <definedName name="Asset23" localSheetId="8">Input!$G$29</definedName>
    <definedName name="Asset23">Input!$G$29</definedName>
    <definedName name="Asset24" localSheetId="8">Input!$G$30</definedName>
    <definedName name="Asset24">Input!$G$30</definedName>
    <definedName name="Asset25" localSheetId="8">Input!$G$31</definedName>
    <definedName name="Asset25">Input!$G$31</definedName>
    <definedName name="Asset26" localSheetId="8">Input!$G$32</definedName>
    <definedName name="Asset26">Input!$G$32</definedName>
    <definedName name="Asset27" localSheetId="8">Input!$G$33</definedName>
    <definedName name="Asset27">Input!$G$33</definedName>
    <definedName name="Asset28" localSheetId="8">Input!$G$34</definedName>
    <definedName name="Asset28">Input!$G$34</definedName>
    <definedName name="Asset29" localSheetId="8">Input!$G$35</definedName>
    <definedName name="Asset29">Input!$G$35</definedName>
    <definedName name="Asset3" localSheetId="8">Input!$G$9</definedName>
    <definedName name="Asset3">Input!$G$9</definedName>
    <definedName name="Asset30" localSheetId="8">Input!$G$36</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 localSheetId="8">Input!$G$10</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 localSheetId="8">Input!$G$11</definedName>
    <definedName name="Asset5">Input!$G$11</definedName>
    <definedName name="Asset6" localSheetId="8">Input!$G$12</definedName>
    <definedName name="Asset6">Input!$G$12</definedName>
    <definedName name="Asset7" localSheetId="8">Input!$G$13</definedName>
    <definedName name="Asset7">Input!$G$13</definedName>
    <definedName name="Asset8" localSheetId="8">Input!$G$14</definedName>
    <definedName name="Asset8">Input!$G$14</definedName>
    <definedName name="Asset9" localSheetId="8">Input!$G$15</definedName>
    <definedName name="Asset9">Input!$G$15</definedName>
    <definedName name="BrisStep1">[5]Tariffs!$H$9</definedName>
    <definedName name="BrisStep2">[5]Tariffs!$H$10</definedName>
    <definedName name="BrisStep3">[5]Tariffs!$H$11</definedName>
    <definedName name="BrisStep4">[5]Tariffs!$H$12</definedName>
    <definedName name="BrisStep5">[5]Tariffs!$H$13</definedName>
    <definedName name="BrisStep6">[5]Tariffs!$H$14</definedName>
    <definedName name="C_Tariffs">[6]SAV200607!$E$6:$E$15</definedName>
    <definedName name="CFixed">[6]SAV200607!$E$5</definedName>
    <definedName name="citysheet">'[7]SA,QLD,NT Inputs'!$AL$37</definedName>
    <definedName name="consRT2">[5]Tariffs!$D$10</definedName>
    <definedName name="ConsRT3">[5]Tariffs!$D$11</definedName>
    <definedName name="ConsRT4">[5]Tariffs!$D$12</definedName>
    <definedName name="ConsRT5">[5]Tariffs!$D$13</definedName>
    <definedName name="CPI_INCREASE">[8]CPI!$B$1</definedName>
    <definedName name="CRCP_span" localSheetId="0">CONCATENATE(CRCP_y1, " to ",CRCP_y5)</definedName>
    <definedName name="CRCP_span">CONCATENATE(CRCP_y1, " to ",CRCP_y5)</definedName>
    <definedName name="CVar_1">[6]SAV200607!$E$6</definedName>
    <definedName name="CVar_10">[6]SAV200607!$E$15</definedName>
    <definedName name="CVar_2">[6]SAV200607!$E$7</definedName>
    <definedName name="CVar_3">[6]SAV200607!$E$8</definedName>
    <definedName name="D_Tariffs">[6]SAV200607!$C$6:$C$15</definedName>
    <definedName name="DFixed">[6]SAV200607!$C$5</definedName>
    <definedName name="DinStep1">[5]Tariffs!$L$9</definedName>
    <definedName name="DinStep2">[5]Tariffs!$L$10</definedName>
    <definedName name="DinStep3">[5]Tariffs!$L$11</definedName>
    <definedName name="DinStep4">[5]Tariffs!$L$12</definedName>
    <definedName name="DinStep5">[5]Tariffs!$L$13</definedName>
    <definedName name="DinStep6">[5]Tariffs!$L$14</definedName>
    <definedName name="FCST_or_ACT">[9]Sheet1!$B$2:$B$3</definedName>
    <definedName name="FRCP_1to5">"2015-16 to 2019-20"</definedName>
    <definedName name="FRCP_span" localSheetId="0">CONCATENATE(FRCP_y1, " to ", FRCP_y5)</definedName>
    <definedName name="FRCP_span" localSheetId="6">CONCATENATE([0]!FRCP_y1, " to ", [0]!FRCP_y5)</definedName>
    <definedName name="FRCP_span">CONCATENATE(FRCP_y1, " to ", FRCP_y5)</definedName>
    <definedName name="I_Tariffs">[6]SAV200607!$G$6:$G$15</definedName>
    <definedName name="IFixed">[6]SAV200607!$G$5</definedName>
    <definedName name="M\">'[3]Envestra Budget'!$D$3:$P$137</definedName>
    <definedName name="medvolsheet">'[7]SA,QLD,NT Inputs'!$AL$76</definedName>
    <definedName name="MHFile">'[7]SA,QLD,NT Inputs'!$C$1</definedName>
    <definedName name="mhpath">'[7]SA,QLD,NT Inputs'!$D$1</definedName>
    <definedName name="MonthDays">[10]Tariffs!$A$26:$C$37</definedName>
    <definedName name="MTDDate">[11]Summary!$C$5</definedName>
    <definedName name="n">'[3]Envestra Budget'!$D$3:$O$115</definedName>
    <definedName name="othretsheet">'[7]SA,QLD,NT Inputs'!$AL$60</definedName>
    <definedName name="Pr">[4]Input!$G$267</definedName>
    <definedName name="previous_vanilla" localSheetId="8">Input!$G$184</definedName>
    <definedName name="previous_vanilla">Input!$G$184</definedName>
    <definedName name="PRIOR">[11]Summary!$O$21</definedName>
    <definedName name="RAB">Input!$J$37</definedName>
    <definedName name="RCP_1to5">"2015-16 to 2019-20"</definedName>
    <definedName name="RockStep1">[5]Tariffs!$J$9</definedName>
    <definedName name="RockStep2">[5]Tariffs!$J$10</definedName>
    <definedName name="RockStep3">[5]Tariffs!$J$11</definedName>
    <definedName name="RockStep4">[5]Tariffs!$J$12</definedName>
    <definedName name="RockStep5">[5]Tariffs!$J$13</definedName>
    <definedName name="RockStep6">[5]Tariffs!$J$14</definedName>
    <definedName name="Step1">[12]Summary!$B$4</definedName>
    <definedName name="Step10">[12]Summary!$B$13</definedName>
    <definedName name="Step2">[12]Summary!$B$5</definedName>
    <definedName name="Step3">[12]Summary!$B$6</definedName>
    <definedName name="Step4">[12]Summary!$B$7</definedName>
    <definedName name="Step5">[12]Summary!$B$8</definedName>
    <definedName name="Step6">[12]Summary!$B$9</definedName>
    <definedName name="Step7">[12]Summary!$B$10</definedName>
    <definedName name="Step8">[12]Summary!$B$11</definedName>
    <definedName name="Step9">[12]Summary!$B$12</definedName>
    <definedName name="TariffsD">[10]Tariffs!$B$16:$F$22</definedName>
    <definedName name="TariffsV">[13]Tariffs!$B$5:$K$11</definedName>
    <definedName name="vanilla1" localSheetId="8">Input!$H$184</definedName>
    <definedName name="vanilla1">Input!$H$184</definedName>
    <definedName name="vanilla10" localSheetId="8">Input!$Q$184</definedName>
    <definedName name="vanilla10">Input!$Q$184</definedName>
    <definedName name="vanilla2" localSheetId="8">Input!$I$184</definedName>
    <definedName name="vanilla2">Input!$I$184</definedName>
    <definedName name="vanilla3" localSheetId="8">Input!$J$184</definedName>
    <definedName name="vanilla3">Input!$J$184</definedName>
    <definedName name="vanilla4" localSheetId="8">Input!$K$184</definedName>
    <definedName name="vanilla4">Input!$K$184</definedName>
    <definedName name="vanilla5" localSheetId="8">Input!$L$184</definedName>
    <definedName name="vanilla5">Input!$L$184</definedName>
    <definedName name="vanilla6" localSheetId="8">Input!$M$184</definedName>
    <definedName name="vanilla6">Input!$M$184</definedName>
    <definedName name="vanilla7" localSheetId="8">Input!$N$184</definedName>
    <definedName name="vanilla7">Input!$N$184</definedName>
    <definedName name="vanilla8" localSheetId="8">Input!$O$184</definedName>
    <definedName name="vanilla8">Input!$O$184</definedName>
    <definedName name="vanilla9" localSheetId="8">Input!$P$184</definedName>
    <definedName name="vanilla9">Input!$P$184</definedName>
    <definedName name="WACC">[14]WACC!$I$40</definedName>
    <definedName name="WACC_FFD">[14]WACC!$I$50</definedName>
    <definedName name="WACC_Nom">[14]WACC!$I$34</definedName>
    <definedName name="WACC_PT">[14]WACC!$I$45</definedName>
    <definedName name="wrn.modrept." localSheetId="0" hidden="1">{#N/A,#N/A,FALSE,"MODSELECT";#N/A,#N/A,FALSE,"ASSPTNS";#N/A,#N/A,FALSE,"energy_charges";#N/A,#N/A,FALSE,"capacity_chg";#N/A,#N/A,FALSE,"capex_rec";#N/A,#N/A,FALSE,"OPEX";#N/A,#N/A,FALSE,"RomaFuel";#N/A,#N/A,FALSE,"CairnFuel";#N/A,#N/A,FALSE,"CAPEX";#N/A,#N/A,FALSE,"DEBT";#N/A,#N/A,FALSE,"TAX";#N/A,#N/A,FALSE,"W_CAPITAL";#N/A,#N/A,FALSE,"REPORT"}</definedName>
    <definedName name="wrn.modrept." localSheetId="6" hidden="1">{#N/A,#N/A,FALSE,"MODSELECT";#N/A,#N/A,FALSE,"ASSPTNS";#N/A,#N/A,FALSE,"energy_charges";#N/A,#N/A,FALSE,"capacity_chg";#N/A,#N/A,FALSE,"capex_rec";#N/A,#N/A,FALSE,"OPEX";#N/A,#N/A,FALSE,"RomaFuel";#N/A,#N/A,FALSE,"CairnFuel";#N/A,#N/A,FALSE,"CAPEX";#N/A,#N/A,FALSE,"DEBT";#N/A,#N/A,FALSE,"TAX";#N/A,#N/A,FALSE,"W_CAPITAL";#N/A,#N/A,FALSE,"REPORT"}</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tsheet">'[7]SA,QLD,NT Inputs'!$AL$50</definedName>
    <definedName name="X_Factor">[4]Smoothing!$E$11</definedName>
    <definedName name="Year_0">[15]Assumptions!$I$19</definedName>
    <definedName name="Year_1">[15]Assumptions!$J$19</definedName>
    <definedName name="Year_2">[15]Assumptions!$K$19</definedName>
    <definedName name="Year_3">[15]Assumptions!$L$19</definedName>
    <definedName name="Year_4">[15]Assumptions!$M$19</definedName>
    <definedName name="Year_5">[15]Assumptions!$N$19</definedName>
  </definedNames>
  <calcPr calcId="145621"/>
</workbook>
</file>

<file path=xl/calcChain.xml><?xml version="1.0" encoding="utf-8"?>
<calcChain xmlns="http://schemas.openxmlformats.org/spreadsheetml/2006/main">
  <c r="F11" i="7961" l="1"/>
  <c r="F10" i="7961"/>
  <c r="E5" i="7961"/>
  <c r="E6" i="7961"/>
  <c r="E10" i="7961"/>
  <c r="E11" i="7961"/>
  <c r="E4" i="7961"/>
  <c r="M182" i="1" l="1"/>
  <c r="N182" i="1" s="1"/>
  <c r="O182" i="1" s="1"/>
  <c r="P182" i="1" s="1"/>
  <c r="Q182" i="1" s="1"/>
  <c r="M183" i="1"/>
  <c r="N183" i="1"/>
  <c r="O183" i="1" s="1"/>
  <c r="M184" i="1"/>
  <c r="N184" i="1"/>
  <c r="P183" i="1" l="1"/>
  <c r="O184" i="1"/>
  <c r="L144" i="1"/>
  <c r="Q183" i="1" l="1"/>
  <c r="Q184" i="1" s="1"/>
  <c r="P184" i="1"/>
  <c r="H148" i="1" l="1"/>
  <c r="L143" i="1" l="1"/>
  <c r="F62" i="7959"/>
  <c r="F61" i="7959"/>
  <c r="F60" i="7959"/>
  <c r="F59" i="7959"/>
  <c r="F58" i="7959"/>
  <c r="F57" i="7959"/>
  <c r="F56" i="7959"/>
  <c r="F55" i="7959"/>
  <c r="H624" i="7958" l="1"/>
  <c r="H639" i="7958" s="1"/>
  <c r="H727" i="7958"/>
  <c r="G727" i="7958"/>
  <c r="F727" i="7958"/>
  <c r="E727" i="7958"/>
  <c r="D727" i="7958"/>
  <c r="H684" i="7958"/>
  <c r="G684" i="7958"/>
  <c r="F684" i="7958"/>
  <c r="E684" i="7958"/>
  <c r="D684" i="7958"/>
  <c r="H654" i="7958"/>
  <c r="G654" i="7958"/>
  <c r="F654" i="7958"/>
  <c r="E654" i="7958"/>
  <c r="G624" i="7958"/>
  <c r="G639" i="7958" s="1"/>
  <c r="F624" i="7958"/>
  <c r="F639" i="7958" s="1"/>
  <c r="E624" i="7958"/>
  <c r="E639" i="7958" s="1"/>
  <c r="D624" i="7958"/>
  <c r="D639" i="7958" s="1"/>
  <c r="G609" i="7958"/>
  <c r="F609" i="7958"/>
  <c r="E609" i="7958"/>
  <c r="D609" i="7958"/>
  <c r="H178" i="1" l="1"/>
  <c r="I178" i="1" s="1"/>
  <c r="J178" i="1" s="1"/>
  <c r="K178" i="1" s="1"/>
  <c r="L178" i="1" s="1"/>
  <c r="H139" i="1" l="1"/>
  <c r="H77" i="1"/>
  <c r="D654" i="7958" s="1"/>
  <c r="H143" i="1"/>
  <c r="H105" i="1" l="1"/>
  <c r="H145" i="1"/>
  <c r="G182" i="1"/>
  <c r="I105" i="1"/>
  <c r="C11" i="7961" l="1"/>
  <c r="A11" i="7961" l="1"/>
  <c r="A10" i="7961"/>
  <c r="A9" i="7961"/>
  <c r="A8" i="7961"/>
  <c r="A7" i="7961"/>
  <c r="A6" i="7961"/>
  <c r="A5" i="7961"/>
  <c r="A4" i="7961"/>
  <c r="D60" i="7959" l="1"/>
  <c r="D59" i="7959"/>
  <c r="D58" i="7959"/>
  <c r="D57" i="7959"/>
  <c r="D56" i="7959"/>
  <c r="D55" i="7959"/>
  <c r="F14" i="7959" l="1"/>
  <c r="F13" i="7959"/>
  <c r="H14" i="7959"/>
  <c r="H13" i="7959"/>
  <c r="H12" i="7959"/>
  <c r="H11" i="7959"/>
  <c r="H10" i="7959"/>
  <c r="H9" i="7959"/>
  <c r="H8" i="7959"/>
  <c r="H7" i="7959"/>
  <c r="G14" i="7959"/>
  <c r="G13" i="7959"/>
  <c r="B10" i="7958" l="1"/>
  <c r="A14" i="7958"/>
  <c r="B15" i="7958"/>
  <c r="B21" i="7958" s="1"/>
  <c r="B16" i="7958"/>
  <c r="B17" i="7958"/>
  <c r="S20" i="7958"/>
  <c r="T20" i="7958" s="1"/>
  <c r="U20" i="7958" s="1"/>
  <c r="V20" i="7958" s="1"/>
  <c r="W20" i="7958" s="1"/>
  <c r="A25" i="7958"/>
  <c r="B26" i="7958"/>
  <c r="B32" i="7958" s="1"/>
  <c r="B27" i="7958"/>
  <c r="B28" i="7958"/>
  <c r="B29" i="7958" s="1"/>
  <c r="S31" i="7958"/>
  <c r="T31" i="7958" s="1"/>
  <c r="U31" i="7958" s="1"/>
  <c r="V31" i="7958" s="1"/>
  <c r="W31" i="7958" s="1"/>
  <c r="A36" i="7958"/>
  <c r="B37" i="7958"/>
  <c r="B38" i="7958"/>
  <c r="B39" i="7958"/>
  <c r="S42" i="7958"/>
  <c r="T42" i="7958" s="1"/>
  <c r="U42" i="7958" s="1"/>
  <c r="V42" i="7958" s="1"/>
  <c r="W42" i="7958" s="1"/>
  <c r="B43" i="7958"/>
  <c r="A47" i="7958"/>
  <c r="B48" i="7958"/>
  <c r="B49" i="7958"/>
  <c r="B50" i="7958"/>
  <c r="S53" i="7958"/>
  <c r="T53" i="7958" s="1"/>
  <c r="U53" i="7958" s="1"/>
  <c r="V53" i="7958" s="1"/>
  <c r="W53" i="7958" s="1"/>
  <c r="B54" i="7958"/>
  <c r="S61" i="7958"/>
  <c r="T61" i="7958" s="1"/>
  <c r="U61" i="7958" s="1"/>
  <c r="V61" i="7958" s="1"/>
  <c r="W61" i="7958" s="1"/>
  <c r="B74" i="7958"/>
  <c r="B75" i="7958" s="1"/>
  <c r="B113" i="7958" s="1"/>
  <c r="B122" i="7958" s="1"/>
  <c r="A82" i="7958"/>
  <c r="B83" i="7958"/>
  <c r="B92" i="7958" s="1"/>
  <c r="B84" i="7958"/>
  <c r="B85" i="7958"/>
  <c r="S91" i="7958"/>
  <c r="T91" i="7958" s="1"/>
  <c r="U91" i="7958" s="1"/>
  <c r="V91" i="7958" s="1"/>
  <c r="W91" i="7958" s="1"/>
  <c r="B93" i="7958"/>
  <c r="C93" i="7958"/>
  <c r="D93" i="7958"/>
  <c r="E93" i="7958"/>
  <c r="A97" i="7958"/>
  <c r="B99" i="7958"/>
  <c r="B100" i="7958"/>
  <c r="S106" i="7958"/>
  <c r="T106" i="7958" s="1"/>
  <c r="U106" i="7958" s="1"/>
  <c r="V106" i="7958" s="1"/>
  <c r="W106" i="7958" s="1"/>
  <c r="B108" i="7958"/>
  <c r="B776" i="7958" s="1"/>
  <c r="C108" i="7958"/>
  <c r="D108" i="7958"/>
  <c r="D776" i="7958" s="1"/>
  <c r="E108" i="7958"/>
  <c r="A112" i="7958"/>
  <c r="B114" i="7958"/>
  <c r="B115" i="7958"/>
  <c r="S121" i="7958"/>
  <c r="T121" i="7958" s="1"/>
  <c r="U121" i="7958" s="1"/>
  <c r="V121" i="7958" s="1"/>
  <c r="W121" i="7958" s="1"/>
  <c r="B123" i="7958"/>
  <c r="B778" i="7958" s="1"/>
  <c r="C123" i="7958"/>
  <c r="C778" i="7958" s="1"/>
  <c r="D123" i="7958"/>
  <c r="D778" i="7958" s="1"/>
  <c r="E123" i="7958"/>
  <c r="A127" i="7958"/>
  <c r="B129" i="7958"/>
  <c r="B130" i="7958"/>
  <c r="S136" i="7958"/>
  <c r="T136" i="7958" s="1"/>
  <c r="U136" i="7958" s="1"/>
  <c r="V136" i="7958" s="1"/>
  <c r="W136" i="7958" s="1"/>
  <c r="B138" i="7958"/>
  <c r="B781" i="7958" s="1"/>
  <c r="C138" i="7958"/>
  <c r="D138" i="7958"/>
  <c r="D781" i="7958" s="1"/>
  <c r="E138" i="7958"/>
  <c r="A143" i="7958"/>
  <c r="B145" i="7958"/>
  <c r="B146" i="7958"/>
  <c r="S152" i="7958"/>
  <c r="T152" i="7958" s="1"/>
  <c r="U152" i="7958" s="1"/>
  <c r="V152" i="7958" s="1"/>
  <c r="W152" i="7958" s="1"/>
  <c r="B154" i="7958"/>
  <c r="C154" i="7958"/>
  <c r="C775" i="7958" s="1"/>
  <c r="D154" i="7958"/>
  <c r="E154" i="7958"/>
  <c r="S161" i="7958"/>
  <c r="T161" i="7958" s="1"/>
  <c r="U161" i="7958" s="1"/>
  <c r="V161" i="7958" s="1"/>
  <c r="W161" i="7958" s="1"/>
  <c r="F163" i="7958"/>
  <c r="F750" i="7958" s="1"/>
  <c r="G163" i="7958"/>
  <c r="G750" i="7958" s="1"/>
  <c r="H163" i="7958"/>
  <c r="H750" i="7958" s="1"/>
  <c r="I163" i="7958"/>
  <c r="J163" i="7958"/>
  <c r="J750" i="7958" s="1"/>
  <c r="K163" i="7958"/>
  <c r="L163" i="7958"/>
  <c r="L750" i="7958" s="1"/>
  <c r="M163" i="7958"/>
  <c r="N163" i="7958"/>
  <c r="N750" i="7958" s="1"/>
  <c r="O163" i="7958"/>
  <c r="O750" i="7958" s="1"/>
  <c r="P163" i="7958"/>
  <c r="P750" i="7958" s="1"/>
  <c r="Q163" i="7958"/>
  <c r="R163" i="7958"/>
  <c r="R750" i="7958" s="1"/>
  <c r="S163" i="7958"/>
  <c r="T163" i="7958"/>
  <c r="T750" i="7958" s="1"/>
  <c r="U163" i="7958"/>
  <c r="V163" i="7958"/>
  <c r="V750" i="7958" s="1"/>
  <c r="W163" i="7958"/>
  <c r="W750" i="7958" s="1"/>
  <c r="B175" i="7958"/>
  <c r="B199" i="7958" s="1"/>
  <c r="B208" i="7958" s="1"/>
  <c r="A183" i="7958"/>
  <c r="B184" i="7958"/>
  <c r="B185" i="7958"/>
  <c r="B186" i="7958"/>
  <c r="S192" i="7958"/>
  <c r="T192" i="7958" s="1"/>
  <c r="U192" i="7958" s="1"/>
  <c r="V192" i="7958" s="1"/>
  <c r="W192" i="7958" s="1"/>
  <c r="B193" i="7958"/>
  <c r="E194" i="7958"/>
  <c r="F194" i="7958"/>
  <c r="G194" i="7958"/>
  <c r="H194" i="7958"/>
  <c r="A198" i="7958"/>
  <c r="B200" i="7958"/>
  <c r="B201" i="7958"/>
  <c r="S207" i="7958"/>
  <c r="T207" i="7958" s="1"/>
  <c r="U207" i="7958" s="1"/>
  <c r="V207" i="7958" s="1"/>
  <c r="W207" i="7958" s="1"/>
  <c r="E209" i="7958"/>
  <c r="F209" i="7958"/>
  <c r="F776" i="7958" s="1"/>
  <c r="G209" i="7958"/>
  <c r="G776" i="7958" s="1"/>
  <c r="H209" i="7958"/>
  <c r="A213" i="7958"/>
  <c r="B215" i="7958"/>
  <c r="B216" i="7958"/>
  <c r="S222" i="7958"/>
  <c r="T222" i="7958" s="1"/>
  <c r="U222" i="7958" s="1"/>
  <c r="V222" i="7958" s="1"/>
  <c r="W222" i="7958" s="1"/>
  <c r="E224" i="7958"/>
  <c r="F224" i="7958"/>
  <c r="F778" i="7958" s="1"/>
  <c r="G224" i="7958"/>
  <c r="G778" i="7958" s="1"/>
  <c r="H224" i="7958"/>
  <c r="A228" i="7958"/>
  <c r="B230" i="7958"/>
  <c r="B231" i="7958"/>
  <c r="S237" i="7958"/>
  <c r="T237" i="7958" s="1"/>
  <c r="U237" i="7958" s="1"/>
  <c r="V237" i="7958" s="1"/>
  <c r="W237" i="7958" s="1"/>
  <c r="E239" i="7958"/>
  <c r="F239" i="7958"/>
  <c r="F781" i="7958" s="1"/>
  <c r="G239" i="7958"/>
  <c r="H239" i="7958"/>
  <c r="A244" i="7958"/>
  <c r="B246" i="7958"/>
  <c r="B247" i="7958"/>
  <c r="S253" i="7958"/>
  <c r="T253" i="7958" s="1"/>
  <c r="U253" i="7958" s="1"/>
  <c r="V253" i="7958" s="1"/>
  <c r="W253" i="7958" s="1"/>
  <c r="E255" i="7958"/>
  <c r="F255" i="7958"/>
  <c r="G255" i="7958"/>
  <c r="H255" i="7958"/>
  <c r="S262" i="7958"/>
  <c r="T262" i="7958" s="1"/>
  <c r="U262" i="7958" s="1"/>
  <c r="V262" i="7958" s="1"/>
  <c r="W262" i="7958" s="1"/>
  <c r="B264" i="7958"/>
  <c r="B751" i="7958" s="1"/>
  <c r="C264" i="7958"/>
  <c r="D264" i="7958"/>
  <c r="D751" i="7958" s="1"/>
  <c r="I264" i="7958"/>
  <c r="J264" i="7958"/>
  <c r="J751" i="7958" s="1"/>
  <c r="K264" i="7958"/>
  <c r="L264" i="7958"/>
  <c r="L751" i="7958" s="1"/>
  <c r="M264" i="7958"/>
  <c r="M751" i="7958" s="1"/>
  <c r="N264" i="7958"/>
  <c r="N751" i="7958" s="1"/>
  <c r="O264" i="7958"/>
  <c r="P264" i="7958"/>
  <c r="P751" i="7958" s="1"/>
  <c r="Q264" i="7958"/>
  <c r="R264" i="7958"/>
  <c r="R751" i="7958" s="1"/>
  <c r="S264" i="7958"/>
  <c r="T264" i="7958"/>
  <c r="T751" i="7958" s="1"/>
  <c r="U264" i="7958"/>
  <c r="U751" i="7958" s="1"/>
  <c r="V264" i="7958"/>
  <c r="V751" i="7958" s="1"/>
  <c r="W264" i="7958"/>
  <c r="B276" i="7958"/>
  <c r="B277" i="7958" s="1"/>
  <c r="A284" i="7958"/>
  <c r="B285" i="7958"/>
  <c r="B294" i="7958" s="1"/>
  <c r="B286" i="7958"/>
  <c r="B287" i="7958"/>
  <c r="S293" i="7958"/>
  <c r="T293" i="7958" s="1"/>
  <c r="U293" i="7958" s="1"/>
  <c r="V293" i="7958" s="1"/>
  <c r="W293" i="7958" s="1"/>
  <c r="H295" i="7958"/>
  <c r="I295" i="7958"/>
  <c r="J295" i="7958"/>
  <c r="K295" i="7958"/>
  <c r="L295" i="7958"/>
  <c r="A299" i="7958"/>
  <c r="B300" i="7958"/>
  <c r="B309" i="7958" s="1"/>
  <c r="B301" i="7958"/>
  <c r="B302" i="7958"/>
  <c r="S308" i="7958"/>
  <c r="T308" i="7958" s="1"/>
  <c r="U308" i="7958" s="1"/>
  <c r="V308" i="7958" s="1"/>
  <c r="W308" i="7958" s="1"/>
  <c r="H310" i="7958"/>
  <c r="I310" i="7958"/>
  <c r="J310" i="7958"/>
  <c r="J776" i="7958" s="1"/>
  <c r="K310" i="7958"/>
  <c r="L310" i="7958"/>
  <c r="A314" i="7958"/>
  <c r="B316" i="7958"/>
  <c r="B317" i="7958"/>
  <c r="S323" i="7958"/>
  <c r="T323" i="7958" s="1"/>
  <c r="U323" i="7958" s="1"/>
  <c r="V323" i="7958" s="1"/>
  <c r="W323" i="7958" s="1"/>
  <c r="H325" i="7958"/>
  <c r="I325" i="7958"/>
  <c r="I778" i="7958" s="1"/>
  <c r="J325" i="7958"/>
  <c r="J778" i="7958" s="1"/>
  <c r="K325" i="7958"/>
  <c r="K778" i="7958" s="1"/>
  <c r="L325" i="7958"/>
  <c r="A329" i="7958"/>
  <c r="B331" i="7958"/>
  <c r="B332" i="7958"/>
  <c r="S338" i="7958"/>
  <c r="T338" i="7958" s="1"/>
  <c r="U338" i="7958" s="1"/>
  <c r="V338" i="7958" s="1"/>
  <c r="W338" i="7958" s="1"/>
  <c r="H340" i="7958"/>
  <c r="I340" i="7958"/>
  <c r="I781" i="7958" s="1"/>
  <c r="J340" i="7958"/>
  <c r="K340" i="7958"/>
  <c r="K781" i="7958" s="1"/>
  <c r="L340" i="7958"/>
  <c r="A345" i="7958"/>
  <c r="B347" i="7958"/>
  <c r="B348" i="7958"/>
  <c r="S354" i="7958"/>
  <c r="T354" i="7958" s="1"/>
  <c r="U354" i="7958" s="1"/>
  <c r="V354" i="7958" s="1"/>
  <c r="W354" i="7958" s="1"/>
  <c r="H356" i="7958"/>
  <c r="I356" i="7958"/>
  <c r="I775" i="7958" s="1"/>
  <c r="J356" i="7958"/>
  <c r="K356" i="7958"/>
  <c r="L356" i="7958"/>
  <c r="S363" i="7958"/>
  <c r="T363" i="7958" s="1"/>
  <c r="U363" i="7958" s="1"/>
  <c r="V363" i="7958" s="1"/>
  <c r="W363" i="7958" s="1"/>
  <c r="B365" i="7958"/>
  <c r="B752" i="7958" s="1"/>
  <c r="C365" i="7958"/>
  <c r="C752" i="7958" s="1"/>
  <c r="D365" i="7958"/>
  <c r="D752" i="7958" s="1"/>
  <c r="E365" i="7958"/>
  <c r="E752" i="7958" s="1"/>
  <c r="F365" i="7958"/>
  <c r="F752" i="7958" s="1"/>
  <c r="G365" i="7958"/>
  <c r="G752" i="7958" s="1"/>
  <c r="B377" i="7958"/>
  <c r="A385" i="7958"/>
  <c r="B386" i="7958"/>
  <c r="B395" i="7958" s="1"/>
  <c r="B387" i="7958"/>
  <c r="B388" i="7958"/>
  <c r="C391" i="7958"/>
  <c r="D391" i="7958" s="1"/>
  <c r="E391" i="7958" s="1"/>
  <c r="F391" i="7958" s="1"/>
  <c r="G391" i="7958" s="1"/>
  <c r="H391" i="7958" s="1"/>
  <c r="C392" i="7958"/>
  <c r="M396" i="7958" s="1"/>
  <c r="S394" i="7958"/>
  <c r="T394" i="7958" s="1"/>
  <c r="U394" i="7958" s="1"/>
  <c r="V394" i="7958" s="1"/>
  <c r="W394" i="7958" s="1"/>
  <c r="L396" i="7958"/>
  <c r="N396" i="7958"/>
  <c r="O396" i="7958"/>
  <c r="P396" i="7958"/>
  <c r="Q396" i="7958"/>
  <c r="R396" i="7958"/>
  <c r="S396" i="7958"/>
  <c r="T396" i="7958"/>
  <c r="U396" i="7958"/>
  <c r="V396" i="7958"/>
  <c r="W396" i="7958"/>
  <c r="A400" i="7958"/>
  <c r="B402" i="7958"/>
  <c r="B403" i="7958"/>
  <c r="C406" i="7958"/>
  <c r="D406" i="7958" s="1"/>
  <c r="E406" i="7958" s="1"/>
  <c r="F406" i="7958" s="1"/>
  <c r="G406" i="7958" s="1"/>
  <c r="H406" i="7958" s="1"/>
  <c r="C407" i="7958"/>
  <c r="M411" i="7958" s="1"/>
  <c r="S409" i="7958"/>
  <c r="T409" i="7958" s="1"/>
  <c r="U409" i="7958" s="1"/>
  <c r="V409" i="7958" s="1"/>
  <c r="W409" i="7958" s="1"/>
  <c r="L411" i="7958"/>
  <c r="N411" i="7958"/>
  <c r="O411" i="7958"/>
  <c r="P411" i="7958"/>
  <c r="Q411" i="7958"/>
  <c r="R411" i="7958"/>
  <c r="S411" i="7958"/>
  <c r="T411" i="7958"/>
  <c r="U411" i="7958"/>
  <c r="V411" i="7958"/>
  <c r="W411" i="7958"/>
  <c r="A415" i="7958"/>
  <c r="B417" i="7958"/>
  <c r="B418" i="7958"/>
  <c r="C421" i="7958"/>
  <c r="D421" i="7958" s="1"/>
  <c r="E421" i="7958" s="1"/>
  <c r="F421" i="7958" s="1"/>
  <c r="G421" i="7958" s="1"/>
  <c r="H421" i="7958" s="1"/>
  <c r="S424" i="7958"/>
  <c r="T424" i="7958" s="1"/>
  <c r="U424" i="7958" s="1"/>
  <c r="V424" i="7958" s="1"/>
  <c r="W424" i="7958" s="1"/>
  <c r="L426" i="7958"/>
  <c r="M426" i="7958"/>
  <c r="N426" i="7958"/>
  <c r="O426" i="7958"/>
  <c r="P426" i="7958"/>
  <c r="Q426" i="7958"/>
  <c r="R426" i="7958"/>
  <c r="S426" i="7958"/>
  <c r="T426" i="7958"/>
  <c r="U426" i="7958"/>
  <c r="V426" i="7958"/>
  <c r="W426" i="7958"/>
  <c r="A430" i="7958"/>
  <c r="B432" i="7958"/>
  <c r="B433" i="7958"/>
  <c r="C436" i="7958"/>
  <c r="D436" i="7958" s="1"/>
  <c r="E436" i="7958" s="1"/>
  <c r="F436" i="7958" s="1"/>
  <c r="G436" i="7958" s="1"/>
  <c r="H436" i="7958" s="1"/>
  <c r="C437" i="7958"/>
  <c r="M441" i="7958" s="1"/>
  <c r="S439" i="7958"/>
  <c r="T439" i="7958" s="1"/>
  <c r="U439" i="7958" s="1"/>
  <c r="V439" i="7958" s="1"/>
  <c r="W439" i="7958" s="1"/>
  <c r="L441" i="7958"/>
  <c r="N441" i="7958"/>
  <c r="O441" i="7958"/>
  <c r="P441" i="7958"/>
  <c r="Q441" i="7958"/>
  <c r="R441" i="7958"/>
  <c r="S441" i="7958"/>
  <c r="T441" i="7958"/>
  <c r="U441" i="7958"/>
  <c r="V441" i="7958"/>
  <c r="W441" i="7958"/>
  <c r="A446" i="7958"/>
  <c r="B448" i="7958"/>
  <c r="B449" i="7958"/>
  <c r="B450" i="7958" s="1"/>
  <c r="C452" i="7958"/>
  <c r="D452" i="7958" s="1"/>
  <c r="E452" i="7958" s="1"/>
  <c r="F452" i="7958" s="1"/>
  <c r="G452" i="7958" s="1"/>
  <c r="H452" i="7958" s="1"/>
  <c r="S455" i="7958"/>
  <c r="T455" i="7958" s="1"/>
  <c r="U455" i="7958" s="1"/>
  <c r="V455" i="7958" s="1"/>
  <c r="W455" i="7958" s="1"/>
  <c r="L457" i="7958"/>
  <c r="M457" i="7958"/>
  <c r="N457" i="7958"/>
  <c r="O457" i="7958"/>
  <c r="P457" i="7958"/>
  <c r="Q457" i="7958"/>
  <c r="R457" i="7958"/>
  <c r="S457" i="7958"/>
  <c r="T457" i="7958"/>
  <c r="U457" i="7958"/>
  <c r="V457" i="7958"/>
  <c r="W457" i="7958"/>
  <c r="S464" i="7958"/>
  <c r="T464" i="7958" s="1"/>
  <c r="U464" i="7958" s="1"/>
  <c r="V464" i="7958" s="1"/>
  <c r="W464" i="7958" s="1"/>
  <c r="B466" i="7958"/>
  <c r="B753" i="7958" s="1"/>
  <c r="C466" i="7958"/>
  <c r="D466" i="7958"/>
  <c r="D753" i="7958" s="1"/>
  <c r="E466" i="7958"/>
  <c r="E753" i="7958" s="1"/>
  <c r="F466" i="7958"/>
  <c r="F753" i="7958" s="1"/>
  <c r="G466" i="7958"/>
  <c r="G753" i="7958" s="1"/>
  <c r="H466" i="7958"/>
  <c r="H753" i="7958" s="1"/>
  <c r="I466" i="7958"/>
  <c r="I753" i="7958" s="1"/>
  <c r="J466" i="7958"/>
  <c r="J753" i="7958" s="1"/>
  <c r="K466" i="7958"/>
  <c r="K753" i="7958" s="1"/>
  <c r="B477" i="7958"/>
  <c r="B478" i="7958" s="1"/>
  <c r="A486" i="7958"/>
  <c r="B487" i="7958"/>
  <c r="B496" i="7958" s="1"/>
  <c r="B488" i="7958"/>
  <c r="B489" i="7958"/>
  <c r="C492" i="7958"/>
  <c r="D492" i="7958" s="1"/>
  <c r="E492" i="7958" s="1"/>
  <c r="F492" i="7958" s="1"/>
  <c r="G492" i="7958" s="1"/>
  <c r="H492" i="7958" s="1"/>
  <c r="I492" i="7958" s="1"/>
  <c r="J492" i="7958" s="1"/>
  <c r="K492" i="7958" s="1"/>
  <c r="L492" i="7958" s="1"/>
  <c r="M492" i="7958" s="1"/>
  <c r="S495" i="7958"/>
  <c r="T495" i="7958" s="1"/>
  <c r="U495" i="7958" s="1"/>
  <c r="V495" i="7958" s="1"/>
  <c r="W495" i="7958" s="1"/>
  <c r="L497" i="7958"/>
  <c r="M497" i="7958"/>
  <c r="N497" i="7958"/>
  <c r="O497" i="7958"/>
  <c r="P497" i="7958"/>
  <c r="Q497" i="7958"/>
  <c r="R497" i="7958"/>
  <c r="S497" i="7958"/>
  <c r="T497" i="7958"/>
  <c r="U497" i="7958"/>
  <c r="V497" i="7958"/>
  <c r="W497" i="7958"/>
  <c r="A501" i="7958"/>
  <c r="B503" i="7958"/>
  <c r="B504" i="7958"/>
  <c r="C507" i="7958"/>
  <c r="D507" i="7958" s="1"/>
  <c r="E507" i="7958" s="1"/>
  <c r="F507" i="7958" s="1"/>
  <c r="G507" i="7958" s="1"/>
  <c r="H507" i="7958" s="1"/>
  <c r="I507" i="7958" s="1"/>
  <c r="J507" i="7958" s="1"/>
  <c r="K507" i="7958" s="1"/>
  <c r="L507" i="7958" s="1"/>
  <c r="M507" i="7958" s="1"/>
  <c r="S510" i="7958"/>
  <c r="T510" i="7958" s="1"/>
  <c r="U510" i="7958" s="1"/>
  <c r="V510" i="7958" s="1"/>
  <c r="W510" i="7958" s="1"/>
  <c r="L512" i="7958"/>
  <c r="M512" i="7958"/>
  <c r="N512" i="7958"/>
  <c r="O512" i="7958"/>
  <c r="P512" i="7958"/>
  <c r="Q512" i="7958"/>
  <c r="R512" i="7958"/>
  <c r="S512" i="7958"/>
  <c r="T512" i="7958"/>
  <c r="U512" i="7958"/>
  <c r="V512" i="7958"/>
  <c r="W512" i="7958"/>
  <c r="A516" i="7958"/>
  <c r="B518" i="7958"/>
  <c r="B519" i="7958"/>
  <c r="C522" i="7958"/>
  <c r="D522" i="7958" s="1"/>
  <c r="E522" i="7958" s="1"/>
  <c r="F522" i="7958" s="1"/>
  <c r="G522" i="7958" s="1"/>
  <c r="H522" i="7958" s="1"/>
  <c r="I522" i="7958" s="1"/>
  <c r="J522" i="7958" s="1"/>
  <c r="K522" i="7958" s="1"/>
  <c r="L522" i="7958" s="1"/>
  <c r="M522" i="7958" s="1"/>
  <c r="S525" i="7958"/>
  <c r="T525" i="7958" s="1"/>
  <c r="U525" i="7958" s="1"/>
  <c r="V525" i="7958" s="1"/>
  <c r="W525" i="7958" s="1"/>
  <c r="L527" i="7958"/>
  <c r="M527" i="7958"/>
  <c r="N527" i="7958"/>
  <c r="N777" i="7958" s="1"/>
  <c r="O527" i="7958"/>
  <c r="O777" i="7958" s="1"/>
  <c r="P527" i="7958"/>
  <c r="P777" i="7958" s="1"/>
  <c r="Q527" i="7958"/>
  <c r="R527" i="7958"/>
  <c r="S527" i="7958"/>
  <c r="T527" i="7958"/>
  <c r="U527" i="7958"/>
  <c r="V527" i="7958"/>
  <c r="W527" i="7958"/>
  <c r="A531" i="7958"/>
  <c r="B533" i="7958"/>
  <c r="B534" i="7958"/>
  <c r="C537" i="7958"/>
  <c r="D537" i="7958" s="1"/>
  <c r="E537" i="7958" s="1"/>
  <c r="F537" i="7958" s="1"/>
  <c r="G537" i="7958" s="1"/>
  <c r="H537" i="7958" s="1"/>
  <c r="I537" i="7958" s="1"/>
  <c r="J537" i="7958" s="1"/>
  <c r="K537" i="7958" s="1"/>
  <c r="L537" i="7958" s="1"/>
  <c r="M537" i="7958" s="1"/>
  <c r="S540" i="7958"/>
  <c r="T540" i="7958" s="1"/>
  <c r="U540" i="7958" s="1"/>
  <c r="V540" i="7958" s="1"/>
  <c r="W540" i="7958" s="1"/>
  <c r="L542" i="7958"/>
  <c r="M542" i="7958"/>
  <c r="N542" i="7958"/>
  <c r="O542" i="7958"/>
  <c r="P542" i="7958"/>
  <c r="Q542" i="7958"/>
  <c r="R542" i="7958"/>
  <c r="S542" i="7958"/>
  <c r="T542" i="7958"/>
  <c r="U542" i="7958"/>
  <c r="V542" i="7958"/>
  <c r="W542" i="7958"/>
  <c r="A546" i="7958"/>
  <c r="B548" i="7958"/>
  <c r="B549" i="7958"/>
  <c r="C552" i="7958"/>
  <c r="D552" i="7958" s="1"/>
  <c r="E552" i="7958" s="1"/>
  <c r="F552" i="7958" s="1"/>
  <c r="G552" i="7958" s="1"/>
  <c r="H552" i="7958" s="1"/>
  <c r="I552" i="7958" s="1"/>
  <c r="J552" i="7958" s="1"/>
  <c r="K552" i="7958" s="1"/>
  <c r="L552" i="7958" s="1"/>
  <c r="M552" i="7958" s="1"/>
  <c r="S555" i="7958"/>
  <c r="T555" i="7958" s="1"/>
  <c r="U555" i="7958" s="1"/>
  <c r="V555" i="7958" s="1"/>
  <c r="W555" i="7958" s="1"/>
  <c r="L557" i="7958"/>
  <c r="M557" i="7958"/>
  <c r="N557" i="7958"/>
  <c r="N781" i="7958" s="1"/>
  <c r="O557" i="7958"/>
  <c r="P557" i="7958"/>
  <c r="Q557" i="7958"/>
  <c r="R557" i="7958"/>
  <c r="S557" i="7958"/>
  <c r="T557" i="7958"/>
  <c r="U557" i="7958"/>
  <c r="V557" i="7958"/>
  <c r="W557" i="7958"/>
  <c r="A561" i="7958"/>
  <c r="B563" i="7958"/>
  <c r="B564" i="7958"/>
  <c r="B565" i="7958" s="1"/>
  <c r="C567" i="7958"/>
  <c r="D567" i="7958" s="1"/>
  <c r="E567" i="7958" s="1"/>
  <c r="F567" i="7958" s="1"/>
  <c r="G567" i="7958" s="1"/>
  <c r="H567" i="7958" s="1"/>
  <c r="I567" i="7958" s="1"/>
  <c r="J567" i="7958" s="1"/>
  <c r="K567" i="7958" s="1"/>
  <c r="L567" i="7958" s="1"/>
  <c r="M567" i="7958" s="1"/>
  <c r="S570" i="7958"/>
  <c r="T570" i="7958" s="1"/>
  <c r="U570" i="7958" s="1"/>
  <c r="V570" i="7958" s="1"/>
  <c r="W570" i="7958" s="1"/>
  <c r="L572" i="7958"/>
  <c r="M572" i="7958"/>
  <c r="N572" i="7958"/>
  <c r="O572" i="7958"/>
  <c r="P572" i="7958"/>
  <c r="Q572" i="7958"/>
  <c r="R572" i="7958"/>
  <c r="S572" i="7958"/>
  <c r="T572" i="7958"/>
  <c r="U572" i="7958"/>
  <c r="V572" i="7958"/>
  <c r="W572" i="7958"/>
  <c r="S579" i="7958"/>
  <c r="T579" i="7958" s="1"/>
  <c r="U579" i="7958" s="1"/>
  <c r="V579" i="7958" s="1"/>
  <c r="W579" i="7958" s="1"/>
  <c r="B581" i="7958"/>
  <c r="B754" i="7958" s="1"/>
  <c r="C581" i="7958"/>
  <c r="D581" i="7958"/>
  <c r="D754" i="7958" s="1"/>
  <c r="E581" i="7958"/>
  <c r="E754" i="7958" s="1"/>
  <c r="F581" i="7958"/>
  <c r="F754" i="7958" s="1"/>
  <c r="G581" i="7958"/>
  <c r="G754" i="7958" s="1"/>
  <c r="H581" i="7958"/>
  <c r="H754" i="7958" s="1"/>
  <c r="I581" i="7958"/>
  <c r="I754" i="7958" s="1"/>
  <c r="J581" i="7958"/>
  <c r="J754" i="7958" s="1"/>
  <c r="K581" i="7958"/>
  <c r="B592" i="7958"/>
  <c r="B618" i="7958" s="1"/>
  <c r="B627" i="7958" s="1"/>
  <c r="A602" i="7958"/>
  <c r="B603" i="7958"/>
  <c r="B612" i="7958" s="1"/>
  <c r="B604" i="7958"/>
  <c r="B605" i="7958"/>
  <c r="C608" i="7958"/>
  <c r="D608" i="7958" s="1"/>
  <c r="E608" i="7958" s="1"/>
  <c r="F608" i="7958" s="1"/>
  <c r="G608" i="7958" s="1"/>
  <c r="H608" i="7958" s="1"/>
  <c r="S611" i="7958"/>
  <c r="T611" i="7958" s="1"/>
  <c r="U611" i="7958" s="1"/>
  <c r="V611" i="7958" s="1"/>
  <c r="W611" i="7958" s="1"/>
  <c r="Q613" i="7958"/>
  <c r="R613" i="7958"/>
  <c r="A617" i="7958"/>
  <c r="B619" i="7958"/>
  <c r="B620" i="7958"/>
  <c r="C623" i="7958"/>
  <c r="D623" i="7958" s="1"/>
  <c r="E623" i="7958" s="1"/>
  <c r="F623" i="7958" s="1"/>
  <c r="G623" i="7958" s="1"/>
  <c r="H623" i="7958" s="1"/>
  <c r="S626" i="7958"/>
  <c r="T626" i="7958" s="1"/>
  <c r="U626" i="7958" s="1"/>
  <c r="V626" i="7958" s="1"/>
  <c r="W626" i="7958" s="1"/>
  <c r="L628" i="7958"/>
  <c r="M628" i="7958"/>
  <c r="Q628" i="7958"/>
  <c r="R628" i="7958"/>
  <c r="A632" i="7958"/>
  <c r="B634" i="7958"/>
  <c r="B635" i="7958"/>
  <c r="C638" i="7958"/>
  <c r="D638" i="7958" s="1"/>
  <c r="E638" i="7958" s="1"/>
  <c r="F638" i="7958" s="1"/>
  <c r="G638" i="7958" s="1"/>
  <c r="H638" i="7958" s="1"/>
  <c r="S641" i="7958"/>
  <c r="T641" i="7958" s="1"/>
  <c r="U641" i="7958" s="1"/>
  <c r="V641" i="7958" s="1"/>
  <c r="W641" i="7958" s="1"/>
  <c r="L643" i="7958"/>
  <c r="M643" i="7958"/>
  <c r="Q643" i="7958"/>
  <c r="R643" i="7958"/>
  <c r="A647" i="7958"/>
  <c r="B649" i="7958"/>
  <c r="B650" i="7958"/>
  <c r="C653" i="7958"/>
  <c r="D653" i="7958" s="1"/>
  <c r="E653" i="7958" s="1"/>
  <c r="F653" i="7958" s="1"/>
  <c r="G653" i="7958" s="1"/>
  <c r="H653" i="7958" s="1"/>
  <c r="S656" i="7958"/>
  <c r="T656" i="7958" s="1"/>
  <c r="U656" i="7958" s="1"/>
  <c r="V656" i="7958" s="1"/>
  <c r="W656" i="7958" s="1"/>
  <c r="L658" i="7958"/>
  <c r="M658" i="7958"/>
  <c r="Q658" i="7958"/>
  <c r="R658" i="7958"/>
  <c r="S658" i="7958"/>
  <c r="T658" i="7958"/>
  <c r="U658" i="7958"/>
  <c r="V658" i="7958"/>
  <c r="W658" i="7958"/>
  <c r="A662" i="7958"/>
  <c r="B663" i="7958"/>
  <c r="B672" i="7958" s="1"/>
  <c r="C668" i="7958"/>
  <c r="D668" i="7958" s="1"/>
  <c r="E668" i="7958" s="1"/>
  <c r="F668" i="7958" s="1"/>
  <c r="G668" i="7958" s="1"/>
  <c r="H668" i="7958" s="1"/>
  <c r="S671" i="7958"/>
  <c r="T671" i="7958" s="1"/>
  <c r="U671" i="7958" s="1"/>
  <c r="V671" i="7958" s="1"/>
  <c r="W671" i="7958" s="1"/>
  <c r="L673" i="7958"/>
  <c r="M673" i="7958"/>
  <c r="Q673" i="7958"/>
  <c r="R673" i="7958"/>
  <c r="S673" i="7958"/>
  <c r="S780" i="7958" s="1"/>
  <c r="T673" i="7958"/>
  <c r="T780" i="7958" s="1"/>
  <c r="U673" i="7958"/>
  <c r="U780" i="7958" s="1"/>
  <c r="V673" i="7958"/>
  <c r="V780" i="7958" s="1"/>
  <c r="W673" i="7958"/>
  <c r="W780" i="7958" s="1"/>
  <c r="B674" i="7958"/>
  <c r="A677" i="7958"/>
  <c r="B679" i="7958"/>
  <c r="B680" i="7958"/>
  <c r="C683" i="7958"/>
  <c r="D683" i="7958" s="1"/>
  <c r="E683" i="7958" s="1"/>
  <c r="F683" i="7958" s="1"/>
  <c r="G683" i="7958" s="1"/>
  <c r="H683" i="7958" s="1"/>
  <c r="S686" i="7958"/>
  <c r="T686" i="7958" s="1"/>
  <c r="U686" i="7958" s="1"/>
  <c r="V686" i="7958" s="1"/>
  <c r="W686" i="7958" s="1"/>
  <c r="L688" i="7958"/>
  <c r="M688" i="7958"/>
  <c r="Q688" i="7958"/>
  <c r="R688" i="7958"/>
  <c r="A692" i="7958"/>
  <c r="B694" i="7958"/>
  <c r="B695" i="7958"/>
  <c r="B696" i="7958" s="1"/>
  <c r="C698" i="7958"/>
  <c r="D698" i="7958" s="1"/>
  <c r="E698" i="7958" s="1"/>
  <c r="F698" i="7958" s="1"/>
  <c r="G698" i="7958" s="1"/>
  <c r="H698" i="7958" s="1"/>
  <c r="S701" i="7958"/>
  <c r="T701" i="7958" s="1"/>
  <c r="U701" i="7958" s="1"/>
  <c r="V701" i="7958" s="1"/>
  <c r="W701" i="7958" s="1"/>
  <c r="L703" i="7958"/>
  <c r="M703" i="7958"/>
  <c r="Q703" i="7958"/>
  <c r="R703" i="7958"/>
  <c r="S703" i="7958"/>
  <c r="T703" i="7958"/>
  <c r="U703" i="7958"/>
  <c r="V703" i="7958"/>
  <c r="W703" i="7958"/>
  <c r="S710" i="7958"/>
  <c r="T710" i="7958" s="1"/>
  <c r="U710" i="7958" s="1"/>
  <c r="V710" i="7958" s="1"/>
  <c r="W710" i="7958" s="1"/>
  <c r="B712" i="7958"/>
  <c r="C712" i="7958"/>
  <c r="D712" i="7958"/>
  <c r="E712" i="7958"/>
  <c r="F712" i="7958"/>
  <c r="G712" i="7958"/>
  <c r="H712" i="7958"/>
  <c r="I712" i="7958"/>
  <c r="J712" i="7958"/>
  <c r="K712" i="7958"/>
  <c r="N712" i="7958"/>
  <c r="O712" i="7958"/>
  <c r="P712" i="7958"/>
  <c r="C726" i="7958"/>
  <c r="D726" i="7958" s="1"/>
  <c r="E726" i="7958" s="1"/>
  <c r="F726" i="7958" s="1"/>
  <c r="G726" i="7958" s="1"/>
  <c r="H726" i="7958" s="1"/>
  <c r="S729" i="7958"/>
  <c r="T729" i="7958" s="1"/>
  <c r="U729" i="7958" s="1"/>
  <c r="V729" i="7958" s="1"/>
  <c r="W729" i="7958" s="1"/>
  <c r="B730" i="7958"/>
  <c r="L731" i="7958"/>
  <c r="M731" i="7958"/>
  <c r="Q731" i="7958"/>
  <c r="R731" i="7958"/>
  <c r="T731" i="7958"/>
  <c r="U731" i="7958"/>
  <c r="U782" i="7958" s="1"/>
  <c r="V731" i="7958"/>
  <c r="V782" i="7958" s="1"/>
  <c r="W731" i="7958"/>
  <c r="W782" i="7958" s="1"/>
  <c r="B732" i="7958"/>
  <c r="S737" i="7958"/>
  <c r="T737" i="7958" s="1"/>
  <c r="S749" i="7958"/>
  <c r="T749" i="7958" s="1"/>
  <c r="U749" i="7958" s="1"/>
  <c r="V749" i="7958" s="1"/>
  <c r="W749" i="7958" s="1"/>
  <c r="I750" i="7958"/>
  <c r="K750" i="7958"/>
  <c r="M750" i="7958"/>
  <c r="Q750" i="7958"/>
  <c r="S750" i="7958"/>
  <c r="U750" i="7958"/>
  <c r="C751" i="7958"/>
  <c r="I751" i="7958"/>
  <c r="K751" i="7958"/>
  <c r="O751" i="7958"/>
  <c r="Q751" i="7958"/>
  <c r="S751" i="7958"/>
  <c r="W751" i="7958"/>
  <c r="M752" i="7958"/>
  <c r="N752" i="7958"/>
  <c r="O752" i="7958"/>
  <c r="P752" i="7958"/>
  <c r="Q752" i="7958"/>
  <c r="R752" i="7958"/>
  <c r="S752" i="7958"/>
  <c r="T752" i="7958"/>
  <c r="U752" i="7958"/>
  <c r="V752" i="7958"/>
  <c r="W752" i="7958"/>
  <c r="C753" i="7958"/>
  <c r="C754" i="7958"/>
  <c r="K754" i="7958"/>
  <c r="B763" i="7958"/>
  <c r="C763" i="7958"/>
  <c r="D763" i="7958"/>
  <c r="E763" i="7958"/>
  <c r="F763" i="7958"/>
  <c r="G763" i="7958"/>
  <c r="H763" i="7958"/>
  <c r="I763" i="7958"/>
  <c r="J763" i="7958"/>
  <c r="K763" i="7958"/>
  <c r="L763" i="7958"/>
  <c r="M763" i="7958"/>
  <c r="N763" i="7958"/>
  <c r="O763" i="7958"/>
  <c r="P763" i="7958"/>
  <c r="Q763" i="7958"/>
  <c r="R763" i="7958"/>
  <c r="C776" i="7958"/>
  <c r="I776" i="7958"/>
  <c r="K776" i="7958"/>
  <c r="B777" i="7958"/>
  <c r="C777" i="7958"/>
  <c r="D777" i="7958"/>
  <c r="E777" i="7958"/>
  <c r="F777" i="7958"/>
  <c r="G777" i="7958"/>
  <c r="H777" i="7958"/>
  <c r="I777" i="7958"/>
  <c r="J777" i="7958"/>
  <c r="K777" i="7958"/>
  <c r="V779" i="7958"/>
  <c r="C781" i="7958"/>
  <c r="E781" i="7958"/>
  <c r="G781" i="7958"/>
  <c r="J781" i="7958"/>
  <c r="T782" i="7958"/>
  <c r="B804" i="7958"/>
  <c r="C804" i="7958"/>
  <c r="D804" i="7958"/>
  <c r="E804" i="7958"/>
  <c r="F804" i="7958"/>
  <c r="G804" i="7958"/>
  <c r="H804" i="7958"/>
  <c r="I804" i="7958"/>
  <c r="J804" i="7958"/>
  <c r="K804" i="7958"/>
  <c r="L804" i="7958"/>
  <c r="M804" i="7958"/>
  <c r="N804" i="7958"/>
  <c r="O804" i="7958"/>
  <c r="P804" i="7958"/>
  <c r="Q804" i="7958"/>
  <c r="R804" i="7958"/>
  <c r="U779" i="7958" l="1"/>
  <c r="T779" i="7958"/>
  <c r="T659" i="7958"/>
  <c r="W779" i="7958"/>
  <c r="S779" i="7958"/>
  <c r="S659" i="7958"/>
  <c r="P781" i="7958"/>
  <c r="U778" i="7958"/>
  <c r="H778" i="7958"/>
  <c r="B248" i="7958"/>
  <c r="R776" i="7958"/>
  <c r="M778" i="7958"/>
  <c r="B520" i="7958"/>
  <c r="B490" i="7958"/>
  <c r="M776" i="7958"/>
  <c r="B775" i="7958"/>
  <c r="B783" i="7958" s="1"/>
  <c r="B51" i="7958"/>
  <c r="N775" i="7958"/>
  <c r="E778" i="7958"/>
  <c r="L781" i="7958"/>
  <c r="F775" i="7958"/>
  <c r="F783" i="7958" s="1"/>
  <c r="N776" i="7958"/>
  <c r="Q778" i="7958"/>
  <c r="B621" i="7958"/>
  <c r="R781" i="7958"/>
  <c r="M712" i="7958"/>
  <c r="Q777" i="7958"/>
  <c r="M777" i="7958"/>
  <c r="O781" i="7958"/>
  <c r="T778" i="7958"/>
  <c r="J775" i="7958"/>
  <c r="J783" i="7958" s="1"/>
  <c r="D775" i="7958"/>
  <c r="D783" i="7958" s="1"/>
  <c r="S763" i="7958"/>
  <c r="Q466" i="7958"/>
  <c r="Q753" i="7958" s="1"/>
  <c r="M775" i="7958"/>
  <c r="P778" i="7958"/>
  <c r="L778" i="7958"/>
  <c r="Q776" i="7958"/>
  <c r="H781" i="7958"/>
  <c r="L712" i="7958"/>
  <c r="U581" i="7958"/>
  <c r="U754" i="7958" s="1"/>
  <c r="M581" i="7958"/>
  <c r="M754" i="7958" s="1"/>
  <c r="L777" i="7958"/>
  <c r="B389" i="7958"/>
  <c r="B397" i="7958" s="1"/>
  <c r="B217" i="7958"/>
  <c r="D225" i="7958" s="1"/>
  <c r="G775" i="7958"/>
  <c r="G783" i="7958" s="1"/>
  <c r="B733" i="7958"/>
  <c r="C730" i="7958" s="1"/>
  <c r="C732" i="7958" s="1"/>
  <c r="C733" i="7958" s="1"/>
  <c r="D730" i="7958" s="1"/>
  <c r="R777" i="7958"/>
  <c r="N581" i="7958"/>
  <c r="N754" i="7958" s="1"/>
  <c r="U466" i="7958"/>
  <c r="U753" i="7958" s="1"/>
  <c r="L776" i="7958"/>
  <c r="E775" i="7958"/>
  <c r="B593" i="7958"/>
  <c r="B594" i="7958" s="1"/>
  <c r="B597" i="7958" s="1"/>
  <c r="B693" i="7958" s="1"/>
  <c r="B702" i="7958" s="1"/>
  <c r="B535" i="7958"/>
  <c r="C543" i="7958" s="1"/>
  <c r="Q581" i="7958"/>
  <c r="Q754" i="7958" s="1"/>
  <c r="O776" i="7958"/>
  <c r="P775" i="7958"/>
  <c r="L775" i="7958"/>
  <c r="I783" i="7958"/>
  <c r="I365" i="7958"/>
  <c r="I752" i="7958" s="1"/>
  <c r="I757" i="7958" s="1"/>
  <c r="H776" i="7958"/>
  <c r="H775" i="7958"/>
  <c r="Q781" i="7958"/>
  <c r="B681" i="7958"/>
  <c r="B689" i="7958" s="1"/>
  <c r="B651" i="7958"/>
  <c r="B659" i="7958" s="1"/>
  <c r="O775" i="7958"/>
  <c r="B550" i="7958"/>
  <c r="V778" i="7958"/>
  <c r="R778" i="7958"/>
  <c r="N778" i="7958"/>
  <c r="B505" i="7958"/>
  <c r="W778" i="7958"/>
  <c r="S778" i="7958"/>
  <c r="O778" i="7958"/>
  <c r="P776" i="7958"/>
  <c r="R466" i="7958"/>
  <c r="R753" i="7958" s="1"/>
  <c r="B303" i="7958"/>
  <c r="B311" i="7958" s="1"/>
  <c r="B312" i="7958" s="1"/>
  <c r="C309" i="7958" s="1"/>
  <c r="K775" i="7958"/>
  <c r="K783" i="7958" s="1"/>
  <c r="E264" i="7958"/>
  <c r="E751" i="7958" s="1"/>
  <c r="B202" i="7958"/>
  <c r="B210" i="7958" s="1"/>
  <c r="B211" i="7958" s="1"/>
  <c r="C208" i="7958" s="1"/>
  <c r="B187" i="7958"/>
  <c r="B195" i="7958" s="1"/>
  <c r="B176" i="7958"/>
  <c r="B214" i="7958" s="1"/>
  <c r="B223" i="7958" s="1"/>
  <c r="E163" i="7958"/>
  <c r="E750" i="7958" s="1"/>
  <c r="E757" i="7958" s="1"/>
  <c r="E776" i="7958"/>
  <c r="R775" i="7958"/>
  <c r="B434" i="7958"/>
  <c r="B442" i="7958" s="1"/>
  <c r="M466" i="7958"/>
  <c r="M753" i="7958" s="1"/>
  <c r="B288" i="7958"/>
  <c r="B296" i="7958" s="1"/>
  <c r="B297" i="7958" s="1"/>
  <c r="C294" i="7958" s="1"/>
  <c r="B62" i="7958"/>
  <c r="V581" i="7958"/>
  <c r="V754" i="7958" s="1"/>
  <c r="H264" i="7958"/>
  <c r="H751" i="7958" s="1"/>
  <c r="B33" i="7958"/>
  <c r="B34" i="7958" s="1"/>
  <c r="C32" i="7958" s="1"/>
  <c r="M781" i="7958"/>
  <c r="B606" i="7958"/>
  <c r="B614" i="7958" s="1"/>
  <c r="B615" i="7958" s="1"/>
  <c r="C612" i="7958" s="1"/>
  <c r="C614" i="7958" s="1"/>
  <c r="R581" i="7958"/>
  <c r="R754" i="7958" s="1"/>
  <c r="V466" i="7958"/>
  <c r="V753" i="7958" s="1"/>
  <c r="N466" i="7958"/>
  <c r="N753" i="7958" s="1"/>
  <c r="B349" i="7958"/>
  <c r="B232" i="7958"/>
  <c r="B240" i="7958" s="1"/>
  <c r="B163" i="7958"/>
  <c r="B750" i="7958" s="1"/>
  <c r="B757" i="7958" s="1"/>
  <c r="B147" i="7958"/>
  <c r="C163" i="7958"/>
  <c r="C750" i="7958" s="1"/>
  <c r="C757" i="7958" s="1"/>
  <c r="B98" i="7958"/>
  <c r="B107" i="7958" s="1"/>
  <c r="C783" i="7958"/>
  <c r="B479" i="7958"/>
  <c r="B481" i="7958" s="1"/>
  <c r="B562" i="7958" s="1"/>
  <c r="B571" i="7958" s="1"/>
  <c r="B517" i="7958"/>
  <c r="B526" i="7958" s="1"/>
  <c r="B278" i="7958"/>
  <c r="B315" i="7958"/>
  <c r="B324" i="7958" s="1"/>
  <c r="B636" i="7958"/>
  <c r="L644" i="7958" s="1"/>
  <c r="Q543" i="7958"/>
  <c r="B404" i="7958"/>
  <c r="B412" i="7958" s="1"/>
  <c r="K365" i="7958"/>
  <c r="K752" i="7958" s="1"/>
  <c r="K757" i="7958" s="1"/>
  <c r="D163" i="7958"/>
  <c r="D750" i="7958" s="1"/>
  <c r="D757" i="7958" s="1"/>
  <c r="B18" i="7958"/>
  <c r="B22" i="7958" s="1"/>
  <c r="L365" i="7958"/>
  <c r="L752" i="7958" s="1"/>
  <c r="H365" i="7958"/>
  <c r="H752" i="7958" s="1"/>
  <c r="W543" i="7958"/>
  <c r="B502" i="7958"/>
  <c r="B511" i="7958" s="1"/>
  <c r="L466" i="7958"/>
  <c r="L753" i="7958" s="1"/>
  <c r="B333" i="7958"/>
  <c r="B341" i="7958" s="1"/>
  <c r="B40" i="7958"/>
  <c r="B44" i="7958" s="1"/>
  <c r="C44" i="7958" s="1"/>
  <c r="F264" i="7958"/>
  <c r="F751" i="7958" s="1"/>
  <c r="F757" i="7958" s="1"/>
  <c r="B131" i="7958"/>
  <c r="B139" i="7958" s="1"/>
  <c r="B116" i="7958"/>
  <c r="C124" i="7958" s="1"/>
  <c r="B101" i="7958"/>
  <c r="T763" i="7958"/>
  <c r="U737" i="7958"/>
  <c r="Q775" i="7958"/>
  <c r="Q712" i="7958"/>
  <c r="R712" i="7958"/>
  <c r="B675" i="7958"/>
  <c r="C672" i="7958" s="1"/>
  <c r="B629" i="7958"/>
  <c r="B630" i="7958" s="1"/>
  <c r="T581" i="7958"/>
  <c r="T754" i="7958" s="1"/>
  <c r="P581" i="7958"/>
  <c r="P754" i="7958" s="1"/>
  <c r="L581" i="7958"/>
  <c r="L754" i="7958" s="1"/>
  <c r="T466" i="7958"/>
  <c r="T753" i="7958" s="1"/>
  <c r="P466" i="7958"/>
  <c r="P753" i="7958" s="1"/>
  <c r="W581" i="7958"/>
  <c r="W754" i="7958" s="1"/>
  <c r="S581" i="7958"/>
  <c r="S754" i="7958" s="1"/>
  <c r="O581" i="7958"/>
  <c r="O754" i="7958" s="1"/>
  <c r="B558" i="7958"/>
  <c r="B528" i="7958"/>
  <c r="B513" i="7958"/>
  <c r="B498" i="7958"/>
  <c r="W466" i="7958"/>
  <c r="W753" i="7958" s="1"/>
  <c r="S466" i="7958"/>
  <c r="S753" i="7958" s="1"/>
  <c r="O466" i="7958"/>
  <c r="O753" i="7958" s="1"/>
  <c r="B378" i="7958"/>
  <c r="B401" i="7958"/>
  <c r="B410" i="7958" s="1"/>
  <c r="B419" i="7958"/>
  <c r="V427" i="7958" s="1"/>
  <c r="J365" i="7958"/>
  <c r="J752" i="7958" s="1"/>
  <c r="J757" i="7958" s="1"/>
  <c r="B318" i="7958"/>
  <c r="K326" i="7958" s="1"/>
  <c r="G264" i="7958"/>
  <c r="G751" i="7958" s="1"/>
  <c r="G757" i="7958" s="1"/>
  <c r="H225" i="7958"/>
  <c r="O225" i="7958"/>
  <c r="B76" i="7958"/>
  <c r="B86" i="7958"/>
  <c r="B55" i="7958"/>
  <c r="Q124" i="7958" l="1"/>
  <c r="V659" i="7958"/>
  <c r="B124" i="7958"/>
  <c r="W659" i="7958"/>
  <c r="U659" i="7958"/>
  <c r="E783" i="7958"/>
  <c r="M783" i="7958"/>
  <c r="I225" i="7958"/>
  <c r="R225" i="7958"/>
  <c r="K124" i="7958"/>
  <c r="N783" i="7958"/>
  <c r="B109" i="7958"/>
  <c r="B110" i="7958" s="1"/>
  <c r="C107" i="7958" s="1"/>
  <c r="C109" i="7958" s="1"/>
  <c r="C110" i="7958" s="1"/>
  <c r="D107" i="7958" s="1"/>
  <c r="B177" i="7958"/>
  <c r="F644" i="7958"/>
  <c r="U543" i="7958"/>
  <c r="O783" i="7958"/>
  <c r="O644" i="7958"/>
  <c r="Q783" i="7958"/>
  <c r="N543" i="7958"/>
  <c r="L543" i="7958"/>
  <c r="H543" i="7958"/>
  <c r="U225" i="7958"/>
  <c r="B45" i="7958"/>
  <c r="C43" i="7958" s="1"/>
  <c r="M225" i="7958"/>
  <c r="S225" i="7958"/>
  <c r="V225" i="7958"/>
  <c r="B225" i="7958"/>
  <c r="T225" i="7958"/>
  <c r="G225" i="7958"/>
  <c r="L783" i="7958"/>
  <c r="Q757" i="7958"/>
  <c r="E225" i="7958"/>
  <c r="N225" i="7958"/>
  <c r="L225" i="7958"/>
  <c r="P225" i="7958"/>
  <c r="B648" i="7958"/>
  <c r="B657" i="7958" s="1"/>
  <c r="B660" i="7958" s="1"/>
  <c r="C657" i="7958" s="1"/>
  <c r="C659" i="7958" s="1"/>
  <c r="C660" i="7958" s="1"/>
  <c r="D657" i="7958" s="1"/>
  <c r="K225" i="7958"/>
  <c r="Q225" i="7958"/>
  <c r="W225" i="7958"/>
  <c r="C225" i="7958"/>
  <c r="J225" i="7958"/>
  <c r="B514" i="7958"/>
  <c r="C511" i="7958" s="1"/>
  <c r="C513" i="7958" s="1"/>
  <c r="C514" i="7958" s="1"/>
  <c r="D511" i="7958" s="1"/>
  <c r="N757" i="7958"/>
  <c r="F225" i="7958"/>
  <c r="K543" i="7958"/>
  <c r="F543" i="7958"/>
  <c r="V543" i="7958"/>
  <c r="O543" i="7958"/>
  <c r="T543" i="7958"/>
  <c r="R757" i="7958"/>
  <c r="J543" i="7958"/>
  <c r="E543" i="7958"/>
  <c r="S543" i="7958"/>
  <c r="D543" i="7958"/>
  <c r="M757" i="7958"/>
  <c r="I543" i="7958"/>
  <c r="G543" i="7958"/>
  <c r="B543" i="7958"/>
  <c r="M543" i="7958"/>
  <c r="R543" i="7958"/>
  <c r="P543" i="7958"/>
  <c r="R783" i="7958"/>
  <c r="H783" i="7958"/>
  <c r="P783" i="7958"/>
  <c r="G124" i="7958"/>
  <c r="B633" i="7958"/>
  <c r="B642" i="7958" s="1"/>
  <c r="B596" i="7958"/>
  <c r="B678" i="7958" s="1"/>
  <c r="B687" i="7958" s="1"/>
  <c r="B690" i="7958" s="1"/>
  <c r="C687" i="7958" s="1"/>
  <c r="C689" i="7958" s="1"/>
  <c r="C690" i="7958" s="1"/>
  <c r="D687" i="7958" s="1"/>
  <c r="R124" i="7958"/>
  <c r="M124" i="7958"/>
  <c r="D124" i="7958"/>
  <c r="N124" i="7958"/>
  <c r="H644" i="7958"/>
  <c r="T124" i="7958"/>
  <c r="H124" i="7958"/>
  <c r="H757" i="7958"/>
  <c r="U124" i="7958"/>
  <c r="P124" i="7958"/>
  <c r="S124" i="7958"/>
  <c r="J124" i="7958"/>
  <c r="L326" i="7958"/>
  <c r="B792" i="7958"/>
  <c r="E124" i="7958"/>
  <c r="L124" i="7958"/>
  <c r="O124" i="7958"/>
  <c r="V124" i="7958"/>
  <c r="F124" i="7958"/>
  <c r="O757" i="7958"/>
  <c r="G644" i="7958"/>
  <c r="E644" i="7958"/>
  <c r="M644" i="7958"/>
  <c r="J644" i="7958"/>
  <c r="R644" i="7958"/>
  <c r="P644" i="7958"/>
  <c r="I644" i="7958"/>
  <c r="C644" i="7958"/>
  <c r="B644" i="7958"/>
  <c r="B788" i="7958" s="1"/>
  <c r="Q644" i="7958"/>
  <c r="L757" i="7958"/>
  <c r="K644" i="7958"/>
  <c r="D644" i="7958"/>
  <c r="N644" i="7958"/>
  <c r="B787" i="7958"/>
  <c r="B480" i="7958"/>
  <c r="B547" i="7958" s="1"/>
  <c r="B556" i="7958" s="1"/>
  <c r="B559" i="7958" s="1"/>
  <c r="C556" i="7958" s="1"/>
  <c r="B532" i="7958"/>
  <c r="B541" i="7958" s="1"/>
  <c r="B544" i="7958" s="1"/>
  <c r="C541" i="7958" s="1"/>
  <c r="C544" i="7958" s="1"/>
  <c r="D541" i="7958" s="1"/>
  <c r="D544" i="7958" s="1"/>
  <c r="E541" i="7958" s="1"/>
  <c r="I124" i="7958"/>
  <c r="W124" i="7958"/>
  <c r="B279" i="7958"/>
  <c r="B330" i="7958"/>
  <c r="B339" i="7958" s="1"/>
  <c r="C311" i="7958"/>
  <c r="C312" i="7958" s="1"/>
  <c r="D309" i="7958" s="1"/>
  <c r="C210" i="7958"/>
  <c r="C211" i="7958" s="1"/>
  <c r="D208" i="7958" s="1"/>
  <c r="D326" i="7958"/>
  <c r="P326" i="7958"/>
  <c r="T326" i="7958"/>
  <c r="E326" i="7958"/>
  <c r="M326" i="7958"/>
  <c r="Q326" i="7958"/>
  <c r="U326" i="7958"/>
  <c r="C326" i="7958"/>
  <c r="G326" i="7958"/>
  <c r="O326" i="7958"/>
  <c r="S326" i="7958"/>
  <c r="W326" i="7958"/>
  <c r="F326" i="7958"/>
  <c r="V326" i="7958"/>
  <c r="J326" i="7958"/>
  <c r="N326" i="7958"/>
  <c r="B326" i="7958"/>
  <c r="B327" i="7958" s="1"/>
  <c r="C324" i="7958" s="1"/>
  <c r="R326" i="7958"/>
  <c r="H326" i="7958"/>
  <c r="U427" i="7958"/>
  <c r="B413" i="7958"/>
  <c r="C410" i="7958" s="1"/>
  <c r="B765" i="7958"/>
  <c r="B529" i="7958"/>
  <c r="C526" i="7958" s="1"/>
  <c r="B704" i="7958"/>
  <c r="B705" i="7958" s="1"/>
  <c r="C627" i="7958"/>
  <c r="C674" i="7958"/>
  <c r="C675" i="7958" s="1"/>
  <c r="D672" i="7958" s="1"/>
  <c r="B226" i="7958"/>
  <c r="C223" i="7958" s="1"/>
  <c r="B398" i="7958"/>
  <c r="C395" i="7958" s="1"/>
  <c r="D427" i="7958"/>
  <c r="H427" i="7958"/>
  <c r="L427" i="7958"/>
  <c r="P427" i="7958"/>
  <c r="T427" i="7958"/>
  <c r="E427" i="7958"/>
  <c r="I427" i="7958"/>
  <c r="B427" i="7958"/>
  <c r="F427" i="7958"/>
  <c r="J427" i="7958"/>
  <c r="C427" i="7958"/>
  <c r="S427" i="7958"/>
  <c r="G427" i="7958"/>
  <c r="W427" i="7958"/>
  <c r="O427" i="7958"/>
  <c r="K427" i="7958"/>
  <c r="B573" i="7958"/>
  <c r="B574" i="7958" s="1"/>
  <c r="C571" i="7958" s="1"/>
  <c r="C615" i="7958"/>
  <c r="V737" i="7958"/>
  <c r="U763" i="7958"/>
  <c r="C45" i="7958"/>
  <c r="D43" i="7958" s="1"/>
  <c r="B77" i="7958"/>
  <c r="B128" i="7958"/>
  <c r="B137" i="7958" s="1"/>
  <c r="B178" i="7958"/>
  <c r="B245" i="7958" s="1"/>
  <c r="B254" i="7958" s="1"/>
  <c r="B229" i="7958"/>
  <c r="B238" i="7958" s="1"/>
  <c r="B241" i="7958" s="1"/>
  <c r="C238" i="7958" s="1"/>
  <c r="B196" i="7958"/>
  <c r="C193" i="7958" s="1"/>
  <c r="M427" i="7958"/>
  <c r="I326" i="7958"/>
  <c r="N427" i="7958"/>
  <c r="B379" i="7958"/>
  <c r="B416" i="7958"/>
  <c r="B425" i="7958" s="1"/>
  <c r="B499" i="7958"/>
  <c r="P757" i="7958"/>
  <c r="C33" i="7958"/>
  <c r="C34" i="7958" s="1"/>
  <c r="D32" i="7958" s="1"/>
  <c r="B56" i="7958"/>
  <c r="C54" i="7958" s="1"/>
  <c r="B63" i="7958"/>
  <c r="B23" i="7958"/>
  <c r="C21" i="7958" s="1"/>
  <c r="B94" i="7958"/>
  <c r="B125" i="7958"/>
  <c r="C122" i="7958" s="1"/>
  <c r="C125" i="7958" s="1"/>
  <c r="D122" i="7958" s="1"/>
  <c r="C296" i="7958"/>
  <c r="Q427" i="7958"/>
  <c r="R427" i="7958"/>
  <c r="B598" i="7958"/>
  <c r="D732" i="7958"/>
  <c r="D733" i="7958" s="1"/>
  <c r="E730" i="7958" s="1"/>
  <c r="B789" i="7958" l="1"/>
  <c r="C765" i="7958"/>
  <c r="C226" i="7958"/>
  <c r="D223" i="7958" s="1"/>
  <c r="D226" i="7958" s="1"/>
  <c r="E223" i="7958" s="1"/>
  <c r="E226" i="7958" s="1"/>
  <c r="F223" i="7958" s="1"/>
  <c r="F226" i="7958" s="1"/>
  <c r="G223" i="7958" s="1"/>
  <c r="G226" i="7958" s="1"/>
  <c r="H223" i="7958" s="1"/>
  <c r="H226" i="7958" s="1"/>
  <c r="I223" i="7958" s="1"/>
  <c r="I226" i="7958" s="1"/>
  <c r="J223" i="7958" s="1"/>
  <c r="J226" i="7958" s="1"/>
  <c r="K223" i="7958" s="1"/>
  <c r="K226" i="7958" s="1"/>
  <c r="L223" i="7958" s="1"/>
  <c r="L226" i="7958" s="1"/>
  <c r="M223" i="7958" s="1"/>
  <c r="M226" i="7958" s="1"/>
  <c r="N223" i="7958" s="1"/>
  <c r="N226" i="7958" s="1"/>
  <c r="O223" i="7958" s="1"/>
  <c r="O226" i="7958" s="1"/>
  <c r="P223" i="7958" s="1"/>
  <c r="P226" i="7958" s="1"/>
  <c r="Q223" i="7958" s="1"/>
  <c r="Q226" i="7958" s="1"/>
  <c r="R223" i="7958" s="1"/>
  <c r="R226" i="7958" s="1"/>
  <c r="S223" i="7958" s="1"/>
  <c r="S226" i="7958" s="1"/>
  <c r="T223" i="7958" s="1"/>
  <c r="T226" i="7958" s="1"/>
  <c r="U223" i="7958" s="1"/>
  <c r="U226" i="7958" s="1"/>
  <c r="V223" i="7958" s="1"/>
  <c r="V226" i="7958" s="1"/>
  <c r="W223" i="7958" s="1"/>
  <c r="W226" i="7958" s="1"/>
  <c r="B711" i="7958"/>
  <c r="E544" i="7958"/>
  <c r="F541" i="7958" s="1"/>
  <c r="F544" i="7958" s="1"/>
  <c r="G541" i="7958" s="1"/>
  <c r="G544" i="7958" s="1"/>
  <c r="H541" i="7958" s="1"/>
  <c r="H544" i="7958" s="1"/>
  <c r="I541" i="7958" s="1"/>
  <c r="I544" i="7958" s="1"/>
  <c r="J541" i="7958" s="1"/>
  <c r="J544" i="7958" s="1"/>
  <c r="K541" i="7958" s="1"/>
  <c r="K544" i="7958" s="1"/>
  <c r="L541" i="7958" s="1"/>
  <c r="L544" i="7958" s="1"/>
  <c r="M541" i="7958" s="1"/>
  <c r="M544" i="7958" s="1"/>
  <c r="N541" i="7958" s="1"/>
  <c r="N544" i="7958" s="1"/>
  <c r="O541" i="7958" s="1"/>
  <c r="O544" i="7958" s="1"/>
  <c r="P541" i="7958" s="1"/>
  <c r="P544" i="7958" s="1"/>
  <c r="Q541" i="7958" s="1"/>
  <c r="Q544" i="7958" s="1"/>
  <c r="R541" i="7958" s="1"/>
  <c r="R544" i="7958" s="1"/>
  <c r="S541" i="7958" s="1"/>
  <c r="S544" i="7958" s="1"/>
  <c r="T541" i="7958" s="1"/>
  <c r="T544" i="7958" s="1"/>
  <c r="U541" i="7958" s="1"/>
  <c r="U544" i="7958" s="1"/>
  <c r="V541" i="7958" s="1"/>
  <c r="V544" i="7958" s="1"/>
  <c r="W541" i="7958" s="1"/>
  <c r="W544" i="7958" s="1"/>
  <c r="B428" i="7958"/>
  <c r="C425" i="7958" s="1"/>
  <c r="C428" i="7958" s="1"/>
  <c r="D425" i="7958" s="1"/>
  <c r="D428" i="7958" s="1"/>
  <c r="E425" i="7958" s="1"/>
  <c r="B645" i="7958"/>
  <c r="C642" i="7958" s="1"/>
  <c r="C766" i="7958" s="1"/>
  <c r="D125" i="7958"/>
  <c r="E122" i="7958" s="1"/>
  <c r="E125" i="7958" s="1"/>
  <c r="F122" i="7958" s="1"/>
  <c r="F125" i="7958" s="1"/>
  <c r="G122" i="7958" s="1"/>
  <c r="G125" i="7958" s="1"/>
  <c r="H122" i="7958" s="1"/>
  <c r="H125" i="7958" s="1"/>
  <c r="I122" i="7958" s="1"/>
  <c r="I125" i="7958" s="1"/>
  <c r="J122" i="7958" s="1"/>
  <c r="J125" i="7958" s="1"/>
  <c r="K122" i="7958" s="1"/>
  <c r="K125" i="7958" s="1"/>
  <c r="L122" i="7958" s="1"/>
  <c r="L125" i="7958" s="1"/>
  <c r="M122" i="7958" s="1"/>
  <c r="M125" i="7958" s="1"/>
  <c r="N122" i="7958" s="1"/>
  <c r="N125" i="7958" s="1"/>
  <c r="O122" i="7958" s="1"/>
  <c r="O125" i="7958" s="1"/>
  <c r="P122" i="7958" s="1"/>
  <c r="P125" i="7958" s="1"/>
  <c r="Q122" i="7958" s="1"/>
  <c r="Q125" i="7958" s="1"/>
  <c r="R122" i="7958" s="1"/>
  <c r="R125" i="7958" s="1"/>
  <c r="S122" i="7958" s="1"/>
  <c r="S125" i="7958" s="1"/>
  <c r="T122" i="7958" s="1"/>
  <c r="T125" i="7958" s="1"/>
  <c r="U122" i="7958" s="1"/>
  <c r="U125" i="7958" s="1"/>
  <c r="V122" i="7958" s="1"/>
  <c r="V125" i="7958" s="1"/>
  <c r="W122" i="7958" s="1"/>
  <c r="W125" i="7958" s="1"/>
  <c r="B766" i="7958"/>
  <c r="B799" i="7958" s="1"/>
  <c r="B713" i="7958"/>
  <c r="B582" i="7958"/>
  <c r="B743" i="7958" s="1"/>
  <c r="B580" i="7958"/>
  <c r="B482" i="7958"/>
  <c r="B798" i="7958"/>
  <c r="C558" i="7958"/>
  <c r="C559" i="7958" s="1"/>
  <c r="D556" i="7958" s="1"/>
  <c r="D558" i="7958" s="1"/>
  <c r="D559" i="7958" s="1"/>
  <c r="E556" i="7958" s="1"/>
  <c r="E428" i="7958"/>
  <c r="F425" i="7958" s="1"/>
  <c r="F428" i="7958" s="1"/>
  <c r="G425" i="7958" s="1"/>
  <c r="G428" i="7958" s="1"/>
  <c r="H425" i="7958" s="1"/>
  <c r="H428" i="7958" s="1"/>
  <c r="I425" i="7958" s="1"/>
  <c r="I428" i="7958" s="1"/>
  <c r="J425" i="7958" s="1"/>
  <c r="J428" i="7958" s="1"/>
  <c r="K425" i="7958" s="1"/>
  <c r="K428" i="7958" s="1"/>
  <c r="L425" i="7958" s="1"/>
  <c r="L428" i="7958" s="1"/>
  <c r="M425" i="7958" s="1"/>
  <c r="M428" i="7958" s="1"/>
  <c r="N425" i="7958" s="1"/>
  <c r="N428" i="7958" s="1"/>
  <c r="O425" i="7958" s="1"/>
  <c r="O428" i="7958" s="1"/>
  <c r="P425" i="7958" s="1"/>
  <c r="P428" i="7958" s="1"/>
  <c r="Q425" i="7958" s="1"/>
  <c r="Q428" i="7958" s="1"/>
  <c r="R425" i="7958" s="1"/>
  <c r="R428" i="7958" s="1"/>
  <c r="S425" i="7958" s="1"/>
  <c r="S428" i="7958" s="1"/>
  <c r="T425" i="7958" s="1"/>
  <c r="T428" i="7958" s="1"/>
  <c r="U425" i="7958" s="1"/>
  <c r="U428" i="7958" s="1"/>
  <c r="V425" i="7958" s="1"/>
  <c r="V428" i="7958" s="1"/>
  <c r="W425" i="7958" s="1"/>
  <c r="W428" i="7958" s="1"/>
  <c r="B346" i="7958"/>
  <c r="B355" i="7958" s="1"/>
  <c r="B357" i="7958" s="1"/>
  <c r="B280" i="7958"/>
  <c r="C327" i="7958"/>
  <c r="D324" i="7958" s="1"/>
  <c r="D327" i="7958" s="1"/>
  <c r="E324" i="7958" s="1"/>
  <c r="E327" i="7958" s="1"/>
  <c r="F324" i="7958" s="1"/>
  <c r="F327" i="7958" s="1"/>
  <c r="G324" i="7958" s="1"/>
  <c r="G327" i="7958" s="1"/>
  <c r="H324" i="7958" s="1"/>
  <c r="H327" i="7958" s="1"/>
  <c r="I324" i="7958" s="1"/>
  <c r="I327" i="7958" s="1"/>
  <c r="J324" i="7958" s="1"/>
  <c r="J327" i="7958" s="1"/>
  <c r="K324" i="7958" s="1"/>
  <c r="K327" i="7958" s="1"/>
  <c r="L324" i="7958" s="1"/>
  <c r="L327" i="7958" s="1"/>
  <c r="M324" i="7958" s="1"/>
  <c r="M327" i="7958" s="1"/>
  <c r="N324" i="7958" s="1"/>
  <c r="N327" i="7958" s="1"/>
  <c r="O324" i="7958" s="1"/>
  <c r="O327" i="7958" s="1"/>
  <c r="P324" i="7958" s="1"/>
  <c r="P327" i="7958" s="1"/>
  <c r="Q324" i="7958" s="1"/>
  <c r="Q327" i="7958" s="1"/>
  <c r="R324" i="7958" s="1"/>
  <c r="R327" i="7958" s="1"/>
  <c r="S324" i="7958" s="1"/>
  <c r="S327" i="7958" s="1"/>
  <c r="T324" i="7958" s="1"/>
  <c r="T327" i="7958" s="1"/>
  <c r="U324" i="7958" s="1"/>
  <c r="U327" i="7958" s="1"/>
  <c r="V324" i="7958" s="1"/>
  <c r="V327" i="7958" s="1"/>
  <c r="W324" i="7958" s="1"/>
  <c r="W327" i="7958" s="1"/>
  <c r="B342" i="7958"/>
  <c r="C339" i="7958" s="1"/>
  <c r="E732" i="7958"/>
  <c r="E733" i="7958" s="1"/>
  <c r="F730" i="7958" s="1"/>
  <c r="D33" i="7958"/>
  <c r="C702" i="7958"/>
  <c r="C711" i="7958" s="1"/>
  <c r="D659" i="7958"/>
  <c r="D660" i="7958" s="1"/>
  <c r="E657" i="7958" s="1"/>
  <c r="D109" i="7958"/>
  <c r="D110" i="7958" s="1"/>
  <c r="E107" i="7958" s="1"/>
  <c r="D674" i="7958"/>
  <c r="D675" i="7958" s="1"/>
  <c r="E672" i="7958" s="1"/>
  <c r="D311" i="7958"/>
  <c r="D312" i="7958" s="1"/>
  <c r="E309" i="7958" s="1"/>
  <c r="B738" i="7958"/>
  <c r="B64" i="7958"/>
  <c r="C62" i="7958" s="1"/>
  <c r="B380" i="7958"/>
  <c r="B447" i="7958" s="1"/>
  <c r="B456" i="7958" s="1"/>
  <c r="B431" i="7958"/>
  <c r="B440" i="7958" s="1"/>
  <c r="B443" i="7958" s="1"/>
  <c r="C440" i="7958" s="1"/>
  <c r="C240" i="7958"/>
  <c r="C241" i="7958" s="1"/>
  <c r="D238" i="7958" s="1"/>
  <c r="B144" i="7958"/>
  <c r="B153" i="7958" s="1"/>
  <c r="B162" i="7958" s="1"/>
  <c r="B78" i="7958"/>
  <c r="W737" i="7958"/>
  <c r="V763" i="7958"/>
  <c r="B767" i="7958"/>
  <c r="B800" i="7958" s="1"/>
  <c r="C629" i="7958"/>
  <c r="C412" i="7958"/>
  <c r="C413" i="7958" s="1"/>
  <c r="D410" i="7958" s="1"/>
  <c r="D689" i="7958"/>
  <c r="D690" i="7958" s="1"/>
  <c r="E687" i="7958" s="1"/>
  <c r="B256" i="7958"/>
  <c r="B265" i="7958" s="1"/>
  <c r="B740" i="7958" s="1"/>
  <c r="D513" i="7958"/>
  <c r="D514" i="7958" s="1"/>
  <c r="E511" i="7958" s="1"/>
  <c r="C397" i="7958"/>
  <c r="C398" i="7958" s="1"/>
  <c r="D395" i="7958" s="1"/>
  <c r="C528" i="7958"/>
  <c r="C788" i="7958" s="1"/>
  <c r="B263" i="7958"/>
  <c r="D210" i="7958"/>
  <c r="D211" i="7958" s="1"/>
  <c r="E208" i="7958" s="1"/>
  <c r="C55" i="7958"/>
  <c r="C56" i="7958" s="1"/>
  <c r="D54" i="7958" s="1"/>
  <c r="C496" i="7958"/>
  <c r="B583" i="7958"/>
  <c r="B179" i="7958"/>
  <c r="C22" i="7958"/>
  <c r="C23" i="7958" s="1"/>
  <c r="D21" i="7958" s="1"/>
  <c r="C297" i="7958"/>
  <c r="D294" i="7958" s="1"/>
  <c r="C789" i="7958"/>
  <c r="D44" i="7958"/>
  <c r="D612" i="7958"/>
  <c r="C573" i="7958"/>
  <c r="C574" i="7958" s="1"/>
  <c r="D571" i="7958" s="1"/>
  <c r="B95" i="7958"/>
  <c r="C92" i="7958" s="1"/>
  <c r="C195" i="7958"/>
  <c r="B140" i="7958"/>
  <c r="C137" i="7958" s="1"/>
  <c r="U613" i="7958"/>
  <c r="B770" i="7958" l="1"/>
  <c r="B803" i="7958" s="1"/>
  <c r="B465" i="7958"/>
  <c r="B714" i="7958"/>
  <c r="C645" i="7958"/>
  <c r="D642" i="7958" s="1"/>
  <c r="D645" i="7958" s="1"/>
  <c r="E642" i="7958" s="1"/>
  <c r="E645" i="7958" s="1"/>
  <c r="F642" i="7958" s="1"/>
  <c r="F645" i="7958" s="1"/>
  <c r="G642" i="7958" s="1"/>
  <c r="G645" i="7958" s="1"/>
  <c r="H642" i="7958" s="1"/>
  <c r="H645" i="7958" s="1"/>
  <c r="I642" i="7958" s="1"/>
  <c r="I645" i="7958" s="1"/>
  <c r="J642" i="7958" s="1"/>
  <c r="J645" i="7958" s="1"/>
  <c r="K642" i="7958" s="1"/>
  <c r="K645" i="7958" s="1"/>
  <c r="L642" i="7958" s="1"/>
  <c r="L645" i="7958" s="1"/>
  <c r="M642" i="7958" s="1"/>
  <c r="M645" i="7958" s="1"/>
  <c r="N642" i="7958" s="1"/>
  <c r="N645" i="7958" s="1"/>
  <c r="O642" i="7958" s="1"/>
  <c r="O645" i="7958" s="1"/>
  <c r="P642" i="7958" s="1"/>
  <c r="P645" i="7958" s="1"/>
  <c r="Q642" i="7958" s="1"/>
  <c r="Q645" i="7958" s="1"/>
  <c r="R642" i="7958" s="1"/>
  <c r="R645" i="7958" s="1"/>
  <c r="S642" i="7958" s="1"/>
  <c r="D767" i="7958"/>
  <c r="C767" i="7958"/>
  <c r="C770" i="7958"/>
  <c r="C800" i="7958"/>
  <c r="B364" i="7958"/>
  <c r="U628" i="7958"/>
  <c r="U688" i="7958"/>
  <c r="U775" i="7958"/>
  <c r="C341" i="7958"/>
  <c r="B358" i="7958"/>
  <c r="C355" i="7958" s="1"/>
  <c r="C357" i="7958" s="1"/>
  <c r="C358" i="7958" s="1"/>
  <c r="D355" i="7958" s="1"/>
  <c r="D357" i="7958" s="1"/>
  <c r="D358" i="7958" s="1"/>
  <c r="E355" i="7958" s="1"/>
  <c r="E357" i="7958" s="1"/>
  <c r="E358" i="7958" s="1"/>
  <c r="F355" i="7958" s="1"/>
  <c r="B366" i="7958"/>
  <c r="B741" i="7958" s="1"/>
  <c r="B381" i="7958"/>
  <c r="E513" i="7958"/>
  <c r="E514" i="7958" s="1"/>
  <c r="F511" i="7958" s="1"/>
  <c r="D412" i="7958"/>
  <c r="D413" i="7958" s="1"/>
  <c r="E410" i="7958" s="1"/>
  <c r="E558" i="7958"/>
  <c r="E559" i="7958" s="1"/>
  <c r="F556" i="7958" s="1"/>
  <c r="E689" i="7958"/>
  <c r="E690" i="7958" s="1"/>
  <c r="F687" i="7958" s="1"/>
  <c r="E109" i="7958"/>
  <c r="E110" i="7958" s="1"/>
  <c r="F107" i="7958" s="1"/>
  <c r="E210" i="7958"/>
  <c r="E211" i="7958" s="1"/>
  <c r="F208" i="7958" s="1"/>
  <c r="D573" i="7958"/>
  <c r="D574" i="7958" s="1"/>
  <c r="E571" i="7958" s="1"/>
  <c r="B266" i="7958"/>
  <c r="B458" i="7958"/>
  <c r="B467" i="7958" s="1"/>
  <c r="B742" i="7958" s="1"/>
  <c r="E311" i="7958"/>
  <c r="E312" i="7958" s="1"/>
  <c r="F309" i="7958" s="1"/>
  <c r="E674" i="7958"/>
  <c r="E675" i="7958" s="1"/>
  <c r="F672" i="7958" s="1"/>
  <c r="E659" i="7958"/>
  <c r="E660" i="7958" s="1"/>
  <c r="F657" i="7958" s="1"/>
  <c r="C704" i="7958"/>
  <c r="C705" i="7958" s="1"/>
  <c r="D702" i="7958" s="1"/>
  <c r="W763" i="7958"/>
  <c r="D240" i="7958"/>
  <c r="D241" i="7958" s="1"/>
  <c r="E238" i="7958" s="1"/>
  <c r="F732" i="7958"/>
  <c r="F733" i="7958" s="1"/>
  <c r="G730" i="7958" s="1"/>
  <c r="D789" i="7958"/>
  <c r="D22" i="7958"/>
  <c r="D23" i="7958" s="1"/>
  <c r="E21" i="7958" s="1"/>
  <c r="C94" i="7958"/>
  <c r="D614" i="7958"/>
  <c r="D615" i="7958" s="1"/>
  <c r="C787" i="7958"/>
  <c r="C798" i="7958" s="1"/>
  <c r="C580" i="7958"/>
  <c r="C498" i="7958"/>
  <c r="C582" i="7958" s="1"/>
  <c r="C743" i="7958" s="1"/>
  <c r="C799" i="7958"/>
  <c r="B257" i="7958"/>
  <c r="C254" i="7958" s="1"/>
  <c r="C630" i="7958"/>
  <c r="D296" i="7958"/>
  <c r="D55" i="7958"/>
  <c r="D397" i="7958"/>
  <c r="C139" i="7958"/>
  <c r="C140" i="7958" s="1"/>
  <c r="D137" i="7958" s="1"/>
  <c r="C196" i="7958"/>
  <c r="D193" i="7958" s="1"/>
  <c r="D45" i="7958"/>
  <c r="E43" i="7958" s="1"/>
  <c r="C63" i="7958"/>
  <c r="C738" i="7958" s="1"/>
  <c r="C529" i="7958"/>
  <c r="D526" i="7958" s="1"/>
  <c r="B764" i="7958"/>
  <c r="B155" i="7958"/>
  <c r="B156" i="7958" s="1"/>
  <c r="C153" i="7958" s="1"/>
  <c r="C442" i="7958"/>
  <c r="C443" i="7958" s="1"/>
  <c r="D440" i="7958" s="1"/>
  <c r="D34" i="7958"/>
  <c r="E32" i="7958" s="1"/>
  <c r="D800" i="7958" l="1"/>
  <c r="B367" i="7958"/>
  <c r="U781" i="7958"/>
  <c r="U643" i="7958"/>
  <c r="U776" i="7958"/>
  <c r="C342" i="7958"/>
  <c r="D339" i="7958" s="1"/>
  <c r="D770" i="7958" s="1"/>
  <c r="C366" i="7958"/>
  <c r="C741" i="7958" s="1"/>
  <c r="D297" i="7958"/>
  <c r="E294" i="7958" s="1"/>
  <c r="E296" i="7958" s="1"/>
  <c r="C364" i="7958"/>
  <c r="E612" i="7958"/>
  <c r="D704" i="7958"/>
  <c r="D705" i="7958" s="1"/>
  <c r="E702" i="7958" s="1"/>
  <c r="F109" i="7958"/>
  <c r="F110" i="7958" s="1"/>
  <c r="G107" i="7958" s="1"/>
  <c r="E412" i="7958"/>
  <c r="E413" i="7958" s="1"/>
  <c r="F410" i="7958" s="1"/>
  <c r="F558" i="7958"/>
  <c r="F559" i="7958" s="1"/>
  <c r="G556" i="7958" s="1"/>
  <c r="F357" i="7958"/>
  <c r="F358" i="7958" s="1"/>
  <c r="G355" i="7958" s="1"/>
  <c r="C155" i="7958"/>
  <c r="C156" i="7958" s="1"/>
  <c r="D153" i="7958" s="1"/>
  <c r="D139" i="7958"/>
  <c r="D140" i="7958" s="1"/>
  <c r="E137" i="7958" s="1"/>
  <c r="D63" i="7958"/>
  <c r="D738" i="7958" s="1"/>
  <c r="B468" i="7958"/>
  <c r="C713" i="7958"/>
  <c r="F659" i="7958"/>
  <c r="F660" i="7958" s="1"/>
  <c r="G657" i="7958" s="1"/>
  <c r="F311" i="7958"/>
  <c r="F312" i="7958" s="1"/>
  <c r="G309" i="7958" s="1"/>
  <c r="E573" i="7958"/>
  <c r="E574" i="7958" s="1"/>
  <c r="F571" i="7958" s="1"/>
  <c r="F513" i="7958"/>
  <c r="F514" i="7958" s="1"/>
  <c r="G511" i="7958" s="1"/>
  <c r="D528" i="7958"/>
  <c r="D788" i="7958" s="1"/>
  <c r="D766" i="7958"/>
  <c r="G732" i="7958"/>
  <c r="G733" i="7958" s="1"/>
  <c r="H730" i="7958" s="1"/>
  <c r="E240" i="7958"/>
  <c r="E241" i="7958" s="1"/>
  <c r="F238" i="7958" s="1"/>
  <c r="F674" i="7958"/>
  <c r="F675" i="7958" s="1"/>
  <c r="G672" i="7958" s="1"/>
  <c r="F210" i="7958"/>
  <c r="F211" i="7958" s="1"/>
  <c r="G208" i="7958" s="1"/>
  <c r="F689" i="7958"/>
  <c r="F690" i="7958" s="1"/>
  <c r="G687" i="7958" s="1"/>
  <c r="D442" i="7958"/>
  <c r="D443" i="7958" s="1"/>
  <c r="E440" i="7958" s="1"/>
  <c r="E767" i="7958"/>
  <c r="C792" i="7958"/>
  <c r="C803" i="7958" s="1"/>
  <c r="D195" i="7958"/>
  <c r="D56" i="7958"/>
  <c r="E54" i="7958" s="1"/>
  <c r="D627" i="7958"/>
  <c r="C714" i="7958"/>
  <c r="C499" i="7958"/>
  <c r="C162" i="7958"/>
  <c r="E22" i="7958"/>
  <c r="E23" i="7958" s="1"/>
  <c r="F21" i="7958" s="1"/>
  <c r="B459" i="7958"/>
  <c r="C456" i="7958" s="1"/>
  <c r="C764" i="7958" s="1"/>
  <c r="B164" i="7958"/>
  <c r="B786" i="7958"/>
  <c r="B797" i="7958" s="1"/>
  <c r="E33" i="7958"/>
  <c r="E34" i="7958" s="1"/>
  <c r="F32" i="7958" s="1"/>
  <c r="B772" i="7958"/>
  <c r="D398" i="7958"/>
  <c r="E395" i="7958" s="1"/>
  <c r="C256" i="7958"/>
  <c r="C265" i="7958" s="1"/>
  <c r="C740" i="7958" s="1"/>
  <c r="C263" i="7958"/>
  <c r="C95" i="7958"/>
  <c r="D92" i="7958" s="1"/>
  <c r="E44" i="7958"/>
  <c r="C64" i="7958"/>
  <c r="D62" i="7958" s="1"/>
  <c r="D64" i="7958" l="1"/>
  <c r="E62" i="7958" s="1"/>
  <c r="C164" i="7958"/>
  <c r="C739" i="7958" s="1"/>
  <c r="C266" i="7958"/>
  <c r="U777" i="7958"/>
  <c r="U783" i="7958" s="1"/>
  <c r="U712" i="7958"/>
  <c r="U755" i="7958" s="1"/>
  <c r="U757" i="7958" s="1"/>
  <c r="D341" i="7958"/>
  <c r="D364" i="7958"/>
  <c r="C257" i="7958"/>
  <c r="D254" i="7958" s="1"/>
  <c r="D256" i="7958" s="1"/>
  <c r="C367" i="7958"/>
  <c r="G659" i="7958"/>
  <c r="G660" i="7958" s="1"/>
  <c r="H657" i="7958" s="1"/>
  <c r="G689" i="7958"/>
  <c r="G690" i="7958" s="1"/>
  <c r="H687" i="7958" s="1"/>
  <c r="E704" i="7958"/>
  <c r="E705" i="7958" s="1"/>
  <c r="F702" i="7958" s="1"/>
  <c r="G109" i="7958"/>
  <c r="G110" i="7958" s="1"/>
  <c r="H107" i="7958" s="1"/>
  <c r="G674" i="7958"/>
  <c r="G675" i="7958" s="1"/>
  <c r="H672" i="7958" s="1"/>
  <c r="F573" i="7958"/>
  <c r="F574" i="7958" s="1"/>
  <c r="G571" i="7958" s="1"/>
  <c r="G357" i="7958"/>
  <c r="G358" i="7958" s="1"/>
  <c r="H355" i="7958" s="1"/>
  <c r="E789" i="7958"/>
  <c r="E800" i="7958" s="1"/>
  <c r="F33" i="7958"/>
  <c r="C458" i="7958"/>
  <c r="C467" i="7958" s="1"/>
  <c r="C742" i="7958" s="1"/>
  <c r="C465" i="7958"/>
  <c r="D496" i="7958"/>
  <c r="C583" i="7958"/>
  <c r="D799" i="7958"/>
  <c r="G513" i="7958"/>
  <c r="G514" i="7958" s="1"/>
  <c r="H511" i="7958" s="1"/>
  <c r="G311" i="7958"/>
  <c r="G312" i="7958" s="1"/>
  <c r="H309" i="7958" s="1"/>
  <c r="D155" i="7958"/>
  <c r="D156" i="7958" s="1"/>
  <c r="E153" i="7958" s="1"/>
  <c r="G558" i="7958"/>
  <c r="G559" i="7958" s="1"/>
  <c r="H556" i="7958" s="1"/>
  <c r="F412" i="7958"/>
  <c r="F413" i="7958" s="1"/>
  <c r="G410" i="7958" s="1"/>
  <c r="D162" i="7958"/>
  <c r="D94" i="7958"/>
  <c r="D95" i="7958" s="1"/>
  <c r="E92" i="7958" s="1"/>
  <c r="F22" i="7958"/>
  <c r="F23" i="7958" s="1"/>
  <c r="G21" i="7958" s="1"/>
  <c r="E442" i="7958"/>
  <c r="E443" i="7958" s="1"/>
  <c r="F440" i="7958" s="1"/>
  <c r="G210" i="7958"/>
  <c r="G211" i="7958" s="1"/>
  <c r="H208" i="7958" s="1"/>
  <c r="F240" i="7958"/>
  <c r="F241" i="7958" s="1"/>
  <c r="G238" i="7958" s="1"/>
  <c r="E139" i="7958"/>
  <c r="E140" i="7958" s="1"/>
  <c r="F137" i="7958" s="1"/>
  <c r="C772" i="7958"/>
  <c r="D629" i="7958"/>
  <c r="D711" i="7958"/>
  <c r="D765" i="7958"/>
  <c r="H732" i="7958"/>
  <c r="H733" i="7958" s="1"/>
  <c r="I730" i="7958" s="1"/>
  <c r="E297" i="7958"/>
  <c r="F294" i="7958" s="1"/>
  <c r="D529" i="7958"/>
  <c r="E526" i="7958" s="1"/>
  <c r="E397" i="7958"/>
  <c r="B739" i="7958"/>
  <c r="B746" i="7958" s="1"/>
  <c r="B794" i="7958" s="1"/>
  <c r="B805" i="7958" s="1"/>
  <c r="B165" i="7958"/>
  <c r="E55" i="7958"/>
  <c r="D196" i="7958"/>
  <c r="E193" i="7958" s="1"/>
  <c r="E45" i="7958"/>
  <c r="F43" i="7958" s="1"/>
  <c r="F44" i="7958" s="1"/>
  <c r="E614" i="7958"/>
  <c r="C786" i="7958" l="1"/>
  <c r="C797" i="7958" s="1"/>
  <c r="C746" i="7958"/>
  <c r="C794" i="7958" s="1"/>
  <c r="D263" i="7958"/>
  <c r="D257" i="7958"/>
  <c r="E254" i="7958" s="1"/>
  <c r="E263" i="7958" s="1"/>
  <c r="D265" i="7958"/>
  <c r="D740" i="7958" s="1"/>
  <c r="C165" i="7958"/>
  <c r="C468" i="7958"/>
  <c r="D342" i="7958"/>
  <c r="E339" i="7958" s="1"/>
  <c r="D366" i="7958"/>
  <c r="D741" i="7958" s="1"/>
  <c r="D792" i="7958"/>
  <c r="D803" i="7958" s="1"/>
  <c r="C459" i="7958"/>
  <c r="D456" i="7958" s="1"/>
  <c r="D764" i="7958" s="1"/>
  <c r="D772" i="7958" s="1"/>
  <c r="F789" i="7958"/>
  <c r="F139" i="7958"/>
  <c r="F140" i="7958" s="1"/>
  <c r="G137" i="7958" s="1"/>
  <c r="G412" i="7958"/>
  <c r="G413" i="7958" s="1"/>
  <c r="H410" i="7958" s="1"/>
  <c r="H357" i="7958"/>
  <c r="H358" i="7958" s="1"/>
  <c r="I355" i="7958" s="1"/>
  <c r="E162" i="7958"/>
  <c r="E94" i="7958"/>
  <c r="E95" i="7958" s="1"/>
  <c r="F92" i="7958" s="1"/>
  <c r="H513" i="7958"/>
  <c r="H514" i="7958" s="1"/>
  <c r="I511" i="7958" s="1"/>
  <c r="H109" i="7958"/>
  <c r="H110" i="7958" s="1"/>
  <c r="I107" i="7958" s="1"/>
  <c r="H210" i="7958"/>
  <c r="H211" i="7958" s="1"/>
  <c r="I208" i="7958" s="1"/>
  <c r="E155" i="7958"/>
  <c r="E156" i="7958" s="1"/>
  <c r="F153" i="7958" s="1"/>
  <c r="F704" i="7958"/>
  <c r="F705" i="7958" s="1"/>
  <c r="G702" i="7958" s="1"/>
  <c r="H659" i="7958"/>
  <c r="H660" i="7958" s="1"/>
  <c r="I657" i="7958" s="1"/>
  <c r="E63" i="7958"/>
  <c r="G240" i="7958"/>
  <c r="G241" i="7958" s="1"/>
  <c r="H238" i="7958" s="1"/>
  <c r="F442" i="7958"/>
  <c r="F443" i="7958" s="1"/>
  <c r="G440" i="7958" s="1"/>
  <c r="G22" i="7958"/>
  <c r="G23" i="7958" s="1"/>
  <c r="H21" i="7958" s="1"/>
  <c r="H558" i="7958"/>
  <c r="H559" i="7958" s="1"/>
  <c r="I556" i="7958" s="1"/>
  <c r="H311" i="7958"/>
  <c r="H312" i="7958" s="1"/>
  <c r="I309" i="7958" s="1"/>
  <c r="I732" i="7958"/>
  <c r="I733" i="7958" s="1"/>
  <c r="J730" i="7958" s="1"/>
  <c r="D498" i="7958"/>
  <c r="D582" i="7958" s="1"/>
  <c r="D743" i="7958" s="1"/>
  <c r="D580" i="7958"/>
  <c r="G573" i="7958"/>
  <c r="G574" i="7958" s="1"/>
  <c r="H571" i="7958" s="1"/>
  <c r="H689" i="7958"/>
  <c r="H690" i="7958" s="1"/>
  <c r="I687" i="7958" s="1"/>
  <c r="E56" i="7958"/>
  <c r="F54" i="7958" s="1"/>
  <c r="D787" i="7958"/>
  <c r="D798" i="7958" s="1"/>
  <c r="D713" i="7958"/>
  <c r="C805" i="7958"/>
  <c r="D164" i="7958"/>
  <c r="D739" i="7958" s="1"/>
  <c r="H674" i="7958"/>
  <c r="H675" i="7958" s="1"/>
  <c r="I672" i="7958" s="1"/>
  <c r="F45" i="7958"/>
  <c r="G43" i="7958" s="1"/>
  <c r="F767" i="7958"/>
  <c r="E528" i="7958"/>
  <c r="E788" i="7958" s="1"/>
  <c r="E766" i="7958"/>
  <c r="E615" i="7958"/>
  <c r="E195" i="7958"/>
  <c r="E398" i="7958"/>
  <c r="F395" i="7958" s="1"/>
  <c r="F296" i="7958"/>
  <c r="D630" i="7958"/>
  <c r="F34" i="7958"/>
  <c r="G32" i="7958" s="1"/>
  <c r="D266" i="7958" l="1"/>
  <c r="E256" i="7958"/>
  <c r="E257" i="7958" s="1"/>
  <c r="F254" i="7958" s="1"/>
  <c r="F256" i="7958" s="1"/>
  <c r="F257" i="7958" s="1"/>
  <c r="G254" i="7958" s="1"/>
  <c r="D465" i="7958"/>
  <c r="F800" i="7958"/>
  <c r="D458" i="7958"/>
  <c r="D467" i="7958" s="1"/>
  <c r="D742" i="7958" s="1"/>
  <c r="D746" i="7958" s="1"/>
  <c r="D794" i="7958" s="1"/>
  <c r="D805" i="7958" s="1"/>
  <c r="E265" i="7958"/>
  <c r="E740" i="7958" s="1"/>
  <c r="F297" i="7958"/>
  <c r="G294" i="7958" s="1"/>
  <c r="E341" i="7958"/>
  <c r="E364" i="7958"/>
  <c r="E770" i="7958"/>
  <c r="E196" i="7958"/>
  <c r="F193" i="7958" s="1"/>
  <c r="F195" i="7958" s="1"/>
  <c r="D367" i="7958"/>
  <c r="I674" i="7958"/>
  <c r="I675" i="7958" s="1"/>
  <c r="J672" i="7958" s="1"/>
  <c r="H240" i="7958"/>
  <c r="H241" i="7958" s="1"/>
  <c r="I238" i="7958" s="1"/>
  <c r="F155" i="7958"/>
  <c r="F156" i="7958" s="1"/>
  <c r="G153" i="7958" s="1"/>
  <c r="F162" i="7958"/>
  <c r="F94" i="7958"/>
  <c r="F95" i="7958" s="1"/>
  <c r="G92" i="7958" s="1"/>
  <c r="I210" i="7958"/>
  <c r="I211" i="7958" s="1"/>
  <c r="J208" i="7958" s="1"/>
  <c r="I659" i="7958"/>
  <c r="I660" i="7958" s="1"/>
  <c r="J657" i="7958" s="1"/>
  <c r="I109" i="7958"/>
  <c r="I110" i="7958" s="1"/>
  <c r="J107" i="7958" s="1"/>
  <c r="G139" i="7958"/>
  <c r="G140" i="7958" s="1"/>
  <c r="H137" i="7958" s="1"/>
  <c r="H412" i="7958"/>
  <c r="H413" i="7958" s="1"/>
  <c r="I410" i="7958" s="1"/>
  <c r="J732" i="7958"/>
  <c r="J733" i="7958" s="1"/>
  <c r="K730" i="7958" s="1"/>
  <c r="G442" i="7958"/>
  <c r="G443" i="7958" s="1"/>
  <c r="H440" i="7958" s="1"/>
  <c r="G704" i="7958"/>
  <c r="G705" i="7958" s="1"/>
  <c r="H702" i="7958" s="1"/>
  <c r="I513" i="7958"/>
  <c r="I514" i="7958" s="1"/>
  <c r="J511" i="7958" s="1"/>
  <c r="D165" i="7958"/>
  <c r="E799" i="7958"/>
  <c r="G767" i="7958"/>
  <c r="D499" i="7958"/>
  <c r="F55" i="7958"/>
  <c r="F56" i="7958" s="1"/>
  <c r="G54" i="7958" s="1"/>
  <c r="I311" i="7958"/>
  <c r="I312" i="7958" s="1"/>
  <c r="J309" i="7958" s="1"/>
  <c r="I357" i="7958"/>
  <c r="I358" i="7958" s="1"/>
  <c r="J355" i="7958" s="1"/>
  <c r="G44" i="7958"/>
  <c r="G296" i="7958"/>
  <c r="I689" i="7958"/>
  <c r="I690" i="7958" s="1"/>
  <c r="J687" i="7958" s="1"/>
  <c r="E529" i="7958"/>
  <c r="F526" i="7958" s="1"/>
  <c r="H22" i="7958"/>
  <c r="E738" i="7958"/>
  <c r="E64" i="7958"/>
  <c r="F62" i="7958" s="1"/>
  <c r="E164" i="7958"/>
  <c r="E739" i="7958" s="1"/>
  <c r="G33" i="7958"/>
  <c r="E627" i="7958"/>
  <c r="D714" i="7958"/>
  <c r="F397" i="7958"/>
  <c r="F612" i="7958"/>
  <c r="H573" i="7958"/>
  <c r="H574" i="7958" s="1"/>
  <c r="I571" i="7958" s="1"/>
  <c r="I558" i="7958"/>
  <c r="I559" i="7958" s="1"/>
  <c r="J556" i="7958" s="1"/>
  <c r="D459" i="7958" l="1"/>
  <c r="E456" i="7958" s="1"/>
  <c r="D786" i="7958"/>
  <c r="D797" i="7958" s="1"/>
  <c r="E266" i="7958"/>
  <c r="F263" i="7958"/>
  <c r="D468" i="7958"/>
  <c r="E165" i="7958"/>
  <c r="F265" i="7958"/>
  <c r="F740" i="7958" s="1"/>
  <c r="E342" i="7958"/>
  <c r="F339" i="7958" s="1"/>
  <c r="E366" i="7958"/>
  <c r="E741" i="7958" s="1"/>
  <c r="E792" i="7958"/>
  <c r="E803" i="7958" s="1"/>
  <c r="J689" i="7958"/>
  <c r="J690" i="7958" s="1"/>
  <c r="K687" i="7958" s="1"/>
  <c r="J513" i="7958"/>
  <c r="J514" i="7958" s="1"/>
  <c r="K511" i="7958" s="1"/>
  <c r="J558" i="7958"/>
  <c r="J559" i="7958" s="1"/>
  <c r="K556" i="7958" s="1"/>
  <c r="K732" i="7958"/>
  <c r="K733" i="7958" s="1"/>
  <c r="L730" i="7958" s="1"/>
  <c r="J311" i="7958"/>
  <c r="J312" i="7958" s="1"/>
  <c r="K309" i="7958" s="1"/>
  <c r="G55" i="7958"/>
  <c r="J109" i="7958"/>
  <c r="J110" i="7958" s="1"/>
  <c r="K107" i="7958" s="1"/>
  <c r="J210" i="7958"/>
  <c r="J211" i="7958" s="1"/>
  <c r="K208" i="7958" s="1"/>
  <c r="I412" i="7958"/>
  <c r="I413" i="7958" s="1"/>
  <c r="J410" i="7958" s="1"/>
  <c r="G155" i="7958"/>
  <c r="G156" i="7958" s="1"/>
  <c r="H153" i="7958" s="1"/>
  <c r="I573" i="7958"/>
  <c r="I574" i="7958" s="1"/>
  <c r="J571" i="7958" s="1"/>
  <c r="E629" i="7958"/>
  <c r="E630" i="7958" s="1"/>
  <c r="E765" i="7958"/>
  <c r="E711" i="7958"/>
  <c r="F766" i="7958"/>
  <c r="F528" i="7958"/>
  <c r="F788" i="7958" s="1"/>
  <c r="D583" i="7958"/>
  <c r="E496" i="7958"/>
  <c r="G256" i="7958"/>
  <c r="G257" i="7958" s="1"/>
  <c r="H254" i="7958" s="1"/>
  <c r="H704" i="7958"/>
  <c r="H705" i="7958" s="1"/>
  <c r="I702" i="7958" s="1"/>
  <c r="H139" i="7958"/>
  <c r="H140" i="7958" s="1"/>
  <c r="I137" i="7958" s="1"/>
  <c r="J659" i="7958"/>
  <c r="J660" i="7958" s="1"/>
  <c r="K657" i="7958" s="1"/>
  <c r="G162" i="7958"/>
  <c r="G94" i="7958"/>
  <c r="G95" i="7958" s="1"/>
  <c r="H92" i="7958" s="1"/>
  <c r="I240" i="7958"/>
  <c r="I241" i="7958" s="1"/>
  <c r="J238" i="7958" s="1"/>
  <c r="H23" i="7958"/>
  <c r="I21" i="7958" s="1"/>
  <c r="G297" i="7958"/>
  <c r="H294" i="7958" s="1"/>
  <c r="F63" i="7958"/>
  <c r="F738" i="7958" s="1"/>
  <c r="F196" i="7958"/>
  <c r="G193" i="7958" s="1"/>
  <c r="H442" i="7958"/>
  <c r="H443" i="7958" s="1"/>
  <c r="I440" i="7958" s="1"/>
  <c r="J674" i="7958"/>
  <c r="J675" i="7958" s="1"/>
  <c r="K672" i="7958" s="1"/>
  <c r="J357" i="7958"/>
  <c r="J358" i="7958" s="1"/>
  <c r="K355" i="7958" s="1"/>
  <c r="F398" i="7958"/>
  <c r="G395" i="7958" s="1"/>
  <c r="F614" i="7958"/>
  <c r="F615" i="7958" s="1"/>
  <c r="G34" i="7958"/>
  <c r="H32" i="7958" s="1"/>
  <c r="E458" i="7958"/>
  <c r="E459" i="7958" s="1"/>
  <c r="F456" i="7958" s="1"/>
  <c r="E465" i="7958"/>
  <c r="E764" i="7958"/>
  <c r="G789" i="7958"/>
  <c r="G800" i="7958" s="1"/>
  <c r="G63" i="7958"/>
  <c r="G738" i="7958" s="1"/>
  <c r="G45" i="7958"/>
  <c r="H43" i="7958" s="1"/>
  <c r="F164" i="7958"/>
  <c r="F739" i="7958" s="1"/>
  <c r="F529" i="7958" l="1"/>
  <c r="G526" i="7958" s="1"/>
  <c r="G528" i="7958" s="1"/>
  <c r="G788" i="7958" s="1"/>
  <c r="F799" i="7958"/>
  <c r="E367" i="7958"/>
  <c r="F266" i="7958"/>
  <c r="F341" i="7958"/>
  <c r="F364" i="7958"/>
  <c r="F770" i="7958"/>
  <c r="G56" i="7958"/>
  <c r="H54" i="7958" s="1"/>
  <c r="H55" i="7958" s="1"/>
  <c r="H56" i="7958" s="1"/>
  <c r="I54" i="7958" s="1"/>
  <c r="K357" i="7958"/>
  <c r="K358" i="7958" s="1"/>
  <c r="L355" i="7958" s="1"/>
  <c r="I139" i="7958"/>
  <c r="I140" i="7958" s="1"/>
  <c r="J137" i="7958" s="1"/>
  <c r="J573" i="7958"/>
  <c r="J574" i="7958" s="1"/>
  <c r="K571" i="7958" s="1"/>
  <c r="K558" i="7958"/>
  <c r="K559" i="7958" s="1"/>
  <c r="L556" i="7958" s="1"/>
  <c r="K109" i="7958"/>
  <c r="K110" i="7958" s="1"/>
  <c r="L107" i="7958" s="1"/>
  <c r="K311" i="7958"/>
  <c r="K312" i="7958" s="1"/>
  <c r="L309" i="7958" s="1"/>
  <c r="I442" i="7958"/>
  <c r="I443" i="7958" s="1"/>
  <c r="J440" i="7958" s="1"/>
  <c r="I704" i="7958"/>
  <c r="I705" i="7958" s="1"/>
  <c r="J702" i="7958" s="1"/>
  <c r="H256" i="7958"/>
  <c r="H257" i="7958" s="1"/>
  <c r="I254" i="7958" s="1"/>
  <c r="J412" i="7958"/>
  <c r="J413" i="7958" s="1"/>
  <c r="K410" i="7958" s="1"/>
  <c r="L732" i="7958"/>
  <c r="L733" i="7958" s="1"/>
  <c r="M730" i="7958" s="1"/>
  <c r="K689" i="7958"/>
  <c r="K690" i="7958" s="1"/>
  <c r="L687" i="7958" s="1"/>
  <c r="H767" i="7958"/>
  <c r="E772" i="7958"/>
  <c r="G612" i="7958"/>
  <c r="H296" i="7958"/>
  <c r="J240" i="7958"/>
  <c r="J241" i="7958" s="1"/>
  <c r="K238" i="7958" s="1"/>
  <c r="H162" i="7958"/>
  <c r="H94" i="7958"/>
  <c r="H95" i="7958" s="1"/>
  <c r="I92" i="7958" s="1"/>
  <c r="K659" i="7958"/>
  <c r="K660" i="7958" s="1"/>
  <c r="L657" i="7958" s="1"/>
  <c r="F165" i="7958"/>
  <c r="H155" i="7958"/>
  <c r="H156" i="7958" s="1"/>
  <c r="I153" i="7958" s="1"/>
  <c r="K210" i="7958"/>
  <c r="K211" i="7958" s="1"/>
  <c r="L208" i="7958" s="1"/>
  <c r="H33" i="7958"/>
  <c r="G397" i="7958"/>
  <c r="G398" i="7958" s="1"/>
  <c r="H395" i="7958" s="1"/>
  <c r="K674" i="7958"/>
  <c r="K675" i="7958" s="1"/>
  <c r="L672" i="7958" s="1"/>
  <c r="G263" i="7958"/>
  <c r="G195" i="7958"/>
  <c r="G265" i="7958" s="1"/>
  <c r="G740" i="7958" s="1"/>
  <c r="I22" i="7958"/>
  <c r="I23" i="7958" s="1"/>
  <c r="J21" i="7958" s="1"/>
  <c r="E580" i="7958"/>
  <c r="E498" i="7958"/>
  <c r="E582" i="7958" s="1"/>
  <c r="E743" i="7958" s="1"/>
  <c r="G766" i="7958"/>
  <c r="K513" i="7958"/>
  <c r="K514" i="7958" s="1"/>
  <c r="L511" i="7958" s="1"/>
  <c r="F458" i="7958"/>
  <c r="F465" i="7958"/>
  <c r="F64" i="7958"/>
  <c r="G62" i="7958" s="1"/>
  <c r="G64" i="7958" s="1"/>
  <c r="H62" i="7958" s="1"/>
  <c r="G164" i="7958"/>
  <c r="G739" i="7958" s="1"/>
  <c r="F627" i="7958"/>
  <c r="E714" i="7958"/>
  <c r="H44" i="7958"/>
  <c r="E467" i="7958"/>
  <c r="E742" i="7958" s="1"/>
  <c r="E787" i="7958"/>
  <c r="E798" i="7958" s="1"/>
  <c r="E713" i="7958"/>
  <c r="E786" i="7958" l="1"/>
  <c r="E797" i="7958" s="1"/>
  <c r="G799" i="7958"/>
  <c r="G529" i="7958"/>
  <c r="H526" i="7958" s="1"/>
  <c r="E468" i="7958"/>
  <c r="F342" i="7958"/>
  <c r="G339" i="7958" s="1"/>
  <c r="F366" i="7958"/>
  <c r="F741" i="7958" s="1"/>
  <c r="F792" i="7958"/>
  <c r="F803" i="7958" s="1"/>
  <c r="G165" i="7958"/>
  <c r="I155" i="7958"/>
  <c r="I156" i="7958" s="1"/>
  <c r="J153" i="7958" s="1"/>
  <c r="L513" i="7958"/>
  <c r="L514" i="7958" s="1"/>
  <c r="M511" i="7958" s="1"/>
  <c r="L659" i="7958"/>
  <c r="L660" i="7958" s="1"/>
  <c r="M657" i="7958" s="1"/>
  <c r="J139" i="7958"/>
  <c r="J140" i="7958" s="1"/>
  <c r="K137" i="7958" s="1"/>
  <c r="H397" i="7958"/>
  <c r="L311" i="7958"/>
  <c r="L312" i="7958" s="1"/>
  <c r="M309" i="7958" s="1"/>
  <c r="L674" i="7958"/>
  <c r="L675" i="7958" s="1"/>
  <c r="M672" i="7958" s="1"/>
  <c r="L558" i="7958"/>
  <c r="L559" i="7958" s="1"/>
  <c r="M556" i="7958" s="1"/>
  <c r="J22" i="7958"/>
  <c r="K412" i="7958"/>
  <c r="K413" i="7958" s="1"/>
  <c r="L410" i="7958" s="1"/>
  <c r="H789" i="7958"/>
  <c r="H800" i="7958" s="1"/>
  <c r="E499" i="7958"/>
  <c r="H164" i="7958"/>
  <c r="H739" i="7958" s="1"/>
  <c r="K240" i="7958"/>
  <c r="K241" i="7958" s="1"/>
  <c r="L238" i="7958" s="1"/>
  <c r="L210" i="7958"/>
  <c r="L211" i="7958" s="1"/>
  <c r="M208" i="7958" s="1"/>
  <c r="G614" i="7958"/>
  <c r="G615" i="7958" s="1"/>
  <c r="H45" i="7958"/>
  <c r="I43" i="7958" s="1"/>
  <c r="I44" i="7958" s="1"/>
  <c r="M732" i="7958"/>
  <c r="M733" i="7958" s="1"/>
  <c r="N730" i="7958" s="1"/>
  <c r="I256" i="7958"/>
  <c r="I257" i="7958" s="1"/>
  <c r="J254" i="7958" s="1"/>
  <c r="J442" i="7958"/>
  <c r="J443" i="7958" s="1"/>
  <c r="K440" i="7958" s="1"/>
  <c r="L109" i="7958"/>
  <c r="L110" i="7958" s="1"/>
  <c r="M107" i="7958" s="1"/>
  <c r="K573" i="7958"/>
  <c r="K574" i="7958" s="1"/>
  <c r="L571" i="7958" s="1"/>
  <c r="L357" i="7958"/>
  <c r="L358" i="7958" s="1"/>
  <c r="M355" i="7958" s="1"/>
  <c r="H528" i="7958"/>
  <c r="H788" i="7958" s="1"/>
  <c r="H766" i="7958"/>
  <c r="H63" i="7958"/>
  <c r="H738" i="7958" s="1"/>
  <c r="I162" i="7958"/>
  <c r="I94" i="7958"/>
  <c r="L689" i="7958"/>
  <c r="L690" i="7958" s="1"/>
  <c r="M687" i="7958" s="1"/>
  <c r="J704" i="7958"/>
  <c r="J705" i="7958" s="1"/>
  <c r="K702" i="7958" s="1"/>
  <c r="I55" i="7958"/>
  <c r="F467" i="7958"/>
  <c r="F742" i="7958" s="1"/>
  <c r="G266" i="7958"/>
  <c r="E746" i="7958"/>
  <c r="E794" i="7958" s="1"/>
  <c r="E805" i="7958" s="1"/>
  <c r="F629" i="7958"/>
  <c r="F630" i="7958" s="1"/>
  <c r="F765" i="7958"/>
  <c r="F711" i="7958"/>
  <c r="F459" i="7958"/>
  <c r="G456" i="7958" s="1"/>
  <c r="G196" i="7958"/>
  <c r="H193" i="7958" s="1"/>
  <c r="H34" i="7958"/>
  <c r="I32" i="7958" s="1"/>
  <c r="H297" i="7958"/>
  <c r="I294" i="7958" s="1"/>
  <c r="I164" i="7958" l="1"/>
  <c r="I739" i="7958" s="1"/>
  <c r="F468" i="7958"/>
  <c r="H64" i="7958"/>
  <c r="I62" i="7958" s="1"/>
  <c r="F367" i="7958"/>
  <c r="G341" i="7958"/>
  <c r="G364" i="7958"/>
  <c r="G770" i="7958"/>
  <c r="I56" i="7958"/>
  <c r="J54" i="7958" s="1"/>
  <c r="J55" i="7958" s="1"/>
  <c r="K704" i="7958"/>
  <c r="K705" i="7958" s="1"/>
  <c r="L702" i="7958" s="1"/>
  <c r="K442" i="7958"/>
  <c r="K443" i="7958" s="1"/>
  <c r="L440" i="7958" s="1"/>
  <c r="M659" i="7958"/>
  <c r="M660" i="7958" s="1"/>
  <c r="N657" i="7958" s="1"/>
  <c r="M674" i="7958"/>
  <c r="M675" i="7958" s="1"/>
  <c r="N672" i="7958" s="1"/>
  <c r="L573" i="7958"/>
  <c r="L574" i="7958" s="1"/>
  <c r="M571" i="7958" s="1"/>
  <c r="L412" i="7958"/>
  <c r="L413" i="7958" s="1"/>
  <c r="M410" i="7958" s="1"/>
  <c r="N732" i="7958"/>
  <c r="N733" i="7958" s="1"/>
  <c r="O730" i="7958" s="1"/>
  <c r="J155" i="7958"/>
  <c r="J156" i="7958" s="1"/>
  <c r="K153" i="7958" s="1"/>
  <c r="I296" i="7958"/>
  <c r="G458" i="7958"/>
  <c r="G459" i="7958" s="1"/>
  <c r="H456" i="7958" s="1"/>
  <c r="G465" i="7958"/>
  <c r="G627" i="7958"/>
  <c r="F714" i="7958"/>
  <c r="H799" i="7958"/>
  <c r="M357" i="7958"/>
  <c r="M358" i="7958" s="1"/>
  <c r="N355" i="7958" s="1"/>
  <c r="M109" i="7958"/>
  <c r="M110" i="7958" s="1"/>
  <c r="N107" i="7958" s="1"/>
  <c r="J256" i="7958"/>
  <c r="J257" i="7958" s="1"/>
  <c r="K254" i="7958" s="1"/>
  <c r="L240" i="7958"/>
  <c r="L241" i="7958" s="1"/>
  <c r="M238" i="7958" s="1"/>
  <c r="M558" i="7958"/>
  <c r="M559" i="7958" s="1"/>
  <c r="N556" i="7958" s="1"/>
  <c r="M311" i="7958"/>
  <c r="M312" i="7958" s="1"/>
  <c r="N309" i="7958" s="1"/>
  <c r="M210" i="7958"/>
  <c r="M211" i="7958" s="1"/>
  <c r="N208" i="7958" s="1"/>
  <c r="I789" i="7958"/>
  <c r="K139" i="7958"/>
  <c r="K140" i="7958" s="1"/>
  <c r="L137" i="7958" s="1"/>
  <c r="M513" i="7958"/>
  <c r="M514" i="7958" s="1"/>
  <c r="N511" i="7958" s="1"/>
  <c r="I33" i="7958"/>
  <c r="I34" i="7958" s="1"/>
  <c r="J32" i="7958" s="1"/>
  <c r="H263" i="7958"/>
  <c r="H195" i="7958"/>
  <c r="H196" i="7958" s="1"/>
  <c r="I193" i="7958" s="1"/>
  <c r="I95" i="7958"/>
  <c r="J92" i="7958" s="1"/>
  <c r="H529" i="7958"/>
  <c r="I526" i="7958" s="1"/>
  <c r="H612" i="7958"/>
  <c r="J23" i="7958"/>
  <c r="K21" i="7958" s="1"/>
  <c r="M689" i="7958"/>
  <c r="M690" i="7958" s="1"/>
  <c r="N687" i="7958" s="1"/>
  <c r="F787" i="7958"/>
  <c r="F798" i="7958" s="1"/>
  <c r="F713" i="7958"/>
  <c r="I45" i="7958"/>
  <c r="J43" i="7958" s="1"/>
  <c r="J44" i="7958" s="1"/>
  <c r="I767" i="7958"/>
  <c r="H165" i="7958"/>
  <c r="F496" i="7958"/>
  <c r="E583" i="7958"/>
  <c r="H398" i="7958"/>
  <c r="I395" i="7958" s="1"/>
  <c r="I165" i="7958" l="1"/>
  <c r="I800" i="7958"/>
  <c r="G342" i="7958"/>
  <c r="H339" i="7958" s="1"/>
  <c r="G366" i="7958"/>
  <c r="G741" i="7958" s="1"/>
  <c r="G792" i="7958"/>
  <c r="G803" i="7958" s="1"/>
  <c r="N689" i="7958"/>
  <c r="N690" i="7958" s="1"/>
  <c r="O687" i="7958" s="1"/>
  <c r="M240" i="7958"/>
  <c r="M241" i="7958" s="1"/>
  <c r="N238" i="7958" s="1"/>
  <c r="N513" i="7958"/>
  <c r="N514" i="7958" s="1"/>
  <c r="O511" i="7958" s="1"/>
  <c r="N210" i="7958"/>
  <c r="N211" i="7958" s="1"/>
  <c r="O208" i="7958" s="1"/>
  <c r="N674" i="7958"/>
  <c r="N675" i="7958" s="1"/>
  <c r="O672" i="7958" s="1"/>
  <c r="N659" i="7958"/>
  <c r="N660" i="7958" s="1"/>
  <c r="O657" i="7958" s="1"/>
  <c r="N357" i="7958"/>
  <c r="N358" i="7958" s="1"/>
  <c r="O355" i="7958" s="1"/>
  <c r="L442" i="7958"/>
  <c r="L443" i="7958" s="1"/>
  <c r="M440" i="7958" s="1"/>
  <c r="J789" i="7958"/>
  <c r="N558" i="7958"/>
  <c r="N559" i="7958" s="1"/>
  <c r="O556" i="7958" s="1"/>
  <c r="K256" i="7958"/>
  <c r="K257" i="7958" s="1"/>
  <c r="L254" i="7958" s="1"/>
  <c r="M573" i="7958"/>
  <c r="M574" i="7958" s="1"/>
  <c r="N571" i="7958" s="1"/>
  <c r="L704" i="7958"/>
  <c r="L705" i="7958" s="1"/>
  <c r="M702" i="7958" s="1"/>
  <c r="J162" i="7958"/>
  <c r="J94" i="7958"/>
  <c r="J95" i="7958" s="1"/>
  <c r="K92" i="7958" s="1"/>
  <c r="I263" i="7958"/>
  <c r="I195" i="7958"/>
  <c r="I196" i="7958" s="1"/>
  <c r="J193" i="7958" s="1"/>
  <c r="J33" i="7958"/>
  <c r="J34" i="7958" s="1"/>
  <c r="K32" i="7958" s="1"/>
  <c r="L139" i="7958"/>
  <c r="L140" i="7958" s="1"/>
  <c r="M137" i="7958" s="1"/>
  <c r="N109" i="7958"/>
  <c r="N110" i="7958" s="1"/>
  <c r="O107" i="7958" s="1"/>
  <c r="G629" i="7958"/>
  <c r="G630" i="7958" s="1"/>
  <c r="G765" i="7958"/>
  <c r="G711" i="7958"/>
  <c r="H458" i="7958"/>
  <c r="H467" i="7958" s="1"/>
  <c r="H742" i="7958" s="1"/>
  <c r="H465" i="7958"/>
  <c r="K155" i="7958"/>
  <c r="K156" i="7958" s="1"/>
  <c r="L153" i="7958" s="1"/>
  <c r="M412" i="7958"/>
  <c r="M413" i="7958" s="1"/>
  <c r="N410" i="7958" s="1"/>
  <c r="H614" i="7958"/>
  <c r="H615" i="7958" s="1"/>
  <c r="J45" i="7958"/>
  <c r="K43" i="7958" s="1"/>
  <c r="J767" i="7958"/>
  <c r="I528" i="7958"/>
  <c r="I788" i="7958" s="1"/>
  <c r="I766" i="7958"/>
  <c r="H265" i="7958"/>
  <c r="H740" i="7958" s="1"/>
  <c r="I63" i="7958"/>
  <c r="J56" i="7958"/>
  <c r="K54" i="7958" s="1"/>
  <c r="I297" i="7958"/>
  <c r="J294" i="7958" s="1"/>
  <c r="O732" i="7958"/>
  <c r="O733" i="7958" s="1"/>
  <c r="P730" i="7958" s="1"/>
  <c r="I397" i="7958"/>
  <c r="N311" i="7958"/>
  <c r="N312" i="7958" s="1"/>
  <c r="O309" i="7958" s="1"/>
  <c r="F580" i="7958"/>
  <c r="F498" i="7958"/>
  <c r="F764" i="7958"/>
  <c r="K22" i="7958"/>
  <c r="K23" i="7958" s="1"/>
  <c r="L21" i="7958" s="1"/>
  <c r="G467" i="7958"/>
  <c r="G742" i="7958" s="1"/>
  <c r="J800" i="7958" l="1"/>
  <c r="H459" i="7958"/>
  <c r="I456" i="7958" s="1"/>
  <c r="I458" i="7958" s="1"/>
  <c r="I459" i="7958" s="1"/>
  <c r="J456" i="7958" s="1"/>
  <c r="I799" i="7958"/>
  <c r="H341" i="7958"/>
  <c r="H364" i="7958"/>
  <c r="H770" i="7958"/>
  <c r="G367" i="7958"/>
  <c r="L22" i="7958"/>
  <c r="M139" i="7958"/>
  <c r="M140" i="7958" s="1"/>
  <c r="N137" i="7958" s="1"/>
  <c r="L256" i="7958"/>
  <c r="L257" i="7958" s="1"/>
  <c r="M254" i="7958" s="1"/>
  <c r="O513" i="7958"/>
  <c r="O514" i="7958" s="1"/>
  <c r="P511" i="7958" s="1"/>
  <c r="L155" i="7958"/>
  <c r="L156" i="7958" s="1"/>
  <c r="M153" i="7958" s="1"/>
  <c r="O357" i="7958"/>
  <c r="O358" i="7958" s="1"/>
  <c r="P355" i="7958" s="1"/>
  <c r="M704" i="7958"/>
  <c r="M705" i="7958" s="1"/>
  <c r="N702" i="7958" s="1"/>
  <c r="O674" i="7958"/>
  <c r="O675" i="7958" s="1"/>
  <c r="P672" i="7958" s="1"/>
  <c r="P732" i="7958"/>
  <c r="P733" i="7958" s="1"/>
  <c r="Q730" i="7958" s="1"/>
  <c r="O689" i="7958"/>
  <c r="O690" i="7958" s="1"/>
  <c r="P687" i="7958" s="1"/>
  <c r="F582" i="7958"/>
  <c r="F743" i="7958" s="1"/>
  <c r="F746" i="7958" s="1"/>
  <c r="F794" i="7958" s="1"/>
  <c r="F786" i="7958"/>
  <c r="F797" i="7958" s="1"/>
  <c r="O311" i="7958"/>
  <c r="O312" i="7958" s="1"/>
  <c r="P309" i="7958" s="1"/>
  <c r="K55" i="7958"/>
  <c r="N412" i="7958"/>
  <c r="N413" i="7958" s="1"/>
  <c r="O410" i="7958" s="1"/>
  <c r="G787" i="7958"/>
  <c r="G798" i="7958" s="1"/>
  <c r="G713" i="7958"/>
  <c r="O109" i="7958"/>
  <c r="O110" i="7958" s="1"/>
  <c r="P107" i="7958" s="1"/>
  <c r="J63" i="7958"/>
  <c r="J738" i="7958" s="1"/>
  <c r="J263" i="7958"/>
  <c r="J195" i="7958"/>
  <c r="J265" i="7958" s="1"/>
  <c r="J740" i="7958" s="1"/>
  <c r="F499" i="7958"/>
  <c r="I738" i="7958"/>
  <c r="I64" i="7958"/>
  <c r="J62" i="7958" s="1"/>
  <c r="K767" i="7958"/>
  <c r="H627" i="7958"/>
  <c r="G714" i="7958"/>
  <c r="K33" i="7958"/>
  <c r="K162" i="7958"/>
  <c r="K94" i="7958"/>
  <c r="K164" i="7958" s="1"/>
  <c r="K739" i="7958" s="1"/>
  <c r="N573" i="7958"/>
  <c r="N574" i="7958" s="1"/>
  <c r="O571" i="7958" s="1"/>
  <c r="O558" i="7958"/>
  <c r="O559" i="7958" s="1"/>
  <c r="P556" i="7958" s="1"/>
  <c r="M442" i="7958"/>
  <c r="M443" i="7958" s="1"/>
  <c r="N440" i="7958" s="1"/>
  <c r="O659" i="7958"/>
  <c r="O660" i="7958" s="1"/>
  <c r="P657" i="7958" s="1"/>
  <c r="O210" i="7958"/>
  <c r="O211" i="7958" s="1"/>
  <c r="P208" i="7958" s="1"/>
  <c r="N240" i="7958"/>
  <c r="N241" i="7958" s="1"/>
  <c r="O238" i="7958" s="1"/>
  <c r="J296" i="7958"/>
  <c r="I612" i="7958"/>
  <c r="K44" i="7958"/>
  <c r="K45" i="7958" s="1"/>
  <c r="L43" i="7958" s="1"/>
  <c r="H266" i="7958"/>
  <c r="F772" i="7958"/>
  <c r="I398" i="7958"/>
  <c r="J395" i="7958" s="1"/>
  <c r="G468" i="7958"/>
  <c r="I529" i="7958"/>
  <c r="J526" i="7958" s="1"/>
  <c r="H468" i="7958"/>
  <c r="I265" i="7958"/>
  <c r="I740" i="7958" s="1"/>
  <c r="J164" i="7958"/>
  <c r="J739" i="7958" s="1"/>
  <c r="F805" i="7958" l="1"/>
  <c r="I465" i="7958"/>
  <c r="K63" i="7958"/>
  <c r="K738" i="7958" s="1"/>
  <c r="I467" i="7958"/>
  <c r="I742" i="7958" s="1"/>
  <c r="J64" i="7958"/>
  <c r="K62" i="7958" s="1"/>
  <c r="J297" i="7958"/>
  <c r="K294" i="7958" s="1"/>
  <c r="K296" i="7958" s="1"/>
  <c r="K56" i="7958"/>
  <c r="L54" i="7958" s="1"/>
  <c r="H342" i="7958"/>
  <c r="I339" i="7958" s="1"/>
  <c r="H366" i="7958"/>
  <c r="H741" i="7958" s="1"/>
  <c r="H792" i="7958"/>
  <c r="H803" i="7958" s="1"/>
  <c r="K165" i="7958"/>
  <c r="P513" i="7958"/>
  <c r="P514" i="7958" s="1"/>
  <c r="Q511" i="7958" s="1"/>
  <c r="L767" i="7958"/>
  <c r="P210" i="7958"/>
  <c r="P211" i="7958" s="1"/>
  <c r="Q208" i="7958" s="1"/>
  <c r="O412" i="7958"/>
  <c r="O413" i="7958" s="1"/>
  <c r="P410" i="7958" s="1"/>
  <c r="P311" i="7958"/>
  <c r="P312" i="7958" s="1"/>
  <c r="Q309" i="7958" s="1"/>
  <c r="N139" i="7958"/>
  <c r="N140" i="7958" s="1"/>
  <c r="O137" i="7958" s="1"/>
  <c r="P357" i="7958"/>
  <c r="P358" i="7958" s="1"/>
  <c r="Q355" i="7958" s="1"/>
  <c r="P109" i="7958"/>
  <c r="P110" i="7958" s="1"/>
  <c r="Q107" i="7958" s="1"/>
  <c r="O573" i="7958"/>
  <c r="O574" i="7958" s="1"/>
  <c r="P571" i="7958" s="1"/>
  <c r="N442" i="7958"/>
  <c r="N443" i="7958" s="1"/>
  <c r="O440" i="7958" s="1"/>
  <c r="P689" i="7958"/>
  <c r="P690" i="7958" s="1"/>
  <c r="Q687" i="7958" s="1"/>
  <c r="H629" i="7958"/>
  <c r="H765" i="7958"/>
  <c r="H711" i="7958"/>
  <c r="J165" i="7958"/>
  <c r="L55" i="7958"/>
  <c r="L56" i="7958" s="1"/>
  <c r="M54" i="7958" s="1"/>
  <c r="Q732" i="7958"/>
  <c r="Q733" i="7958" s="1"/>
  <c r="R730" i="7958" s="1"/>
  <c r="N704" i="7958"/>
  <c r="N705" i="7958" s="1"/>
  <c r="O702" i="7958" s="1"/>
  <c r="M155" i="7958"/>
  <c r="M156" i="7958" s="1"/>
  <c r="N153" i="7958" s="1"/>
  <c r="M256" i="7958"/>
  <c r="M257" i="7958" s="1"/>
  <c r="N254" i="7958" s="1"/>
  <c r="P674" i="7958"/>
  <c r="P675" i="7958" s="1"/>
  <c r="Q672" i="7958" s="1"/>
  <c r="P659" i="7958"/>
  <c r="P660" i="7958" s="1"/>
  <c r="Q657" i="7958" s="1"/>
  <c r="I614" i="7958"/>
  <c r="K95" i="7958"/>
  <c r="L92" i="7958" s="1"/>
  <c r="K34" i="7958"/>
  <c r="L32" i="7958" s="1"/>
  <c r="J196" i="7958"/>
  <c r="K193" i="7958" s="1"/>
  <c r="J766" i="7958"/>
  <c r="J528" i="7958"/>
  <c r="J788" i="7958" s="1"/>
  <c r="O240" i="7958"/>
  <c r="O241" i="7958" s="1"/>
  <c r="P238" i="7958" s="1"/>
  <c r="P558" i="7958"/>
  <c r="P559" i="7958" s="1"/>
  <c r="Q556" i="7958" s="1"/>
  <c r="J458" i="7958"/>
  <c r="J459" i="7958" s="1"/>
  <c r="K456" i="7958" s="1"/>
  <c r="J465" i="7958"/>
  <c r="J397" i="7958"/>
  <c r="K789" i="7958"/>
  <c r="K800" i="7958" s="1"/>
  <c r="L44" i="7958"/>
  <c r="I266" i="7958"/>
  <c r="G496" i="7958"/>
  <c r="F583" i="7958"/>
  <c r="J266" i="7958"/>
  <c r="L23" i="7958"/>
  <c r="M21" i="7958" s="1"/>
  <c r="K64" i="7958" l="1"/>
  <c r="L62" i="7958" s="1"/>
  <c r="H367" i="7958"/>
  <c r="I468" i="7958"/>
  <c r="I341" i="7958"/>
  <c r="I770" i="7958"/>
  <c r="I364" i="7958"/>
  <c r="J799" i="7958"/>
  <c r="J467" i="7958"/>
  <c r="J742" i="7958" s="1"/>
  <c r="J529" i="7958"/>
  <c r="K526" i="7958" s="1"/>
  <c r="K766" i="7958" s="1"/>
  <c r="N155" i="7958"/>
  <c r="N156" i="7958" s="1"/>
  <c r="O153" i="7958" s="1"/>
  <c r="K458" i="7958"/>
  <c r="K459" i="7958" s="1"/>
  <c r="L456" i="7958" s="1"/>
  <c r="R732" i="7958"/>
  <c r="R733" i="7958" s="1"/>
  <c r="S730" i="7958" s="1"/>
  <c r="S771" i="7958" s="1"/>
  <c r="Q689" i="7958"/>
  <c r="Q690" i="7958" s="1"/>
  <c r="R687" i="7958" s="1"/>
  <c r="Q311" i="7958"/>
  <c r="Q312" i="7958" s="1"/>
  <c r="R309" i="7958" s="1"/>
  <c r="Q210" i="7958"/>
  <c r="Q211" i="7958" s="1"/>
  <c r="R208" i="7958" s="1"/>
  <c r="P240" i="7958"/>
  <c r="P241" i="7958" s="1"/>
  <c r="Q238" i="7958" s="1"/>
  <c r="P573" i="7958"/>
  <c r="P574" i="7958" s="1"/>
  <c r="Q571" i="7958" s="1"/>
  <c r="Q513" i="7958"/>
  <c r="Q514" i="7958" s="1"/>
  <c r="R511" i="7958" s="1"/>
  <c r="L789" i="7958"/>
  <c r="L800" i="7958" s="1"/>
  <c r="J398" i="7958"/>
  <c r="K395" i="7958" s="1"/>
  <c r="K297" i="7958"/>
  <c r="L294" i="7958" s="1"/>
  <c r="Q674" i="7958"/>
  <c r="Q675" i="7958" s="1"/>
  <c r="R672" i="7958" s="1"/>
  <c r="H787" i="7958"/>
  <c r="H798" i="7958" s="1"/>
  <c r="H713" i="7958"/>
  <c r="O704" i="7958"/>
  <c r="O705" i="7958" s="1"/>
  <c r="P702" i="7958" s="1"/>
  <c r="O442" i="7958"/>
  <c r="O443" i="7958" s="1"/>
  <c r="P440" i="7958" s="1"/>
  <c r="Q109" i="7958"/>
  <c r="Q110" i="7958" s="1"/>
  <c r="R107" i="7958" s="1"/>
  <c r="O139" i="7958"/>
  <c r="O140" i="7958" s="1"/>
  <c r="P137" i="7958" s="1"/>
  <c r="P412" i="7958"/>
  <c r="P413" i="7958" s="1"/>
  <c r="Q410" i="7958" s="1"/>
  <c r="L45" i="7958"/>
  <c r="M43" i="7958" s="1"/>
  <c r="M44" i="7958" s="1"/>
  <c r="M22" i="7958"/>
  <c r="M23" i="7958" s="1"/>
  <c r="N21" i="7958" s="1"/>
  <c r="G580" i="7958"/>
  <c r="G498" i="7958"/>
  <c r="G499" i="7958" s="1"/>
  <c r="G764" i="7958"/>
  <c r="Q558" i="7958"/>
  <c r="Q559" i="7958" s="1"/>
  <c r="R556" i="7958" s="1"/>
  <c r="L33" i="7958"/>
  <c r="L34" i="7958" s="1"/>
  <c r="M32" i="7958" s="1"/>
  <c r="L162" i="7958"/>
  <c r="L94" i="7958"/>
  <c r="I615" i="7958"/>
  <c r="M55" i="7958"/>
  <c r="M56" i="7958" s="1"/>
  <c r="N54" i="7958" s="1"/>
  <c r="Q357" i="7958"/>
  <c r="Q358" i="7958" s="1"/>
  <c r="R355" i="7958" s="1"/>
  <c r="Q659" i="7958"/>
  <c r="Q660" i="7958" s="1"/>
  <c r="R657" i="7958" s="1"/>
  <c r="N256" i="7958"/>
  <c r="N257" i="7958" s="1"/>
  <c r="O254" i="7958" s="1"/>
  <c r="K263" i="7958"/>
  <c r="K195" i="7958"/>
  <c r="H630" i="7958"/>
  <c r="N37" i="1"/>
  <c r="K528" i="7958" l="1"/>
  <c r="K788" i="7958" s="1"/>
  <c r="K799" i="7958" s="1"/>
  <c r="J468" i="7958"/>
  <c r="I792" i="7958"/>
  <c r="I803" i="7958" s="1"/>
  <c r="I366" i="7958"/>
  <c r="I741" i="7958" s="1"/>
  <c r="I342" i="7958"/>
  <c r="J339" i="7958" s="1"/>
  <c r="P139" i="7958"/>
  <c r="P140" i="7958" s="1"/>
  <c r="Q137" i="7958" s="1"/>
  <c r="R659" i="7958"/>
  <c r="R660" i="7958" s="1"/>
  <c r="S657" i="7958" s="1"/>
  <c r="L458" i="7958"/>
  <c r="L459" i="7958" s="1"/>
  <c r="M456" i="7958" s="1"/>
  <c r="R311" i="7958"/>
  <c r="R312" i="7958" s="1"/>
  <c r="S309" i="7958" s="1"/>
  <c r="R558" i="7958"/>
  <c r="R559" i="7958" s="1"/>
  <c r="S556" i="7958" s="1"/>
  <c r="Q573" i="7958"/>
  <c r="Q574" i="7958" s="1"/>
  <c r="R571" i="7958" s="1"/>
  <c r="O155" i="7958"/>
  <c r="O156" i="7958" s="1"/>
  <c r="P153" i="7958" s="1"/>
  <c r="K265" i="7958"/>
  <c r="K740" i="7958" s="1"/>
  <c r="L164" i="7958"/>
  <c r="L739" i="7958" s="1"/>
  <c r="M33" i="7958"/>
  <c r="M63" i="7958" s="1"/>
  <c r="M738" i="7958" s="1"/>
  <c r="G582" i="7958"/>
  <c r="G743" i="7958" s="1"/>
  <c r="G746" i="7958" s="1"/>
  <c r="G794" i="7958" s="1"/>
  <c r="G786" i="7958"/>
  <c r="G797" i="7958" s="1"/>
  <c r="Q412" i="7958"/>
  <c r="Q413" i="7958" s="1"/>
  <c r="R410" i="7958" s="1"/>
  <c r="R109" i="7958"/>
  <c r="R110" i="7958" s="1"/>
  <c r="S107" i="7958" s="1"/>
  <c r="P704" i="7958"/>
  <c r="P705" i="7958" s="1"/>
  <c r="Q702" i="7958" s="1"/>
  <c r="K465" i="7958"/>
  <c r="K397" i="7958"/>
  <c r="K467" i="7958" s="1"/>
  <c r="K742" i="7958" s="1"/>
  <c r="R513" i="7958"/>
  <c r="R514" i="7958" s="1"/>
  <c r="S511" i="7958" s="1"/>
  <c r="Q240" i="7958"/>
  <c r="Q241" i="7958" s="1"/>
  <c r="R238" i="7958" s="1"/>
  <c r="R210" i="7958"/>
  <c r="R211" i="7958" s="1"/>
  <c r="S208" i="7958" s="1"/>
  <c r="R689" i="7958"/>
  <c r="R690" i="7958" s="1"/>
  <c r="S687" i="7958" s="1"/>
  <c r="N22" i="7958"/>
  <c r="N23" i="7958" s="1"/>
  <c r="O21" i="7958" s="1"/>
  <c r="P442" i="7958"/>
  <c r="P443" i="7958" s="1"/>
  <c r="Q440" i="7958" s="1"/>
  <c r="R674" i="7958"/>
  <c r="R675" i="7958" s="1"/>
  <c r="S672" i="7958" s="1"/>
  <c r="M789" i="7958"/>
  <c r="I627" i="7958"/>
  <c r="H714" i="7958"/>
  <c r="O256" i="7958"/>
  <c r="O257" i="7958" s="1"/>
  <c r="P254" i="7958" s="1"/>
  <c r="N55" i="7958"/>
  <c r="H496" i="7958"/>
  <c r="G583" i="7958"/>
  <c r="K196" i="7958"/>
  <c r="L193" i="7958" s="1"/>
  <c r="J612" i="7958"/>
  <c r="L95" i="7958"/>
  <c r="M92" i="7958" s="1"/>
  <c r="M45" i="7958"/>
  <c r="N43" i="7958" s="1"/>
  <c r="M767" i="7958"/>
  <c r="R357" i="7958"/>
  <c r="R358" i="7958" s="1"/>
  <c r="S355" i="7958" s="1"/>
  <c r="L63" i="7958"/>
  <c r="G772" i="7958"/>
  <c r="L296" i="7958"/>
  <c r="G805" i="7958" l="1"/>
  <c r="K529" i="7958"/>
  <c r="L526" i="7958" s="1"/>
  <c r="L528" i="7958" s="1"/>
  <c r="L788" i="7958" s="1"/>
  <c r="L165" i="7958"/>
  <c r="K266" i="7958"/>
  <c r="I367" i="7958"/>
  <c r="J341" i="7958"/>
  <c r="J770" i="7958"/>
  <c r="J364" i="7958"/>
  <c r="N56" i="7958"/>
  <c r="O54" i="7958" s="1"/>
  <c r="K468" i="7958"/>
  <c r="R240" i="7958"/>
  <c r="R241" i="7958" s="1"/>
  <c r="S238" i="7958" s="1"/>
  <c r="S357" i="7958"/>
  <c r="S358" i="7958" s="1"/>
  <c r="T355" i="7958" s="1"/>
  <c r="P256" i="7958"/>
  <c r="P257" i="7958" s="1"/>
  <c r="Q254" i="7958" s="1"/>
  <c r="S674" i="7958"/>
  <c r="S791" i="7958" s="1"/>
  <c r="S769" i="7958"/>
  <c r="S311" i="7958"/>
  <c r="S312" i="7958" s="1"/>
  <c r="T309" i="7958" s="1"/>
  <c r="R412" i="7958"/>
  <c r="R413" i="7958" s="1"/>
  <c r="S410" i="7958" s="1"/>
  <c r="R573" i="7958"/>
  <c r="R574" i="7958" s="1"/>
  <c r="S571" i="7958" s="1"/>
  <c r="Q139" i="7958"/>
  <c r="Q140" i="7958" s="1"/>
  <c r="R137" i="7958" s="1"/>
  <c r="N767" i="7958"/>
  <c r="L263" i="7958"/>
  <c r="L195" i="7958"/>
  <c r="N44" i="7958"/>
  <c r="N45" i="7958" s="1"/>
  <c r="O43" i="7958" s="1"/>
  <c r="O22" i="7958"/>
  <c r="O23" i="7958" s="1"/>
  <c r="P21" i="7958" s="1"/>
  <c r="S109" i="7958"/>
  <c r="S110" i="7958" s="1"/>
  <c r="T107" i="7958" s="1"/>
  <c r="Q442" i="7958"/>
  <c r="Q443" i="7958" s="1"/>
  <c r="R440" i="7958" s="1"/>
  <c r="S210" i="7958"/>
  <c r="S211" i="7958" s="1"/>
  <c r="T208" i="7958" s="1"/>
  <c r="S513" i="7958"/>
  <c r="S514" i="7958" s="1"/>
  <c r="T511" i="7958" s="1"/>
  <c r="Q704" i="7958"/>
  <c r="Q705" i="7958" s="1"/>
  <c r="R702" i="7958" s="1"/>
  <c r="P155" i="7958"/>
  <c r="P156" i="7958" s="1"/>
  <c r="Q153" i="7958" s="1"/>
  <c r="S558" i="7958"/>
  <c r="S559" i="7958" s="1"/>
  <c r="T556" i="7958" s="1"/>
  <c r="M458" i="7958"/>
  <c r="M459" i="7958" s="1"/>
  <c r="N456" i="7958" s="1"/>
  <c r="S768" i="7958"/>
  <c r="S660" i="7958"/>
  <c r="T657" i="7958" s="1"/>
  <c r="M162" i="7958"/>
  <c r="M94" i="7958"/>
  <c r="M95" i="7958" s="1"/>
  <c r="N92" i="7958" s="1"/>
  <c r="L297" i="7958"/>
  <c r="M294" i="7958" s="1"/>
  <c r="H498" i="7958"/>
  <c r="H499" i="7958" s="1"/>
  <c r="H580" i="7958"/>
  <c r="H764" i="7958"/>
  <c r="O55" i="7958"/>
  <c r="I629" i="7958"/>
  <c r="I630" i="7958" s="1"/>
  <c r="I765" i="7958"/>
  <c r="I711" i="7958"/>
  <c r="L738" i="7958"/>
  <c r="L64" i="7958"/>
  <c r="M62" i="7958" s="1"/>
  <c r="M64" i="7958" s="1"/>
  <c r="N62" i="7958" s="1"/>
  <c r="M800" i="7958"/>
  <c r="J614" i="7958"/>
  <c r="J615" i="7958" s="1"/>
  <c r="K398" i="7958"/>
  <c r="L395" i="7958" s="1"/>
  <c r="M34" i="7958"/>
  <c r="N32" i="7958" s="1"/>
  <c r="L529" i="7958" l="1"/>
  <c r="M526" i="7958" s="1"/>
  <c r="M528" i="7958" s="1"/>
  <c r="M788" i="7958" s="1"/>
  <c r="L766" i="7958"/>
  <c r="L799" i="7958" s="1"/>
  <c r="J342" i="7958"/>
  <c r="K339" i="7958" s="1"/>
  <c r="J792" i="7958"/>
  <c r="J803" i="7958" s="1"/>
  <c r="J366" i="7958"/>
  <c r="J741" i="7958" s="1"/>
  <c r="J627" i="7958"/>
  <c r="I714" i="7958"/>
  <c r="K612" i="7958"/>
  <c r="Q155" i="7958"/>
  <c r="Q156" i="7958" s="1"/>
  <c r="R153" i="7958" s="1"/>
  <c r="T109" i="7958"/>
  <c r="T110" i="7958" s="1"/>
  <c r="U107" i="7958" s="1"/>
  <c r="Q256" i="7958"/>
  <c r="Q257" i="7958" s="1"/>
  <c r="R254" i="7958" s="1"/>
  <c r="R442" i="7958"/>
  <c r="R443" i="7958" s="1"/>
  <c r="S440" i="7958" s="1"/>
  <c r="S412" i="7958"/>
  <c r="S413" i="7958" s="1"/>
  <c r="T410" i="7958" s="1"/>
  <c r="N458" i="7958"/>
  <c r="N459" i="7958" s="1"/>
  <c r="O456" i="7958" s="1"/>
  <c r="T768" i="7958"/>
  <c r="T660" i="7958"/>
  <c r="U657" i="7958" s="1"/>
  <c r="T513" i="7958"/>
  <c r="T514" i="7958" s="1"/>
  <c r="U511" i="7958" s="1"/>
  <c r="O767" i="7958"/>
  <c r="R139" i="7958"/>
  <c r="R140" i="7958" s="1"/>
  <c r="S137" i="7958" s="1"/>
  <c r="S240" i="7958"/>
  <c r="S241" i="7958" s="1"/>
  <c r="T238" i="7958" s="1"/>
  <c r="L465" i="7958"/>
  <c r="L397" i="7958"/>
  <c r="L467" i="7958" s="1"/>
  <c r="L742" i="7958" s="1"/>
  <c r="I496" i="7958"/>
  <c r="H583" i="7958"/>
  <c r="T558" i="7958"/>
  <c r="T559" i="7958" s="1"/>
  <c r="U556" i="7958" s="1"/>
  <c r="L265" i="7958"/>
  <c r="L740" i="7958" s="1"/>
  <c r="S573" i="7958"/>
  <c r="S574" i="7958" s="1"/>
  <c r="T571" i="7958" s="1"/>
  <c r="T311" i="7958"/>
  <c r="T312" i="7958" s="1"/>
  <c r="U309" i="7958" s="1"/>
  <c r="S802" i="7958"/>
  <c r="N162" i="7958"/>
  <c r="N94" i="7958"/>
  <c r="N95" i="7958" s="1"/>
  <c r="O92" i="7958" s="1"/>
  <c r="R704" i="7958"/>
  <c r="R705" i="7958" s="1"/>
  <c r="S702" i="7958" s="1"/>
  <c r="T210" i="7958"/>
  <c r="T211" i="7958" s="1"/>
  <c r="U208" i="7958" s="1"/>
  <c r="P22" i="7958"/>
  <c r="P23" i="7958" s="1"/>
  <c r="Q21" i="7958" s="1"/>
  <c r="T357" i="7958"/>
  <c r="T358" i="7958" s="1"/>
  <c r="U355" i="7958" s="1"/>
  <c r="H772" i="7958"/>
  <c r="S790" i="7958"/>
  <c r="S801" i="7958" s="1"/>
  <c r="N789" i="7958"/>
  <c r="N800" i="7958" s="1"/>
  <c r="O44" i="7958"/>
  <c r="O45" i="7958" s="1"/>
  <c r="P43" i="7958" s="1"/>
  <c r="L196" i="7958"/>
  <c r="M193" i="7958" s="1"/>
  <c r="I787" i="7958"/>
  <c r="I798" i="7958" s="1"/>
  <c r="I713" i="7958"/>
  <c r="M296" i="7958"/>
  <c r="N33" i="7958"/>
  <c r="M766" i="7958"/>
  <c r="O56" i="7958"/>
  <c r="P54" i="7958" s="1"/>
  <c r="H582" i="7958"/>
  <c r="H743" i="7958" s="1"/>
  <c r="H746" i="7958" s="1"/>
  <c r="H794" i="7958" s="1"/>
  <c r="H786" i="7958"/>
  <c r="H797" i="7958" s="1"/>
  <c r="M164" i="7958"/>
  <c r="M739" i="7958" s="1"/>
  <c r="S675" i="7958"/>
  <c r="T672" i="7958" s="1"/>
  <c r="M799" i="7958" l="1"/>
  <c r="M529" i="7958"/>
  <c r="N526" i="7958" s="1"/>
  <c r="N528" i="7958" s="1"/>
  <c r="N788" i="7958" s="1"/>
  <c r="L468" i="7958"/>
  <c r="M297" i="7958"/>
  <c r="N294" i="7958" s="1"/>
  <c r="N296" i="7958" s="1"/>
  <c r="L398" i="7958"/>
  <c r="M395" i="7958" s="1"/>
  <c r="M465" i="7958" s="1"/>
  <c r="K341" i="7958"/>
  <c r="K770" i="7958"/>
  <c r="K364" i="7958"/>
  <c r="J367" i="7958"/>
  <c r="T573" i="7958"/>
  <c r="T574" i="7958" s="1"/>
  <c r="U571" i="7958" s="1"/>
  <c r="R155" i="7958"/>
  <c r="R156" i="7958" s="1"/>
  <c r="S153" i="7958" s="1"/>
  <c r="S139" i="7958"/>
  <c r="S140" i="7958" s="1"/>
  <c r="T137" i="7958" s="1"/>
  <c r="R256" i="7958"/>
  <c r="R257" i="7958" s="1"/>
  <c r="S254" i="7958" s="1"/>
  <c r="P767" i="7958"/>
  <c r="S442" i="7958"/>
  <c r="S443" i="7958" s="1"/>
  <c r="T440" i="7958" s="1"/>
  <c r="U210" i="7958"/>
  <c r="U211" i="7958" s="1"/>
  <c r="V208" i="7958" s="1"/>
  <c r="U513" i="7958"/>
  <c r="U514" i="7958" s="1"/>
  <c r="V511" i="7958" s="1"/>
  <c r="O458" i="7958"/>
  <c r="O459" i="7958" s="1"/>
  <c r="P456" i="7958" s="1"/>
  <c r="P55" i="7958"/>
  <c r="N766" i="7958"/>
  <c r="M263" i="7958"/>
  <c r="M195" i="7958"/>
  <c r="M196" i="7958" s="1"/>
  <c r="N193" i="7958" s="1"/>
  <c r="U558" i="7958"/>
  <c r="U559" i="7958" s="1"/>
  <c r="V556" i="7958" s="1"/>
  <c r="T240" i="7958"/>
  <c r="T241" i="7958" s="1"/>
  <c r="U238" i="7958" s="1"/>
  <c r="O789" i="7958"/>
  <c r="O800" i="7958" s="1"/>
  <c r="P44" i="7958"/>
  <c r="U357" i="7958"/>
  <c r="U358" i="7958" s="1"/>
  <c r="V355" i="7958" s="1"/>
  <c r="Q22" i="7958"/>
  <c r="S704" i="7958"/>
  <c r="O162" i="7958"/>
  <c r="O94" i="7958"/>
  <c r="O95" i="7958" s="1"/>
  <c r="P92" i="7958" s="1"/>
  <c r="U311" i="7958"/>
  <c r="U312" i="7958" s="1"/>
  <c r="V309" i="7958" s="1"/>
  <c r="M165" i="7958"/>
  <c r="U768" i="7958"/>
  <c r="U660" i="7958"/>
  <c r="V657" i="7958" s="1"/>
  <c r="T412" i="7958"/>
  <c r="T413" i="7958" s="1"/>
  <c r="U410" i="7958" s="1"/>
  <c r="U109" i="7958"/>
  <c r="U110" i="7958" s="1"/>
  <c r="V107" i="7958" s="1"/>
  <c r="K614" i="7958"/>
  <c r="K615" i="7958" s="1"/>
  <c r="T674" i="7958"/>
  <c r="T791" i="7958" s="1"/>
  <c r="T769" i="7958"/>
  <c r="N63" i="7958"/>
  <c r="H805" i="7958"/>
  <c r="L266" i="7958"/>
  <c r="N34" i="7958"/>
  <c r="O32" i="7958" s="1"/>
  <c r="N164" i="7958"/>
  <c r="N739" i="7958" s="1"/>
  <c r="I580" i="7958"/>
  <c r="I498" i="7958"/>
  <c r="I764" i="7958"/>
  <c r="T790" i="7958"/>
  <c r="T801" i="7958" s="1"/>
  <c r="J629" i="7958"/>
  <c r="J765" i="7958"/>
  <c r="J711" i="7958"/>
  <c r="I182" i="1"/>
  <c r="M397" i="7958" l="1"/>
  <c r="M467" i="7958" s="1"/>
  <c r="M742" i="7958" s="1"/>
  <c r="K342" i="7958"/>
  <c r="L339" i="7958" s="1"/>
  <c r="K792" i="7958"/>
  <c r="K803" i="7958" s="1"/>
  <c r="K366" i="7958"/>
  <c r="K741" i="7958" s="1"/>
  <c r="N799" i="7958"/>
  <c r="V109" i="7958"/>
  <c r="V110" i="7958" s="1"/>
  <c r="W107" i="7958" s="1"/>
  <c r="T139" i="7958"/>
  <c r="T140" i="7958" s="1"/>
  <c r="U137" i="7958" s="1"/>
  <c r="U412" i="7958"/>
  <c r="U413" i="7958" s="1"/>
  <c r="V410" i="7958" s="1"/>
  <c r="V210" i="7958"/>
  <c r="V211" i="7958" s="1"/>
  <c r="W208" i="7958" s="1"/>
  <c r="U240" i="7958"/>
  <c r="U241" i="7958" s="1"/>
  <c r="V238" i="7958" s="1"/>
  <c r="V311" i="7958"/>
  <c r="V312" i="7958" s="1"/>
  <c r="W309" i="7958" s="1"/>
  <c r="P458" i="7958"/>
  <c r="P459" i="7958" s="1"/>
  <c r="Q456" i="7958" s="1"/>
  <c r="U573" i="7958"/>
  <c r="U574" i="7958" s="1"/>
  <c r="V571" i="7958" s="1"/>
  <c r="I582" i="7958"/>
  <c r="I743" i="7958" s="1"/>
  <c r="I746" i="7958" s="1"/>
  <c r="I794" i="7958" s="1"/>
  <c r="I786" i="7958"/>
  <c r="I797" i="7958" s="1"/>
  <c r="J787" i="7958"/>
  <c r="J798" i="7958" s="1"/>
  <c r="J713" i="7958"/>
  <c r="I499" i="7958"/>
  <c r="J630" i="7958"/>
  <c r="I772" i="7958"/>
  <c r="O33" i="7958"/>
  <c r="O34" i="7958" s="1"/>
  <c r="P32" i="7958" s="1"/>
  <c r="T802" i="7958"/>
  <c r="U790" i="7958"/>
  <c r="U801" i="7958" s="1"/>
  <c r="M468" i="7958"/>
  <c r="O164" i="7958"/>
  <c r="O739" i="7958" s="1"/>
  <c r="S705" i="7958"/>
  <c r="T702" i="7958" s="1"/>
  <c r="M265" i="7958"/>
  <c r="M740" i="7958" s="1"/>
  <c r="N529" i="7958"/>
  <c r="O526" i="7958" s="1"/>
  <c r="P56" i="7958"/>
  <c r="Q54" i="7958" s="1"/>
  <c r="V513" i="7958"/>
  <c r="V514" i="7958" s="1"/>
  <c r="W511" i="7958" s="1"/>
  <c r="T442" i="7958"/>
  <c r="T443" i="7958" s="1"/>
  <c r="U440" i="7958" s="1"/>
  <c r="S256" i="7958"/>
  <c r="S257" i="7958" s="1"/>
  <c r="T254" i="7958" s="1"/>
  <c r="V357" i="7958"/>
  <c r="V358" i="7958" s="1"/>
  <c r="W355" i="7958" s="1"/>
  <c r="V558" i="7958"/>
  <c r="V559" i="7958" s="1"/>
  <c r="W556" i="7958" s="1"/>
  <c r="N263" i="7958"/>
  <c r="N195" i="7958"/>
  <c r="N196" i="7958" s="1"/>
  <c r="O193" i="7958" s="1"/>
  <c r="S155" i="7958"/>
  <c r="S156" i="7958" s="1"/>
  <c r="T153" i="7958" s="1"/>
  <c r="N297" i="7958"/>
  <c r="O294" i="7958" s="1"/>
  <c r="N738" i="7958"/>
  <c r="N64" i="7958"/>
  <c r="O62" i="7958" s="1"/>
  <c r="T675" i="7958"/>
  <c r="U672" i="7958" s="1"/>
  <c r="V768" i="7958"/>
  <c r="P162" i="7958"/>
  <c r="P94" i="7958"/>
  <c r="P789" i="7958"/>
  <c r="P800" i="7958" s="1"/>
  <c r="N165" i="7958"/>
  <c r="P45" i="7958"/>
  <c r="Q43" i="7958" s="1"/>
  <c r="Q44" i="7958" s="1"/>
  <c r="L612" i="7958"/>
  <c r="Q23" i="7958"/>
  <c r="R21" i="7958" s="1"/>
  <c r="M398" i="7958" l="1"/>
  <c r="N395" i="7958" s="1"/>
  <c r="K367" i="7958"/>
  <c r="O165" i="7958"/>
  <c r="I805" i="7958"/>
  <c r="M266" i="7958"/>
  <c r="L341" i="7958"/>
  <c r="L342" i="7958" s="1"/>
  <c r="M339" i="7958" s="1"/>
  <c r="L770" i="7958"/>
  <c r="L364" i="7958"/>
  <c r="V240" i="7958"/>
  <c r="V241" i="7958" s="1"/>
  <c r="W238" i="7958" s="1"/>
  <c r="W558" i="7958"/>
  <c r="W559" i="7958" s="1"/>
  <c r="V412" i="7958"/>
  <c r="V413" i="7958" s="1"/>
  <c r="W410" i="7958" s="1"/>
  <c r="Q458" i="7958"/>
  <c r="Q459" i="7958" s="1"/>
  <c r="R456" i="7958" s="1"/>
  <c r="W109" i="7958"/>
  <c r="W110" i="7958" s="1"/>
  <c r="R22" i="7958"/>
  <c r="P164" i="7958"/>
  <c r="P739" i="7958" s="1"/>
  <c r="U674" i="7958"/>
  <c r="U675" i="7958" s="1"/>
  <c r="V672" i="7958" s="1"/>
  <c r="U769" i="7958"/>
  <c r="T155" i="7958"/>
  <c r="T156" i="7958" s="1"/>
  <c r="U153" i="7958" s="1"/>
  <c r="O263" i="7958"/>
  <c r="O195" i="7958"/>
  <c r="O196" i="7958" s="1"/>
  <c r="P193" i="7958" s="1"/>
  <c r="T256" i="7958"/>
  <c r="T257" i="7958" s="1"/>
  <c r="U254" i="7958" s="1"/>
  <c r="W513" i="7958"/>
  <c r="W514" i="7958" s="1"/>
  <c r="O63" i="7958"/>
  <c r="O738" i="7958" s="1"/>
  <c r="L614" i="7958"/>
  <c r="V790" i="7958"/>
  <c r="V801" i="7958" s="1"/>
  <c r="W357" i="7958"/>
  <c r="W358" i="7958" s="1"/>
  <c r="U442" i="7958"/>
  <c r="U443" i="7958" s="1"/>
  <c r="V440" i="7958" s="1"/>
  <c r="Q55" i="7958"/>
  <c r="T704" i="7958"/>
  <c r="T705" i="7958" s="1"/>
  <c r="U702" i="7958" s="1"/>
  <c r="K627" i="7958"/>
  <c r="J714" i="7958"/>
  <c r="V573" i="7958"/>
  <c r="V574" i="7958" s="1"/>
  <c r="W571" i="7958" s="1"/>
  <c r="W311" i="7958"/>
  <c r="W312" i="7958" s="1"/>
  <c r="W210" i="7958"/>
  <c r="W211" i="7958" s="1"/>
  <c r="U139" i="7958"/>
  <c r="U140" i="7958" s="1"/>
  <c r="V137" i="7958" s="1"/>
  <c r="Q45" i="7958"/>
  <c r="R43" i="7958" s="1"/>
  <c r="R44" i="7958" s="1"/>
  <c r="Q767" i="7958"/>
  <c r="P95" i="7958"/>
  <c r="Q92" i="7958" s="1"/>
  <c r="O766" i="7958"/>
  <c r="O528" i="7958"/>
  <c r="O788" i="7958" s="1"/>
  <c r="P33" i="7958"/>
  <c r="J496" i="7958"/>
  <c r="I583" i="7958"/>
  <c r="Q789" i="7958"/>
  <c r="V660" i="7958"/>
  <c r="W657" i="7958" s="1"/>
  <c r="O296" i="7958"/>
  <c r="N265" i="7958"/>
  <c r="N740" i="7958" s="1"/>
  <c r="I179" i="1"/>
  <c r="J179" i="1" s="1"/>
  <c r="H183" i="1"/>
  <c r="H184" i="1" s="1"/>
  <c r="M178" i="1"/>
  <c r="N178" i="1" s="1"/>
  <c r="N465" i="7958" l="1"/>
  <c r="N397" i="7958"/>
  <c r="O799" i="7958"/>
  <c r="O64" i="7958"/>
  <c r="P62" i="7958" s="1"/>
  <c r="M341" i="7958"/>
  <c r="M770" i="7958"/>
  <c r="P165" i="7958"/>
  <c r="L792" i="7958"/>
  <c r="L803" i="7958" s="1"/>
  <c r="L366" i="7958"/>
  <c r="L741" i="7958" s="1"/>
  <c r="Q56" i="7958"/>
  <c r="R54" i="7958" s="1"/>
  <c r="R55" i="7958" s="1"/>
  <c r="U155" i="7958"/>
  <c r="U156" i="7958" s="1"/>
  <c r="V153" i="7958" s="1"/>
  <c r="V139" i="7958"/>
  <c r="V140" i="7958" s="1"/>
  <c r="W137" i="7958" s="1"/>
  <c r="W412" i="7958"/>
  <c r="W413" i="7958" s="1"/>
  <c r="V442" i="7958"/>
  <c r="V443" i="7958" s="1"/>
  <c r="W440" i="7958" s="1"/>
  <c r="W240" i="7958"/>
  <c r="W241" i="7958" s="1"/>
  <c r="W768" i="7958"/>
  <c r="W660" i="7958"/>
  <c r="J580" i="7958"/>
  <c r="J498" i="7958"/>
  <c r="J499" i="7958" s="1"/>
  <c r="J764" i="7958"/>
  <c r="R45" i="7958"/>
  <c r="S43" i="7958" s="1"/>
  <c r="S767" i="7958" s="1"/>
  <c r="R767" i="7958"/>
  <c r="W573" i="7958"/>
  <c r="W574" i="7958" s="1"/>
  <c r="N266" i="7958"/>
  <c r="U256" i="7958"/>
  <c r="U257" i="7958" s="1"/>
  <c r="V254" i="7958" s="1"/>
  <c r="P263" i="7958"/>
  <c r="P195" i="7958"/>
  <c r="P196" i="7958" s="1"/>
  <c r="Q193" i="7958" s="1"/>
  <c r="V769" i="7958"/>
  <c r="V674" i="7958"/>
  <c r="V675" i="7958" s="1"/>
  <c r="W672" i="7958" s="1"/>
  <c r="R458" i="7958"/>
  <c r="R459" i="7958" s="1"/>
  <c r="S456" i="7958" s="1"/>
  <c r="P63" i="7958"/>
  <c r="P738" i="7958" s="1"/>
  <c r="Q162" i="7958"/>
  <c r="Q94" i="7958"/>
  <c r="Q95" i="7958" s="1"/>
  <c r="R92" i="7958" s="1"/>
  <c r="L615" i="7958"/>
  <c r="U791" i="7958"/>
  <c r="U802" i="7958" s="1"/>
  <c r="R789" i="7958"/>
  <c r="S44" i="7958"/>
  <c r="S789" i="7958" s="1"/>
  <c r="U704" i="7958"/>
  <c r="O529" i="7958"/>
  <c r="P526" i="7958" s="1"/>
  <c r="O297" i="7958"/>
  <c r="P294" i="7958" s="1"/>
  <c r="P34" i="7958"/>
  <c r="Q32" i="7958" s="1"/>
  <c r="Q800" i="7958"/>
  <c r="K629" i="7958"/>
  <c r="K765" i="7958"/>
  <c r="K711" i="7958"/>
  <c r="O265" i="7958"/>
  <c r="O740" i="7958" s="1"/>
  <c r="R23" i="7958"/>
  <c r="S21" i="7958" s="1"/>
  <c r="N467" i="7958" l="1"/>
  <c r="N742" i="7958" s="1"/>
  <c r="N398" i="7958"/>
  <c r="O395" i="7958" s="1"/>
  <c r="N468" i="7958"/>
  <c r="M792" i="7958"/>
  <c r="M803" i="7958" s="1"/>
  <c r="M366" i="7958"/>
  <c r="M741" i="7958" s="1"/>
  <c r="L367" i="7958"/>
  <c r="M364" i="7958" s="1"/>
  <c r="M342" i="7958"/>
  <c r="N339" i="7958" s="1"/>
  <c r="U705" i="7958"/>
  <c r="V702" i="7958" s="1"/>
  <c r="V704" i="7958" s="1"/>
  <c r="V705" i="7958" s="1"/>
  <c r="W702" i="7958" s="1"/>
  <c r="W139" i="7958"/>
  <c r="W140" i="7958" s="1"/>
  <c r="S458" i="7958"/>
  <c r="S459" i="7958" s="1"/>
  <c r="T456" i="7958" s="1"/>
  <c r="V155" i="7958"/>
  <c r="V156" i="7958" s="1"/>
  <c r="W153" i="7958" s="1"/>
  <c r="V791" i="7958"/>
  <c r="V802" i="7958" s="1"/>
  <c r="P265" i="7958"/>
  <c r="P740" i="7958" s="1"/>
  <c r="V256" i="7958"/>
  <c r="V257" i="7958" s="1"/>
  <c r="W254" i="7958" s="1"/>
  <c r="R800" i="7958"/>
  <c r="K496" i="7958"/>
  <c r="J583" i="7958"/>
  <c r="O266" i="7958"/>
  <c r="S45" i="7958"/>
  <c r="T43" i="7958" s="1"/>
  <c r="T767" i="7958" s="1"/>
  <c r="W442" i="7958"/>
  <c r="W443" i="7958" s="1"/>
  <c r="K787" i="7958"/>
  <c r="K798" i="7958" s="1"/>
  <c r="K713" i="7958"/>
  <c r="P296" i="7958"/>
  <c r="R162" i="7958"/>
  <c r="R94" i="7958"/>
  <c r="R95" i="7958" s="1"/>
  <c r="S92" i="7958" s="1"/>
  <c r="K630" i="7958"/>
  <c r="W674" i="7958"/>
  <c r="W791" i="7958" s="1"/>
  <c r="W769" i="7958"/>
  <c r="Q263" i="7958"/>
  <c r="Q195" i="7958"/>
  <c r="Q265" i="7958" s="1"/>
  <c r="Q740" i="7958" s="1"/>
  <c r="J772" i="7958"/>
  <c r="P64" i="7958"/>
  <c r="Q62" i="7958" s="1"/>
  <c r="M612" i="7958"/>
  <c r="S22" i="7958"/>
  <c r="P528" i="7958"/>
  <c r="P788" i="7958" s="1"/>
  <c r="P766" i="7958"/>
  <c r="Q33" i="7958"/>
  <c r="Q164" i="7958"/>
  <c r="Q739" i="7958" s="1"/>
  <c r="R56" i="7958"/>
  <c r="S54" i="7958" s="1"/>
  <c r="J582" i="7958"/>
  <c r="J743" i="7958" s="1"/>
  <c r="J746" i="7958" s="1"/>
  <c r="J794" i="7958" s="1"/>
  <c r="J786" i="7958"/>
  <c r="J797" i="7958" s="1"/>
  <c r="W790" i="7958"/>
  <c r="W801" i="7958" s="1"/>
  <c r="O397" i="7958" l="1"/>
  <c r="O465" i="7958"/>
  <c r="S800" i="7958"/>
  <c r="Q266" i="7958"/>
  <c r="N341" i="7958"/>
  <c r="N770" i="7958"/>
  <c r="P799" i="7958"/>
  <c r="W675" i="7958"/>
  <c r="P297" i="7958"/>
  <c r="Q294" i="7958" s="1"/>
  <c r="Q296" i="7958" s="1"/>
  <c r="M367" i="7958"/>
  <c r="N364" i="7958" s="1"/>
  <c r="Q196" i="7958"/>
  <c r="R193" i="7958" s="1"/>
  <c r="R195" i="7958" s="1"/>
  <c r="R265" i="7958" s="1"/>
  <c r="R740" i="7958" s="1"/>
  <c r="P266" i="7958"/>
  <c r="T458" i="7958"/>
  <c r="T459" i="7958" s="1"/>
  <c r="U456" i="7958" s="1"/>
  <c r="Q63" i="7958"/>
  <c r="Q738" i="7958" s="1"/>
  <c r="R263" i="7958"/>
  <c r="R164" i="7958"/>
  <c r="R739" i="7958" s="1"/>
  <c r="W704" i="7958"/>
  <c r="W155" i="7958"/>
  <c r="W156" i="7958" s="1"/>
  <c r="W256" i="7958"/>
  <c r="W257" i="7958" s="1"/>
  <c r="S55" i="7958"/>
  <c r="J805" i="7958"/>
  <c r="L627" i="7958"/>
  <c r="K714" i="7958"/>
  <c r="S162" i="7958"/>
  <c r="S94" i="7958"/>
  <c r="S164" i="7958" s="1"/>
  <c r="S739" i="7958" s="1"/>
  <c r="T44" i="7958"/>
  <c r="K580" i="7958"/>
  <c r="K498" i="7958"/>
  <c r="K499" i="7958" s="1"/>
  <c r="K764" i="7958"/>
  <c r="Q165" i="7958"/>
  <c r="Q34" i="7958"/>
  <c r="R32" i="7958" s="1"/>
  <c r="P529" i="7958"/>
  <c r="Q526" i="7958" s="1"/>
  <c r="S23" i="7958"/>
  <c r="T21" i="7958" s="1"/>
  <c r="M614" i="7958"/>
  <c r="W802" i="7958"/>
  <c r="E27" i="7959" s="1"/>
  <c r="J71" i="1"/>
  <c r="T613" i="7958"/>
  <c r="S613" i="7958"/>
  <c r="T45" i="7958" l="1"/>
  <c r="U43" i="7958" s="1"/>
  <c r="U767" i="7958" s="1"/>
  <c r="T789" i="7958"/>
  <c r="O468" i="7958"/>
  <c r="O467" i="7958"/>
  <c r="O742" i="7958" s="1"/>
  <c r="O398" i="7958"/>
  <c r="P395" i="7958" s="1"/>
  <c r="Q64" i="7958"/>
  <c r="R62" i="7958" s="1"/>
  <c r="R165" i="7958"/>
  <c r="T775" i="7958"/>
  <c r="T614" i="7958"/>
  <c r="S688" i="7958"/>
  <c r="T628" i="7958"/>
  <c r="T688" i="7958"/>
  <c r="S614" i="7958"/>
  <c r="S775" i="7958"/>
  <c r="U614" i="7958"/>
  <c r="S628" i="7958"/>
  <c r="N342" i="7958"/>
  <c r="O339" i="7958" s="1"/>
  <c r="N792" i="7958"/>
  <c r="N803" i="7958" s="1"/>
  <c r="N366" i="7958"/>
  <c r="N741" i="7958" s="1"/>
  <c r="U458" i="7958"/>
  <c r="U459" i="7958" s="1"/>
  <c r="V456" i="7958" s="1"/>
  <c r="Q528" i="7958"/>
  <c r="Q788" i="7958" s="1"/>
  <c r="Q766" i="7958"/>
  <c r="L496" i="7958"/>
  <c r="K583" i="7958"/>
  <c r="L629" i="7958"/>
  <c r="L765" i="7958"/>
  <c r="L711" i="7958"/>
  <c r="M615" i="7958"/>
  <c r="U44" i="7958"/>
  <c r="S56" i="7958"/>
  <c r="T54" i="7958" s="1"/>
  <c r="Q297" i="7958"/>
  <c r="R294" i="7958" s="1"/>
  <c r="R196" i="7958"/>
  <c r="S193" i="7958" s="1"/>
  <c r="R33" i="7958"/>
  <c r="K772" i="7958"/>
  <c r="S165" i="7958"/>
  <c r="T22" i="7958"/>
  <c r="T23" i="7958" s="1"/>
  <c r="U21" i="7958" s="1"/>
  <c r="K582" i="7958"/>
  <c r="K743" i="7958" s="1"/>
  <c r="K746" i="7958" s="1"/>
  <c r="K794" i="7958" s="1"/>
  <c r="K786" i="7958"/>
  <c r="K797" i="7958" s="1"/>
  <c r="T800" i="7958"/>
  <c r="S95" i="7958"/>
  <c r="T92" i="7958" s="1"/>
  <c r="W705" i="7958"/>
  <c r="R266" i="7958"/>
  <c r="V613" i="7958"/>
  <c r="H71" i="1"/>
  <c r="U45" i="7958" l="1"/>
  <c r="V43" i="7958" s="1"/>
  <c r="V767" i="7958" s="1"/>
  <c r="U789" i="7958"/>
  <c r="P465" i="7958"/>
  <c r="P468" i="7958" s="1"/>
  <c r="P397" i="7958"/>
  <c r="P467" i="7958" s="1"/>
  <c r="P742" i="7958" s="1"/>
  <c r="P398" i="7958"/>
  <c r="Q395" i="7958" s="1"/>
  <c r="S643" i="7958"/>
  <c r="S712" i="7958" s="1"/>
  <c r="S755" i="7958" s="1"/>
  <c r="T781" i="7958"/>
  <c r="T689" i="7958"/>
  <c r="T776" i="7958"/>
  <c r="T629" i="7958"/>
  <c r="V775" i="7958"/>
  <c r="V614" i="7958"/>
  <c r="S781" i="7958"/>
  <c r="S689" i="7958"/>
  <c r="S690" i="7958" s="1"/>
  <c r="T687" i="7958" s="1"/>
  <c r="U689" i="7958"/>
  <c r="S776" i="7958"/>
  <c r="S629" i="7958"/>
  <c r="U629" i="7958"/>
  <c r="T643" i="7958"/>
  <c r="T712" i="7958" s="1"/>
  <c r="T755" i="7958" s="1"/>
  <c r="T757" i="7958" s="1"/>
  <c r="Q799" i="7958"/>
  <c r="O341" i="7958"/>
  <c r="O770" i="7958"/>
  <c r="N367" i="7958"/>
  <c r="O364" i="7958" s="1"/>
  <c r="R296" i="7958"/>
  <c r="L787" i="7958"/>
  <c r="L798" i="7958" s="1"/>
  <c r="L713" i="7958"/>
  <c r="L498" i="7958"/>
  <c r="L580" i="7958"/>
  <c r="L764" i="7958"/>
  <c r="R63" i="7958"/>
  <c r="V458" i="7958"/>
  <c r="V459" i="7958" s="1"/>
  <c r="W456" i="7958" s="1"/>
  <c r="U22" i="7958"/>
  <c r="T55" i="7958"/>
  <c r="K805" i="7958"/>
  <c r="R34" i="7958"/>
  <c r="S32" i="7958" s="1"/>
  <c r="N612" i="7958"/>
  <c r="T162" i="7958"/>
  <c r="T94" i="7958"/>
  <c r="T164" i="7958" s="1"/>
  <c r="T739" i="7958" s="1"/>
  <c r="S263" i="7958"/>
  <c r="S195" i="7958"/>
  <c r="S196" i="7958" s="1"/>
  <c r="T193" i="7958" s="1"/>
  <c r="U800" i="7958"/>
  <c r="V44" i="7958"/>
  <c r="V789" i="7958" s="1"/>
  <c r="L630" i="7958"/>
  <c r="Q529" i="7958"/>
  <c r="R526" i="7958" s="1"/>
  <c r="M13" i="1"/>
  <c r="Q465" i="7958" l="1"/>
  <c r="Q397" i="7958"/>
  <c r="Q467" i="7958" s="1"/>
  <c r="Q742" i="7958" s="1"/>
  <c r="T165" i="7958"/>
  <c r="T95" i="7958"/>
  <c r="U92" i="7958" s="1"/>
  <c r="U94" i="7958" s="1"/>
  <c r="U164" i="7958" s="1"/>
  <c r="U739" i="7958" s="1"/>
  <c r="S644" i="7958"/>
  <c r="S645" i="7958" s="1"/>
  <c r="T642" i="7958" s="1"/>
  <c r="T690" i="7958"/>
  <c r="U687" i="7958" s="1"/>
  <c r="U690" i="7958" s="1"/>
  <c r="V687" i="7958" s="1"/>
  <c r="S777" i="7958"/>
  <c r="W688" i="7958"/>
  <c r="V628" i="7958"/>
  <c r="W628" i="7958"/>
  <c r="V688" i="7958"/>
  <c r="T777" i="7958"/>
  <c r="T783" i="7958" s="1"/>
  <c r="T644" i="7958"/>
  <c r="T713" i="7958" s="1"/>
  <c r="T744" i="7958" s="1"/>
  <c r="U644" i="7958"/>
  <c r="U713" i="7958" s="1"/>
  <c r="U744" i="7958" s="1"/>
  <c r="O792" i="7958"/>
  <c r="O803" i="7958" s="1"/>
  <c r="O366" i="7958"/>
  <c r="O741" i="7958" s="1"/>
  <c r="O342" i="7958"/>
  <c r="P339" i="7958" s="1"/>
  <c r="W458" i="7958"/>
  <c r="W459" i="7958" s="1"/>
  <c r="V800" i="7958"/>
  <c r="L772" i="7958"/>
  <c r="T195" i="7958"/>
  <c r="T196" i="7958" s="1"/>
  <c r="U193" i="7958" s="1"/>
  <c r="T263" i="7958"/>
  <c r="N614" i="7958"/>
  <c r="S33" i="7958"/>
  <c r="U23" i="7958"/>
  <c r="V21" i="7958" s="1"/>
  <c r="R738" i="7958"/>
  <c r="R64" i="7958"/>
  <c r="S62" i="7958" s="1"/>
  <c r="L582" i="7958"/>
  <c r="L743" i="7958" s="1"/>
  <c r="L746" i="7958" s="1"/>
  <c r="L794" i="7958" s="1"/>
  <c r="L786" i="7958"/>
  <c r="L797" i="7958" s="1"/>
  <c r="R297" i="7958"/>
  <c r="S294" i="7958" s="1"/>
  <c r="R766" i="7958"/>
  <c r="R528" i="7958"/>
  <c r="R788" i="7958" s="1"/>
  <c r="M627" i="7958"/>
  <c r="L714" i="7958"/>
  <c r="S265" i="7958"/>
  <c r="S740" i="7958" s="1"/>
  <c r="T56" i="7958"/>
  <c r="U54" i="7958" s="1"/>
  <c r="L499" i="7958"/>
  <c r="V45" i="7958"/>
  <c r="W43" i="7958" s="1"/>
  <c r="W767" i="7958" s="1"/>
  <c r="F5" i="1"/>
  <c r="Q398" i="7958" l="1"/>
  <c r="R395" i="7958" s="1"/>
  <c r="R465" i="7958" s="1"/>
  <c r="Q468" i="7958"/>
  <c r="U162" i="7958"/>
  <c r="R397" i="7958"/>
  <c r="R467" i="7958" s="1"/>
  <c r="R742" i="7958" s="1"/>
  <c r="S713" i="7958"/>
  <c r="S744" i="7958" s="1"/>
  <c r="U165" i="7958"/>
  <c r="W643" i="7958"/>
  <c r="W777" i="7958" s="1"/>
  <c r="V643" i="7958"/>
  <c r="T645" i="7958"/>
  <c r="U642" i="7958" s="1"/>
  <c r="U645" i="7958" s="1"/>
  <c r="V642" i="7958" s="1"/>
  <c r="V781" i="7958"/>
  <c r="V689" i="7958"/>
  <c r="V690" i="7958" s="1"/>
  <c r="W687" i="7958" s="1"/>
  <c r="V629" i="7958"/>
  <c r="V776" i="7958"/>
  <c r="W776" i="7958"/>
  <c r="W629" i="7958"/>
  <c r="W781" i="7958"/>
  <c r="W689" i="7958"/>
  <c r="P341" i="7958"/>
  <c r="P770" i="7958"/>
  <c r="R529" i="7958"/>
  <c r="S526" i="7958" s="1"/>
  <c r="S766" i="7958" s="1"/>
  <c r="U95" i="7958"/>
  <c r="V92" i="7958" s="1"/>
  <c r="V162" i="7958" s="1"/>
  <c r="O367" i="7958"/>
  <c r="P364" i="7958" s="1"/>
  <c r="T265" i="7958"/>
  <c r="T740" i="7958" s="1"/>
  <c r="U263" i="7958"/>
  <c r="U195" i="7958"/>
  <c r="U265" i="7958" s="1"/>
  <c r="U740" i="7958" s="1"/>
  <c r="L805" i="7958"/>
  <c r="S787" i="7958"/>
  <c r="S63" i="7958"/>
  <c r="S738" i="7958" s="1"/>
  <c r="M496" i="7958"/>
  <c r="L583" i="7958"/>
  <c r="S296" i="7958"/>
  <c r="S297" i="7958" s="1"/>
  <c r="T294" i="7958" s="1"/>
  <c r="N615" i="7958"/>
  <c r="S266" i="7958"/>
  <c r="U55" i="7958"/>
  <c r="M629" i="7958"/>
  <c r="M630" i="7958" s="1"/>
  <c r="M765" i="7958"/>
  <c r="M711" i="7958"/>
  <c r="R799" i="7958"/>
  <c r="V22" i="7958"/>
  <c r="S34" i="7958"/>
  <c r="T32" i="7958" s="1"/>
  <c r="W44" i="7958"/>
  <c r="F41" i="1"/>
  <c r="H40" i="1"/>
  <c r="I40" i="1" s="1"/>
  <c r="J40" i="1" s="1"/>
  <c r="K40" i="1" s="1"/>
  <c r="L40" i="1" s="1"/>
  <c r="M40" i="1" s="1"/>
  <c r="N40" i="1" s="1"/>
  <c r="O40" i="1" s="1"/>
  <c r="P40" i="1" s="1"/>
  <c r="Q40" i="1" s="1"/>
  <c r="W45" i="7958" l="1"/>
  <c r="W789" i="7958"/>
  <c r="R468" i="7958"/>
  <c r="R398" i="7958"/>
  <c r="S395" i="7958" s="1"/>
  <c r="V94" i="7958"/>
  <c r="V164" i="7958" s="1"/>
  <c r="V739" i="7958" s="1"/>
  <c r="G40" i="1"/>
  <c r="T266" i="7958"/>
  <c r="V712" i="7958"/>
  <c r="V755" i="7958" s="1"/>
  <c r="V757" i="7958" s="1"/>
  <c r="W644" i="7958"/>
  <c r="V644" i="7958"/>
  <c r="V713" i="7958" s="1"/>
  <c r="V744" i="7958" s="1"/>
  <c r="V777" i="7958"/>
  <c r="V783" i="7958" s="1"/>
  <c r="W690" i="7958"/>
  <c r="S528" i="7958"/>
  <c r="S788" i="7958" s="1"/>
  <c r="S799" i="7958" s="1"/>
  <c r="U56" i="7958"/>
  <c r="V54" i="7958" s="1"/>
  <c r="V55" i="7958" s="1"/>
  <c r="P342" i="7958"/>
  <c r="Q339" i="7958" s="1"/>
  <c r="P792" i="7958"/>
  <c r="P803" i="7958" s="1"/>
  <c r="P366" i="7958"/>
  <c r="P741" i="7958" s="1"/>
  <c r="O612" i="7958"/>
  <c r="T296" i="7958"/>
  <c r="S64" i="7958"/>
  <c r="T62" i="7958" s="1"/>
  <c r="N627" i="7958"/>
  <c r="M714" i="7958"/>
  <c r="W800" i="7958"/>
  <c r="U196" i="7958"/>
  <c r="V193" i="7958" s="1"/>
  <c r="V165" i="7958"/>
  <c r="T33" i="7958"/>
  <c r="M787" i="7958"/>
  <c r="M798" i="7958" s="1"/>
  <c r="M713" i="7958"/>
  <c r="V23" i="7958"/>
  <c r="W21" i="7958" s="1"/>
  <c r="M498" i="7958"/>
  <c r="M580" i="7958"/>
  <c r="M764" i="7958"/>
  <c r="U266" i="7958"/>
  <c r="V95" i="7958"/>
  <c r="W92" i="7958" s="1"/>
  <c r="E22" i="7959" l="1"/>
  <c r="F9" i="7959" s="1"/>
  <c r="S465" i="7958"/>
  <c r="S397" i="7958"/>
  <c r="S467" i="7958" s="1"/>
  <c r="S742" i="7958" s="1"/>
  <c r="S529" i="7958"/>
  <c r="T526" i="7958" s="1"/>
  <c r="T528" i="7958" s="1"/>
  <c r="T788" i="7958" s="1"/>
  <c r="V645" i="7958"/>
  <c r="W642" i="7958" s="1"/>
  <c r="W645" i="7958" s="1"/>
  <c r="Q341" i="7958"/>
  <c r="Q770" i="7958"/>
  <c r="P367" i="7958"/>
  <c r="Q364" i="7958" s="1"/>
  <c r="M772" i="7958"/>
  <c r="N629" i="7958"/>
  <c r="N630" i="7958" s="1"/>
  <c r="N765" i="7958"/>
  <c r="N711" i="7958"/>
  <c r="O614" i="7958"/>
  <c r="T787" i="7958"/>
  <c r="T63" i="7958"/>
  <c r="T738" i="7958" s="1"/>
  <c r="T34" i="7958"/>
  <c r="U32" i="7958" s="1"/>
  <c r="T297" i="7958"/>
  <c r="U294" i="7958" s="1"/>
  <c r="W162" i="7958"/>
  <c r="W94" i="7958"/>
  <c r="W164" i="7958" s="1"/>
  <c r="W739" i="7958" s="1"/>
  <c r="M582" i="7958"/>
  <c r="M743" i="7958" s="1"/>
  <c r="M746" i="7958" s="1"/>
  <c r="M794" i="7958" s="1"/>
  <c r="M786" i="7958"/>
  <c r="M797" i="7958" s="1"/>
  <c r="M499" i="7958"/>
  <c r="W22" i="7958"/>
  <c r="V56" i="7958"/>
  <c r="W54" i="7958" s="1"/>
  <c r="V263" i="7958"/>
  <c r="V195" i="7958"/>
  <c r="V196" i="7958" s="1"/>
  <c r="W193" i="7958" s="1"/>
  <c r="O178" i="1"/>
  <c r="P178" i="1" s="1"/>
  <c r="Q178" i="1" s="1"/>
  <c r="S398" i="7958" l="1"/>
  <c r="T395" i="7958" s="1"/>
  <c r="S468" i="7958"/>
  <c r="T398" i="7958"/>
  <c r="U395" i="7958" s="1"/>
  <c r="U397" i="7958" s="1"/>
  <c r="U467" i="7958" s="1"/>
  <c r="U742" i="7958" s="1"/>
  <c r="T397" i="7958"/>
  <c r="T467" i="7958" s="1"/>
  <c r="T742" i="7958" s="1"/>
  <c r="T465" i="7958"/>
  <c r="T766" i="7958"/>
  <c r="T799" i="7958" s="1"/>
  <c r="T64" i="7958"/>
  <c r="U62" i="7958" s="1"/>
  <c r="W165" i="7958"/>
  <c r="T529" i="7958"/>
  <c r="U526" i="7958" s="1"/>
  <c r="U766" i="7958" s="1"/>
  <c r="W95" i="7958"/>
  <c r="Q342" i="7958"/>
  <c r="R339" i="7958" s="1"/>
  <c r="Q792" i="7958"/>
  <c r="Q803" i="7958" s="1"/>
  <c r="Q366" i="7958"/>
  <c r="Q741" i="7958" s="1"/>
  <c r="W263" i="7958"/>
  <c r="W195" i="7958"/>
  <c r="W265" i="7958" s="1"/>
  <c r="W740" i="7958" s="1"/>
  <c r="U296" i="7958"/>
  <c r="N787" i="7958"/>
  <c r="N798" i="7958" s="1"/>
  <c r="N713" i="7958"/>
  <c r="U465" i="7958"/>
  <c r="O627" i="7958"/>
  <c r="N714" i="7958"/>
  <c r="M805" i="7958"/>
  <c r="W23" i="7958"/>
  <c r="U33" i="7958"/>
  <c r="U34" i="7958" s="1"/>
  <c r="V32" i="7958" s="1"/>
  <c r="W55" i="7958"/>
  <c r="V265" i="7958"/>
  <c r="V740" i="7958" s="1"/>
  <c r="N496" i="7958"/>
  <c r="M583" i="7958"/>
  <c r="O615" i="7958"/>
  <c r="S37" i="1"/>
  <c r="M37" i="1"/>
  <c r="T468" i="7958" l="1"/>
  <c r="U528" i="7958"/>
  <c r="U788" i="7958" s="1"/>
  <c r="U799" i="7958" s="1"/>
  <c r="U398" i="7958"/>
  <c r="V395" i="7958" s="1"/>
  <c r="V397" i="7958" s="1"/>
  <c r="V467" i="7958" s="1"/>
  <c r="V742" i="7958" s="1"/>
  <c r="U468" i="7958"/>
  <c r="R341" i="7958"/>
  <c r="R770" i="7958"/>
  <c r="Q367" i="7958"/>
  <c r="R364" i="7958" s="1"/>
  <c r="U529" i="7958"/>
  <c r="V526" i="7958" s="1"/>
  <c r="V528" i="7958" s="1"/>
  <c r="V788" i="7958" s="1"/>
  <c r="V33" i="7958"/>
  <c r="P612" i="7958"/>
  <c r="W56" i="7958"/>
  <c r="V266" i="7958"/>
  <c r="N580" i="7958"/>
  <c r="N498" i="7958"/>
  <c r="N499" i="7958" s="1"/>
  <c r="N764" i="7958"/>
  <c r="U787" i="7958"/>
  <c r="U63" i="7958"/>
  <c r="U297" i="7958"/>
  <c r="V294" i="7958" s="1"/>
  <c r="W266" i="7958"/>
  <c r="O629" i="7958"/>
  <c r="O765" i="7958"/>
  <c r="O711" i="7958"/>
  <c r="W196" i="7958"/>
  <c r="K45" i="7944"/>
  <c r="K42" i="7944"/>
  <c r="K41" i="7944"/>
  <c r="T662" i="18"/>
  <c r="T663" i="18"/>
  <c r="B2" i="7955"/>
  <c r="C455" i="7955"/>
  <c r="D454" i="7955"/>
  <c r="D453" i="7955"/>
  <c r="D452" i="7955"/>
  <c r="D451" i="7955"/>
  <c r="D450" i="7955"/>
  <c r="D449" i="7955"/>
  <c r="D448" i="7955"/>
  <c r="D447" i="7955"/>
  <c r="D446" i="7955"/>
  <c r="D445" i="7955"/>
  <c r="D444" i="7955"/>
  <c r="B442" i="7955"/>
  <c r="C440" i="7955"/>
  <c r="D439" i="7955"/>
  <c r="D438" i="7955"/>
  <c r="D437" i="7955"/>
  <c r="D436" i="7955"/>
  <c r="D435" i="7955"/>
  <c r="D434" i="7955"/>
  <c r="D433" i="7955"/>
  <c r="D432" i="7955"/>
  <c r="D431" i="7955"/>
  <c r="D430" i="7955"/>
  <c r="D429" i="7955"/>
  <c r="B427" i="7955"/>
  <c r="C425" i="7955"/>
  <c r="D424" i="7955"/>
  <c r="D423" i="7955"/>
  <c r="D422" i="7955"/>
  <c r="D421" i="7955"/>
  <c r="D420" i="7955"/>
  <c r="D419" i="7955"/>
  <c r="D418" i="7955"/>
  <c r="D417" i="7955"/>
  <c r="D416" i="7955"/>
  <c r="D415" i="7955"/>
  <c r="D414" i="7955"/>
  <c r="B412" i="7955"/>
  <c r="C410" i="7955"/>
  <c r="D409" i="7955"/>
  <c r="D408" i="7955"/>
  <c r="D407" i="7955"/>
  <c r="D406" i="7955"/>
  <c r="D405" i="7955"/>
  <c r="D404" i="7955"/>
  <c r="D403" i="7955"/>
  <c r="D402" i="7955"/>
  <c r="D401" i="7955"/>
  <c r="D400" i="7955"/>
  <c r="D399" i="7955"/>
  <c r="B397" i="7955"/>
  <c r="C395" i="7955"/>
  <c r="D394" i="7955"/>
  <c r="D393" i="7955"/>
  <c r="D392" i="7955"/>
  <c r="D391" i="7955"/>
  <c r="D390" i="7955"/>
  <c r="D389" i="7955"/>
  <c r="D388" i="7955"/>
  <c r="D387" i="7955"/>
  <c r="D386" i="7955"/>
  <c r="D385" i="7955"/>
  <c r="D384" i="7955"/>
  <c r="B382" i="7955"/>
  <c r="C380" i="7955"/>
  <c r="D379" i="7955"/>
  <c r="D378" i="7955"/>
  <c r="D377" i="7955"/>
  <c r="D376" i="7955"/>
  <c r="D375" i="7955"/>
  <c r="D374" i="7955"/>
  <c r="D373" i="7955"/>
  <c r="D372" i="7955"/>
  <c r="D371" i="7955"/>
  <c r="D370" i="7955"/>
  <c r="D369" i="7955"/>
  <c r="B367" i="7955"/>
  <c r="C365" i="7955"/>
  <c r="D364" i="7955"/>
  <c r="D363" i="7955"/>
  <c r="D362" i="7955"/>
  <c r="D361" i="7955"/>
  <c r="D360" i="7955"/>
  <c r="D359" i="7955"/>
  <c r="D358" i="7955"/>
  <c r="D357" i="7955"/>
  <c r="D356" i="7955"/>
  <c r="D355" i="7955"/>
  <c r="D354" i="7955"/>
  <c r="B352" i="7955"/>
  <c r="C350" i="7955"/>
  <c r="D349" i="7955"/>
  <c r="D348" i="7955"/>
  <c r="D347" i="7955"/>
  <c r="D346" i="7955"/>
  <c r="D345" i="7955"/>
  <c r="D344" i="7955"/>
  <c r="D343" i="7955"/>
  <c r="D342" i="7955"/>
  <c r="D341" i="7955"/>
  <c r="D340" i="7955"/>
  <c r="D339" i="7955"/>
  <c r="B337" i="7955"/>
  <c r="C335" i="7955"/>
  <c r="D334" i="7955"/>
  <c r="D333" i="7955"/>
  <c r="D332" i="7955"/>
  <c r="D331" i="7955"/>
  <c r="D330" i="7955"/>
  <c r="D329" i="7955"/>
  <c r="D328" i="7955"/>
  <c r="D327" i="7955"/>
  <c r="D326" i="7955"/>
  <c r="D325" i="7955"/>
  <c r="D324" i="7955"/>
  <c r="B322" i="7955"/>
  <c r="C320" i="7955"/>
  <c r="D319" i="7955"/>
  <c r="D318" i="7955"/>
  <c r="D317" i="7955"/>
  <c r="D316" i="7955"/>
  <c r="D315" i="7955"/>
  <c r="D314" i="7955"/>
  <c r="D313" i="7955"/>
  <c r="D312" i="7955"/>
  <c r="D311" i="7955"/>
  <c r="D310" i="7955"/>
  <c r="D309" i="7955"/>
  <c r="B307" i="7955"/>
  <c r="C305" i="7955"/>
  <c r="D304" i="7955"/>
  <c r="D303" i="7955"/>
  <c r="D302" i="7955"/>
  <c r="D301" i="7955"/>
  <c r="D300" i="7955"/>
  <c r="D299" i="7955"/>
  <c r="D298" i="7955"/>
  <c r="D297" i="7955"/>
  <c r="D296" i="7955"/>
  <c r="D295" i="7955"/>
  <c r="D294" i="7955"/>
  <c r="B292" i="7955"/>
  <c r="C290" i="7955"/>
  <c r="D289" i="7955"/>
  <c r="D288" i="7955"/>
  <c r="D287" i="7955"/>
  <c r="D286" i="7955"/>
  <c r="D285" i="7955"/>
  <c r="D284" i="7955"/>
  <c r="D283" i="7955"/>
  <c r="D282" i="7955"/>
  <c r="D281" i="7955"/>
  <c r="D280" i="7955"/>
  <c r="D279" i="7955"/>
  <c r="B277" i="7955"/>
  <c r="C275" i="7955"/>
  <c r="D274" i="7955"/>
  <c r="D273" i="7955"/>
  <c r="D272" i="7955"/>
  <c r="D271" i="7955"/>
  <c r="D270" i="7955"/>
  <c r="D269" i="7955"/>
  <c r="D268" i="7955"/>
  <c r="D267" i="7955"/>
  <c r="D266" i="7955"/>
  <c r="D265" i="7955"/>
  <c r="D264" i="7955"/>
  <c r="B262" i="7955"/>
  <c r="C260" i="7955"/>
  <c r="D259" i="7955"/>
  <c r="D258" i="7955"/>
  <c r="D257" i="7955"/>
  <c r="D256" i="7955"/>
  <c r="D255" i="7955"/>
  <c r="D254" i="7955"/>
  <c r="D253" i="7955"/>
  <c r="D252" i="7955"/>
  <c r="D251" i="7955"/>
  <c r="D250" i="7955"/>
  <c r="D249" i="7955"/>
  <c r="B247" i="7955"/>
  <c r="C245" i="7955"/>
  <c r="D244" i="7955"/>
  <c r="D243" i="7955"/>
  <c r="D242" i="7955"/>
  <c r="D241" i="7955"/>
  <c r="D240" i="7955"/>
  <c r="D239" i="7955"/>
  <c r="D238" i="7955"/>
  <c r="D237" i="7955"/>
  <c r="D236" i="7955"/>
  <c r="D235" i="7955"/>
  <c r="D234" i="7955"/>
  <c r="B232" i="7955"/>
  <c r="C230" i="7955"/>
  <c r="D229" i="7955"/>
  <c r="D228" i="7955"/>
  <c r="D227" i="7955"/>
  <c r="D226" i="7955"/>
  <c r="D225" i="7955"/>
  <c r="D224" i="7955"/>
  <c r="D223" i="7955"/>
  <c r="D222" i="7955"/>
  <c r="D221" i="7955"/>
  <c r="D220" i="7955"/>
  <c r="D219" i="7955"/>
  <c r="B217" i="7955"/>
  <c r="C215" i="7955"/>
  <c r="D214" i="7955"/>
  <c r="D213" i="7955"/>
  <c r="D212" i="7955"/>
  <c r="D211" i="7955"/>
  <c r="D210" i="7955"/>
  <c r="D209" i="7955"/>
  <c r="D208" i="7955"/>
  <c r="D207" i="7955"/>
  <c r="D206" i="7955"/>
  <c r="D205" i="7955"/>
  <c r="D204" i="7955"/>
  <c r="B202" i="7955"/>
  <c r="C200" i="7955"/>
  <c r="D199" i="7955"/>
  <c r="D198" i="7955"/>
  <c r="D197" i="7955"/>
  <c r="D196" i="7955"/>
  <c r="D195" i="7955"/>
  <c r="D194" i="7955"/>
  <c r="D193" i="7955"/>
  <c r="D192" i="7955"/>
  <c r="D191" i="7955"/>
  <c r="D190" i="7955"/>
  <c r="D189" i="7955"/>
  <c r="B187" i="7955"/>
  <c r="C185" i="7955"/>
  <c r="D184" i="7955"/>
  <c r="D183" i="7955"/>
  <c r="D182" i="7955"/>
  <c r="D181" i="7955"/>
  <c r="D180" i="7955"/>
  <c r="D179" i="7955"/>
  <c r="D178" i="7955"/>
  <c r="D177" i="7955"/>
  <c r="D176" i="7955"/>
  <c r="D175" i="7955"/>
  <c r="D174" i="7955"/>
  <c r="B172" i="7955"/>
  <c r="C170" i="7955"/>
  <c r="D169" i="7955"/>
  <c r="D168" i="7955"/>
  <c r="D167" i="7955"/>
  <c r="D166" i="7955"/>
  <c r="D165" i="7955"/>
  <c r="D164" i="7955"/>
  <c r="D163" i="7955"/>
  <c r="D162" i="7955"/>
  <c r="D161" i="7955"/>
  <c r="D160" i="7955"/>
  <c r="D159" i="7955"/>
  <c r="B157" i="7955"/>
  <c r="C155" i="7955"/>
  <c r="D154" i="7955"/>
  <c r="D153" i="7955"/>
  <c r="D152" i="7955"/>
  <c r="D151" i="7955"/>
  <c r="D150" i="7955"/>
  <c r="D149" i="7955"/>
  <c r="D148" i="7955"/>
  <c r="D147" i="7955"/>
  <c r="D146" i="7955"/>
  <c r="D145" i="7955"/>
  <c r="D144" i="7955"/>
  <c r="B142" i="7955"/>
  <c r="C140" i="7955"/>
  <c r="D139" i="7955"/>
  <c r="D138" i="7955"/>
  <c r="D137" i="7955"/>
  <c r="D136" i="7955"/>
  <c r="D135" i="7955"/>
  <c r="D134" i="7955"/>
  <c r="D133" i="7955"/>
  <c r="D132" i="7955"/>
  <c r="D131" i="7955"/>
  <c r="D130" i="7955"/>
  <c r="D129" i="7955"/>
  <c r="B127" i="7955"/>
  <c r="C125" i="7955"/>
  <c r="D124" i="7955"/>
  <c r="D123" i="7955"/>
  <c r="D122" i="7955"/>
  <c r="D121" i="7955"/>
  <c r="D120" i="7955"/>
  <c r="D119" i="7955"/>
  <c r="D118" i="7955"/>
  <c r="D117" i="7955"/>
  <c r="D116" i="7955"/>
  <c r="D115" i="7955"/>
  <c r="D114" i="7955"/>
  <c r="B112" i="7955"/>
  <c r="C110" i="7955"/>
  <c r="D109" i="7955"/>
  <c r="D108" i="7955"/>
  <c r="D107" i="7955"/>
  <c r="D106" i="7955"/>
  <c r="D105" i="7955"/>
  <c r="D104" i="7955"/>
  <c r="D103" i="7955"/>
  <c r="D102" i="7955"/>
  <c r="D101" i="7955"/>
  <c r="D100" i="7955"/>
  <c r="D99" i="7955"/>
  <c r="B97" i="7955"/>
  <c r="C95" i="7955"/>
  <c r="D94" i="7955"/>
  <c r="D93" i="7955"/>
  <c r="D92" i="7955"/>
  <c r="D91" i="7955"/>
  <c r="D90" i="7955"/>
  <c r="D89" i="7955"/>
  <c r="D88" i="7955"/>
  <c r="D87" i="7955"/>
  <c r="D86" i="7955"/>
  <c r="D85" i="7955"/>
  <c r="D84" i="7955"/>
  <c r="B82" i="7955"/>
  <c r="C80" i="7955"/>
  <c r="D79" i="7955"/>
  <c r="D78" i="7955"/>
  <c r="D77" i="7955"/>
  <c r="D76" i="7955"/>
  <c r="D75" i="7955"/>
  <c r="D74" i="7955"/>
  <c r="D73" i="7955"/>
  <c r="D72" i="7955"/>
  <c r="D71" i="7955"/>
  <c r="D70" i="7955"/>
  <c r="D69" i="7955"/>
  <c r="B67" i="7955"/>
  <c r="C65" i="7955"/>
  <c r="D64" i="7955"/>
  <c r="D63" i="7955"/>
  <c r="D62" i="7955"/>
  <c r="D61" i="7955"/>
  <c r="D60" i="7955"/>
  <c r="D59" i="7955"/>
  <c r="D58" i="7955"/>
  <c r="D57" i="7955"/>
  <c r="D56" i="7955"/>
  <c r="D55" i="7955"/>
  <c r="D54" i="7955"/>
  <c r="B52" i="7955"/>
  <c r="C50" i="7955"/>
  <c r="D49" i="7955"/>
  <c r="D48" i="7955"/>
  <c r="D47" i="7955"/>
  <c r="D46" i="7955"/>
  <c r="D45" i="7955"/>
  <c r="D44" i="7955"/>
  <c r="D43" i="7955"/>
  <c r="D42" i="7955"/>
  <c r="D41" i="7955"/>
  <c r="D40" i="7955"/>
  <c r="D39" i="7955"/>
  <c r="B37" i="7955"/>
  <c r="C35" i="7955"/>
  <c r="D34" i="7955"/>
  <c r="D33" i="7955"/>
  <c r="D32" i="7955"/>
  <c r="D31" i="7955"/>
  <c r="D30" i="7955"/>
  <c r="D29" i="7955"/>
  <c r="D28" i="7955"/>
  <c r="D27" i="7955"/>
  <c r="D26" i="7955"/>
  <c r="D25" i="7955"/>
  <c r="D24" i="7955"/>
  <c r="B22" i="7955"/>
  <c r="C20" i="7955"/>
  <c r="B7" i="7955"/>
  <c r="G3" i="7944"/>
  <c r="G128" i="7944" s="1"/>
  <c r="G141" i="7944" s="1"/>
  <c r="C8" i="7944"/>
  <c r="G8" i="7944"/>
  <c r="C9" i="7944"/>
  <c r="G9" i="7944"/>
  <c r="C10" i="7944"/>
  <c r="G10" i="7944"/>
  <c r="C11" i="7944"/>
  <c r="G11" i="7944"/>
  <c r="C12" i="7944"/>
  <c r="G12" i="7944"/>
  <c r="C13" i="7944"/>
  <c r="G13" i="7944"/>
  <c r="C14" i="7944"/>
  <c r="G14" i="7944"/>
  <c r="C15" i="7944"/>
  <c r="G15" i="7944"/>
  <c r="C16" i="7944"/>
  <c r="G16" i="7944"/>
  <c r="C17" i="7944"/>
  <c r="G17" i="7944"/>
  <c r="C18" i="7944"/>
  <c r="G18" i="7944"/>
  <c r="C19" i="7944"/>
  <c r="G19" i="7944"/>
  <c r="C20" i="7944"/>
  <c r="G20" i="7944"/>
  <c r="C21" i="7944"/>
  <c r="G21" i="7944"/>
  <c r="C22" i="7944"/>
  <c r="G22" i="7944"/>
  <c r="C23" i="7944"/>
  <c r="G23" i="7944"/>
  <c r="C24" i="7944"/>
  <c r="G24" i="7944"/>
  <c r="C25" i="7944"/>
  <c r="G25" i="7944"/>
  <c r="C26" i="7944"/>
  <c r="G26" i="7944"/>
  <c r="C27" i="7944"/>
  <c r="G27" i="7944"/>
  <c r="C28" i="7944"/>
  <c r="G28" i="7944"/>
  <c r="C29" i="7944"/>
  <c r="G29" i="7944"/>
  <c r="C30" i="7944"/>
  <c r="G30" i="7944"/>
  <c r="C31" i="7944"/>
  <c r="G31" i="7944"/>
  <c r="C32" i="7944"/>
  <c r="G32" i="7944"/>
  <c r="C33" i="7944"/>
  <c r="G33" i="7944"/>
  <c r="C34" i="7944"/>
  <c r="G34" i="7944"/>
  <c r="C35" i="7944"/>
  <c r="G35" i="7944"/>
  <c r="C36" i="7944"/>
  <c r="G36" i="7944"/>
  <c r="C37" i="7944"/>
  <c r="G37" i="7944"/>
  <c r="C40" i="7944"/>
  <c r="G40" i="7944"/>
  <c r="H40" i="7944"/>
  <c r="I40" i="7944"/>
  <c r="J40" i="7944"/>
  <c r="K40" i="7944"/>
  <c r="M40" i="7944"/>
  <c r="J15" i="7955"/>
  <c r="K15" i="7955" s="1"/>
  <c r="N40" i="7944"/>
  <c r="J16" i="7955" s="1"/>
  <c r="K16" i="7955" s="1"/>
  <c r="O40" i="7944"/>
  <c r="J17" i="7955" s="1"/>
  <c r="K17" i="7955" s="1"/>
  <c r="P40" i="7944"/>
  <c r="J18" i="7955" s="1"/>
  <c r="K18" i="7955" s="1"/>
  <c r="Q40" i="7944"/>
  <c r="J19" i="7955" s="1"/>
  <c r="K19" i="7955" s="1"/>
  <c r="C41" i="7944"/>
  <c r="G41" i="7944"/>
  <c r="H41" i="7944"/>
  <c r="I41" i="7944"/>
  <c r="J41" i="7944"/>
  <c r="L41" i="7944"/>
  <c r="J29" i="7955" s="1"/>
  <c r="K29" i="7955" s="1"/>
  <c r="M41" i="7944"/>
  <c r="J30" i="7955" s="1"/>
  <c r="K30" i="7955" s="1"/>
  <c r="N41" i="7944"/>
  <c r="J31" i="7955" s="1"/>
  <c r="K31" i="7955" s="1"/>
  <c r="O41" i="7944"/>
  <c r="J32" i="7955" s="1"/>
  <c r="K32" i="7955" s="1"/>
  <c r="P41" i="7944"/>
  <c r="J33" i="7955" s="1"/>
  <c r="K33" i="7955" s="1"/>
  <c r="Q41" i="7944"/>
  <c r="J34" i="7955" s="1"/>
  <c r="K34" i="7955" s="1"/>
  <c r="C42" i="7944"/>
  <c r="G42" i="7944"/>
  <c r="H42" i="7944"/>
  <c r="I42" i="7944"/>
  <c r="J42" i="7944"/>
  <c r="L42" i="7944"/>
  <c r="J44" i="7955" s="1"/>
  <c r="K44" i="7955" s="1"/>
  <c r="M42" i="7944"/>
  <c r="J45" i="7955" s="1"/>
  <c r="K45" i="7955" s="1"/>
  <c r="N42" i="7944"/>
  <c r="J46" i="7955" s="1"/>
  <c r="K46" i="7955" s="1"/>
  <c r="O42" i="7944"/>
  <c r="J47" i="7955" s="1"/>
  <c r="K47" i="7955" s="1"/>
  <c r="P42" i="7944"/>
  <c r="J48" i="7955" s="1"/>
  <c r="K48" i="7955" s="1"/>
  <c r="Q42" i="7944"/>
  <c r="J49" i="7955" s="1"/>
  <c r="K49" i="7955" s="1"/>
  <c r="C43" i="7944"/>
  <c r="G43" i="7944"/>
  <c r="H43" i="7944"/>
  <c r="I43" i="7944"/>
  <c r="J43" i="7944"/>
  <c r="L43" i="7944"/>
  <c r="J59" i="7955" s="1"/>
  <c r="K59" i="7955" s="1"/>
  <c r="M43" i="7944"/>
  <c r="J60" i="7955" s="1"/>
  <c r="K60" i="7955" s="1"/>
  <c r="N43" i="7944"/>
  <c r="J61" i="7955" s="1"/>
  <c r="K61" i="7955" s="1"/>
  <c r="O43" i="7944"/>
  <c r="J62" i="7955" s="1"/>
  <c r="K62" i="7955" s="1"/>
  <c r="P43" i="7944"/>
  <c r="J63" i="7955" s="1"/>
  <c r="K63" i="7955" s="1"/>
  <c r="Q43" i="7944"/>
  <c r="J64" i="7955" s="1"/>
  <c r="K64" i="7955" s="1"/>
  <c r="C44" i="7944"/>
  <c r="G44" i="7944"/>
  <c r="H44" i="7944"/>
  <c r="I44" i="7944"/>
  <c r="J44" i="7944"/>
  <c r="L44" i="7944"/>
  <c r="J74" i="7955" s="1"/>
  <c r="K74" i="7955" s="1"/>
  <c r="M44" i="7944"/>
  <c r="J75" i="7955" s="1"/>
  <c r="K75" i="7955" s="1"/>
  <c r="N44" i="7944"/>
  <c r="J76" i="7955" s="1"/>
  <c r="K76" i="7955" s="1"/>
  <c r="O44" i="7944"/>
  <c r="J77" i="7955" s="1"/>
  <c r="K77" i="7955" s="1"/>
  <c r="P44" i="7944"/>
  <c r="J78" i="7955" s="1"/>
  <c r="K78" i="7955" s="1"/>
  <c r="Q44" i="7944"/>
  <c r="J79" i="7955" s="1"/>
  <c r="K79" i="7955" s="1"/>
  <c r="C45" i="7944"/>
  <c r="G45" i="7944"/>
  <c r="H45" i="7944"/>
  <c r="I45" i="7944"/>
  <c r="J45" i="7944"/>
  <c r="L45" i="7944"/>
  <c r="J89" i="7955" s="1"/>
  <c r="K89" i="7955" s="1"/>
  <c r="M45" i="7944"/>
  <c r="J90" i="7955"/>
  <c r="K90" i="7955" s="1"/>
  <c r="N45" i="7944"/>
  <c r="J91" i="7955" s="1"/>
  <c r="K91" i="7955" s="1"/>
  <c r="O45" i="7944"/>
  <c r="J92" i="7955" s="1"/>
  <c r="K92" i="7955" s="1"/>
  <c r="P45" i="7944"/>
  <c r="J93" i="7955"/>
  <c r="K93" i="7955" s="1"/>
  <c r="Q45" i="7944"/>
  <c r="J94" i="7955" s="1"/>
  <c r="K94" i="7955" s="1"/>
  <c r="C46" i="7944"/>
  <c r="G46" i="7944"/>
  <c r="H46" i="7944"/>
  <c r="I46" i="7944"/>
  <c r="J46" i="7944"/>
  <c r="L46" i="7944"/>
  <c r="J104" i="7955" s="1"/>
  <c r="K104" i="7955" s="1"/>
  <c r="M46" i="7944"/>
  <c r="J105" i="7955" s="1"/>
  <c r="K105" i="7955" s="1"/>
  <c r="N46" i="7944"/>
  <c r="J106" i="7955" s="1"/>
  <c r="K106" i="7955" s="1"/>
  <c r="O46" i="7944"/>
  <c r="J107" i="7955" s="1"/>
  <c r="K107" i="7955" s="1"/>
  <c r="P46" i="7944"/>
  <c r="J108" i="7955" s="1"/>
  <c r="K108" i="7955" s="1"/>
  <c r="Q46" i="7944"/>
  <c r="J109" i="7955" s="1"/>
  <c r="K109" i="7955" s="1"/>
  <c r="C47" i="7944"/>
  <c r="G47" i="7944"/>
  <c r="H47" i="7944"/>
  <c r="I47" i="7944"/>
  <c r="J47" i="7944"/>
  <c r="K47" i="7944"/>
  <c r="L47" i="7944"/>
  <c r="J119" i="7955" s="1"/>
  <c r="K119" i="7955" s="1"/>
  <c r="M47" i="7944"/>
  <c r="J120" i="7955" s="1"/>
  <c r="K120" i="7955" s="1"/>
  <c r="N47" i="7944"/>
  <c r="J121" i="7955" s="1"/>
  <c r="K121" i="7955" s="1"/>
  <c r="O47" i="7944"/>
  <c r="J122" i="7955" s="1"/>
  <c r="K122" i="7955" s="1"/>
  <c r="P47" i="7944"/>
  <c r="J123" i="7955" s="1"/>
  <c r="K123" i="7955" s="1"/>
  <c r="Q47" i="7944"/>
  <c r="J124" i="7955" s="1"/>
  <c r="K124" i="7955" s="1"/>
  <c r="C48" i="7944"/>
  <c r="G48" i="7944"/>
  <c r="H48" i="7944"/>
  <c r="I48" i="7944"/>
  <c r="J48" i="7944"/>
  <c r="K48" i="7944"/>
  <c r="L48" i="7944"/>
  <c r="J134" i="7955" s="1"/>
  <c r="K134" i="7955" s="1"/>
  <c r="M48" i="7944"/>
  <c r="J135" i="7955" s="1"/>
  <c r="K135" i="7955" s="1"/>
  <c r="N48" i="7944"/>
  <c r="J136" i="7955" s="1"/>
  <c r="K136" i="7955" s="1"/>
  <c r="O48" i="7944"/>
  <c r="J137" i="7955" s="1"/>
  <c r="K137" i="7955" s="1"/>
  <c r="P48" i="7944"/>
  <c r="J138" i="7955" s="1"/>
  <c r="K138" i="7955" s="1"/>
  <c r="Q48" i="7944"/>
  <c r="J139" i="7955" s="1"/>
  <c r="K139" i="7955" s="1"/>
  <c r="C49" i="7944"/>
  <c r="G49" i="7944"/>
  <c r="H49" i="7944"/>
  <c r="I49" i="7944"/>
  <c r="J49" i="7944"/>
  <c r="K49" i="7944"/>
  <c r="L49" i="7944"/>
  <c r="J149" i="7955" s="1"/>
  <c r="K149" i="7955" s="1"/>
  <c r="M49" i="7944"/>
  <c r="J150" i="7955" s="1"/>
  <c r="K150" i="7955" s="1"/>
  <c r="N49" i="7944"/>
  <c r="J151" i="7955" s="1"/>
  <c r="K151" i="7955" s="1"/>
  <c r="O49" i="7944"/>
  <c r="J152" i="7955" s="1"/>
  <c r="K152" i="7955" s="1"/>
  <c r="P49" i="7944"/>
  <c r="J153" i="7955" s="1"/>
  <c r="K153" i="7955" s="1"/>
  <c r="Q49" i="7944"/>
  <c r="J154" i="7955" s="1"/>
  <c r="K154" i="7955" s="1"/>
  <c r="C50" i="7944"/>
  <c r="G50" i="7944"/>
  <c r="H50" i="7944"/>
  <c r="I50" i="7944"/>
  <c r="J50" i="7944"/>
  <c r="K50" i="7944"/>
  <c r="L50" i="7944"/>
  <c r="J164" i="7955" s="1"/>
  <c r="K164" i="7955" s="1"/>
  <c r="M50" i="7944"/>
  <c r="J165" i="7955" s="1"/>
  <c r="K165" i="7955" s="1"/>
  <c r="N50" i="7944"/>
  <c r="J166" i="7955" s="1"/>
  <c r="K166" i="7955" s="1"/>
  <c r="O50" i="7944"/>
  <c r="J167" i="7955" s="1"/>
  <c r="K167" i="7955" s="1"/>
  <c r="P50" i="7944"/>
  <c r="J168" i="7955" s="1"/>
  <c r="K168" i="7955" s="1"/>
  <c r="Q50" i="7944"/>
  <c r="J169" i="7955" s="1"/>
  <c r="K169" i="7955" s="1"/>
  <c r="C51" i="7944"/>
  <c r="G51" i="7944"/>
  <c r="H51" i="7944"/>
  <c r="I51" i="7944"/>
  <c r="J51" i="7944"/>
  <c r="K51" i="7944"/>
  <c r="L51" i="7944"/>
  <c r="J179" i="7955" s="1"/>
  <c r="K179" i="7955" s="1"/>
  <c r="M51" i="7944"/>
  <c r="J180" i="7955" s="1"/>
  <c r="K180" i="7955" s="1"/>
  <c r="N51" i="7944"/>
  <c r="J181" i="7955" s="1"/>
  <c r="K181" i="7955" s="1"/>
  <c r="O51" i="7944"/>
  <c r="J182" i="7955" s="1"/>
  <c r="K182" i="7955" s="1"/>
  <c r="P51" i="7944"/>
  <c r="J183" i="7955" s="1"/>
  <c r="K183" i="7955" s="1"/>
  <c r="Q51" i="7944"/>
  <c r="J184" i="7955" s="1"/>
  <c r="K184" i="7955" s="1"/>
  <c r="C52" i="7944"/>
  <c r="G52" i="7944"/>
  <c r="H52" i="7944"/>
  <c r="I52" i="7944"/>
  <c r="J52" i="7944"/>
  <c r="K52" i="7944"/>
  <c r="L52" i="7944"/>
  <c r="J194" i="7955" s="1"/>
  <c r="K194" i="7955" s="1"/>
  <c r="M52" i="7944"/>
  <c r="J195" i="7955" s="1"/>
  <c r="K195" i="7955" s="1"/>
  <c r="N52" i="7944"/>
  <c r="J196" i="7955" s="1"/>
  <c r="K196" i="7955" s="1"/>
  <c r="O52" i="7944"/>
  <c r="J197" i="7955" s="1"/>
  <c r="K197" i="7955" s="1"/>
  <c r="P52" i="7944"/>
  <c r="J198" i="7955" s="1"/>
  <c r="K198" i="7955" s="1"/>
  <c r="Q52" i="7944"/>
  <c r="J199" i="7955" s="1"/>
  <c r="K199" i="7955" s="1"/>
  <c r="C53" i="7944"/>
  <c r="G53" i="7944"/>
  <c r="H53" i="7944"/>
  <c r="I53" i="7944"/>
  <c r="J53" i="7944"/>
  <c r="K53" i="7944"/>
  <c r="L53" i="7944"/>
  <c r="J209" i="7955" s="1"/>
  <c r="K209" i="7955" s="1"/>
  <c r="M53" i="7944"/>
  <c r="J210" i="7955" s="1"/>
  <c r="K210" i="7955" s="1"/>
  <c r="N53" i="7944"/>
  <c r="J211" i="7955" s="1"/>
  <c r="K211" i="7955" s="1"/>
  <c r="O53" i="7944"/>
  <c r="J212" i="7955" s="1"/>
  <c r="K212" i="7955" s="1"/>
  <c r="P53" i="7944"/>
  <c r="J213" i="7955" s="1"/>
  <c r="K213" i="7955" s="1"/>
  <c r="Q53" i="7944"/>
  <c r="J214" i="7955" s="1"/>
  <c r="K214" i="7955" s="1"/>
  <c r="C54" i="7944"/>
  <c r="G54" i="7944"/>
  <c r="H54" i="7944"/>
  <c r="I54" i="7944"/>
  <c r="J54" i="7944"/>
  <c r="K54" i="7944"/>
  <c r="L54" i="7944"/>
  <c r="J224" i="7955" s="1"/>
  <c r="K224" i="7955" s="1"/>
  <c r="M54" i="7944"/>
  <c r="J225" i="7955" s="1"/>
  <c r="K225" i="7955" s="1"/>
  <c r="N54" i="7944"/>
  <c r="J226" i="7955" s="1"/>
  <c r="K226" i="7955" s="1"/>
  <c r="O54" i="7944"/>
  <c r="J227" i="7955" s="1"/>
  <c r="K227" i="7955" s="1"/>
  <c r="P54" i="7944"/>
  <c r="J228" i="7955" s="1"/>
  <c r="K228" i="7955" s="1"/>
  <c r="Q54" i="7944"/>
  <c r="J229" i="7955" s="1"/>
  <c r="K229" i="7955" s="1"/>
  <c r="C55" i="7944"/>
  <c r="G55" i="7944"/>
  <c r="H55" i="7944"/>
  <c r="I55" i="7944"/>
  <c r="J55" i="7944"/>
  <c r="K55" i="7944"/>
  <c r="L55" i="7944"/>
  <c r="J239" i="7955" s="1"/>
  <c r="K239" i="7955" s="1"/>
  <c r="M55" i="7944"/>
  <c r="J240" i="7955" s="1"/>
  <c r="K240" i="7955" s="1"/>
  <c r="N55" i="7944"/>
  <c r="J241" i="7955" s="1"/>
  <c r="K241" i="7955" s="1"/>
  <c r="O55" i="7944"/>
  <c r="J242" i="7955" s="1"/>
  <c r="K242" i="7955" s="1"/>
  <c r="P55" i="7944"/>
  <c r="J243" i="7955" s="1"/>
  <c r="K243" i="7955" s="1"/>
  <c r="Q55" i="7944"/>
  <c r="J244" i="7955" s="1"/>
  <c r="K244" i="7955" s="1"/>
  <c r="C56" i="7944"/>
  <c r="G56" i="7944"/>
  <c r="H56" i="7944"/>
  <c r="I56" i="7944"/>
  <c r="J56" i="7944"/>
  <c r="K56" i="7944"/>
  <c r="L56" i="7944"/>
  <c r="J254" i="7955" s="1"/>
  <c r="K254" i="7955" s="1"/>
  <c r="M56" i="7944"/>
  <c r="J255" i="7955" s="1"/>
  <c r="K255" i="7955" s="1"/>
  <c r="N56" i="7944"/>
  <c r="J256" i="7955" s="1"/>
  <c r="K256" i="7955" s="1"/>
  <c r="O56" i="7944"/>
  <c r="J257" i="7955" s="1"/>
  <c r="K257" i="7955" s="1"/>
  <c r="P56" i="7944"/>
  <c r="J258" i="7955" s="1"/>
  <c r="K258" i="7955" s="1"/>
  <c r="Q56" i="7944"/>
  <c r="J259" i="7955" s="1"/>
  <c r="K259" i="7955" s="1"/>
  <c r="C57" i="7944"/>
  <c r="G57" i="7944"/>
  <c r="H57" i="7944"/>
  <c r="I57" i="7944"/>
  <c r="J57" i="7944"/>
  <c r="K57" i="7944"/>
  <c r="L57" i="7944"/>
  <c r="J269" i="7955" s="1"/>
  <c r="K269" i="7955" s="1"/>
  <c r="M57" i="7944"/>
  <c r="J270" i="7955" s="1"/>
  <c r="K270" i="7955" s="1"/>
  <c r="N57" i="7944"/>
  <c r="J271" i="7955" s="1"/>
  <c r="K271" i="7955" s="1"/>
  <c r="O57" i="7944"/>
  <c r="J272" i="7955" s="1"/>
  <c r="K272" i="7955" s="1"/>
  <c r="P57" i="7944"/>
  <c r="J273" i="7955" s="1"/>
  <c r="K273" i="7955" s="1"/>
  <c r="Q57" i="7944"/>
  <c r="J274" i="7955" s="1"/>
  <c r="K274" i="7955" s="1"/>
  <c r="C58" i="7944"/>
  <c r="G58" i="7944"/>
  <c r="H58" i="7944"/>
  <c r="I58" i="7944"/>
  <c r="J58" i="7944"/>
  <c r="K58" i="7944"/>
  <c r="L58" i="7944"/>
  <c r="J284" i="7955" s="1"/>
  <c r="K284" i="7955" s="1"/>
  <c r="M58" i="7944"/>
  <c r="J285" i="7955" s="1"/>
  <c r="K285" i="7955" s="1"/>
  <c r="N58" i="7944"/>
  <c r="J286" i="7955" s="1"/>
  <c r="K286" i="7955" s="1"/>
  <c r="O58" i="7944"/>
  <c r="J287" i="7955" s="1"/>
  <c r="K287" i="7955" s="1"/>
  <c r="P58" i="7944"/>
  <c r="J288" i="7955" s="1"/>
  <c r="K288" i="7955" s="1"/>
  <c r="Q58" i="7944"/>
  <c r="J289" i="7955" s="1"/>
  <c r="K289" i="7955" s="1"/>
  <c r="C59" i="7944"/>
  <c r="G59" i="7944"/>
  <c r="H59" i="7944"/>
  <c r="I59" i="7944"/>
  <c r="J59" i="7944"/>
  <c r="K59" i="7944"/>
  <c r="L59" i="7944"/>
  <c r="J299" i="7955" s="1"/>
  <c r="K299" i="7955" s="1"/>
  <c r="M59" i="7944"/>
  <c r="J300" i="7955" s="1"/>
  <c r="K300" i="7955" s="1"/>
  <c r="N59" i="7944"/>
  <c r="J301" i="7955" s="1"/>
  <c r="K301" i="7955" s="1"/>
  <c r="O59" i="7944"/>
  <c r="J302" i="7955" s="1"/>
  <c r="K302" i="7955" s="1"/>
  <c r="P59" i="7944"/>
  <c r="J303" i="7955" s="1"/>
  <c r="K303" i="7955" s="1"/>
  <c r="Q59" i="7944"/>
  <c r="J304" i="7955" s="1"/>
  <c r="K304" i="7955" s="1"/>
  <c r="C60" i="7944"/>
  <c r="G60" i="7944"/>
  <c r="H60" i="7944"/>
  <c r="I60" i="7944"/>
  <c r="J60" i="7944"/>
  <c r="K60" i="7944"/>
  <c r="L60" i="7944"/>
  <c r="J314" i="7955" s="1"/>
  <c r="K314" i="7955" s="1"/>
  <c r="M60" i="7944"/>
  <c r="J315" i="7955" s="1"/>
  <c r="K315" i="7955" s="1"/>
  <c r="N60" i="7944"/>
  <c r="J316" i="7955" s="1"/>
  <c r="K316" i="7955" s="1"/>
  <c r="O60" i="7944"/>
  <c r="J317" i="7955" s="1"/>
  <c r="K317" i="7955" s="1"/>
  <c r="P60" i="7944"/>
  <c r="J318" i="7955" s="1"/>
  <c r="K318" i="7955" s="1"/>
  <c r="Q60" i="7944"/>
  <c r="J319" i="7955" s="1"/>
  <c r="K319" i="7955" s="1"/>
  <c r="C61" i="7944"/>
  <c r="G61" i="7944"/>
  <c r="H61" i="7944"/>
  <c r="I61" i="7944"/>
  <c r="J61" i="7944"/>
  <c r="K61" i="7944"/>
  <c r="L61" i="7944"/>
  <c r="J329" i="7955" s="1"/>
  <c r="K329" i="7955" s="1"/>
  <c r="M61" i="7944"/>
  <c r="J330" i="7955" s="1"/>
  <c r="K330" i="7955" s="1"/>
  <c r="N61" i="7944"/>
  <c r="J331" i="7955" s="1"/>
  <c r="K331" i="7955" s="1"/>
  <c r="O61" i="7944"/>
  <c r="J332" i="7955" s="1"/>
  <c r="K332" i="7955" s="1"/>
  <c r="P61" i="7944"/>
  <c r="J333" i="7955" s="1"/>
  <c r="K333" i="7955" s="1"/>
  <c r="Q61" i="7944"/>
  <c r="J334" i="7955" s="1"/>
  <c r="K334" i="7955" s="1"/>
  <c r="C62" i="7944"/>
  <c r="G62" i="7944"/>
  <c r="H62" i="7944"/>
  <c r="I62" i="7944"/>
  <c r="J62" i="7944"/>
  <c r="K62" i="7944"/>
  <c r="L62" i="7944"/>
  <c r="J344" i="7955" s="1"/>
  <c r="K344" i="7955" s="1"/>
  <c r="M62" i="7944"/>
  <c r="J345" i="7955" s="1"/>
  <c r="K345" i="7955" s="1"/>
  <c r="N62" i="7944"/>
  <c r="J346" i="7955" s="1"/>
  <c r="K346" i="7955" s="1"/>
  <c r="O62" i="7944"/>
  <c r="J347" i="7955" s="1"/>
  <c r="K347" i="7955" s="1"/>
  <c r="P62" i="7944"/>
  <c r="J348" i="7955" s="1"/>
  <c r="K348" i="7955" s="1"/>
  <c r="Q62" i="7944"/>
  <c r="J349" i="7955" s="1"/>
  <c r="K349" i="7955" s="1"/>
  <c r="C63" i="7944"/>
  <c r="G63" i="7944"/>
  <c r="H63" i="7944"/>
  <c r="I63" i="7944"/>
  <c r="J63" i="7944"/>
  <c r="K63" i="7944"/>
  <c r="L63" i="7944"/>
  <c r="J359" i="7955" s="1"/>
  <c r="K359" i="7955" s="1"/>
  <c r="M63" i="7944"/>
  <c r="J360" i="7955" s="1"/>
  <c r="K360" i="7955" s="1"/>
  <c r="N63" i="7944"/>
  <c r="J361" i="7955" s="1"/>
  <c r="K361" i="7955" s="1"/>
  <c r="O63" i="7944"/>
  <c r="P63" i="7944"/>
  <c r="J363" i="7955" s="1"/>
  <c r="K363" i="7955" s="1"/>
  <c r="Q63" i="7944"/>
  <c r="J364" i="7955" s="1"/>
  <c r="K364" i="7955" s="1"/>
  <c r="C64" i="7944"/>
  <c r="G64" i="7944"/>
  <c r="H64" i="7944"/>
  <c r="I64" i="7944"/>
  <c r="J64" i="7944"/>
  <c r="K64" i="7944"/>
  <c r="L64" i="7944"/>
  <c r="J374" i="7955" s="1"/>
  <c r="K374" i="7955" s="1"/>
  <c r="M64" i="7944"/>
  <c r="J375" i="7955" s="1"/>
  <c r="K375" i="7955" s="1"/>
  <c r="N64" i="7944"/>
  <c r="J376" i="7955" s="1"/>
  <c r="K376" i="7955" s="1"/>
  <c r="O64" i="7944"/>
  <c r="J377" i="7955" s="1"/>
  <c r="K377" i="7955" s="1"/>
  <c r="P64" i="7944"/>
  <c r="J378" i="7955" s="1"/>
  <c r="K378" i="7955" s="1"/>
  <c r="Q64" i="7944"/>
  <c r="J379" i="7955" s="1"/>
  <c r="K379" i="7955" s="1"/>
  <c r="C65" i="7944"/>
  <c r="G65" i="7944"/>
  <c r="H65" i="7944"/>
  <c r="I65" i="7944"/>
  <c r="J65" i="7944"/>
  <c r="K65" i="7944"/>
  <c r="L65" i="7944"/>
  <c r="J389" i="7955" s="1"/>
  <c r="K389" i="7955" s="1"/>
  <c r="M65" i="7944"/>
  <c r="J390" i="7955" s="1"/>
  <c r="K390" i="7955" s="1"/>
  <c r="N65" i="7944"/>
  <c r="J391" i="7955" s="1"/>
  <c r="K391" i="7955" s="1"/>
  <c r="O65" i="7944"/>
  <c r="J392" i="7955" s="1"/>
  <c r="K392" i="7955" s="1"/>
  <c r="P65" i="7944"/>
  <c r="J393" i="7955" s="1"/>
  <c r="K393" i="7955" s="1"/>
  <c r="Q65" i="7944"/>
  <c r="J394" i="7955" s="1"/>
  <c r="K394" i="7955" s="1"/>
  <c r="C66" i="7944"/>
  <c r="G66" i="7944"/>
  <c r="H66" i="7944"/>
  <c r="I66" i="7944"/>
  <c r="J66" i="7944"/>
  <c r="K66" i="7944"/>
  <c r="L66" i="7944"/>
  <c r="J404" i="7955" s="1"/>
  <c r="K404" i="7955" s="1"/>
  <c r="M66" i="7944"/>
  <c r="J405" i="7955" s="1"/>
  <c r="K405" i="7955" s="1"/>
  <c r="N66" i="7944"/>
  <c r="J406" i="7955" s="1"/>
  <c r="K406" i="7955" s="1"/>
  <c r="O66" i="7944"/>
  <c r="J407" i="7955" s="1"/>
  <c r="K407" i="7955" s="1"/>
  <c r="P66" i="7944"/>
  <c r="J408" i="7955" s="1"/>
  <c r="K408" i="7955" s="1"/>
  <c r="Q66" i="7944"/>
  <c r="J409" i="7955" s="1"/>
  <c r="K409" i="7955" s="1"/>
  <c r="C67" i="7944"/>
  <c r="G67" i="7944"/>
  <c r="H67" i="7944"/>
  <c r="I67" i="7944"/>
  <c r="J67" i="7944"/>
  <c r="K67" i="7944"/>
  <c r="L67" i="7944"/>
  <c r="J419" i="7955" s="1"/>
  <c r="K419" i="7955" s="1"/>
  <c r="M67" i="7944"/>
  <c r="J420" i="7955" s="1"/>
  <c r="K420" i="7955" s="1"/>
  <c r="N67" i="7944"/>
  <c r="J421" i="7955" s="1"/>
  <c r="K421" i="7955" s="1"/>
  <c r="O67" i="7944"/>
  <c r="J422" i="7955" s="1"/>
  <c r="K422" i="7955" s="1"/>
  <c r="P67" i="7944"/>
  <c r="J423" i="7955" s="1"/>
  <c r="K423" i="7955" s="1"/>
  <c r="Q67" i="7944"/>
  <c r="J424" i="7955" s="1"/>
  <c r="K424" i="7955" s="1"/>
  <c r="C68" i="7944"/>
  <c r="G68" i="7944"/>
  <c r="H68" i="7944"/>
  <c r="I68" i="7944"/>
  <c r="J68" i="7944"/>
  <c r="K68" i="7944"/>
  <c r="L68" i="7944"/>
  <c r="J434" i="7955" s="1"/>
  <c r="K434" i="7955" s="1"/>
  <c r="M68" i="7944"/>
  <c r="J435" i="7955" s="1"/>
  <c r="K435" i="7955" s="1"/>
  <c r="N68" i="7944"/>
  <c r="J436" i="7955" s="1"/>
  <c r="K436" i="7955" s="1"/>
  <c r="O68" i="7944"/>
  <c r="J437" i="7955" s="1"/>
  <c r="K437" i="7955" s="1"/>
  <c r="P68" i="7944"/>
  <c r="J438" i="7955" s="1"/>
  <c r="K438" i="7955" s="1"/>
  <c r="Q68" i="7944"/>
  <c r="J439" i="7955" s="1"/>
  <c r="K439" i="7955" s="1"/>
  <c r="C69" i="7944"/>
  <c r="G69" i="7944"/>
  <c r="H69" i="7944"/>
  <c r="I69" i="7944"/>
  <c r="J69" i="7944"/>
  <c r="K69" i="7944"/>
  <c r="L69" i="7944"/>
  <c r="J449" i="7955" s="1"/>
  <c r="K449" i="7955" s="1"/>
  <c r="M69" i="7944"/>
  <c r="J450" i="7955" s="1"/>
  <c r="K450" i="7955" s="1"/>
  <c r="N69" i="7944"/>
  <c r="O69" i="7944"/>
  <c r="J452" i="7955" s="1"/>
  <c r="K452" i="7955" s="1"/>
  <c r="P69" i="7944"/>
  <c r="J453" i="7955" s="1"/>
  <c r="K453" i="7955" s="1"/>
  <c r="Q69" i="7944"/>
  <c r="J454" i="7955" s="1"/>
  <c r="K454" i="7955" s="1"/>
  <c r="B72" i="7944"/>
  <c r="C85" i="7944"/>
  <c r="B86" i="7944"/>
  <c r="C99" i="7944"/>
  <c r="B100" i="7944"/>
  <c r="C113" i="7944"/>
  <c r="B114" i="7944"/>
  <c r="C127" i="7944"/>
  <c r="B128" i="7944"/>
  <c r="C141" i="7944"/>
  <c r="B142" i="7944"/>
  <c r="G142" i="7944"/>
  <c r="G155" i="7944" s="1"/>
  <c r="C155" i="7944"/>
  <c r="B156" i="7944"/>
  <c r="C169" i="7944"/>
  <c r="B170"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G436" i="7944"/>
  <c r="G449" i="7944" s="1"/>
  <c r="C449" i="7944"/>
  <c r="B450" i="7944"/>
  <c r="C463" i="7944"/>
  <c r="B464" i="7944"/>
  <c r="C477" i="7944"/>
  <c r="B478" i="7944"/>
  <c r="C491" i="7944"/>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I3" i="18" s="1"/>
  <c r="J3" i="18" s="1"/>
  <c r="G6" i="18"/>
  <c r="H6" i="18"/>
  <c r="I6" i="18"/>
  <c r="J6" i="18"/>
  <c r="K6" i="18"/>
  <c r="L6"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G438" i="18"/>
  <c r="G7" i="7941" s="1"/>
  <c r="D439" i="18"/>
  <c r="G439" i="18"/>
  <c r="D440" i="18"/>
  <c r="G440" i="18"/>
  <c r="G9" i="7941" s="1"/>
  <c r="D441" i="18"/>
  <c r="G441" i="18"/>
  <c r="G10" i="7941" s="1"/>
  <c r="D442" i="18"/>
  <c r="G442" i="18"/>
  <c r="G11" i="7941" s="1"/>
  <c r="D443" i="18"/>
  <c r="G443" i="18"/>
  <c r="G12" i="7941" s="1"/>
  <c r="D444" i="18"/>
  <c r="G444" i="18"/>
  <c r="D445" i="18"/>
  <c r="G445" i="18"/>
  <c r="G14" i="7941" s="1"/>
  <c r="D446" i="18"/>
  <c r="G446" i="18"/>
  <c r="G15" i="7941" s="1"/>
  <c r="D447" i="18"/>
  <c r="G447" i="18"/>
  <c r="G16" i="7941" s="1"/>
  <c r="D448" i="18"/>
  <c r="G448" i="18"/>
  <c r="G17" i="7941" s="1"/>
  <c r="D449" i="18"/>
  <c r="G449" i="18"/>
  <c r="G18" i="7941" s="1"/>
  <c r="D450" i="18"/>
  <c r="G450" i="18"/>
  <c r="G19" i="7941" s="1"/>
  <c r="D451" i="18"/>
  <c r="G451" i="18"/>
  <c r="D452" i="18"/>
  <c r="G452" i="18"/>
  <c r="G21" i="7941"/>
  <c r="D453" i="18"/>
  <c r="G453" i="18"/>
  <c r="G22" i="7941" s="1"/>
  <c r="D454" i="18"/>
  <c r="G454" i="18"/>
  <c r="D455" i="18"/>
  <c r="G455" i="18"/>
  <c r="G24" i="7941" s="1"/>
  <c r="D456" i="18"/>
  <c r="G456" i="18"/>
  <c r="G25" i="7941" s="1"/>
  <c r="D457" i="18"/>
  <c r="G457" i="18"/>
  <c r="G26" i="7941" s="1"/>
  <c r="D458" i="18"/>
  <c r="G458" i="18"/>
  <c r="G27" i="7941" s="1"/>
  <c r="D459" i="18"/>
  <c r="G459" i="18"/>
  <c r="G28" i="7941" s="1"/>
  <c r="D460" i="18"/>
  <c r="G460" i="18"/>
  <c r="G29" i="7941" s="1"/>
  <c r="D461" i="18"/>
  <c r="G461" i="18"/>
  <c r="G30" i="7941" s="1"/>
  <c r="D462" i="18"/>
  <c r="G462" i="18"/>
  <c r="G31" i="7941" s="1"/>
  <c r="D463" i="18"/>
  <c r="G463" i="18"/>
  <c r="G32" i="7941" s="1"/>
  <c r="D464" i="18"/>
  <c r="G464" i="18"/>
  <c r="G33" i="7941" s="1"/>
  <c r="D465" i="18"/>
  <c r="G465" i="18"/>
  <c r="G34" i="7941" s="1"/>
  <c r="D466" i="18"/>
  <c r="G466" i="18"/>
  <c r="G35" i="7941" s="1"/>
  <c r="D467" i="18"/>
  <c r="G467" i="18"/>
  <c r="G36" i="7941" s="1"/>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G6" i="7942"/>
  <c r="C12" i="7942"/>
  <c r="G12" i="7942"/>
  <c r="C13" i="7942"/>
  <c r="G13" i="7942"/>
  <c r="C14" i="7942"/>
  <c r="G14" i="7942"/>
  <c r="C15" i="7942"/>
  <c r="G15" i="7942"/>
  <c r="C16" i="7942"/>
  <c r="G16" i="7942"/>
  <c r="C17" i="7942"/>
  <c r="G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C180" i="7942"/>
  <c r="G180" i="7942"/>
  <c r="C181" i="7942"/>
  <c r="G181" i="7942"/>
  <c r="C182" i="7942"/>
  <c r="G182" i="7942"/>
  <c r="C183" i="7942"/>
  <c r="G183" i="7942"/>
  <c r="C184" i="7942"/>
  <c r="G184" i="7942"/>
  <c r="C185" i="7942"/>
  <c r="G185" i="7942"/>
  <c r="C186" i="7942"/>
  <c r="G186" i="7942"/>
  <c r="C187" i="7942"/>
  <c r="G187" i="7942"/>
  <c r="C188" i="7942"/>
  <c r="G188" i="7942"/>
  <c r="C189" i="7942"/>
  <c r="G189" i="7942"/>
  <c r="C190" i="7942"/>
  <c r="G190" i="7942"/>
  <c r="C191" i="7942"/>
  <c r="G191" i="7942"/>
  <c r="C192" i="7942"/>
  <c r="G192" i="7942"/>
  <c r="C193" i="7942"/>
  <c r="G193" i="7942"/>
  <c r="C194" i="7942"/>
  <c r="G194" i="7942"/>
  <c r="C195" i="7942"/>
  <c r="G195" i="7942"/>
  <c r="C196" i="7942"/>
  <c r="G196" i="7942"/>
  <c r="C197" i="7942"/>
  <c r="G197" i="7942"/>
  <c r="C198" i="7942"/>
  <c r="G198" i="7942"/>
  <c r="C199" i="7942"/>
  <c r="G199" i="7942"/>
  <c r="C200" i="7942"/>
  <c r="G200" i="7942"/>
  <c r="C201" i="7942"/>
  <c r="G201" i="7942"/>
  <c r="C202" i="7942"/>
  <c r="G202" i="7942"/>
  <c r="C205" i="7942"/>
  <c r="G205" i="7942"/>
  <c r="C206" i="7942"/>
  <c r="G206" i="7942"/>
  <c r="G238" i="7942" s="1"/>
  <c r="C207" i="7942"/>
  <c r="G207" i="7942"/>
  <c r="C208" i="7942"/>
  <c r="G208" i="7942"/>
  <c r="G240" i="7942" s="1"/>
  <c r="C209" i="7942"/>
  <c r="G209" i="7942"/>
  <c r="C210" i="7942"/>
  <c r="G210" i="7942"/>
  <c r="G242" i="7942" s="1"/>
  <c r="C211" i="7942"/>
  <c r="G211" i="7942"/>
  <c r="C212" i="7942"/>
  <c r="G212" i="7942"/>
  <c r="C213" i="7942"/>
  <c r="G213" i="7942"/>
  <c r="C214" i="7942"/>
  <c r="G214" i="7942"/>
  <c r="C215" i="7942"/>
  <c r="G215" i="7942"/>
  <c r="C216" i="7942"/>
  <c r="G216" i="7942"/>
  <c r="C217" i="7942"/>
  <c r="G217" i="7942"/>
  <c r="C218" i="7942"/>
  <c r="G218" i="7942"/>
  <c r="C219" i="7942"/>
  <c r="G219" i="7942"/>
  <c r="C220" i="7942"/>
  <c r="G220" i="7942"/>
  <c r="C221" i="7942"/>
  <c r="G221" i="7942"/>
  <c r="C222" i="7942"/>
  <c r="G222" i="7942"/>
  <c r="C223" i="7942"/>
  <c r="G223" i="7942"/>
  <c r="C224" i="7942"/>
  <c r="G224" i="7942"/>
  <c r="C225" i="7942"/>
  <c r="G225" i="7942"/>
  <c r="C226" i="7942"/>
  <c r="G226" i="7942"/>
  <c r="G258" i="7942" s="1"/>
  <c r="C227" i="7942"/>
  <c r="G227" i="7942"/>
  <c r="C228" i="7942"/>
  <c r="G228" i="7942"/>
  <c r="C229" i="7942"/>
  <c r="G229" i="7942"/>
  <c r="C230" i="7942"/>
  <c r="G230" i="7942"/>
  <c r="C231" i="7942"/>
  <c r="G231" i="7942"/>
  <c r="C232" i="7942"/>
  <c r="G232" i="7942"/>
  <c r="C233" i="7942"/>
  <c r="G233" i="7942"/>
  <c r="C234" i="7942"/>
  <c r="G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G334" i="7942"/>
  <c r="C335" i="7942"/>
  <c r="G335" i="7942"/>
  <c r="C336" i="7942"/>
  <c r="G336" i="7942"/>
  <c r="C337" i="7942"/>
  <c r="G337" i="7942"/>
  <c r="C338" i="7942"/>
  <c r="G338" i="7942"/>
  <c r="C339" i="7942"/>
  <c r="G339" i="7942"/>
  <c r="C340" i="7942"/>
  <c r="G340" i="7942"/>
  <c r="C341" i="7942"/>
  <c r="G341" i="7942"/>
  <c r="C342" i="7942"/>
  <c r="G342" i="7942"/>
  <c r="C343" i="7942"/>
  <c r="G343" i="7942"/>
  <c r="C344" i="7942"/>
  <c r="G344" i="7942"/>
  <c r="C345" i="7942"/>
  <c r="G345" i="7942"/>
  <c r="C346" i="7942"/>
  <c r="G346" i="7942"/>
  <c r="C347" i="7942"/>
  <c r="G347" i="7942"/>
  <c r="C348" i="7942"/>
  <c r="G348" i="7942"/>
  <c r="C349" i="7942"/>
  <c r="G349" i="7942"/>
  <c r="C350" i="7942"/>
  <c r="G350" i="7942"/>
  <c r="C351" i="7942"/>
  <c r="G351" i="7942"/>
  <c r="C352" i="7942"/>
  <c r="G352" i="7942"/>
  <c r="C353" i="7942"/>
  <c r="G353" i="7942"/>
  <c r="C354" i="7942"/>
  <c r="G354" i="7942"/>
  <c r="C355" i="7942"/>
  <c r="G355" i="7942"/>
  <c r="C356" i="7942"/>
  <c r="G356" i="7942"/>
  <c r="C357" i="7942"/>
  <c r="G357" i="7942"/>
  <c r="C358" i="7942"/>
  <c r="G358" i="7942"/>
  <c r="C359" i="7942"/>
  <c r="G359" i="7942"/>
  <c r="C360" i="7942"/>
  <c r="G360" i="7942"/>
  <c r="C361" i="7942"/>
  <c r="G361" i="7942"/>
  <c r="C362" i="7942"/>
  <c r="G362" i="7942"/>
  <c r="C363" i="7942"/>
  <c r="G363" i="7942"/>
  <c r="C366" i="7942"/>
  <c r="G366" i="7942"/>
  <c r="G470" i="18" s="1"/>
  <c r="C367" i="7942"/>
  <c r="G367" i="7942"/>
  <c r="G471" i="18" s="1"/>
  <c r="C368" i="7942"/>
  <c r="G368" i="7942"/>
  <c r="G472" i="18" s="1"/>
  <c r="C369" i="7942"/>
  <c r="G369" i="7942"/>
  <c r="G473" i="18" s="1"/>
  <c r="C370" i="7942"/>
  <c r="G370" i="7942"/>
  <c r="G474" i="18" s="1"/>
  <c r="C371" i="7942"/>
  <c r="G371" i="7942"/>
  <c r="G475" i="18" s="1"/>
  <c r="C372" i="7942"/>
  <c r="G372" i="7942"/>
  <c r="G476" i="18" s="1"/>
  <c r="C373" i="7942"/>
  <c r="G373" i="7942"/>
  <c r="G477" i="18" s="1"/>
  <c r="C374" i="7942"/>
  <c r="G374" i="7942"/>
  <c r="G478" i="18" s="1"/>
  <c r="C375" i="7942"/>
  <c r="G375" i="7942"/>
  <c r="G479" i="18" s="1"/>
  <c r="G48" i="7941" s="1"/>
  <c r="C376" i="7942"/>
  <c r="G376" i="7942"/>
  <c r="G480" i="18" s="1"/>
  <c r="C377" i="7942"/>
  <c r="G377" i="7942"/>
  <c r="C378" i="7942"/>
  <c r="G378" i="7942"/>
  <c r="G482" i="18" s="1"/>
  <c r="C379" i="7942"/>
  <c r="G379" i="7942"/>
  <c r="C380" i="7942"/>
  <c r="G380" i="7942"/>
  <c r="C381" i="7942"/>
  <c r="G381" i="7942"/>
  <c r="G485" i="18" s="1"/>
  <c r="C382" i="7942"/>
  <c r="G382" i="7942"/>
  <c r="C383" i="7942"/>
  <c r="G383" i="7942"/>
  <c r="G487" i="18" s="1"/>
  <c r="G56" i="7941" s="1"/>
  <c r="C384" i="7942"/>
  <c r="G384" i="7942"/>
  <c r="G488" i="18" s="1"/>
  <c r="C385" i="7942"/>
  <c r="G385" i="7942"/>
  <c r="C386" i="7942"/>
  <c r="G386" i="7942"/>
  <c r="G490" i="18" s="1"/>
  <c r="C387" i="7942"/>
  <c r="G387" i="7942"/>
  <c r="G491" i="18" s="1"/>
  <c r="C388" i="7942"/>
  <c r="G388" i="7942"/>
  <c r="C389" i="7942"/>
  <c r="G389" i="7942"/>
  <c r="C390" i="7942"/>
  <c r="G390" i="7942"/>
  <c r="G494" i="18" s="1"/>
  <c r="C391" i="7942"/>
  <c r="G391" i="7942"/>
  <c r="G495" i="18" s="1"/>
  <c r="G64" i="7941" s="1"/>
  <c r="C392" i="7942"/>
  <c r="G392" i="7942"/>
  <c r="G496" i="18" s="1"/>
  <c r="C393" i="7942"/>
  <c r="G393" i="7942"/>
  <c r="C394" i="7942"/>
  <c r="G394" i="7942"/>
  <c r="G498" i="18" s="1"/>
  <c r="C395" i="7942"/>
  <c r="G395" i="7942"/>
  <c r="G499" i="18" s="1"/>
  <c r="C398" i="7942"/>
  <c r="G398" i="7942"/>
  <c r="C399" i="7942"/>
  <c r="G399" i="7942"/>
  <c r="G503" i="18" s="1"/>
  <c r="G72" i="7941" s="1"/>
  <c r="C400" i="7942"/>
  <c r="G400" i="7942"/>
  <c r="G504" i="18" s="1"/>
  <c r="C401" i="7942"/>
  <c r="G401" i="7942"/>
  <c r="G505" i="18" s="1"/>
  <c r="G74" i="7941" s="1"/>
  <c r="C402" i="7942"/>
  <c r="G402" i="7942"/>
  <c r="G506" i="18" s="1"/>
  <c r="C403" i="7942"/>
  <c r="G403" i="7942"/>
  <c r="G507" i="18" s="1"/>
  <c r="G76" i="7941" s="1"/>
  <c r="C404" i="7942"/>
  <c r="G404" i="7942"/>
  <c r="G508" i="18" s="1"/>
  <c r="C405" i="7942"/>
  <c r="G405" i="7942"/>
  <c r="G509" i="18" s="1"/>
  <c r="C406" i="7942"/>
  <c r="G406" i="7942"/>
  <c r="G510" i="18" s="1"/>
  <c r="G79" i="7941" s="1"/>
  <c r="C407" i="7942"/>
  <c r="G407" i="7942"/>
  <c r="G511" i="18" s="1"/>
  <c r="G80" i="7941" s="1"/>
  <c r="C408" i="7942"/>
  <c r="G408" i="7942"/>
  <c r="G512" i="18" s="1"/>
  <c r="G81" i="7941" s="1"/>
  <c r="C409" i="7942"/>
  <c r="G409" i="7942"/>
  <c r="G513" i="18" s="1"/>
  <c r="C410" i="7942"/>
  <c r="G410" i="7942"/>
  <c r="G514" i="18" s="1"/>
  <c r="G83" i="7941" s="1"/>
  <c r="C411" i="7942"/>
  <c r="G411" i="7942"/>
  <c r="G515" i="18" s="1"/>
  <c r="G84" i="7941" s="1"/>
  <c r="C412" i="7942"/>
  <c r="G412" i="7942"/>
  <c r="G516" i="18" s="1"/>
  <c r="G85" i="7941" s="1"/>
  <c r="C413" i="7942"/>
  <c r="G413" i="7942"/>
  <c r="G517" i="18" s="1"/>
  <c r="G86" i="7941" s="1"/>
  <c r="C414" i="7942"/>
  <c r="G414" i="7942"/>
  <c r="G518" i="18" s="1"/>
  <c r="G87" i="7941" s="1"/>
  <c r="C415" i="7942"/>
  <c r="G415" i="7942"/>
  <c r="G519" i="18" s="1"/>
  <c r="G88" i="7941" s="1"/>
  <c r="C416" i="7942"/>
  <c r="G416" i="7942"/>
  <c r="G520" i="18" s="1"/>
  <c r="G89" i="7941" s="1"/>
  <c r="C417" i="7942"/>
  <c r="G417" i="7942"/>
  <c r="G521" i="18" s="1"/>
  <c r="G90" i="7941" s="1"/>
  <c r="C418" i="7942"/>
  <c r="G418" i="7942"/>
  <c r="C419" i="7942"/>
  <c r="G419" i="7942"/>
  <c r="G523" i="18" s="1"/>
  <c r="G653" i="18" s="1"/>
  <c r="C420" i="7942"/>
  <c r="G420" i="7942"/>
  <c r="G524" i="18" s="1"/>
  <c r="G654" i="18" s="1"/>
  <c r="C421" i="7942"/>
  <c r="G421" i="7942"/>
  <c r="G525" i="18" s="1"/>
  <c r="G655" i="18" s="1"/>
  <c r="C422" i="7942"/>
  <c r="G422" i="7942"/>
  <c r="G526" i="18" s="1"/>
  <c r="C423" i="7942"/>
  <c r="G423" i="7942"/>
  <c r="G527" i="18" s="1"/>
  <c r="G96" i="7941" s="1"/>
  <c r="C424" i="7942"/>
  <c r="G424" i="7942"/>
  <c r="G528" i="18" s="1"/>
  <c r="C425" i="7942"/>
  <c r="G425" i="7942"/>
  <c r="G529" i="18" s="1"/>
  <c r="G659" i="18" s="1"/>
  <c r="C426" i="7942"/>
  <c r="G426" i="7942"/>
  <c r="G530" i="18" s="1"/>
  <c r="G99" i="7941" s="1"/>
  <c r="C427" i="7942"/>
  <c r="G427" i="7942"/>
  <c r="G531" i="18" s="1"/>
  <c r="C430" i="7942"/>
  <c r="G430" i="7942"/>
  <c r="G534" i="18" s="1"/>
  <c r="G103" i="7941" s="1"/>
  <c r="C431" i="7942"/>
  <c r="G431" i="7942"/>
  <c r="G535" i="18" s="1"/>
  <c r="G104" i="7941" s="1"/>
  <c r="C432" i="7942"/>
  <c r="G432" i="7942"/>
  <c r="G536" i="18" s="1"/>
  <c r="G105" i="7941" s="1"/>
  <c r="C433" i="7942"/>
  <c r="G433" i="7942"/>
  <c r="C434" i="7942"/>
  <c r="G434" i="7942"/>
  <c r="G538" i="18" s="1"/>
  <c r="G107" i="7941" s="1"/>
  <c r="C435" i="7942"/>
  <c r="G435" i="7942"/>
  <c r="G539" i="18" s="1"/>
  <c r="G108" i="7941" s="1"/>
  <c r="C436" i="7942"/>
  <c r="G436" i="7942"/>
  <c r="G540" i="18" s="1"/>
  <c r="G109" i="7941" s="1"/>
  <c r="C437" i="7942"/>
  <c r="G437" i="7942"/>
  <c r="G541" i="18" s="1"/>
  <c r="G110" i="7941" s="1"/>
  <c r="C438" i="7942"/>
  <c r="G438" i="7942"/>
  <c r="C439" i="7942"/>
  <c r="G439" i="7942"/>
  <c r="G543" i="18" s="1"/>
  <c r="G112" i="7941" s="1"/>
  <c r="C440" i="7942"/>
  <c r="G440" i="7942"/>
  <c r="G544" i="18" s="1"/>
  <c r="G113" i="7941" s="1"/>
  <c r="C441" i="7942"/>
  <c r="G441" i="7942"/>
  <c r="G545" i="18" s="1"/>
  <c r="G114" i="7941" s="1"/>
  <c r="C442" i="7942"/>
  <c r="G442" i="7942"/>
  <c r="G546" i="18" s="1"/>
  <c r="G115" i="7941" s="1"/>
  <c r="C443" i="7942"/>
  <c r="G443" i="7942"/>
  <c r="G547" i="18" s="1"/>
  <c r="G116" i="7941" s="1"/>
  <c r="C444" i="7942"/>
  <c r="G444" i="7942"/>
  <c r="C445" i="7942"/>
  <c r="G445" i="7942"/>
  <c r="G549" i="18" s="1"/>
  <c r="G118" i="7941" s="1"/>
  <c r="C446" i="7942"/>
  <c r="G446" i="7942"/>
  <c r="G550" i="18" s="1"/>
  <c r="G119" i="7941" s="1"/>
  <c r="C447" i="7942"/>
  <c r="G447" i="7942"/>
  <c r="C448" i="7942"/>
  <c r="G448" i="7942"/>
  <c r="G552" i="18" s="1"/>
  <c r="G121" i="7941" s="1"/>
  <c r="C449" i="7942"/>
  <c r="G449" i="7942"/>
  <c r="G553" i="18" s="1"/>
  <c r="G122" i="7941" s="1"/>
  <c r="C450" i="7942"/>
  <c r="G450" i="7942"/>
  <c r="G554" i="18" s="1"/>
  <c r="G123" i="7941" s="1"/>
  <c r="C451" i="7942"/>
  <c r="G451" i="7942"/>
  <c r="G555" i="18" s="1"/>
  <c r="G124" i="7941" s="1"/>
  <c r="C452" i="7942"/>
  <c r="G452" i="7942"/>
  <c r="G556" i="18" s="1"/>
  <c r="G125" i="7941" s="1"/>
  <c r="C453" i="7942"/>
  <c r="G453" i="7942"/>
  <c r="G557" i="18" s="1"/>
  <c r="G126" i="7941" s="1"/>
  <c r="C454" i="7942"/>
  <c r="G454" i="7942"/>
  <c r="G558" i="18"/>
  <c r="G127" i="7941" s="1"/>
  <c r="C455" i="7942"/>
  <c r="G455" i="7942"/>
  <c r="G559" i="18" s="1"/>
  <c r="G128" i="7941" s="1"/>
  <c r="C456" i="7942"/>
  <c r="G456" i="7942"/>
  <c r="G560" i="18" s="1"/>
  <c r="G129" i="7941" s="1"/>
  <c r="C457" i="7942"/>
  <c r="G457" i="7942"/>
  <c r="G561" i="18" s="1"/>
  <c r="G130" i="7941" s="1"/>
  <c r="C458" i="7942"/>
  <c r="G458" i="7942"/>
  <c r="G562" i="18" s="1"/>
  <c r="G131" i="7941" s="1"/>
  <c r="C459" i="7942"/>
  <c r="G459" i="7942"/>
  <c r="G563" i="18" s="1"/>
  <c r="G132" i="7941" s="1"/>
  <c r="C462" i="7942"/>
  <c r="G462" i="7942"/>
  <c r="C463" i="7942"/>
  <c r="G463" i="7942"/>
  <c r="G567" i="18" s="1"/>
  <c r="G136" i="7941" s="1"/>
  <c r="C464" i="7942"/>
  <c r="G464" i="7942"/>
  <c r="G568" i="18" s="1"/>
  <c r="G137" i="7941" s="1"/>
  <c r="C465" i="7942"/>
  <c r="G465" i="7942"/>
  <c r="G569" i="18" s="1"/>
  <c r="G138" i="7941" s="1"/>
  <c r="C466" i="7942"/>
  <c r="G466" i="7942"/>
  <c r="G570" i="18" s="1"/>
  <c r="G139" i="7941" s="1"/>
  <c r="C467" i="7942"/>
  <c r="G467" i="7942"/>
  <c r="G571" i="18" s="1"/>
  <c r="G140" i="7941" s="1"/>
  <c r="C468" i="7942"/>
  <c r="G468" i="7942"/>
  <c r="G572" i="18" s="1"/>
  <c r="G141" i="7941" s="1"/>
  <c r="C469" i="7942"/>
  <c r="G469" i="7942"/>
  <c r="G573" i="18" s="1"/>
  <c r="G142" i="7941" s="1"/>
  <c r="C470" i="7942"/>
  <c r="G470" i="7942"/>
  <c r="G574" i="18" s="1"/>
  <c r="G143" i="7941" s="1"/>
  <c r="C471" i="7942"/>
  <c r="G471" i="7942"/>
  <c r="G575" i="18" s="1"/>
  <c r="C472" i="7942"/>
  <c r="G472" i="7942"/>
  <c r="G576" i="18" s="1"/>
  <c r="G145" i="7941" s="1"/>
  <c r="C473" i="7942"/>
  <c r="G473" i="7942"/>
  <c r="G577" i="18" s="1"/>
  <c r="G146" i="7941" s="1"/>
  <c r="C474" i="7942"/>
  <c r="G474" i="7942"/>
  <c r="G578" i="18" s="1"/>
  <c r="G147" i="7941" s="1"/>
  <c r="C475" i="7942"/>
  <c r="G475" i="7942"/>
  <c r="G579" i="18" s="1"/>
  <c r="G148" i="7941" s="1"/>
  <c r="C476" i="7942"/>
  <c r="G476" i="7942"/>
  <c r="G580" i="18" s="1"/>
  <c r="G149" i="7941" s="1"/>
  <c r="C477" i="7942"/>
  <c r="G477" i="7942"/>
  <c r="G581" i="18" s="1"/>
  <c r="G150" i="7941" s="1"/>
  <c r="C478" i="7942"/>
  <c r="G478" i="7942"/>
  <c r="G582" i="18" s="1"/>
  <c r="G151" i="7941" s="1"/>
  <c r="C479" i="7942"/>
  <c r="G479" i="7942"/>
  <c r="G583" i="18" s="1"/>
  <c r="G152" i="7941" s="1"/>
  <c r="C480" i="7942"/>
  <c r="G480" i="7942"/>
  <c r="G584" i="18" s="1"/>
  <c r="G153" i="7941" s="1"/>
  <c r="C481" i="7942"/>
  <c r="G481" i="7942"/>
  <c r="G585" i="18" s="1"/>
  <c r="G154" i="7941" s="1"/>
  <c r="C482" i="7942"/>
  <c r="G482" i="7942"/>
  <c r="G586" i="18" s="1"/>
  <c r="G155" i="7941" s="1"/>
  <c r="C483" i="7942"/>
  <c r="G483" i="7942"/>
  <c r="G587" i="18" s="1"/>
  <c r="G156" i="7941" s="1"/>
  <c r="C484" i="7942"/>
  <c r="G484" i="7942"/>
  <c r="G588" i="18" s="1"/>
  <c r="G157" i="7941" s="1"/>
  <c r="C485" i="7942"/>
  <c r="G485" i="7942"/>
  <c r="G589" i="18" s="1"/>
  <c r="G158" i="7941" s="1"/>
  <c r="C486" i="7942"/>
  <c r="G486" i="7942"/>
  <c r="G590" i="18" s="1"/>
  <c r="G159" i="7941" s="1"/>
  <c r="C487" i="7942"/>
  <c r="G487" i="7942"/>
  <c r="G591" i="18" s="1"/>
  <c r="C488" i="7942"/>
  <c r="G488" i="7942"/>
  <c r="G592" i="18" s="1"/>
  <c r="G161" i="7941" s="1"/>
  <c r="C489" i="7942"/>
  <c r="G489" i="7942"/>
  <c r="G593" i="18" s="1"/>
  <c r="G162" i="7941" s="1"/>
  <c r="C490" i="7942"/>
  <c r="G490" i="7942"/>
  <c r="G594" i="18" s="1"/>
  <c r="G163" i="7941" s="1"/>
  <c r="C491" i="7942"/>
  <c r="G491" i="7942"/>
  <c r="G595" i="18" s="1"/>
  <c r="G164" i="7941" s="1"/>
  <c r="C494" i="7942"/>
  <c r="G494" i="7942"/>
  <c r="G598" i="18" s="1"/>
  <c r="G167" i="7941" s="1"/>
  <c r="C495" i="7942"/>
  <c r="G495" i="7942"/>
  <c r="C496" i="7942"/>
  <c r="G496" i="7942"/>
  <c r="G600" i="18" s="1"/>
  <c r="G169" i="7941" s="1"/>
  <c r="C497" i="7942"/>
  <c r="G497" i="7942"/>
  <c r="G601" i="18" s="1"/>
  <c r="G170" i="7941" s="1"/>
  <c r="C498" i="7942"/>
  <c r="G498" i="7942"/>
  <c r="G602" i="18" s="1"/>
  <c r="G171" i="7941" s="1"/>
  <c r="C499" i="7942"/>
  <c r="G499" i="7942"/>
  <c r="G603" i="18" s="1"/>
  <c r="G172" i="7941" s="1"/>
  <c r="C500" i="7942"/>
  <c r="G500" i="7942"/>
  <c r="G604" i="18" s="1"/>
  <c r="G173" i="7941" s="1"/>
  <c r="C501" i="7942"/>
  <c r="G501" i="7942"/>
  <c r="G605" i="18" s="1"/>
  <c r="G174" i="7941" s="1"/>
  <c r="C502" i="7942"/>
  <c r="G502" i="7942"/>
  <c r="G606" i="18" s="1"/>
  <c r="G175" i="7941" s="1"/>
  <c r="C503" i="7942"/>
  <c r="G503" i="7942"/>
  <c r="G607" i="18" s="1"/>
  <c r="G176" i="7941" s="1"/>
  <c r="C504" i="7942"/>
  <c r="G504" i="7942"/>
  <c r="G608" i="18" s="1"/>
  <c r="G177" i="7941" s="1"/>
  <c r="C505" i="7942"/>
  <c r="G505" i="7942"/>
  <c r="G609" i="18" s="1"/>
  <c r="G178" i="7941" s="1"/>
  <c r="C506" i="7942"/>
  <c r="G506" i="7942"/>
  <c r="G610" i="18" s="1"/>
  <c r="G179" i="7941" s="1"/>
  <c r="C507" i="7942"/>
  <c r="G507" i="7942"/>
  <c r="G611" i="18" s="1"/>
  <c r="G180" i="7941" s="1"/>
  <c r="C508" i="7942"/>
  <c r="G508" i="7942"/>
  <c r="G612" i="18" s="1"/>
  <c r="G181" i="7941" s="1"/>
  <c r="C509" i="7942"/>
  <c r="G509" i="7942"/>
  <c r="G613" i="18" s="1"/>
  <c r="G182" i="7941" s="1"/>
  <c r="C510" i="7942"/>
  <c r="G510" i="7942"/>
  <c r="C511" i="7942"/>
  <c r="G511" i="7942"/>
  <c r="G615" i="18" s="1"/>
  <c r="G184" i="7941" s="1"/>
  <c r="C512" i="7942"/>
  <c r="G512" i="7942"/>
  <c r="G616" i="18" s="1"/>
  <c r="G185" i="7941" s="1"/>
  <c r="C513" i="7942"/>
  <c r="G513" i="7942"/>
  <c r="G617" i="18" s="1"/>
  <c r="G186" i="7941" s="1"/>
  <c r="C514" i="7942"/>
  <c r="G514" i="7942"/>
  <c r="G618" i="18" s="1"/>
  <c r="G187" i="7941" s="1"/>
  <c r="C515" i="7942"/>
  <c r="G515" i="7942"/>
  <c r="G619" i="18" s="1"/>
  <c r="G188" i="7941" s="1"/>
  <c r="C516" i="7942"/>
  <c r="G516" i="7942"/>
  <c r="C517" i="7942"/>
  <c r="G517" i="7942"/>
  <c r="G621" i="18" s="1"/>
  <c r="G190" i="7941" s="1"/>
  <c r="C518" i="7942"/>
  <c r="G518" i="7942"/>
  <c r="G622" i="18" s="1"/>
  <c r="G191" i="7941" s="1"/>
  <c r="C519" i="7942"/>
  <c r="G519" i="7942"/>
  <c r="G623" i="18" s="1"/>
  <c r="G192" i="7941" s="1"/>
  <c r="C520" i="7942"/>
  <c r="G520" i="7942"/>
  <c r="G624" i="18" s="1"/>
  <c r="G193" i="7941" s="1"/>
  <c r="C521" i="7942"/>
  <c r="G521" i="7942"/>
  <c r="G625" i="18" s="1"/>
  <c r="G194" i="7941" s="1"/>
  <c r="C522" i="7942"/>
  <c r="G522" i="7942"/>
  <c r="G626" i="18" s="1"/>
  <c r="G195" i="7941" s="1"/>
  <c r="C523" i="7942"/>
  <c r="G523" i="7942"/>
  <c r="G627" i="18" s="1"/>
  <c r="G196" i="7941" s="1"/>
  <c r="J37" i="1"/>
  <c r="O37" i="1"/>
  <c r="P37" i="1"/>
  <c r="Q37" i="1"/>
  <c r="R37"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G71" i="1"/>
  <c r="I71"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G105" i="1"/>
  <c r="J105" i="1"/>
  <c r="K105" i="1"/>
  <c r="L105"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G139" i="1"/>
  <c r="I139" i="1"/>
  <c r="J139" i="1"/>
  <c r="K139" i="1"/>
  <c r="L139" i="1"/>
  <c r="M139" i="1"/>
  <c r="N139" i="1"/>
  <c r="O139" i="1"/>
  <c r="P139" i="1"/>
  <c r="Q139" i="1"/>
  <c r="F141"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K179" i="1"/>
  <c r="L179" i="1" s="1"/>
  <c r="M179" i="1" s="1"/>
  <c r="N179" i="1" s="1"/>
  <c r="O179" i="1" s="1"/>
  <c r="P179" i="1" s="1"/>
  <c r="Q179" i="1" s="1"/>
  <c r="H180" i="1"/>
  <c r="I180" i="1" s="1"/>
  <c r="J180" i="1" s="1"/>
  <c r="J182" i="1"/>
  <c r="K182" i="1" s="1"/>
  <c r="L182" i="1" s="1"/>
  <c r="G53" i="7942"/>
  <c r="H82" i="18"/>
  <c r="H56" i="18"/>
  <c r="H95" i="18"/>
  <c r="H108" i="18"/>
  <c r="H121" i="18"/>
  <c r="H69" i="18"/>
  <c r="I144" i="1"/>
  <c r="I148" i="1"/>
  <c r="I152" i="1"/>
  <c r="I160" i="1"/>
  <c r="I164" i="1"/>
  <c r="I168" i="1"/>
  <c r="I171" i="1"/>
  <c r="I169" i="1"/>
  <c r="H172" i="1"/>
  <c r="H170" i="1"/>
  <c r="H167" i="1"/>
  <c r="H163" i="1"/>
  <c r="H159" i="1"/>
  <c r="H155" i="1"/>
  <c r="H151" i="1"/>
  <c r="H147" i="1"/>
  <c r="J108" i="18"/>
  <c r="I121" i="18"/>
  <c r="I95" i="18"/>
  <c r="I82" i="18"/>
  <c r="J69" i="18"/>
  <c r="J121" i="18"/>
  <c r="I69" i="18"/>
  <c r="J56" i="18"/>
  <c r="J95" i="18"/>
  <c r="J82" i="18"/>
  <c r="I108" i="18"/>
  <c r="I56" i="18"/>
  <c r="K82" i="18"/>
  <c r="K69" i="18"/>
  <c r="K121" i="18"/>
  <c r="L95" i="18"/>
  <c r="L69" i="18"/>
  <c r="K95" i="18"/>
  <c r="K56" i="18"/>
  <c r="K108" i="18"/>
  <c r="L56" i="18"/>
  <c r="L82" i="18"/>
  <c r="L121" i="18"/>
  <c r="L108" i="18"/>
  <c r="G212" i="7944"/>
  <c r="G225" i="7944" s="1"/>
  <c r="G282" i="7944"/>
  <c r="G295" i="7944" s="1"/>
  <c r="G324" i="7944"/>
  <c r="G337" i="7944" s="1"/>
  <c r="H7" i="18"/>
  <c r="H166" i="1"/>
  <c r="H162" i="1"/>
  <c r="H158" i="1"/>
  <c r="H154" i="1"/>
  <c r="H150" i="1"/>
  <c r="H146" i="1"/>
  <c r="H168" i="1"/>
  <c r="H164" i="1"/>
  <c r="H160" i="1"/>
  <c r="H156" i="1"/>
  <c r="H152" i="1"/>
  <c r="G92" i="7941"/>
  <c r="G566" i="18"/>
  <c r="G135" i="7941" s="1"/>
  <c r="I166" i="1"/>
  <c r="I162" i="1"/>
  <c r="I158" i="1"/>
  <c r="I154" i="1"/>
  <c r="I150" i="1"/>
  <c r="I146" i="1"/>
  <c r="H144" i="1"/>
  <c r="H171" i="1"/>
  <c r="H169" i="1"/>
  <c r="H165" i="1"/>
  <c r="H161" i="1"/>
  <c r="H157" i="1"/>
  <c r="H153" i="1"/>
  <c r="H149" i="1"/>
  <c r="I183" i="1"/>
  <c r="I184" i="1" s="1"/>
  <c r="I143" i="1"/>
  <c r="I145" i="1"/>
  <c r="I147" i="1"/>
  <c r="I149" i="1"/>
  <c r="I151" i="1"/>
  <c r="I153" i="1"/>
  <c r="I155" i="1"/>
  <c r="I157" i="1"/>
  <c r="I159" i="1"/>
  <c r="I161" i="1"/>
  <c r="I163" i="1"/>
  <c r="I165" i="1"/>
  <c r="I167" i="1"/>
  <c r="I172" i="1"/>
  <c r="I170" i="1"/>
  <c r="J171" i="1"/>
  <c r="H4" i="7942"/>
  <c r="G184" i="7944"/>
  <c r="G197" i="7944" s="1"/>
  <c r="G226" i="7944"/>
  <c r="G450" i="7944"/>
  <c r="G463" i="7944" s="1"/>
  <c r="G85" i="7942" l="1"/>
  <c r="G483" i="18"/>
  <c r="G52" i="7941" s="1"/>
  <c r="G481" i="18"/>
  <c r="G50" i="7941" s="1"/>
  <c r="G492" i="18"/>
  <c r="G61" i="7941" s="1"/>
  <c r="G254" i="7942"/>
  <c r="G497" i="18"/>
  <c r="G66" i="7941" s="1"/>
  <c r="G486" i="18"/>
  <c r="G55" i="7941" s="1"/>
  <c r="G484" i="18"/>
  <c r="G53" i="7941" s="1"/>
  <c r="G493" i="18"/>
  <c r="G62" i="7941" s="1"/>
  <c r="G489" i="18"/>
  <c r="G58" i="7941" s="1"/>
  <c r="G263" i="7942"/>
  <c r="G259" i="7942"/>
  <c r="G247" i="7942"/>
  <c r="G243" i="7942"/>
  <c r="V465" i="7958"/>
  <c r="V468" i="7958" s="1"/>
  <c r="H18" i="7944"/>
  <c r="H346" i="7942"/>
  <c r="H200" i="18" s="1"/>
  <c r="I200" i="18" s="1"/>
  <c r="J200" i="18" s="1"/>
  <c r="G252" i="7942"/>
  <c r="G250" i="7942"/>
  <c r="G248" i="7942"/>
  <c r="G246" i="7942"/>
  <c r="G244" i="7942"/>
  <c r="H349" i="7942"/>
  <c r="G266" i="7942"/>
  <c r="G264" i="7942"/>
  <c r="G262" i="7942"/>
  <c r="G260" i="7942"/>
  <c r="G253" i="7942"/>
  <c r="H34" i="7944"/>
  <c r="G256" i="7942"/>
  <c r="G255" i="7942"/>
  <c r="G239" i="7942"/>
  <c r="R106" i="1"/>
  <c r="H334" i="7942"/>
  <c r="V766" i="7958"/>
  <c r="V529" i="7958"/>
  <c r="W526" i="7958" s="1"/>
  <c r="W766" i="7958" s="1"/>
  <c r="G172" i="7942"/>
  <c r="G265" i="7942"/>
  <c r="G657" i="18"/>
  <c r="H359" i="7942"/>
  <c r="H369" i="18" s="1"/>
  <c r="H381" i="18" s="1"/>
  <c r="H657" i="18" s="1"/>
  <c r="H357" i="7942"/>
  <c r="H343" i="18" s="1"/>
  <c r="H355" i="18" s="1"/>
  <c r="H655" i="18" s="1"/>
  <c r="H355" i="7942"/>
  <c r="H347" i="7942"/>
  <c r="H345" i="7942"/>
  <c r="H187" i="18" s="1"/>
  <c r="I187" i="18" s="1"/>
  <c r="H343" i="7942"/>
  <c r="H341" i="7942"/>
  <c r="G261" i="7942"/>
  <c r="G245" i="7942"/>
  <c r="G675" i="18"/>
  <c r="G641" i="18" s="1"/>
  <c r="G251" i="7942"/>
  <c r="Q39" i="7944"/>
  <c r="G249" i="7942"/>
  <c r="G461" i="7942"/>
  <c r="G257" i="7942"/>
  <c r="H23" i="7944"/>
  <c r="R342" i="7958"/>
  <c r="S339" i="7958" s="1"/>
  <c r="R792" i="7958"/>
  <c r="R803" i="7958" s="1"/>
  <c r="R366" i="7958"/>
  <c r="R741" i="7958" s="1"/>
  <c r="V799" i="7958"/>
  <c r="H16" i="7944"/>
  <c r="H26" i="7944"/>
  <c r="O496" i="7958"/>
  <c r="N583" i="7958"/>
  <c r="P614" i="7958"/>
  <c r="P615" i="7958" s="1"/>
  <c r="O787" i="7958"/>
  <c r="O798" i="7958" s="1"/>
  <c r="O713" i="7958"/>
  <c r="V296" i="7958"/>
  <c r="O630" i="7958"/>
  <c r="U738" i="7958"/>
  <c r="U64" i="7958"/>
  <c r="V62" i="7958" s="1"/>
  <c r="N772" i="7958"/>
  <c r="V787" i="7958"/>
  <c r="V63" i="7958"/>
  <c r="V738" i="7958" s="1"/>
  <c r="V398" i="7958"/>
  <c r="W395" i="7958" s="1"/>
  <c r="N582" i="7958"/>
  <c r="N743" i="7958" s="1"/>
  <c r="N746" i="7958" s="1"/>
  <c r="N794" i="7958" s="1"/>
  <c r="N786" i="7958"/>
  <c r="N797" i="7958" s="1"/>
  <c r="V34" i="7958"/>
  <c r="W32" i="7958" s="1"/>
  <c r="G693" i="18"/>
  <c r="G685" i="18"/>
  <c r="G651" i="18" s="1"/>
  <c r="G669" i="18"/>
  <c r="G635" i="18" s="1"/>
  <c r="H340" i="7942"/>
  <c r="G94" i="7941"/>
  <c r="G660" i="18"/>
  <c r="H122" i="18"/>
  <c r="H134" i="18" s="1"/>
  <c r="H638" i="18" s="1"/>
  <c r="H13" i="7944"/>
  <c r="H12" i="7944"/>
  <c r="I39" i="18"/>
  <c r="I16" i="18"/>
  <c r="E71" i="7955" s="1"/>
  <c r="I7" i="7942"/>
  <c r="I32" i="18"/>
  <c r="I24" i="18"/>
  <c r="J183" i="1"/>
  <c r="K183" i="1" s="1"/>
  <c r="L183" i="1" s="1"/>
  <c r="H637" i="18"/>
  <c r="H317" i="18"/>
  <c r="H329" i="18" s="1"/>
  <c r="H653" i="18" s="1"/>
  <c r="H336" i="7942"/>
  <c r="E38" i="7955" s="1"/>
  <c r="G670" i="18"/>
  <c r="G636" i="18" s="1"/>
  <c r="G408" i="7944"/>
  <c r="G421" i="7944" s="1"/>
  <c r="G338" i="7944"/>
  <c r="G351" i="7944" s="1"/>
  <c r="H27" i="7944" s="1"/>
  <c r="G170" i="7944"/>
  <c r="G183" i="7944" s="1"/>
  <c r="H15" i="7944" s="1"/>
  <c r="G156" i="7944"/>
  <c r="G380" i="7944"/>
  <c r="G393" i="7944" s="1"/>
  <c r="H30" i="7944" s="1"/>
  <c r="G296" i="7944"/>
  <c r="G309" i="7944" s="1"/>
  <c r="H24" i="7944" s="1"/>
  <c r="G268" i="7944"/>
  <c r="G281" i="7944" s="1"/>
  <c r="H22" i="7944" s="1"/>
  <c r="G422" i="7944"/>
  <c r="G464" i="7944"/>
  <c r="G477" i="7944" s="1"/>
  <c r="H36" i="7944" s="1"/>
  <c r="G72" i="7944"/>
  <c r="G85" i="7944" s="1"/>
  <c r="H8" i="7944" s="1"/>
  <c r="G352" i="7944"/>
  <c r="G365" i="7944" s="1"/>
  <c r="H28" i="7944" s="1"/>
  <c r="H3" i="7944"/>
  <c r="H158" i="7944" s="1"/>
  <c r="G478" i="7944"/>
  <c r="G491" i="7944" s="1"/>
  <c r="H37" i="7944" s="1"/>
  <c r="G394" i="7944"/>
  <c r="G407" i="7944" s="1"/>
  <c r="H31" i="7944" s="1"/>
  <c r="G366" i="7944"/>
  <c r="G379" i="7944" s="1"/>
  <c r="H29" i="7944" s="1"/>
  <c r="G86" i="7944"/>
  <c r="G99" i="7944" s="1"/>
  <c r="H9" i="7944" s="1"/>
  <c r="G240" i="7944"/>
  <c r="G253" i="7944" s="1"/>
  <c r="H20" i="7944" s="1"/>
  <c r="G310" i="7944"/>
  <c r="G323" i="7944" s="1"/>
  <c r="H25" i="7944" s="1"/>
  <c r="G114" i="7944"/>
  <c r="G100" i="7944"/>
  <c r="H100" i="7944" s="1"/>
  <c r="G198" i="7944"/>
  <c r="G211" i="7944" s="1"/>
  <c r="H17" i="7944" s="1"/>
  <c r="G254" i="7944"/>
  <c r="G267" i="7944" s="1"/>
  <c r="H21" i="7944" s="1"/>
  <c r="G565" i="18"/>
  <c r="H461" i="18"/>
  <c r="H689" i="18" s="1"/>
  <c r="G73" i="7941"/>
  <c r="H457" i="18"/>
  <c r="H685" i="18" s="1"/>
  <c r="H633" i="18"/>
  <c r="H33" i="18"/>
  <c r="H491" i="18" s="1"/>
  <c r="H60" i="7941" s="1"/>
  <c r="G57" i="7942"/>
  <c r="G89" i="7942" s="1"/>
  <c r="G61" i="7942"/>
  <c r="G93" i="7942" s="1"/>
  <c r="G69" i="7942"/>
  <c r="G101" i="7942" s="1"/>
  <c r="I215" i="18"/>
  <c r="J215" i="18" s="1"/>
  <c r="G55" i="7942"/>
  <c r="G87" i="7942" s="1"/>
  <c r="H25" i="18"/>
  <c r="H483" i="18" s="1"/>
  <c r="H52" i="7941" s="1"/>
  <c r="H29" i="18"/>
  <c r="H487" i="18" s="1"/>
  <c r="H56" i="7941" s="1"/>
  <c r="J359" i="18"/>
  <c r="I33" i="18"/>
  <c r="I13" i="18"/>
  <c r="E26" i="7955" s="1"/>
  <c r="I27" i="18"/>
  <c r="I29" i="18"/>
  <c r="I41" i="18"/>
  <c r="I30" i="18"/>
  <c r="I22" i="18"/>
  <c r="I14" i="18"/>
  <c r="E41" i="7955" s="1"/>
  <c r="J255" i="18"/>
  <c r="I20" i="18"/>
  <c r="I12" i="18"/>
  <c r="E11" i="7955" s="1"/>
  <c r="I19" i="18"/>
  <c r="I35" i="18"/>
  <c r="I37" i="18"/>
  <c r="H26" i="18"/>
  <c r="H484" i="18" s="1"/>
  <c r="H53" i="7941" s="1"/>
  <c r="I241" i="18"/>
  <c r="J241" i="18" s="1"/>
  <c r="I176" i="18"/>
  <c r="J176" i="18" s="1"/>
  <c r="H38" i="18"/>
  <c r="H496" i="18" s="1"/>
  <c r="H65" i="7941" s="1"/>
  <c r="H17" i="18"/>
  <c r="H475" i="18" s="1"/>
  <c r="H44" i="7941" s="1"/>
  <c r="G686" i="18"/>
  <c r="G694" i="18"/>
  <c r="G67" i="7942"/>
  <c r="G99" i="7942" s="1"/>
  <c r="G49" i="7942"/>
  <c r="G45" i="7942"/>
  <c r="G680" i="18"/>
  <c r="G646" i="18" s="1"/>
  <c r="G689" i="18"/>
  <c r="G674" i="18"/>
  <c r="G640" i="18" s="1"/>
  <c r="G64" i="7942"/>
  <c r="G96" i="7942" s="1"/>
  <c r="G673" i="18"/>
  <c r="G639" i="18" s="1"/>
  <c r="G681" i="18"/>
  <c r="G647" i="18" s="1"/>
  <c r="G690" i="18"/>
  <c r="G54" i="7942"/>
  <c r="G86" i="7942" s="1"/>
  <c r="G65" i="7942"/>
  <c r="G97" i="7942" s="1"/>
  <c r="G70" i="7942"/>
  <c r="G102" i="7942" s="1"/>
  <c r="G66" i="7942"/>
  <c r="G98" i="7942" s="1"/>
  <c r="G60" i="7942"/>
  <c r="G92" i="7942" s="1"/>
  <c r="G58" i="7942"/>
  <c r="G90" i="7942" s="1"/>
  <c r="G48" i="7942"/>
  <c r="G44" i="7942"/>
  <c r="G173" i="1"/>
  <c r="G39" i="7944"/>
  <c r="H15" i="18"/>
  <c r="H473" i="18" s="1"/>
  <c r="H42" i="7941" s="1"/>
  <c r="H39" i="7944"/>
  <c r="G7" i="7944"/>
  <c r="H339" i="7942"/>
  <c r="E83" i="7955" s="1"/>
  <c r="G11" i="7942"/>
  <c r="G671" i="18"/>
  <c r="G637" i="18" s="1"/>
  <c r="G676" i="18"/>
  <c r="G642" i="18" s="1"/>
  <c r="G683" i="18"/>
  <c r="G649" i="18" s="1"/>
  <c r="G687" i="18"/>
  <c r="G691" i="18"/>
  <c r="G695" i="18"/>
  <c r="G668" i="18"/>
  <c r="G634" i="18" s="1"/>
  <c r="H14" i="18"/>
  <c r="H472" i="18" s="1"/>
  <c r="H41" i="7941" s="1"/>
  <c r="H30" i="18"/>
  <c r="H488" i="18" s="1"/>
  <c r="H57" i="7941" s="1"/>
  <c r="H13" i="18"/>
  <c r="H471" i="18" s="1"/>
  <c r="H40" i="7941" s="1"/>
  <c r="H632" i="18"/>
  <c r="H21" i="18"/>
  <c r="H479" i="18" s="1"/>
  <c r="H48" i="7941" s="1"/>
  <c r="I371" i="18"/>
  <c r="J371" i="18" s="1"/>
  <c r="H27" i="18"/>
  <c r="H485" i="18" s="1"/>
  <c r="H54" i="7941" s="1"/>
  <c r="H37" i="18"/>
  <c r="H495" i="18" s="1"/>
  <c r="H64" i="7941" s="1"/>
  <c r="G677" i="18"/>
  <c r="G643" i="18" s="1"/>
  <c r="G684" i="18"/>
  <c r="G650" i="18" s="1"/>
  <c r="G688" i="18"/>
  <c r="G692" i="18"/>
  <c r="G678" i="18"/>
  <c r="G644" i="18" s="1"/>
  <c r="G666" i="18"/>
  <c r="H34" i="18"/>
  <c r="H492" i="18" s="1"/>
  <c r="H61" i="7941" s="1"/>
  <c r="J398" i="18"/>
  <c r="H31" i="18"/>
  <c r="H489" i="18" s="1"/>
  <c r="H58" i="7941" s="1"/>
  <c r="I150" i="18"/>
  <c r="J150" i="18" s="1"/>
  <c r="J164" i="18"/>
  <c r="I137" i="18"/>
  <c r="I345" i="18"/>
  <c r="J345" i="18" s="1"/>
  <c r="I397" i="18"/>
  <c r="J397" i="18" s="1"/>
  <c r="J385" i="18"/>
  <c r="J268" i="18"/>
  <c r="J307" i="18"/>
  <c r="J203" i="18"/>
  <c r="H635" i="18"/>
  <c r="J372" i="18"/>
  <c r="J138" i="18"/>
  <c r="I163" i="18"/>
  <c r="J163" i="18" s="1"/>
  <c r="J158" i="1"/>
  <c r="J168" i="1"/>
  <c r="J7" i="18"/>
  <c r="J637" i="18" s="1"/>
  <c r="J281" i="18"/>
  <c r="J144" i="1"/>
  <c r="J155" i="1"/>
  <c r="J154" i="1"/>
  <c r="H636" i="18"/>
  <c r="G50" i="7942"/>
  <c r="I21" i="18"/>
  <c r="J242" i="18"/>
  <c r="K163" i="1"/>
  <c r="J170" i="1"/>
  <c r="J149" i="1"/>
  <c r="J172" i="1"/>
  <c r="J164" i="1"/>
  <c r="G73" i="7942"/>
  <c r="G105" i="7942" s="1"/>
  <c r="G63" i="7942"/>
  <c r="G95" i="7942" s="1"/>
  <c r="J177" i="18"/>
  <c r="J424" i="18"/>
  <c r="J229" i="18"/>
  <c r="I18" i="18"/>
  <c r="H16" i="18"/>
  <c r="H474" i="18" s="1"/>
  <c r="H43" i="7941" s="1"/>
  <c r="H32" i="18"/>
  <c r="H490" i="18" s="1"/>
  <c r="H59" i="7941" s="1"/>
  <c r="I38" i="18"/>
  <c r="I31" i="18"/>
  <c r="I40" i="18"/>
  <c r="I28" i="18"/>
  <c r="J411" i="18"/>
  <c r="I36" i="18"/>
  <c r="J151" i="18"/>
  <c r="J346" i="18"/>
  <c r="H20" i="18"/>
  <c r="H478" i="18" s="1"/>
  <c r="H47" i="7941" s="1"/>
  <c r="K43" i="7944"/>
  <c r="K46" i="7944"/>
  <c r="K71" i="1"/>
  <c r="K44" i="7944"/>
  <c r="H35" i="7944"/>
  <c r="H32" i="7944"/>
  <c r="J320" i="18"/>
  <c r="I15" i="18"/>
  <c r="E56" i="7955" s="1"/>
  <c r="P39" i="7944"/>
  <c r="J39" i="7944"/>
  <c r="I26" i="18"/>
  <c r="M39" i="7944"/>
  <c r="H268" i="7944"/>
  <c r="H226" i="7944"/>
  <c r="G239" i="7944"/>
  <c r="H19" i="7944" s="1"/>
  <c r="G620" i="18"/>
  <c r="G189" i="7941" s="1"/>
  <c r="H356" i="7942"/>
  <c r="G551" i="18"/>
  <c r="H351" i="7942"/>
  <c r="G548" i="18"/>
  <c r="H348" i="7942"/>
  <c r="G542" i="18"/>
  <c r="G111" i="7941" s="1"/>
  <c r="H342" i="7942"/>
  <c r="G537" i="18"/>
  <c r="G429" i="7942"/>
  <c r="G100" i="7941"/>
  <c r="G661" i="18"/>
  <c r="G97" i="7941"/>
  <c r="G658" i="18"/>
  <c r="G82" i="7941"/>
  <c r="H449" i="18"/>
  <c r="G78" i="7941"/>
  <c r="G75" i="7941"/>
  <c r="G68" i="7941"/>
  <c r="H467" i="18"/>
  <c r="H360" i="7942"/>
  <c r="G60" i="7941"/>
  <c r="H459" i="18"/>
  <c r="H352" i="7942"/>
  <c r="H344" i="7942"/>
  <c r="G241" i="7942"/>
  <c r="G204" i="7942"/>
  <c r="G23" i="7941"/>
  <c r="G682" i="18"/>
  <c r="G648" i="18" s="1"/>
  <c r="G679" i="18"/>
  <c r="G645" i="18" s="1"/>
  <c r="H451" i="18"/>
  <c r="G20" i="7941"/>
  <c r="G437" i="18"/>
  <c r="G8" i="7941"/>
  <c r="G667" i="18"/>
  <c r="I39" i="7944"/>
  <c r="K162" i="1"/>
  <c r="I228" i="18"/>
  <c r="J228" i="18" s="1"/>
  <c r="H239" i="18"/>
  <c r="H173" i="1"/>
  <c r="H12" i="18"/>
  <c r="I254" i="18"/>
  <c r="J254" i="18" s="1"/>
  <c r="H28" i="18"/>
  <c r="H41" i="18"/>
  <c r="I423" i="18"/>
  <c r="J423" i="18" s="1"/>
  <c r="I17" i="18"/>
  <c r="H634" i="18"/>
  <c r="H74" i="1"/>
  <c r="H108" i="1" s="1"/>
  <c r="H4" i="7941"/>
  <c r="H142" i="1"/>
  <c r="H176" i="1"/>
  <c r="H4" i="7944"/>
  <c r="H4" i="18"/>
  <c r="G614" i="18"/>
  <c r="G183" i="7941" s="1"/>
  <c r="H350" i="7942"/>
  <c r="H135" i="18"/>
  <c r="H40" i="18"/>
  <c r="I410" i="18"/>
  <c r="J410" i="18" s="1"/>
  <c r="J190" i="18"/>
  <c r="I23" i="18"/>
  <c r="J146" i="1"/>
  <c r="J162" i="1"/>
  <c r="J143" i="1"/>
  <c r="J159" i="1"/>
  <c r="J148" i="1"/>
  <c r="J151" i="1"/>
  <c r="J152" i="1"/>
  <c r="J147" i="1"/>
  <c r="J150" i="1"/>
  <c r="J166" i="1"/>
  <c r="J145" i="1"/>
  <c r="J161" i="1"/>
  <c r="J156" i="1"/>
  <c r="J153" i="1"/>
  <c r="J160" i="1"/>
  <c r="J157" i="1"/>
  <c r="J169" i="1"/>
  <c r="J165" i="1"/>
  <c r="J163" i="1"/>
  <c r="J167" i="1"/>
  <c r="I34" i="18"/>
  <c r="J333" i="18"/>
  <c r="I319" i="18"/>
  <c r="J319" i="18" s="1"/>
  <c r="H186" i="7944"/>
  <c r="H298" i="7944"/>
  <c r="H396" i="7944"/>
  <c r="I3" i="7944"/>
  <c r="H452" i="7944"/>
  <c r="H284" i="7944"/>
  <c r="G160" i="7941"/>
  <c r="G224" i="7941" s="1"/>
  <c r="H463" i="18"/>
  <c r="G144" i="7941"/>
  <c r="G134" i="7941" s="1"/>
  <c r="H447" i="18"/>
  <c r="G522" i="18"/>
  <c r="H458" i="18" s="1"/>
  <c r="H354" i="7942"/>
  <c r="G77" i="7941"/>
  <c r="H362" i="7942"/>
  <c r="G59" i="7941"/>
  <c r="G54" i="7941"/>
  <c r="H453" i="18"/>
  <c r="G51" i="7941"/>
  <c r="H450" i="18"/>
  <c r="H363" i="7942"/>
  <c r="H361" i="7942"/>
  <c r="H353" i="7942"/>
  <c r="H213" i="18"/>
  <c r="I213" i="18" s="1"/>
  <c r="H161" i="18"/>
  <c r="H337" i="7942"/>
  <c r="E53" i="7955" s="1"/>
  <c r="G333" i="7942"/>
  <c r="H335" i="7942"/>
  <c r="E23" i="7955" s="1"/>
  <c r="I332" i="18"/>
  <c r="H7" i="7942"/>
  <c r="H309" i="7942" s="1"/>
  <c r="H23" i="18"/>
  <c r="I293" i="18"/>
  <c r="I189" i="18"/>
  <c r="J189" i="18" s="1"/>
  <c r="H18" i="18"/>
  <c r="H36" i="18"/>
  <c r="I306" i="18"/>
  <c r="I358" i="18"/>
  <c r="J358" i="18" s="1"/>
  <c r="H22" i="18"/>
  <c r="I280" i="18"/>
  <c r="I384" i="18"/>
  <c r="H19" i="18"/>
  <c r="H35" i="18"/>
  <c r="H24" i="18"/>
  <c r="I202" i="18"/>
  <c r="H39" i="18"/>
  <c r="H358" i="7942"/>
  <c r="G71" i="7942"/>
  <c r="G103" i="7942" s="1"/>
  <c r="G62" i="7942"/>
  <c r="G94" i="7942" s="1"/>
  <c r="G51" i="7942"/>
  <c r="G46" i="7942"/>
  <c r="G52" i="7942"/>
  <c r="G84" i="7942" s="1"/>
  <c r="G47" i="7942"/>
  <c r="G72" i="7942"/>
  <c r="G104" i="7942" s="1"/>
  <c r="G68" i="7942"/>
  <c r="G100" i="7942" s="1"/>
  <c r="G59" i="7942"/>
  <c r="G91" i="7942" s="1"/>
  <c r="G56" i="7942"/>
  <c r="G88" i="7942" s="1"/>
  <c r="I267" i="18"/>
  <c r="J267" i="18" s="1"/>
  <c r="K180" i="1"/>
  <c r="L180" i="1" s="1"/>
  <c r="M180" i="1" s="1"/>
  <c r="N180" i="1" s="1"/>
  <c r="O180" i="1" s="1"/>
  <c r="P180" i="1" s="1"/>
  <c r="Q180" i="1" s="1"/>
  <c r="R140" i="1"/>
  <c r="G599" i="18"/>
  <c r="G493" i="7942"/>
  <c r="G98" i="7941"/>
  <c r="H465" i="18"/>
  <c r="G93" i="7941"/>
  <c r="K3" i="18"/>
  <c r="J294" i="18"/>
  <c r="G95" i="7941"/>
  <c r="G656" i="18"/>
  <c r="G63" i="7941"/>
  <c r="H462" i="18"/>
  <c r="G47" i="7941"/>
  <c r="G365" i="7942"/>
  <c r="H338" i="7942"/>
  <c r="E68" i="7955" s="1"/>
  <c r="J451" i="7955"/>
  <c r="K451" i="7955" s="1"/>
  <c r="N39" i="7944"/>
  <c r="J362" i="7955"/>
  <c r="K362" i="7955" s="1"/>
  <c r="O39" i="7944"/>
  <c r="I156" i="1"/>
  <c r="I7" i="18"/>
  <c r="G502" i="18"/>
  <c r="G397" i="7942"/>
  <c r="G237" i="7942"/>
  <c r="G13" i="7941"/>
  <c r="G672" i="18"/>
  <c r="G638" i="18" s="1"/>
  <c r="H26" i="7941" l="1"/>
  <c r="G218" i="7941"/>
  <c r="H30" i="7941"/>
  <c r="G222" i="7941"/>
  <c r="W528" i="7958"/>
  <c r="W788" i="7958" s="1"/>
  <c r="W799" i="7958" s="1"/>
  <c r="G82" i="7942"/>
  <c r="G77" i="7942"/>
  <c r="G40" i="7941"/>
  <c r="G79" i="7942"/>
  <c r="G76" i="7942"/>
  <c r="G39" i="7941"/>
  <c r="G81" i="7942"/>
  <c r="G80" i="7942"/>
  <c r="H116" i="7942" s="1"/>
  <c r="I116" i="7942" s="1"/>
  <c r="G78" i="7942"/>
  <c r="G83" i="7942"/>
  <c r="H108" i="7942"/>
  <c r="H380" i="7944"/>
  <c r="I380" i="7944" s="1"/>
  <c r="H130" i="7944"/>
  <c r="I130" i="7944" s="1"/>
  <c r="H422" i="7944"/>
  <c r="G435" i="7944"/>
  <c r="H33" i="7944" s="1"/>
  <c r="S341" i="7958"/>
  <c r="S770" i="7958"/>
  <c r="R367" i="7958"/>
  <c r="S364" i="7958" s="1"/>
  <c r="J137" i="18"/>
  <c r="I343" i="18"/>
  <c r="J343" i="18" s="1"/>
  <c r="J355" i="18" s="1"/>
  <c r="J655" i="18" s="1"/>
  <c r="G113" i="7944"/>
  <c r="H10" i="7944" s="1"/>
  <c r="Q612" i="7958"/>
  <c r="V64" i="7958"/>
  <c r="W62" i="7958" s="1"/>
  <c r="P627" i="7958"/>
  <c r="O714" i="7958"/>
  <c r="O580" i="7958"/>
  <c r="O498" i="7958"/>
  <c r="O499" i="7958" s="1"/>
  <c r="O764" i="7958"/>
  <c r="W33" i="7958"/>
  <c r="W465" i="7958"/>
  <c r="W397" i="7958"/>
  <c r="W467" i="7958" s="1"/>
  <c r="W742" i="7958" s="1"/>
  <c r="N805" i="7958"/>
  <c r="W529" i="7958"/>
  <c r="V297" i="7958"/>
  <c r="W294" i="7958" s="1"/>
  <c r="I317" i="18"/>
  <c r="J317" i="18" s="1"/>
  <c r="J329" i="18" s="1"/>
  <c r="J653" i="18" s="1"/>
  <c r="H11" i="18"/>
  <c r="H148" i="7942"/>
  <c r="I148" i="7942" s="1"/>
  <c r="H150" i="7942"/>
  <c r="I150" i="7942" s="1"/>
  <c r="I369" i="18"/>
  <c r="J369" i="18" s="1"/>
  <c r="J381" i="18" s="1"/>
  <c r="J657" i="18" s="1"/>
  <c r="I471" i="18"/>
  <c r="I40" i="7941" s="1"/>
  <c r="K184" i="1"/>
  <c r="K31" i="18" s="1"/>
  <c r="I122" i="18"/>
  <c r="J122" i="18" s="1"/>
  <c r="J184" i="1"/>
  <c r="J25" i="18" s="1"/>
  <c r="J483" i="18" s="1"/>
  <c r="J52" i="7941" s="1"/>
  <c r="F83" i="7955"/>
  <c r="F71" i="7955"/>
  <c r="F56" i="7955"/>
  <c r="F41" i="7955"/>
  <c r="F38" i="7955"/>
  <c r="F26" i="7955"/>
  <c r="F11" i="7955"/>
  <c r="E55" i="7955"/>
  <c r="E85" i="7955"/>
  <c r="H525" i="18"/>
  <c r="H94" i="7941" s="1"/>
  <c r="H114" i="7944"/>
  <c r="G127" i="7944"/>
  <c r="H11" i="7944" s="1"/>
  <c r="H352" i="7944"/>
  <c r="I352" i="7944" s="1"/>
  <c r="H198" i="7944"/>
  <c r="I198" i="7944" s="1"/>
  <c r="H436" i="7944"/>
  <c r="H142" i="7944"/>
  <c r="I142" i="7944" s="1"/>
  <c r="H324" i="7944"/>
  <c r="I324" i="7944" s="1"/>
  <c r="H242" i="7944"/>
  <c r="I242" i="7944" s="1"/>
  <c r="H102" i="7944"/>
  <c r="H113" i="7944" s="1"/>
  <c r="H424" i="7944"/>
  <c r="H435" i="7944" s="1"/>
  <c r="I33" i="7944" s="1"/>
  <c r="H340" i="7944"/>
  <c r="I340" i="7944" s="1"/>
  <c r="H408" i="7944"/>
  <c r="I408" i="7944" s="1"/>
  <c r="H184" i="7944"/>
  <c r="I184" i="7944" s="1"/>
  <c r="H74" i="7944"/>
  <c r="H312" i="7944"/>
  <c r="I312" i="7944" s="1"/>
  <c r="H354" i="7944"/>
  <c r="H480" i="7944"/>
  <c r="I480" i="7944" s="1"/>
  <c r="H338" i="7944"/>
  <c r="I338" i="7944" s="1"/>
  <c r="H240" i="7944"/>
  <c r="I240" i="7944" s="1"/>
  <c r="H382" i="7944"/>
  <c r="H228" i="7944"/>
  <c r="H239" i="7944" s="1"/>
  <c r="I19" i="7944" s="1"/>
  <c r="H466" i="7944"/>
  <c r="I466" i="7944" s="1"/>
  <c r="H200" i="7944"/>
  <c r="H170" i="7944"/>
  <c r="I170" i="7944" s="1"/>
  <c r="H256" i="7944"/>
  <c r="H144" i="7944"/>
  <c r="H394" i="7944"/>
  <c r="H438" i="7944"/>
  <c r="I438" i="7944" s="1"/>
  <c r="H478" i="7944"/>
  <c r="H491" i="7944" s="1"/>
  <c r="I37" i="7944" s="1"/>
  <c r="H128" i="7944"/>
  <c r="H141" i="7944" s="1"/>
  <c r="I12" i="7944" s="1"/>
  <c r="H366" i="7944"/>
  <c r="I366" i="7944" s="1"/>
  <c r="H296" i="7944"/>
  <c r="I296" i="7944" s="1"/>
  <c r="H172" i="7944"/>
  <c r="I172" i="7944" s="1"/>
  <c r="H410" i="7944"/>
  <c r="I410" i="7944" s="1"/>
  <c r="H86" i="7944"/>
  <c r="H464" i="7944"/>
  <c r="H116" i="7944"/>
  <c r="I116" i="7944" s="1"/>
  <c r="H282" i="7944"/>
  <c r="I282" i="7944" s="1"/>
  <c r="H368" i="7944"/>
  <c r="H379" i="7944" s="1"/>
  <c r="I29" i="7944" s="1"/>
  <c r="H254" i="7944"/>
  <c r="I254" i="7944" s="1"/>
  <c r="H326" i="7944"/>
  <c r="I326" i="7944" s="1"/>
  <c r="H450" i="7944"/>
  <c r="H463" i="7944" s="1"/>
  <c r="I35" i="7944" s="1"/>
  <c r="H310" i="7944"/>
  <c r="I310" i="7944" s="1"/>
  <c r="H88" i="7944"/>
  <c r="H214" i="7944"/>
  <c r="I214" i="7944" s="1"/>
  <c r="H72" i="7944"/>
  <c r="H85" i="7944" s="1"/>
  <c r="I8" i="7944" s="1"/>
  <c r="H270" i="7944"/>
  <c r="I270" i="7944" s="1"/>
  <c r="H212" i="7944"/>
  <c r="I212" i="7944" s="1"/>
  <c r="H156" i="7944"/>
  <c r="I156" i="7944" s="1"/>
  <c r="G169" i="7944"/>
  <c r="H14" i="7944" s="1"/>
  <c r="H7" i="7944" s="1"/>
  <c r="H407" i="7944"/>
  <c r="I31" i="7944" s="1"/>
  <c r="H32" i="7941"/>
  <c r="H446" i="18"/>
  <c r="H674" i="18" s="1"/>
  <c r="I212" i="18"/>
  <c r="I644" i="18" s="1"/>
  <c r="H212" i="18"/>
  <c r="H644" i="18" s="1"/>
  <c r="I225" i="18"/>
  <c r="I645" i="18" s="1"/>
  <c r="E40" i="7955"/>
  <c r="E70" i="7955"/>
  <c r="E25" i="7955"/>
  <c r="J632" i="18"/>
  <c r="G208" i="7941"/>
  <c r="I634" i="18"/>
  <c r="K7" i="18"/>
  <c r="K635" i="18" s="1"/>
  <c r="K169" i="1"/>
  <c r="J633" i="18"/>
  <c r="K147" i="1"/>
  <c r="K156" i="1"/>
  <c r="K144" i="1"/>
  <c r="J634" i="18"/>
  <c r="J635" i="18"/>
  <c r="J636" i="18"/>
  <c r="K150" i="1"/>
  <c r="K168" i="1"/>
  <c r="K154" i="1"/>
  <c r="K170" i="1"/>
  <c r="K161" i="1"/>
  <c r="K164" i="1"/>
  <c r="K165" i="1"/>
  <c r="K158" i="1"/>
  <c r="K155" i="1"/>
  <c r="K146" i="1"/>
  <c r="K167" i="1"/>
  <c r="K157" i="1"/>
  <c r="K152" i="1"/>
  <c r="K159" i="1"/>
  <c r="K148" i="1"/>
  <c r="K143" i="1"/>
  <c r="K166" i="1"/>
  <c r="K151" i="1"/>
  <c r="K172" i="1"/>
  <c r="K171" i="1"/>
  <c r="K153" i="1"/>
  <c r="K145" i="1"/>
  <c r="K149" i="1"/>
  <c r="K160" i="1"/>
  <c r="I494" i="18"/>
  <c r="I63" i="7941" s="1"/>
  <c r="I477" i="18"/>
  <c r="I46" i="7941" s="1"/>
  <c r="K39" i="7944"/>
  <c r="I309" i="7942"/>
  <c r="G207" i="7941"/>
  <c r="H15" i="7941"/>
  <c r="H693" i="18"/>
  <c r="G168" i="7941"/>
  <c r="G166" i="7941" s="1"/>
  <c r="G597" i="18"/>
  <c r="G43" i="7942"/>
  <c r="H497" i="18"/>
  <c r="H66" i="7941" s="1"/>
  <c r="H482" i="18"/>
  <c r="H51" i="7941" s="1"/>
  <c r="J332" i="18"/>
  <c r="H678" i="18"/>
  <c r="H408" i="18"/>
  <c r="H420" i="18" s="1"/>
  <c r="H660" i="18" s="1"/>
  <c r="H691" i="18"/>
  <c r="H527" i="18" s="1"/>
  <c r="H96" i="7941" s="1"/>
  <c r="J173" i="1"/>
  <c r="H147" i="18"/>
  <c r="H251" i="18"/>
  <c r="H647" i="18" s="1"/>
  <c r="G633" i="18"/>
  <c r="G665" i="18"/>
  <c r="G57" i="7941"/>
  <c r="H456" i="18"/>
  <c r="G65" i="7941"/>
  <c r="H464" i="18"/>
  <c r="H18" i="7941"/>
  <c r="G210" i="7941"/>
  <c r="H148" i="18"/>
  <c r="H160" i="18" s="1"/>
  <c r="H640" i="18" s="1"/>
  <c r="H265" i="18"/>
  <c r="H277" i="18" s="1"/>
  <c r="H649" i="18" s="1"/>
  <c r="H330" i="18"/>
  <c r="H342" i="18" s="1"/>
  <c r="H654" i="18" s="1"/>
  <c r="G236" i="7942"/>
  <c r="H269" i="7942"/>
  <c r="I269" i="7942" s="1"/>
  <c r="I635" i="18"/>
  <c r="I632" i="18"/>
  <c r="I637" i="18"/>
  <c r="I472" i="18"/>
  <c r="I41" i="7941" s="1"/>
  <c r="I478" i="18"/>
  <c r="I47" i="7941" s="1"/>
  <c r="I480" i="18"/>
  <c r="I49" i="7941" s="1"/>
  <c r="I497" i="18"/>
  <c r="I66" i="7941" s="1"/>
  <c r="I485" i="18"/>
  <c r="I54" i="7941" s="1"/>
  <c r="I493" i="18"/>
  <c r="I62" i="7941" s="1"/>
  <c r="I482" i="18"/>
  <c r="I51" i="7941" s="1"/>
  <c r="I488" i="18"/>
  <c r="I57" i="7941" s="1"/>
  <c r="I489" i="18"/>
  <c r="I58" i="7941" s="1"/>
  <c r="I473" i="18"/>
  <c r="I42" i="7941" s="1"/>
  <c r="I486" i="18"/>
  <c r="I55" i="7941" s="1"/>
  <c r="I496" i="18"/>
  <c r="I65" i="7941" s="1"/>
  <c r="I495" i="18"/>
  <c r="I64" i="7941" s="1"/>
  <c r="I499" i="18"/>
  <c r="I68" i="7941" s="1"/>
  <c r="I490" i="18"/>
  <c r="I59" i="7941" s="1"/>
  <c r="I476" i="18"/>
  <c r="I45" i="7941" s="1"/>
  <c r="I470" i="18"/>
  <c r="I491" i="18"/>
  <c r="I60" i="7941" s="1"/>
  <c r="I474" i="18"/>
  <c r="I43" i="7941" s="1"/>
  <c r="H690" i="18"/>
  <c r="H34" i="7941"/>
  <c r="G226" i="7941"/>
  <c r="H164" i="7942"/>
  <c r="I164" i="7942" s="1"/>
  <c r="H122" i="7942"/>
  <c r="I122" i="7942" s="1"/>
  <c r="H356" i="18"/>
  <c r="H368" i="18" s="1"/>
  <c r="H656" i="18" s="1"/>
  <c r="H493" i="18"/>
  <c r="H494" i="18"/>
  <c r="H63" i="7941" s="1"/>
  <c r="H16" i="7941"/>
  <c r="I199" i="18"/>
  <c r="I643" i="18" s="1"/>
  <c r="H291" i="18"/>
  <c r="H303" i="18" s="1"/>
  <c r="H651" i="18" s="1"/>
  <c r="H421" i="18"/>
  <c r="H433" i="18" s="1"/>
  <c r="H661" i="18" s="1"/>
  <c r="G211" i="7941"/>
  <c r="H19" i="7941"/>
  <c r="G67" i="7941"/>
  <c r="H466" i="18"/>
  <c r="G91" i="7941"/>
  <c r="H27" i="7941" s="1"/>
  <c r="G652" i="18"/>
  <c r="I633" i="18"/>
  <c r="I299" i="7944"/>
  <c r="I145" i="7944"/>
  <c r="I100" i="7944"/>
  <c r="I173" i="7944"/>
  <c r="I397" i="7944"/>
  <c r="I131" i="7944"/>
  <c r="I187" i="7944"/>
  <c r="I369" i="7944"/>
  <c r="I102" i="7944"/>
  <c r="I243" i="7944"/>
  <c r="I103" i="7944"/>
  <c r="I453" i="7944"/>
  <c r="I411" i="7944"/>
  <c r="I383" i="7944"/>
  <c r="I355" i="7944"/>
  <c r="I467" i="7944"/>
  <c r="I229" i="7944"/>
  <c r="I284" i="7944"/>
  <c r="I285" i="7944"/>
  <c r="I341" i="7944"/>
  <c r="I186" i="7944"/>
  <c r="I313" i="7944"/>
  <c r="I74" i="7944"/>
  <c r="I75" i="7944"/>
  <c r="I452" i="7944"/>
  <c r="I86" i="7944"/>
  <c r="I271" i="7944"/>
  <c r="I327" i="7944"/>
  <c r="I268" i="7944"/>
  <c r="I226" i="7944"/>
  <c r="I117" i="7944"/>
  <c r="I201" i="7944"/>
  <c r="I88" i="7944"/>
  <c r="I439" i="7944"/>
  <c r="I89" i="7944"/>
  <c r="I159" i="7944"/>
  <c r="I464" i="7944"/>
  <c r="I422" i="7944"/>
  <c r="I481" i="7944"/>
  <c r="I396" i="7944"/>
  <c r="I394" i="7944"/>
  <c r="J3" i="7944"/>
  <c r="I382" i="7944"/>
  <c r="I144" i="7944"/>
  <c r="I425" i="7944"/>
  <c r="I257" i="7944"/>
  <c r="I158" i="7944"/>
  <c r="I298" i="7944"/>
  <c r="I215" i="7944"/>
  <c r="H152" i="7942"/>
  <c r="I74" i="1"/>
  <c r="I108" i="1" s="1"/>
  <c r="I142" i="1"/>
  <c r="I4" i="7944"/>
  <c r="I176" i="1"/>
  <c r="I4" i="18"/>
  <c r="I4" i="7941"/>
  <c r="I4" i="7942"/>
  <c r="E86" i="7955"/>
  <c r="I475" i="18"/>
  <c r="I44" i="7941" s="1"/>
  <c r="H499" i="18"/>
  <c r="H68" i="7941" s="1"/>
  <c r="J293" i="18"/>
  <c r="K293" i="18" s="1"/>
  <c r="I239" i="18"/>
  <c r="I251" i="18" s="1"/>
  <c r="I647" i="18" s="1"/>
  <c r="G6" i="7941"/>
  <c r="H277" i="7942"/>
  <c r="I277" i="7942" s="1"/>
  <c r="H174" i="18"/>
  <c r="H186" i="18" s="1"/>
  <c r="H642" i="18" s="1"/>
  <c r="H687" i="18"/>
  <c r="H523" i="18" s="1"/>
  <c r="H92" i="7941" s="1"/>
  <c r="H695" i="18"/>
  <c r="G120" i="7941"/>
  <c r="H455" i="18"/>
  <c r="I25" i="18"/>
  <c r="J216" i="18"/>
  <c r="K216" i="18" s="1"/>
  <c r="G42" i="7941"/>
  <c r="H441" i="18"/>
  <c r="G469" i="18"/>
  <c r="H31" i="7941"/>
  <c r="G223" i="7941"/>
  <c r="H460" i="18"/>
  <c r="H132" i="7942"/>
  <c r="I132" i="7942" s="1"/>
  <c r="H144" i="7942"/>
  <c r="I144" i="7942" s="1"/>
  <c r="J202" i="18"/>
  <c r="J212" i="18" s="1"/>
  <c r="J644" i="18" s="1"/>
  <c r="H477" i="18"/>
  <c r="H46" i="7941" s="1"/>
  <c r="H480" i="18"/>
  <c r="H49" i="7941" s="1"/>
  <c r="H476" i="18"/>
  <c r="H45" i="7941" s="1"/>
  <c r="H481" i="18"/>
  <c r="H50" i="7941" s="1"/>
  <c r="F53" i="7955"/>
  <c r="H199" i="18"/>
  <c r="H643" i="18" s="1"/>
  <c r="J187" i="18"/>
  <c r="J199" i="18" s="1"/>
  <c r="J643" i="18" s="1"/>
  <c r="H681" i="18"/>
  <c r="H675" i="18"/>
  <c r="I479" i="18"/>
  <c r="I48" i="7941" s="1"/>
  <c r="I636" i="18"/>
  <c r="I492" i="18"/>
  <c r="I61" i="7941" s="1"/>
  <c r="I135" i="18"/>
  <c r="I147" i="18" s="1"/>
  <c r="I173" i="1"/>
  <c r="H470" i="18"/>
  <c r="E10" i="7955"/>
  <c r="G212" i="7941"/>
  <c r="H20" i="7941"/>
  <c r="H454" i="18"/>
  <c r="G49" i="7941"/>
  <c r="H448" i="18"/>
  <c r="H28" i="7941"/>
  <c r="G220" i="7941"/>
  <c r="G228" i="7941"/>
  <c r="H36" i="7941"/>
  <c r="H226" i="18"/>
  <c r="H238" i="18" s="1"/>
  <c r="H646" i="18" s="1"/>
  <c r="F68" i="7955"/>
  <c r="K371" i="18"/>
  <c r="K254" i="18"/>
  <c r="L3" i="18"/>
  <c r="K281" i="18"/>
  <c r="K267" i="18"/>
  <c r="K319" i="18"/>
  <c r="K424" i="18"/>
  <c r="K229" i="18"/>
  <c r="K163" i="18"/>
  <c r="K423" i="18"/>
  <c r="K358" i="18"/>
  <c r="K346" i="18"/>
  <c r="K268" i="18"/>
  <c r="K372" i="18"/>
  <c r="K411" i="18"/>
  <c r="K359" i="18"/>
  <c r="K307" i="18"/>
  <c r="K228" i="18"/>
  <c r="K410" i="18"/>
  <c r="K241" i="18"/>
  <c r="K242" i="18"/>
  <c r="K189" i="18"/>
  <c r="K190" i="18"/>
  <c r="K385" i="18"/>
  <c r="K215" i="18"/>
  <c r="K176" i="18"/>
  <c r="K255" i="18"/>
  <c r="K164" i="18"/>
  <c r="K200" i="18"/>
  <c r="K177" i="18"/>
  <c r="K397" i="18"/>
  <c r="K333" i="18"/>
  <c r="K203" i="18"/>
  <c r="K138" i="18"/>
  <c r="K151" i="18"/>
  <c r="K345" i="18"/>
  <c r="K150" i="18"/>
  <c r="K320" i="18"/>
  <c r="K398" i="18"/>
  <c r="K294" i="18"/>
  <c r="H156" i="7942"/>
  <c r="I156" i="7942" s="1"/>
  <c r="E8" i="7955"/>
  <c r="H333" i="7942"/>
  <c r="J280" i="18"/>
  <c r="K280" i="18" s="1"/>
  <c r="F23" i="7955"/>
  <c r="H173" i="18"/>
  <c r="H641" i="18" s="1"/>
  <c r="I161" i="18"/>
  <c r="H395" i="18"/>
  <c r="H407" i="18" s="1"/>
  <c r="H659" i="18" s="1"/>
  <c r="H686" i="18"/>
  <c r="H304" i="18"/>
  <c r="H316" i="18" s="1"/>
  <c r="H652" i="18" s="1"/>
  <c r="G142" i="1"/>
  <c r="G74" i="1"/>
  <c r="G108" i="1" s="1"/>
  <c r="G4" i="7944"/>
  <c r="E5" i="7955" s="1"/>
  <c r="G4" i="7942"/>
  <c r="G4" i="7941"/>
  <c r="G4" i="18"/>
  <c r="G176" i="1"/>
  <c r="L184" i="1"/>
  <c r="G71" i="7941"/>
  <c r="G632" i="18"/>
  <c r="H438" i="18"/>
  <c r="G501" i="18"/>
  <c r="G221" i="7941"/>
  <c r="H29" i="7941"/>
  <c r="H138" i="7942"/>
  <c r="H124" i="7942"/>
  <c r="I124" i="7942" s="1"/>
  <c r="H162" i="7942"/>
  <c r="J384" i="18"/>
  <c r="J306" i="18"/>
  <c r="H128" i="7942"/>
  <c r="H158" i="7942"/>
  <c r="H271" i="7942"/>
  <c r="H279" i="7942"/>
  <c r="H283" i="7942"/>
  <c r="H325" i="7942"/>
  <c r="H293" i="7942"/>
  <c r="H301" i="7942"/>
  <c r="H166" i="7942"/>
  <c r="H154" i="7942"/>
  <c r="H315" i="7942"/>
  <c r="H273" i="7942"/>
  <c r="H317" i="7942"/>
  <c r="H307" i="7942"/>
  <c r="H291" i="7942"/>
  <c r="H146" i="7942"/>
  <c r="H136" i="7942"/>
  <c r="H130" i="7942"/>
  <c r="H319" i="7942"/>
  <c r="H287" i="7942"/>
  <c r="H323" i="7942"/>
  <c r="H297" i="7942"/>
  <c r="H313" i="7942"/>
  <c r="H321" i="7942"/>
  <c r="H140" i="7942"/>
  <c r="H160" i="7942"/>
  <c r="H311" i="7942"/>
  <c r="H303" i="7942"/>
  <c r="H275" i="7942"/>
  <c r="H126" i="7942"/>
  <c r="H134" i="7942"/>
  <c r="H281" i="7942"/>
  <c r="H305" i="7942"/>
  <c r="H142" i="7942"/>
  <c r="H299" i="7942"/>
  <c r="H285" i="7942"/>
  <c r="H120" i="7942"/>
  <c r="H295" i="7942"/>
  <c r="H327" i="7942"/>
  <c r="H289" i="7942"/>
  <c r="H225" i="18"/>
  <c r="H645" i="18" s="1"/>
  <c r="J213" i="18"/>
  <c r="H22" i="7941"/>
  <c r="G214" i="7941"/>
  <c r="I484" i="18"/>
  <c r="I53" i="7941" s="1"/>
  <c r="I481" i="18"/>
  <c r="I50" i="7941" s="1"/>
  <c r="H498" i="18"/>
  <c r="H67" i="7941" s="1"/>
  <c r="H252" i="18"/>
  <c r="H264" i="18" s="1"/>
  <c r="H648" i="18" s="1"/>
  <c r="H486" i="18"/>
  <c r="H55" i="7941" s="1"/>
  <c r="I487" i="18"/>
  <c r="I56" i="7941" s="1"/>
  <c r="I498" i="18"/>
  <c r="I67" i="7941" s="1"/>
  <c r="H439" i="18"/>
  <c r="H679" i="18"/>
  <c r="H23" i="7941"/>
  <c r="G215" i="7941"/>
  <c r="H278" i="18"/>
  <c r="H290" i="18" s="1"/>
  <c r="H650" i="18" s="1"/>
  <c r="H382" i="18"/>
  <c r="I382" i="18" s="1"/>
  <c r="I394" i="18" s="1"/>
  <c r="I658" i="18" s="1"/>
  <c r="H677" i="18"/>
  <c r="G106" i="7941"/>
  <c r="G533" i="18"/>
  <c r="G117" i="7941"/>
  <c r="H452" i="18"/>
  <c r="H393" i="7944" l="1"/>
  <c r="I30" i="7944" s="1"/>
  <c r="H110" i="7942"/>
  <c r="I110" i="7942" s="1"/>
  <c r="H114" i="7942"/>
  <c r="I114" i="7942" s="1"/>
  <c r="H118" i="7942"/>
  <c r="I118" i="7942" s="1"/>
  <c r="H112" i="7942"/>
  <c r="I112" i="7942" s="1"/>
  <c r="I355" i="18"/>
  <c r="I655" i="18" s="1"/>
  <c r="G41" i="7941"/>
  <c r="H440" i="18"/>
  <c r="G44" i="7941"/>
  <c r="H443" i="18"/>
  <c r="G45" i="7941"/>
  <c r="H444" i="18"/>
  <c r="G46" i="7941"/>
  <c r="H445" i="18"/>
  <c r="H442" i="18"/>
  <c r="H437" i="18" s="1"/>
  <c r="G43" i="7941"/>
  <c r="I108" i="7942"/>
  <c r="I10" i="7944"/>
  <c r="K343" i="18"/>
  <c r="L343" i="18" s="1"/>
  <c r="K137" i="18"/>
  <c r="L137" i="18" s="1"/>
  <c r="I32" i="7941"/>
  <c r="G71" i="7944"/>
  <c r="I329" i="18"/>
  <c r="I653" i="18" s="1"/>
  <c r="H295" i="7944"/>
  <c r="I23" i="7944" s="1"/>
  <c r="F4" i="7942"/>
  <c r="F4" i="18" s="1"/>
  <c r="I424" i="7944"/>
  <c r="I72" i="7944"/>
  <c r="J72" i="7944" s="1"/>
  <c r="I128" i="7944"/>
  <c r="I141" i="7944" s="1"/>
  <c r="J12" i="7944" s="1"/>
  <c r="J134" i="18"/>
  <c r="J638" i="18" s="1"/>
  <c r="K317" i="18"/>
  <c r="L317" i="18" s="1"/>
  <c r="I450" i="7944"/>
  <c r="I463" i="7944" s="1"/>
  <c r="J35" i="7944" s="1"/>
  <c r="H99" i="7944"/>
  <c r="I9" i="7944" s="1"/>
  <c r="H365" i="7944"/>
  <c r="I28" i="7944" s="1"/>
  <c r="S342" i="7958"/>
  <c r="T339" i="7958" s="1"/>
  <c r="S792" i="7958"/>
  <c r="S803" i="7958" s="1"/>
  <c r="S366" i="7958"/>
  <c r="S741" i="7958" s="1"/>
  <c r="E101" i="7955"/>
  <c r="H211" i="7944"/>
  <c r="I17" i="7944" s="1"/>
  <c r="I368" i="7944"/>
  <c r="I379" i="7944" s="1"/>
  <c r="J29" i="7944" s="1"/>
  <c r="I200" i="7944"/>
  <c r="I211" i="7944" s="1"/>
  <c r="H351" i="7944"/>
  <c r="I27" i="7944" s="1"/>
  <c r="H281" i="7944"/>
  <c r="I22" i="7944" s="1"/>
  <c r="H309" i="7944"/>
  <c r="I24" i="7944" s="1"/>
  <c r="K369" i="18"/>
  <c r="L369" i="18" s="1"/>
  <c r="I354" i="7944"/>
  <c r="I365" i="7944" s="1"/>
  <c r="J28" i="7944" s="1"/>
  <c r="H267" i="7944"/>
  <c r="I21" i="7944" s="1"/>
  <c r="H449" i="7944"/>
  <c r="I34" i="7944" s="1"/>
  <c r="W787" i="7958"/>
  <c r="W63" i="7958"/>
  <c r="W738" i="7958" s="1"/>
  <c r="O582" i="7958"/>
  <c r="O743" i="7958" s="1"/>
  <c r="O746" i="7958" s="1"/>
  <c r="O794" i="7958" s="1"/>
  <c r="O786" i="7958"/>
  <c r="Q614" i="7958"/>
  <c r="P496" i="7958"/>
  <c r="O583" i="7958"/>
  <c r="W468" i="7958"/>
  <c r="W34" i="7958"/>
  <c r="P629" i="7958"/>
  <c r="P765" i="7958"/>
  <c r="P711" i="7958"/>
  <c r="W296" i="7958"/>
  <c r="W398" i="7958"/>
  <c r="O772" i="7958"/>
  <c r="O797" i="7958"/>
  <c r="H514" i="18"/>
  <c r="H83" i="7941" s="1"/>
  <c r="H211" i="7941" s="1"/>
  <c r="I381" i="18"/>
  <c r="I657" i="18" s="1"/>
  <c r="K17" i="18"/>
  <c r="E88" i="7955" s="1"/>
  <c r="K36" i="18"/>
  <c r="K494" i="18" s="1"/>
  <c r="K63" i="7941" s="1"/>
  <c r="K34" i="18"/>
  <c r="K492" i="18" s="1"/>
  <c r="K61" i="7941" s="1"/>
  <c r="K23" i="18"/>
  <c r="K481" i="18" s="1"/>
  <c r="K50" i="7941" s="1"/>
  <c r="K25" i="18"/>
  <c r="K483" i="18" s="1"/>
  <c r="K52" i="7941" s="1"/>
  <c r="K14" i="18"/>
  <c r="E43" i="7955" s="1"/>
  <c r="K20" i="18"/>
  <c r="K478" i="18" s="1"/>
  <c r="K47" i="7941" s="1"/>
  <c r="K22" i="18"/>
  <c r="K480" i="18" s="1"/>
  <c r="K49" i="7941" s="1"/>
  <c r="K35" i="18"/>
  <c r="K493" i="18" s="1"/>
  <c r="K62" i="7941" s="1"/>
  <c r="K15" i="18"/>
  <c r="E58" i="7955" s="1"/>
  <c r="K33" i="18"/>
  <c r="K491" i="18" s="1"/>
  <c r="K60" i="7941" s="1"/>
  <c r="K37" i="18"/>
  <c r="K495" i="18" s="1"/>
  <c r="K64" i="7941" s="1"/>
  <c r="K16" i="18"/>
  <c r="E73" i="7955" s="1"/>
  <c r="K29" i="18"/>
  <c r="K487" i="18" s="1"/>
  <c r="K56" i="7941" s="1"/>
  <c r="K40" i="18"/>
  <c r="K498" i="18" s="1"/>
  <c r="K67" i="7941" s="1"/>
  <c r="K12" i="18"/>
  <c r="E13" i="7955" s="1"/>
  <c r="K21" i="18"/>
  <c r="K479" i="18" s="1"/>
  <c r="K48" i="7941" s="1"/>
  <c r="K24" i="18"/>
  <c r="K482" i="18" s="1"/>
  <c r="K51" i="7941" s="1"/>
  <c r="K30" i="18"/>
  <c r="K488" i="18" s="1"/>
  <c r="K57" i="7941" s="1"/>
  <c r="K19" i="18"/>
  <c r="K477" i="18" s="1"/>
  <c r="K46" i="7941" s="1"/>
  <c r="K7" i="7942"/>
  <c r="K28" i="18"/>
  <c r="K486" i="18" s="1"/>
  <c r="K55" i="7941" s="1"/>
  <c r="K18" i="18"/>
  <c r="K476" i="18" s="1"/>
  <c r="K45" i="7941" s="1"/>
  <c r="K41" i="18"/>
  <c r="K499" i="18" s="1"/>
  <c r="K68" i="7941" s="1"/>
  <c r="K32" i="18"/>
  <c r="K490" i="18" s="1"/>
  <c r="K59" i="7941" s="1"/>
  <c r="K26" i="18"/>
  <c r="K484" i="18" s="1"/>
  <c r="K53" i="7941" s="1"/>
  <c r="K27" i="18"/>
  <c r="K485" i="18" s="1"/>
  <c r="K54" i="7941" s="1"/>
  <c r="K39" i="18"/>
  <c r="K497" i="18" s="1"/>
  <c r="K66" i="7941" s="1"/>
  <c r="K13" i="18"/>
  <c r="K471" i="18" s="1"/>
  <c r="K40" i="7941" s="1"/>
  <c r="K38" i="18"/>
  <c r="K496" i="18" s="1"/>
  <c r="K65" i="7941" s="1"/>
  <c r="K217" i="18"/>
  <c r="L217" i="18" s="1"/>
  <c r="E207" i="7955" s="1"/>
  <c r="F207" i="7955" s="1"/>
  <c r="J29" i="18"/>
  <c r="J487" i="18" s="1"/>
  <c r="J56" i="7941" s="1"/>
  <c r="J38" i="18"/>
  <c r="J496" i="18" s="1"/>
  <c r="J65" i="7941" s="1"/>
  <c r="K425" i="18"/>
  <c r="L425" i="18" s="1"/>
  <c r="J12" i="18"/>
  <c r="J470" i="18" s="1"/>
  <c r="I134" i="18"/>
  <c r="I638" i="18" s="1"/>
  <c r="K122" i="18"/>
  <c r="K282" i="18"/>
  <c r="L282" i="18" s="1"/>
  <c r="J40" i="18"/>
  <c r="J498" i="18" s="1"/>
  <c r="J67" i="7941" s="1"/>
  <c r="K386" i="18"/>
  <c r="L386" i="18" s="1"/>
  <c r="K347" i="18"/>
  <c r="J26" i="18"/>
  <c r="J484" i="18" s="1"/>
  <c r="J53" i="7941" s="1"/>
  <c r="K269" i="18"/>
  <c r="L269" i="18" s="1"/>
  <c r="J13" i="18"/>
  <c r="E27" i="7955" s="1"/>
  <c r="J20" i="18"/>
  <c r="J478" i="18" s="1"/>
  <c r="J47" i="7941" s="1"/>
  <c r="J15" i="18"/>
  <c r="J473" i="18" s="1"/>
  <c r="J42" i="7941" s="1"/>
  <c r="K191" i="18"/>
  <c r="L191" i="18" s="1"/>
  <c r="K139" i="18"/>
  <c r="K204" i="18"/>
  <c r="L204" i="18" s="1"/>
  <c r="K412" i="18"/>
  <c r="L412" i="18" s="1"/>
  <c r="K165" i="18"/>
  <c r="L165" i="18" s="1"/>
  <c r="K360" i="18"/>
  <c r="L360" i="18" s="1"/>
  <c r="J39" i="18"/>
  <c r="J497" i="18" s="1"/>
  <c r="J66" i="7941" s="1"/>
  <c r="J32" i="18"/>
  <c r="J490" i="18" s="1"/>
  <c r="J59" i="7941" s="1"/>
  <c r="J28" i="18"/>
  <c r="J486" i="18" s="1"/>
  <c r="J55" i="7941" s="1"/>
  <c r="J36" i="18"/>
  <c r="J494" i="18" s="1"/>
  <c r="J63" i="7941" s="1"/>
  <c r="J35" i="18"/>
  <c r="J493" i="18" s="1"/>
  <c r="J62" i="7941" s="1"/>
  <c r="J23" i="18"/>
  <c r="J481" i="18" s="1"/>
  <c r="J50" i="7941" s="1"/>
  <c r="J17" i="18"/>
  <c r="E87" i="7955" s="1"/>
  <c r="K178" i="18"/>
  <c r="L178" i="18" s="1"/>
  <c r="K321" i="18"/>
  <c r="L321" i="18" s="1"/>
  <c r="K256" i="18"/>
  <c r="L256" i="18" s="1"/>
  <c r="J27" i="18"/>
  <c r="J485" i="18" s="1"/>
  <c r="J54" i="7941" s="1"/>
  <c r="J21" i="18"/>
  <c r="J479" i="18" s="1"/>
  <c r="J48" i="7941" s="1"/>
  <c r="J24" i="18"/>
  <c r="J482" i="18" s="1"/>
  <c r="J51" i="7941" s="1"/>
  <c r="J16" i="18"/>
  <c r="J33" i="18"/>
  <c r="J491" i="18" s="1"/>
  <c r="J60" i="7941" s="1"/>
  <c r="J22" i="18"/>
  <c r="J480" i="18" s="1"/>
  <c r="J49" i="7941" s="1"/>
  <c r="J7" i="7942"/>
  <c r="J41" i="18"/>
  <c r="J499" i="18" s="1"/>
  <c r="J68" i="7941" s="1"/>
  <c r="J19" i="18"/>
  <c r="J477" i="18" s="1"/>
  <c r="J46" i="7941" s="1"/>
  <c r="K373" i="18"/>
  <c r="L373" i="18" s="1"/>
  <c r="K308" i="18"/>
  <c r="L308" i="18" s="1"/>
  <c r="K152" i="18"/>
  <c r="L152" i="18" s="1"/>
  <c r="K243" i="18"/>
  <c r="L243" i="18" s="1"/>
  <c r="K334" i="18"/>
  <c r="L334" i="18" s="1"/>
  <c r="K295" i="18"/>
  <c r="L295" i="18" s="1"/>
  <c r="K399" i="18"/>
  <c r="L399" i="18" s="1"/>
  <c r="K230" i="18"/>
  <c r="L230" i="18" s="1"/>
  <c r="J37" i="18"/>
  <c r="J495" i="18" s="1"/>
  <c r="J64" i="7941" s="1"/>
  <c r="J14" i="18"/>
  <c r="J18" i="18"/>
  <c r="J476" i="18" s="1"/>
  <c r="J45" i="7941" s="1"/>
  <c r="J30" i="18"/>
  <c r="J488" i="18" s="1"/>
  <c r="J57" i="7941" s="1"/>
  <c r="J31" i="18"/>
  <c r="J489" i="18" s="1"/>
  <c r="J58" i="7941" s="1"/>
  <c r="J34" i="18"/>
  <c r="J492" i="18" s="1"/>
  <c r="J61" i="7941" s="1"/>
  <c r="F85" i="7955"/>
  <c r="F70" i="7955"/>
  <c r="F55" i="7955"/>
  <c r="F40" i="7955"/>
  <c r="F25" i="7955"/>
  <c r="F10" i="7955"/>
  <c r="H127" i="7944"/>
  <c r="I11" i="7944" s="1"/>
  <c r="H197" i="7944"/>
  <c r="I16" i="7944" s="1"/>
  <c r="I228" i="7944"/>
  <c r="I239" i="7944" s="1"/>
  <c r="J19" i="7944" s="1"/>
  <c r="I436" i="7944"/>
  <c r="J436" i="7944" s="1"/>
  <c r="I114" i="7944"/>
  <c r="I127" i="7944" s="1"/>
  <c r="H477" i="7944"/>
  <c r="I36" i="7944" s="1"/>
  <c r="H155" i="7944"/>
  <c r="I13" i="7944" s="1"/>
  <c r="H169" i="7944"/>
  <c r="I14" i="7944" s="1"/>
  <c r="H225" i="7944"/>
  <c r="I18" i="7944" s="1"/>
  <c r="H183" i="7944"/>
  <c r="I15" i="7944" s="1"/>
  <c r="H421" i="7944"/>
  <c r="I32" i="7944" s="1"/>
  <c r="I478" i="7944"/>
  <c r="I491" i="7944" s="1"/>
  <c r="J37" i="7944" s="1"/>
  <c r="I256" i="7944"/>
  <c r="I267" i="7944" s="1"/>
  <c r="J21" i="7944" s="1"/>
  <c r="H253" i="7944"/>
  <c r="I20" i="7944" s="1"/>
  <c r="H323" i="7944"/>
  <c r="I25" i="7944" s="1"/>
  <c r="H337" i="7944"/>
  <c r="I26" i="7944" s="1"/>
  <c r="G200" i="7941"/>
  <c r="J239" i="18"/>
  <c r="J251" i="18" s="1"/>
  <c r="J647" i="18" s="1"/>
  <c r="I291" i="18"/>
  <c r="I303" i="18" s="1"/>
  <c r="I651" i="18" s="1"/>
  <c r="I356" i="18"/>
  <c r="I368" i="18" s="1"/>
  <c r="I656" i="18" s="1"/>
  <c r="I226" i="18"/>
  <c r="I238" i="18" s="1"/>
  <c r="I646" i="18" s="1"/>
  <c r="H8" i="7941"/>
  <c r="K633" i="18"/>
  <c r="K636" i="18"/>
  <c r="G631" i="18"/>
  <c r="I278" i="18"/>
  <c r="I290" i="18" s="1"/>
  <c r="I650" i="18" s="1"/>
  <c r="I265" i="18"/>
  <c r="I277" i="18" s="1"/>
  <c r="I649" i="18" s="1"/>
  <c r="I304" i="18"/>
  <c r="I316" i="18" s="1"/>
  <c r="I652" i="18" s="1"/>
  <c r="I174" i="18"/>
  <c r="I186" i="18" s="1"/>
  <c r="I642" i="18" s="1"/>
  <c r="K489" i="18"/>
  <c r="K58" i="7941" s="1"/>
  <c r="K637" i="18"/>
  <c r="K634" i="18"/>
  <c r="K632" i="18"/>
  <c r="H224" i="7941"/>
  <c r="K173" i="1"/>
  <c r="L169" i="1"/>
  <c r="L38" i="18" s="1"/>
  <c r="L160" i="1"/>
  <c r="L29" i="18" s="1"/>
  <c r="L151" i="1"/>
  <c r="L20" i="18" s="1"/>
  <c r="L150" i="1"/>
  <c r="L162" i="1"/>
  <c r="L31" i="18" s="1"/>
  <c r="E299" i="7955" s="1"/>
  <c r="F299" i="7955" s="1"/>
  <c r="L156" i="1"/>
  <c r="L25" i="18" s="1"/>
  <c r="L148" i="1"/>
  <c r="L163" i="1"/>
  <c r="L32" i="18" s="1"/>
  <c r="L155" i="1"/>
  <c r="L24" i="18" s="1"/>
  <c r="L164" i="1"/>
  <c r="L33" i="18" s="1"/>
  <c r="L153" i="1"/>
  <c r="L22" i="18" s="1"/>
  <c r="E164" i="7955" s="1"/>
  <c r="L146" i="1"/>
  <c r="L161" i="1"/>
  <c r="L30" i="18" s="1"/>
  <c r="L7" i="18"/>
  <c r="L166" i="1"/>
  <c r="L159" i="1"/>
  <c r="L28" i="18" s="1"/>
  <c r="L170" i="1"/>
  <c r="L39" i="18" s="1"/>
  <c r="L171" i="1"/>
  <c r="L40" i="18" s="1"/>
  <c r="L167" i="1"/>
  <c r="L36" i="18" s="1"/>
  <c r="L149" i="1"/>
  <c r="L152" i="1"/>
  <c r="L21" i="18" s="1"/>
  <c r="L157" i="1"/>
  <c r="L26" i="18" s="1"/>
  <c r="L484" i="18" s="1"/>
  <c r="L53" i="7941" s="1"/>
  <c r="L154" i="1"/>
  <c r="L23" i="18" s="1"/>
  <c r="L172" i="1"/>
  <c r="L41" i="18" s="1"/>
  <c r="L158" i="1"/>
  <c r="L27" i="18" s="1"/>
  <c r="E239" i="7955" s="1"/>
  <c r="F239" i="7955" s="1"/>
  <c r="L145" i="1"/>
  <c r="L168" i="1"/>
  <c r="L37" i="18" s="1"/>
  <c r="L165" i="1"/>
  <c r="L34" i="18" s="1"/>
  <c r="E344" i="7955" s="1"/>
  <c r="F344" i="7955" s="1"/>
  <c r="L147" i="1"/>
  <c r="L35" i="18"/>
  <c r="E359" i="7955" s="1"/>
  <c r="F359" i="7955" s="1"/>
  <c r="I459" i="18"/>
  <c r="I687" i="18" s="1"/>
  <c r="K202" i="18"/>
  <c r="J225" i="18"/>
  <c r="J645" i="18" s="1"/>
  <c r="I393" i="7944"/>
  <c r="J30" i="7944" s="1"/>
  <c r="H680" i="18"/>
  <c r="H516" i="18" s="1"/>
  <c r="H85" i="7941" s="1"/>
  <c r="H515" i="18"/>
  <c r="I295" i="7942"/>
  <c r="I142" i="7942"/>
  <c r="I126" i="7942"/>
  <c r="I160" i="7942"/>
  <c r="I321" i="7942"/>
  <c r="I287" i="7942"/>
  <c r="I146" i="7942"/>
  <c r="I273" i="7942"/>
  <c r="I166" i="7942"/>
  <c r="I283" i="7942"/>
  <c r="I128" i="7942"/>
  <c r="I173" i="18"/>
  <c r="I641" i="18" s="1"/>
  <c r="J161" i="18"/>
  <c r="J173" i="18" s="1"/>
  <c r="J641" i="18" s="1"/>
  <c r="K384" i="18"/>
  <c r="H676" i="18"/>
  <c r="H512" i="18" s="1"/>
  <c r="H81" i="7941" s="1"/>
  <c r="H513" i="18"/>
  <c r="H688" i="18"/>
  <c r="H524" i="18" s="1"/>
  <c r="H93" i="7941" s="1"/>
  <c r="I29" i="7941" s="1"/>
  <c r="I483" i="18"/>
  <c r="I52" i="7941" s="1"/>
  <c r="H683" i="18"/>
  <c r="H519" i="18" s="1"/>
  <c r="H88" i="7941" s="1"/>
  <c r="F86" i="7955"/>
  <c r="I351" i="7944"/>
  <c r="I183" i="7944"/>
  <c r="I281" i="7944"/>
  <c r="G227" i="7941"/>
  <c r="H35" i="7941"/>
  <c r="H531" i="18"/>
  <c r="H100" i="7941" s="1"/>
  <c r="I36" i="7941" s="1"/>
  <c r="G217" i="7941"/>
  <c r="H25" i="7941"/>
  <c r="G213" i="7941"/>
  <c r="H21" i="7941"/>
  <c r="H667" i="18"/>
  <c r="H503" i="18" s="1"/>
  <c r="H72" i="7941" s="1"/>
  <c r="I252" i="18"/>
  <c r="I264" i="18" s="1"/>
  <c r="I648" i="18" s="1"/>
  <c r="I120" i="7942"/>
  <c r="I305" i="7942"/>
  <c r="I275" i="7942"/>
  <c r="I313" i="7942"/>
  <c r="I319" i="7942"/>
  <c r="I291" i="7942"/>
  <c r="I315" i="7942"/>
  <c r="I301" i="7942"/>
  <c r="I279" i="7942"/>
  <c r="G70" i="7941"/>
  <c r="G199" i="7941"/>
  <c r="H7" i="7941"/>
  <c r="H522" i="18"/>
  <c r="H511" i="18"/>
  <c r="K306" i="18"/>
  <c r="L306" i="18" s="1"/>
  <c r="E310" i="7955" s="1"/>
  <c r="F310" i="7955" s="1"/>
  <c r="M3" i="18"/>
  <c r="L241" i="18"/>
  <c r="E235" i="7955" s="1"/>
  <c r="F235" i="7955" s="1"/>
  <c r="L423" i="18"/>
  <c r="E445" i="7955" s="1"/>
  <c r="F445" i="7955" s="1"/>
  <c r="L215" i="18"/>
  <c r="E205" i="7955" s="1"/>
  <c r="F205" i="7955" s="1"/>
  <c r="L293" i="18"/>
  <c r="E295" i="7955" s="1"/>
  <c r="F295" i="7955" s="1"/>
  <c r="L333" i="18"/>
  <c r="E341" i="7955" s="1"/>
  <c r="F341" i="7955" s="1"/>
  <c r="L410" i="18"/>
  <c r="E430" i="7955" s="1"/>
  <c r="F430" i="7955" s="1"/>
  <c r="L267" i="18"/>
  <c r="E265" i="7955" s="1"/>
  <c r="F265" i="7955" s="1"/>
  <c r="L346" i="18"/>
  <c r="E356" i="7955" s="1"/>
  <c r="F356" i="7955" s="1"/>
  <c r="L229" i="18"/>
  <c r="E221" i="7955" s="1"/>
  <c r="F221" i="7955" s="1"/>
  <c r="L228" i="18"/>
  <c r="E220" i="7955" s="1"/>
  <c r="F220" i="7955" s="1"/>
  <c r="L255" i="18"/>
  <c r="E251" i="7955" s="1"/>
  <c r="F251" i="7955" s="1"/>
  <c r="L385" i="18"/>
  <c r="E401" i="7955" s="1"/>
  <c r="F401" i="7955" s="1"/>
  <c r="L411" i="18"/>
  <c r="E431" i="7955" s="1"/>
  <c r="F431" i="7955" s="1"/>
  <c r="L270" i="18"/>
  <c r="L138" i="18"/>
  <c r="L205" i="18"/>
  <c r="L140" i="18"/>
  <c r="L283" i="18"/>
  <c r="L177" i="18"/>
  <c r="E161" i="7955" s="1"/>
  <c r="L216" i="18"/>
  <c r="E206" i="7955" s="1"/>
  <c r="F206" i="7955" s="1"/>
  <c r="L200" i="18"/>
  <c r="E188" i="7955" s="1"/>
  <c r="L424" i="18"/>
  <c r="E446" i="7955" s="1"/>
  <c r="F446" i="7955" s="1"/>
  <c r="L281" i="18"/>
  <c r="E281" i="7955" s="1"/>
  <c r="F281" i="7955" s="1"/>
  <c r="L319" i="18"/>
  <c r="E325" i="7955" s="1"/>
  <c r="F325" i="7955" s="1"/>
  <c r="L189" i="18"/>
  <c r="E175" i="7955" s="1"/>
  <c r="F175" i="7955" s="1"/>
  <c r="L371" i="18"/>
  <c r="E385" i="7955" s="1"/>
  <c r="F385" i="7955" s="1"/>
  <c r="L372" i="18"/>
  <c r="E386" i="7955" s="1"/>
  <c r="F386" i="7955" s="1"/>
  <c r="L361" i="18"/>
  <c r="L413" i="18"/>
  <c r="L179" i="18"/>
  <c r="L398" i="18"/>
  <c r="E416" i="7955" s="1"/>
  <c r="F416" i="7955" s="1"/>
  <c r="L387" i="18"/>
  <c r="L192" i="18"/>
  <c r="L294" i="18"/>
  <c r="E296" i="7955" s="1"/>
  <c r="F296" i="7955" s="1"/>
  <c r="L150" i="18"/>
  <c r="E130" i="7955" s="1"/>
  <c r="L320" i="18"/>
  <c r="E326" i="7955" s="1"/>
  <c r="F326" i="7955" s="1"/>
  <c r="L268" i="18"/>
  <c r="E266" i="7955" s="1"/>
  <c r="F266" i="7955" s="1"/>
  <c r="L374" i="18"/>
  <c r="L166" i="18"/>
  <c r="L309" i="18"/>
  <c r="L296" i="18"/>
  <c r="E298" i="7955" s="1"/>
  <c r="F298" i="7955" s="1"/>
  <c r="L231" i="18"/>
  <c r="L163" i="18"/>
  <c r="E145" i="7955" s="1"/>
  <c r="L254" i="18"/>
  <c r="E250" i="7955" s="1"/>
  <c r="F250" i="7955" s="1"/>
  <c r="L153" i="18"/>
  <c r="L397" i="18"/>
  <c r="E415" i="7955" s="1"/>
  <c r="F415" i="7955" s="1"/>
  <c r="L359" i="18"/>
  <c r="E371" i="7955" s="1"/>
  <c r="F371" i="7955" s="1"/>
  <c r="L322" i="18"/>
  <c r="L426" i="18"/>
  <c r="L151" i="18"/>
  <c r="E131" i="7955" s="1"/>
  <c r="L280" i="18"/>
  <c r="E280" i="7955" s="1"/>
  <c r="F280" i="7955" s="1"/>
  <c r="L257" i="18"/>
  <c r="L348" i="18"/>
  <c r="L345" i="18"/>
  <c r="E355" i="7955" s="1"/>
  <c r="F355" i="7955" s="1"/>
  <c r="L164" i="18"/>
  <c r="E146" i="7955" s="1"/>
  <c r="L242" i="18"/>
  <c r="E236" i="7955" s="1"/>
  <c r="F236" i="7955" s="1"/>
  <c r="L400" i="18"/>
  <c r="L358" i="18"/>
  <c r="E370" i="7955" s="1"/>
  <c r="F370" i="7955" s="1"/>
  <c r="L218" i="18"/>
  <c r="L335" i="18"/>
  <c r="L244" i="18"/>
  <c r="L176" i="18"/>
  <c r="E160" i="7955" s="1"/>
  <c r="L203" i="18"/>
  <c r="E191" i="7955" s="1"/>
  <c r="F191" i="7955" s="1"/>
  <c r="L190" i="18"/>
  <c r="E176" i="7955" s="1"/>
  <c r="F176" i="7955" s="1"/>
  <c r="L307" i="18"/>
  <c r="E311" i="7955" s="1"/>
  <c r="F311" i="7955" s="1"/>
  <c r="H17" i="7941"/>
  <c r="G209" i="7941"/>
  <c r="H669" i="18"/>
  <c r="H505" i="18" s="1"/>
  <c r="H74" i="7941" s="1"/>
  <c r="G216" i="7941"/>
  <c r="H24" i="7941"/>
  <c r="I152" i="7942"/>
  <c r="K3" i="7944"/>
  <c r="J188" i="7944"/>
  <c r="J100" i="7944"/>
  <c r="J214" i="7944"/>
  <c r="J356" i="7944"/>
  <c r="J286" i="7944"/>
  <c r="J146" i="7944"/>
  <c r="J130" i="7944"/>
  <c r="J202" i="7944"/>
  <c r="J382" i="7944"/>
  <c r="J481" i="7944"/>
  <c r="J102" i="7944"/>
  <c r="J285" i="7944"/>
  <c r="J411" i="7944"/>
  <c r="J425" i="7944"/>
  <c r="J298" i="7944"/>
  <c r="J158" i="7944"/>
  <c r="J74" i="7944"/>
  <c r="J257" i="7944"/>
  <c r="J384" i="7944"/>
  <c r="J380" i="7944"/>
  <c r="J142" i="7944"/>
  <c r="J327" i="7944"/>
  <c r="J394" i="7944"/>
  <c r="J174" i="7944"/>
  <c r="J144" i="7944"/>
  <c r="J312" i="7944"/>
  <c r="J170" i="7944"/>
  <c r="J398" i="7944"/>
  <c r="J272" i="7944"/>
  <c r="J90" i="7944"/>
  <c r="J86" i="7944"/>
  <c r="J454" i="7944"/>
  <c r="J156" i="7944"/>
  <c r="J482" i="7944"/>
  <c r="J75" i="7944"/>
  <c r="J300" i="7944"/>
  <c r="J370" i="7944"/>
  <c r="J103" i="7944"/>
  <c r="J326" i="7944"/>
  <c r="J466" i="7944"/>
  <c r="J88" i="7944"/>
  <c r="J352" i="7944"/>
  <c r="J440" i="7944"/>
  <c r="J424" i="7944"/>
  <c r="J342" i="7944"/>
  <c r="J216" i="7944"/>
  <c r="J397" i="7944"/>
  <c r="J396" i="7944"/>
  <c r="J282" i="7944"/>
  <c r="J270" i="7944"/>
  <c r="J438" i="7944"/>
  <c r="J215" i="7944"/>
  <c r="J310" i="7944"/>
  <c r="J230" i="7944"/>
  <c r="J299" i="7944"/>
  <c r="J464" i="7944"/>
  <c r="J284" i="7944"/>
  <c r="J314" i="7944"/>
  <c r="J480" i="7944"/>
  <c r="J244" i="7944"/>
  <c r="J116" i="7944"/>
  <c r="J212" i="7944"/>
  <c r="J172" i="7944"/>
  <c r="J340" i="7944"/>
  <c r="J198" i="7944"/>
  <c r="J341" i="7944"/>
  <c r="J410" i="7944"/>
  <c r="J383" i="7944"/>
  <c r="J412" i="7944"/>
  <c r="J131" i="7944"/>
  <c r="J89" i="7944"/>
  <c r="J117" i="7944"/>
  <c r="J184" i="7944"/>
  <c r="J160" i="7944"/>
  <c r="J76" i="7944"/>
  <c r="J132" i="7944"/>
  <c r="J242" i="7944"/>
  <c r="J408" i="7944"/>
  <c r="J313" i="7944"/>
  <c r="J268" i="7944"/>
  <c r="J338" i="7944"/>
  <c r="J296" i="7944"/>
  <c r="J118" i="7944"/>
  <c r="J426" i="7944"/>
  <c r="J468" i="7944"/>
  <c r="J159" i="7944"/>
  <c r="J104" i="7944"/>
  <c r="J452" i="7944"/>
  <c r="J229" i="7944"/>
  <c r="J201" i="7944"/>
  <c r="J186" i="7944"/>
  <c r="J173" i="7944"/>
  <c r="J422" i="7944"/>
  <c r="J453" i="7944"/>
  <c r="J258" i="7944"/>
  <c r="J145" i="7944"/>
  <c r="J366" i="7944"/>
  <c r="J254" i="7944"/>
  <c r="J355" i="7944"/>
  <c r="J324" i="7944"/>
  <c r="J439" i="7944"/>
  <c r="J187" i="7944"/>
  <c r="J240" i="7944"/>
  <c r="J328" i="7944"/>
  <c r="J243" i="7944"/>
  <c r="J271" i="7944"/>
  <c r="J226" i="7944"/>
  <c r="J369" i="7944"/>
  <c r="J467" i="7944"/>
  <c r="I295" i="7944"/>
  <c r="I435" i="7944"/>
  <c r="J33" i="7944" s="1"/>
  <c r="I99" i="7944"/>
  <c r="I169" i="7944"/>
  <c r="H394" i="18"/>
  <c r="H658" i="18" s="1"/>
  <c r="J382" i="18"/>
  <c r="J394" i="18" s="1"/>
  <c r="J658" i="18" s="1"/>
  <c r="I289" i="7942"/>
  <c r="I285" i="7942"/>
  <c r="I281" i="7942"/>
  <c r="I303" i="7942"/>
  <c r="I297" i="7942"/>
  <c r="I130" i="7942"/>
  <c r="I307" i="7942"/>
  <c r="I154" i="7942"/>
  <c r="I293" i="7942"/>
  <c r="I271" i="7942"/>
  <c r="I162" i="7942"/>
  <c r="I138" i="7942"/>
  <c r="H529" i="18"/>
  <c r="H98" i="7941" s="1"/>
  <c r="H226" i="7941" s="1"/>
  <c r="K332" i="18"/>
  <c r="L332" i="18" s="1"/>
  <c r="E340" i="7955" s="1"/>
  <c r="F340" i="7955" s="1"/>
  <c r="H682" i="18"/>
  <c r="H518" i="18" s="1"/>
  <c r="I639" i="18"/>
  <c r="G202" i="7941"/>
  <c r="H10" i="7941"/>
  <c r="I11" i="18"/>
  <c r="J135" i="18"/>
  <c r="I225" i="7944"/>
  <c r="I155" i="7944"/>
  <c r="I337" i="7944"/>
  <c r="I197" i="7944"/>
  <c r="I309" i="7944"/>
  <c r="G219" i="7941"/>
  <c r="H510" i="18"/>
  <c r="G225" i="7941"/>
  <c r="H33" i="7941"/>
  <c r="H517" i="18"/>
  <c r="H639" i="18"/>
  <c r="G102" i="7941"/>
  <c r="I327" i="7942"/>
  <c r="I299" i="7942"/>
  <c r="I134" i="7942"/>
  <c r="I311" i="7942"/>
  <c r="I140" i="7942"/>
  <c r="I323" i="7942"/>
  <c r="I136" i="7942"/>
  <c r="I317" i="7942"/>
  <c r="I325" i="7942"/>
  <c r="I158" i="7942"/>
  <c r="H666" i="18"/>
  <c r="H502" i="18" s="1"/>
  <c r="L7" i="7942"/>
  <c r="I395" i="18"/>
  <c r="F8" i="7955"/>
  <c r="K213" i="18"/>
  <c r="L213" i="18" s="1"/>
  <c r="K187" i="18"/>
  <c r="H220" i="7941"/>
  <c r="I28" i="7941"/>
  <c r="H39" i="7941"/>
  <c r="H469" i="18"/>
  <c r="J4" i="7942"/>
  <c r="J4" i="18"/>
  <c r="J176" i="1"/>
  <c r="J74" i="1"/>
  <c r="J108" i="1" s="1"/>
  <c r="J4" i="7944"/>
  <c r="J4" i="7941"/>
  <c r="J142" i="1"/>
  <c r="I323" i="7944"/>
  <c r="I407" i="7944"/>
  <c r="J31" i="7944" s="1"/>
  <c r="I421" i="7944"/>
  <c r="I477" i="7944"/>
  <c r="I253" i="7944"/>
  <c r="I113" i="7944"/>
  <c r="J10" i="7944" s="1"/>
  <c r="H694" i="18"/>
  <c r="H530" i="18" s="1"/>
  <c r="I421" i="18"/>
  <c r="I433" i="18" s="1"/>
  <c r="I661" i="18" s="1"/>
  <c r="H62" i="7941"/>
  <c r="I461" i="18"/>
  <c r="H526" i="18"/>
  <c r="H95" i="7941" s="1"/>
  <c r="H223" i="7941" s="1"/>
  <c r="I39" i="7941"/>
  <c r="I330" i="18"/>
  <c r="H684" i="18"/>
  <c r="H520" i="18" s="1"/>
  <c r="I463" i="18"/>
  <c r="I408" i="18"/>
  <c r="I420" i="18" s="1"/>
  <c r="I660" i="18" s="1"/>
  <c r="G75" i="7942"/>
  <c r="H521" i="18"/>
  <c r="H268" i="7942"/>
  <c r="I148" i="18"/>
  <c r="H692" i="18"/>
  <c r="I449" i="7944" l="1"/>
  <c r="J128" i="7944"/>
  <c r="H672" i="18"/>
  <c r="H508" i="18" s="1"/>
  <c r="H77" i="7941" s="1"/>
  <c r="H668" i="18"/>
  <c r="H504" i="18" s="1"/>
  <c r="H73" i="7941" s="1"/>
  <c r="H670" i="18"/>
  <c r="H506" i="18" s="1"/>
  <c r="H75" i="7941" s="1"/>
  <c r="H673" i="18"/>
  <c r="H509" i="18" s="1"/>
  <c r="H671" i="18"/>
  <c r="H507" i="18" s="1"/>
  <c r="H76" i="7941" s="1"/>
  <c r="J108" i="7942"/>
  <c r="K108" i="7942" s="1"/>
  <c r="L108" i="7942" s="1"/>
  <c r="I442" i="18"/>
  <c r="I670" i="18" s="1"/>
  <c r="I506" i="18" s="1"/>
  <c r="I75" i="7941" s="1"/>
  <c r="J112" i="7942"/>
  <c r="K112" i="7942" s="1"/>
  <c r="L112" i="7942" s="1"/>
  <c r="F146" i="7955"/>
  <c r="F145" i="7955"/>
  <c r="F130" i="7955"/>
  <c r="F161" i="7955"/>
  <c r="F160" i="7955"/>
  <c r="F131" i="7955"/>
  <c r="F164" i="7955"/>
  <c r="F101" i="7955"/>
  <c r="I444" i="18"/>
  <c r="I672" i="18" s="1"/>
  <c r="H14" i="7941"/>
  <c r="G206" i="7941"/>
  <c r="J256" i="7944"/>
  <c r="H11" i="7941"/>
  <c r="I11" i="7941" s="1"/>
  <c r="G203" i="7941"/>
  <c r="H13" i="7941"/>
  <c r="G205" i="7941"/>
  <c r="G201" i="7941"/>
  <c r="H9" i="7941"/>
  <c r="H12" i="7941"/>
  <c r="H204" i="7941" s="1"/>
  <c r="G204" i="7941"/>
  <c r="G38" i="7941"/>
  <c r="J354" i="7944"/>
  <c r="J114" i="7944"/>
  <c r="J156" i="7942"/>
  <c r="K156" i="7942" s="1"/>
  <c r="L156" i="7942" s="1"/>
  <c r="J110" i="7942"/>
  <c r="K110" i="7942" s="1"/>
  <c r="L110" i="7942" s="1"/>
  <c r="J116" i="7942"/>
  <c r="K116" i="7942" s="1"/>
  <c r="L116" i="7942" s="1"/>
  <c r="J118" i="7942"/>
  <c r="K118" i="7942" s="1"/>
  <c r="J114" i="7942"/>
  <c r="K114" i="7942" s="1"/>
  <c r="L114" i="7942" s="1"/>
  <c r="K239" i="18"/>
  <c r="K251" i="18" s="1"/>
  <c r="K647" i="18" s="1"/>
  <c r="K161" i="18"/>
  <c r="K173" i="18" s="1"/>
  <c r="K641" i="18" s="1"/>
  <c r="I85" i="7944"/>
  <c r="I71" i="7944" s="1"/>
  <c r="K355" i="18"/>
  <c r="K655" i="18" s="1"/>
  <c r="J17" i="7944"/>
  <c r="J23" i="7944"/>
  <c r="K472" i="18"/>
  <c r="K41" i="7941" s="1"/>
  <c r="I523" i="18"/>
  <c r="J459" i="18" s="1"/>
  <c r="W64" i="7958"/>
  <c r="E312" i="7955"/>
  <c r="F312" i="7955" s="1"/>
  <c r="E252" i="7955"/>
  <c r="F252" i="7955" s="1"/>
  <c r="J9" i="7944"/>
  <c r="J20" i="7944"/>
  <c r="J24" i="7944"/>
  <c r="J450" i="7944"/>
  <c r="J463" i="7944" s="1"/>
  <c r="K35" i="7944" s="1"/>
  <c r="J34" i="7944"/>
  <c r="J368" i="7944"/>
  <c r="J379" i="7944" s="1"/>
  <c r="K29" i="7944" s="1"/>
  <c r="J14" i="7944"/>
  <c r="I19" i="7941"/>
  <c r="E28" i="7955"/>
  <c r="J25" i="7944"/>
  <c r="J228" i="7944"/>
  <c r="J239" i="7944" s="1"/>
  <c r="K19" i="7944" s="1"/>
  <c r="J15" i="7944"/>
  <c r="J27" i="7944"/>
  <c r="T341" i="7958"/>
  <c r="T770" i="7958"/>
  <c r="O805" i="7958"/>
  <c r="S367" i="7958"/>
  <c r="T364" i="7958" s="1"/>
  <c r="E100" i="7955"/>
  <c r="E116" i="7955"/>
  <c r="E115" i="7955"/>
  <c r="L139" i="18"/>
  <c r="J197" i="7944"/>
  <c r="J36" i="7944"/>
  <c r="J200" i="7944"/>
  <c r="J211" i="7944" s="1"/>
  <c r="J32" i="7944"/>
  <c r="J26" i="7944"/>
  <c r="J226" i="18"/>
  <c r="J238" i="18" s="1"/>
  <c r="J646" i="18" s="1"/>
  <c r="J478" i="7944"/>
  <c r="K478" i="7944" s="1"/>
  <c r="J174" i="18"/>
  <c r="J186" i="18" s="1"/>
  <c r="J642" i="18" s="1"/>
  <c r="J22" i="7944"/>
  <c r="J265" i="18"/>
  <c r="K265" i="18" s="1"/>
  <c r="J18" i="7944"/>
  <c r="J16" i="7944"/>
  <c r="P787" i="7958"/>
  <c r="P798" i="7958" s="1"/>
  <c r="P713" i="7958"/>
  <c r="P498" i="7958"/>
  <c r="P580" i="7958"/>
  <c r="P764" i="7958"/>
  <c r="Q615" i="7958"/>
  <c r="W297" i="7958"/>
  <c r="P630" i="7958"/>
  <c r="L13" i="18"/>
  <c r="E29" i="7955" s="1"/>
  <c r="L18" i="18"/>
  <c r="L476" i="18" s="1"/>
  <c r="L45" i="7941" s="1"/>
  <c r="L15" i="18"/>
  <c r="E59" i="7955" s="1"/>
  <c r="L14" i="18"/>
  <c r="L472" i="18" s="1"/>
  <c r="L41" i="7941" s="1"/>
  <c r="L19" i="18"/>
  <c r="E119" i="7955" s="1"/>
  <c r="L16" i="18"/>
  <c r="E74" i="7955" s="1"/>
  <c r="L17" i="18"/>
  <c r="L475" i="18" s="1"/>
  <c r="L44" i="7941" s="1"/>
  <c r="E237" i="7955"/>
  <c r="F237" i="7955" s="1"/>
  <c r="I450" i="18"/>
  <c r="I678" i="18" s="1"/>
  <c r="I514" i="18" s="1"/>
  <c r="I83" i="7941" s="1"/>
  <c r="K475" i="18"/>
  <c r="K44" i="7941" s="1"/>
  <c r="E403" i="7955"/>
  <c r="F403" i="7955" s="1"/>
  <c r="E193" i="7955"/>
  <c r="F193" i="7955" s="1"/>
  <c r="E148" i="7955"/>
  <c r="J11" i="7944"/>
  <c r="L347" i="18"/>
  <c r="E357" i="7955" s="1"/>
  <c r="F357" i="7955" s="1"/>
  <c r="H631" i="18"/>
  <c r="E388" i="7955"/>
  <c r="F388" i="7955" s="1"/>
  <c r="E163" i="7955"/>
  <c r="E448" i="7955"/>
  <c r="F448" i="7955" s="1"/>
  <c r="E372" i="7955"/>
  <c r="F372" i="7955" s="1"/>
  <c r="E373" i="7955"/>
  <c r="F373" i="7955" s="1"/>
  <c r="J356" i="18"/>
  <c r="J368" i="18" s="1"/>
  <c r="J656" i="18" s="1"/>
  <c r="H43" i="18"/>
  <c r="I7" i="7944"/>
  <c r="E208" i="7955"/>
  <c r="F208" i="7955" s="1"/>
  <c r="E253" i="7955"/>
  <c r="F253" i="7955" s="1"/>
  <c r="K474" i="18"/>
  <c r="K43" i="7941" s="1"/>
  <c r="K199" i="18"/>
  <c r="K643" i="18" s="1"/>
  <c r="E343" i="7955"/>
  <c r="F343" i="7955" s="1"/>
  <c r="E418" i="7955"/>
  <c r="F418" i="7955" s="1"/>
  <c r="E358" i="7955"/>
  <c r="F358" i="7955" s="1"/>
  <c r="E133" i="7955"/>
  <c r="E178" i="7955"/>
  <c r="F178" i="7955" s="1"/>
  <c r="J144" i="7942"/>
  <c r="K144" i="7942" s="1"/>
  <c r="E313" i="7955"/>
  <c r="F313" i="7955" s="1"/>
  <c r="F87" i="7955"/>
  <c r="F73" i="7955"/>
  <c r="F27" i="7955"/>
  <c r="K470" i="18"/>
  <c r="K39" i="7941" s="1"/>
  <c r="E118" i="7955"/>
  <c r="K11" i="18"/>
  <c r="E402" i="7955"/>
  <c r="F402" i="7955" s="1"/>
  <c r="E238" i="7955"/>
  <c r="F238" i="7955" s="1"/>
  <c r="E223" i="7955"/>
  <c r="F223" i="7955" s="1"/>
  <c r="E283" i="7955"/>
  <c r="F283" i="7955" s="1"/>
  <c r="K473" i="18"/>
  <c r="K42" i="7941" s="1"/>
  <c r="E267" i="7955"/>
  <c r="F267" i="7955" s="1"/>
  <c r="E328" i="7955"/>
  <c r="F328" i="7955" s="1"/>
  <c r="E433" i="7955"/>
  <c r="F433" i="7955" s="1"/>
  <c r="E268" i="7955"/>
  <c r="F268" i="7955" s="1"/>
  <c r="J269" i="7942"/>
  <c r="K269" i="7942" s="1"/>
  <c r="J303" i="7942"/>
  <c r="K303" i="7942" s="1"/>
  <c r="L303" i="7942" s="1"/>
  <c r="J152" i="7942"/>
  <c r="K152" i="7942" s="1"/>
  <c r="J301" i="7942"/>
  <c r="K301" i="7942" s="1"/>
  <c r="J313" i="7942"/>
  <c r="K313" i="7942" s="1"/>
  <c r="E222" i="7955"/>
  <c r="F222" i="7955" s="1"/>
  <c r="J307" i="7942"/>
  <c r="K307" i="7942" s="1"/>
  <c r="L307" i="7942" s="1"/>
  <c r="J128" i="7942"/>
  <c r="K128" i="7942" s="1"/>
  <c r="L128" i="7942" s="1"/>
  <c r="J146" i="7942"/>
  <c r="K146" i="7942" s="1"/>
  <c r="L146" i="7942" s="1"/>
  <c r="J309" i="7942"/>
  <c r="K309" i="7942" s="1"/>
  <c r="J323" i="7942"/>
  <c r="K323" i="7942" s="1"/>
  <c r="L323" i="7942" s="1"/>
  <c r="E57" i="7955"/>
  <c r="E103" i="7955"/>
  <c r="I107" i="7942"/>
  <c r="H107" i="7942"/>
  <c r="J150" i="7942"/>
  <c r="K150" i="7942" s="1"/>
  <c r="L150" i="7942" s="1"/>
  <c r="J148" i="7942"/>
  <c r="K148" i="7942" s="1"/>
  <c r="J278" i="18"/>
  <c r="J290" i="18" s="1"/>
  <c r="J650" i="18" s="1"/>
  <c r="I508" i="18"/>
  <c r="I77" i="7941" s="1"/>
  <c r="E177" i="7955"/>
  <c r="F177" i="7955" s="1"/>
  <c r="E12" i="7955"/>
  <c r="E387" i="7955"/>
  <c r="F387" i="7955" s="1"/>
  <c r="K381" i="18"/>
  <c r="K657" i="18" s="1"/>
  <c r="E447" i="7955"/>
  <c r="F447" i="7955" s="1"/>
  <c r="J471" i="18"/>
  <c r="J40" i="7941" s="1"/>
  <c r="E297" i="7955"/>
  <c r="F297" i="7955" s="1"/>
  <c r="E327" i="7955"/>
  <c r="F327" i="7955" s="1"/>
  <c r="E432" i="7955"/>
  <c r="F432" i="7955" s="1"/>
  <c r="L122" i="18"/>
  <c r="E98" i="7955" s="1"/>
  <c r="M122" i="18"/>
  <c r="E342" i="7955"/>
  <c r="F342" i="7955" s="1"/>
  <c r="E162" i="7955"/>
  <c r="E147" i="7955"/>
  <c r="E132" i="7955"/>
  <c r="K212" i="18"/>
  <c r="K644" i="18" s="1"/>
  <c r="J164" i="7942"/>
  <c r="K164" i="7942" s="1"/>
  <c r="J13" i="7944"/>
  <c r="E417" i="7955"/>
  <c r="F417" i="7955" s="1"/>
  <c r="J475" i="18"/>
  <c r="J44" i="7941" s="1"/>
  <c r="J140" i="7942"/>
  <c r="K140" i="7942" s="1"/>
  <c r="L140" i="7942" s="1"/>
  <c r="J327" i="7942"/>
  <c r="K327" i="7942" s="1"/>
  <c r="L327" i="7942" s="1"/>
  <c r="J122" i="7942"/>
  <c r="K122" i="7942" s="1"/>
  <c r="J271" i="7942"/>
  <c r="K271" i="7942" s="1"/>
  <c r="L271" i="7942" s="1"/>
  <c r="J130" i="7942"/>
  <c r="K130" i="7942" s="1"/>
  <c r="J281" i="7942"/>
  <c r="K281" i="7942" s="1"/>
  <c r="L281" i="7942" s="1"/>
  <c r="K329" i="18"/>
  <c r="K653" i="18" s="1"/>
  <c r="J283" i="7942"/>
  <c r="K283" i="7942" s="1"/>
  <c r="J287" i="7942"/>
  <c r="K287" i="7942" s="1"/>
  <c r="L287" i="7942" s="1"/>
  <c r="J142" i="7942"/>
  <c r="K142" i="7942" s="1"/>
  <c r="K134" i="18"/>
  <c r="K638" i="18" s="1"/>
  <c r="J317" i="7942"/>
  <c r="K317" i="7942" s="1"/>
  <c r="L317" i="7942" s="1"/>
  <c r="J311" i="7942"/>
  <c r="K311" i="7942" s="1"/>
  <c r="J11" i="18"/>
  <c r="J297" i="7942"/>
  <c r="K297" i="7942" s="1"/>
  <c r="J295" i="7942"/>
  <c r="K295" i="7942" s="1"/>
  <c r="J277" i="7942"/>
  <c r="K277" i="7942" s="1"/>
  <c r="J472" i="18"/>
  <c r="J41" i="7941" s="1"/>
  <c r="E42" i="7955"/>
  <c r="J136" i="7942"/>
  <c r="K136" i="7942" s="1"/>
  <c r="L136" i="7942" s="1"/>
  <c r="J124" i="7942"/>
  <c r="K124" i="7942" s="1"/>
  <c r="J154" i="7942"/>
  <c r="K154" i="7942" s="1"/>
  <c r="E282" i="7955"/>
  <c r="F282" i="7955" s="1"/>
  <c r="E192" i="7955"/>
  <c r="F192" i="7955" s="1"/>
  <c r="J319" i="7942"/>
  <c r="K319" i="7942" s="1"/>
  <c r="J305" i="7942"/>
  <c r="K305" i="7942" s="1"/>
  <c r="J160" i="7942"/>
  <c r="K160" i="7942" s="1"/>
  <c r="L160" i="7942" s="1"/>
  <c r="J132" i="7942"/>
  <c r="K132" i="7942" s="1"/>
  <c r="L132" i="7942" s="1"/>
  <c r="J474" i="18"/>
  <c r="J43" i="7941" s="1"/>
  <c r="E72" i="7955"/>
  <c r="H71" i="7944"/>
  <c r="F88" i="7955"/>
  <c r="F58" i="7955"/>
  <c r="F43" i="7955"/>
  <c r="F13" i="7955"/>
  <c r="L480" i="18"/>
  <c r="L49" i="7941" s="1"/>
  <c r="E224" i="7955"/>
  <c r="F224" i="7955" s="1"/>
  <c r="M7" i="7942"/>
  <c r="I8" i="7941"/>
  <c r="J291" i="18"/>
  <c r="K291" i="18" s="1"/>
  <c r="J408" i="18"/>
  <c r="J420" i="18" s="1"/>
  <c r="J660" i="18" s="1"/>
  <c r="J421" i="18"/>
  <c r="J433" i="18" s="1"/>
  <c r="J661" i="18" s="1"/>
  <c r="L202" i="18"/>
  <c r="E190" i="7955" s="1"/>
  <c r="F190" i="7955" s="1"/>
  <c r="L481" i="18"/>
  <c r="L50" i="7941" s="1"/>
  <c r="L489" i="18"/>
  <c r="L58" i="7941" s="1"/>
  <c r="E179" i="7955"/>
  <c r="F179" i="7955" s="1"/>
  <c r="L492" i="18"/>
  <c r="L61" i="7941" s="1"/>
  <c r="L483" i="18"/>
  <c r="L52" i="7941" s="1"/>
  <c r="H200" i="7941"/>
  <c r="E419" i="7955"/>
  <c r="F419" i="7955" s="1"/>
  <c r="L497" i="18"/>
  <c r="L66" i="7941" s="1"/>
  <c r="L491" i="18"/>
  <c r="L60" i="7941" s="1"/>
  <c r="E329" i="7955"/>
  <c r="F329" i="7955" s="1"/>
  <c r="E209" i="7955"/>
  <c r="F209" i="7955" s="1"/>
  <c r="I34" i="7941"/>
  <c r="J304" i="18"/>
  <c r="J316" i="18" s="1"/>
  <c r="J652" i="18" s="1"/>
  <c r="K382" i="18"/>
  <c r="K394" i="18" s="1"/>
  <c r="K658" i="18" s="1"/>
  <c r="J252" i="18"/>
  <c r="J264" i="18" s="1"/>
  <c r="J648" i="18" s="1"/>
  <c r="L495" i="18"/>
  <c r="L64" i="7941" s="1"/>
  <c r="L485" i="18"/>
  <c r="L54" i="7941" s="1"/>
  <c r="L493" i="18"/>
  <c r="L62" i="7941" s="1"/>
  <c r="E254" i="7955"/>
  <c r="F254" i="7955" s="1"/>
  <c r="L486" i="18"/>
  <c r="L55" i="7941" s="1"/>
  <c r="E194" i="7955"/>
  <c r="F194" i="7955" s="1"/>
  <c r="L482" i="18"/>
  <c r="L51" i="7941" s="1"/>
  <c r="E389" i="7955"/>
  <c r="F389" i="7955" s="1"/>
  <c r="I439" i="18"/>
  <c r="I667" i="18" s="1"/>
  <c r="I503" i="18" s="1"/>
  <c r="I72" i="7941" s="1"/>
  <c r="L490" i="18"/>
  <c r="L59" i="7941" s="1"/>
  <c r="E314" i="7955"/>
  <c r="F314" i="7955" s="1"/>
  <c r="H228" i="7941"/>
  <c r="M152" i="1"/>
  <c r="M21" i="18" s="1"/>
  <c r="M148" i="1"/>
  <c r="M17" i="18" s="1"/>
  <c r="M160" i="1"/>
  <c r="M29" i="18" s="1"/>
  <c r="M154" i="1"/>
  <c r="M23" i="18" s="1"/>
  <c r="M162" i="1"/>
  <c r="M31" i="18" s="1"/>
  <c r="M149" i="1"/>
  <c r="M18" i="18" s="1"/>
  <c r="M171" i="1"/>
  <c r="M40" i="18" s="1"/>
  <c r="M146" i="1"/>
  <c r="M15" i="18" s="1"/>
  <c r="M153" i="1"/>
  <c r="M22" i="18" s="1"/>
  <c r="M169" i="1"/>
  <c r="M38" i="18" s="1"/>
  <c r="M147" i="1"/>
  <c r="M16" i="18" s="1"/>
  <c r="M155" i="1"/>
  <c r="M24" i="18" s="1"/>
  <c r="M144" i="1"/>
  <c r="M13" i="18" s="1"/>
  <c r="M165" i="1"/>
  <c r="M34" i="18" s="1"/>
  <c r="M170" i="1"/>
  <c r="M39" i="18" s="1"/>
  <c r="M159" i="1"/>
  <c r="M28" i="18" s="1"/>
  <c r="M7" i="18"/>
  <c r="M161" i="1"/>
  <c r="M30" i="18" s="1"/>
  <c r="M150" i="1"/>
  <c r="M19" i="18" s="1"/>
  <c r="M164" i="1"/>
  <c r="M33" i="18" s="1"/>
  <c r="M145" i="1"/>
  <c r="M14" i="18" s="1"/>
  <c r="M143" i="1"/>
  <c r="M151" i="1"/>
  <c r="M20" i="18" s="1"/>
  <c r="M163" i="1"/>
  <c r="M32" i="18" s="1"/>
  <c r="M158" i="1"/>
  <c r="M27" i="18" s="1"/>
  <c r="M168" i="1"/>
  <c r="M37" i="18" s="1"/>
  <c r="M157" i="1"/>
  <c r="M26" i="18" s="1"/>
  <c r="M156" i="1"/>
  <c r="M25" i="18" s="1"/>
  <c r="M166" i="1"/>
  <c r="M35" i="18" s="1"/>
  <c r="M167" i="1"/>
  <c r="M36" i="18" s="1"/>
  <c r="M172" i="1"/>
  <c r="M41" i="18" s="1"/>
  <c r="L632" i="18"/>
  <c r="T632" i="18" s="1"/>
  <c r="L633" i="18"/>
  <c r="T633" i="18" s="1"/>
  <c r="L635" i="18"/>
  <c r="T635" i="18" s="1"/>
  <c r="L634" i="18"/>
  <c r="T634" i="18" s="1"/>
  <c r="L637" i="18"/>
  <c r="T637" i="18" s="1"/>
  <c r="L636" i="18"/>
  <c r="T636" i="18" s="1"/>
  <c r="H99" i="7941"/>
  <c r="I35" i="7941" s="1"/>
  <c r="I466" i="18"/>
  <c r="I694" i="18" s="1"/>
  <c r="I530" i="18" s="1"/>
  <c r="I99" i="7941" s="1"/>
  <c r="I452" i="18"/>
  <c r="I680" i="18" s="1"/>
  <c r="I516" i="18" s="1"/>
  <c r="I85" i="7941" s="1"/>
  <c r="J279" i="7942"/>
  <c r="K279" i="7942" s="1"/>
  <c r="L279" i="7942" s="1"/>
  <c r="H221" i="7941"/>
  <c r="I268" i="7942"/>
  <c r="I31" i="7941"/>
  <c r="J299" i="7942"/>
  <c r="K299" i="7942" s="1"/>
  <c r="J166" i="7942"/>
  <c r="K166" i="7942" s="1"/>
  <c r="L166" i="7942" s="1"/>
  <c r="I38" i="7941"/>
  <c r="I469" i="18"/>
  <c r="H38" i="7941"/>
  <c r="J85" i="7944"/>
  <c r="J435" i="7944"/>
  <c r="K33" i="7944" s="1"/>
  <c r="J99" i="7944"/>
  <c r="H87" i="7941"/>
  <c r="I454" i="18"/>
  <c r="H89" i="7941"/>
  <c r="H217" i="7941" s="1"/>
  <c r="I456" i="18"/>
  <c r="E434" i="7955"/>
  <c r="F434" i="7955" s="1"/>
  <c r="L498" i="18"/>
  <c r="L67" i="7941" s="1"/>
  <c r="H86" i="7941"/>
  <c r="I453" i="18"/>
  <c r="H528" i="18"/>
  <c r="E353" i="7955"/>
  <c r="J120" i="7942"/>
  <c r="J273" i="7942"/>
  <c r="K273" i="7942" s="1"/>
  <c r="L487" i="18"/>
  <c r="L56" i="7941" s="1"/>
  <c r="E269" i="7955"/>
  <c r="F269" i="7955" s="1"/>
  <c r="J337" i="7944"/>
  <c r="J477" i="7944"/>
  <c r="L499" i="18"/>
  <c r="L68" i="7941" s="1"/>
  <c r="E449" i="7955"/>
  <c r="F449" i="7955" s="1"/>
  <c r="I342" i="18"/>
  <c r="I654" i="18" s="1"/>
  <c r="J330" i="18"/>
  <c r="J342" i="18" s="1"/>
  <c r="J654" i="18" s="1"/>
  <c r="I689" i="18"/>
  <c r="I525" i="18" s="1"/>
  <c r="I94" i="7941" s="1"/>
  <c r="E134" i="7955"/>
  <c r="L478" i="18"/>
  <c r="L47" i="7941" s="1"/>
  <c r="K225" i="18"/>
  <c r="K645" i="18" s="1"/>
  <c r="E203" i="7955"/>
  <c r="E404" i="7955"/>
  <c r="F404" i="7955" s="1"/>
  <c r="L496" i="18"/>
  <c r="L65" i="7941" s="1"/>
  <c r="J325" i="7942"/>
  <c r="H79" i="7941"/>
  <c r="I446" i="18"/>
  <c r="J147" i="18"/>
  <c r="K135" i="18"/>
  <c r="I467" i="18"/>
  <c r="J162" i="7942"/>
  <c r="J293" i="7942"/>
  <c r="K293" i="7942" s="1"/>
  <c r="J289" i="7942"/>
  <c r="J253" i="7944"/>
  <c r="J351" i="7944"/>
  <c r="K27" i="7944" s="1"/>
  <c r="J449" i="7944"/>
  <c r="J295" i="7944"/>
  <c r="K23" i="7944" s="1"/>
  <c r="J183" i="7944"/>
  <c r="J407" i="7944"/>
  <c r="K31" i="7944" s="1"/>
  <c r="J113" i="7944"/>
  <c r="K10" i="7944" s="1"/>
  <c r="L329" i="18"/>
  <c r="L653" i="18" s="1"/>
  <c r="M215" i="18"/>
  <c r="M306" i="18"/>
  <c r="M267" i="18"/>
  <c r="M423" i="18"/>
  <c r="M242" i="18"/>
  <c r="M137" i="18"/>
  <c r="M241" i="18"/>
  <c r="M346" i="18"/>
  <c r="M177" i="18"/>
  <c r="N3" i="18"/>
  <c r="M281" i="18"/>
  <c r="M294" i="18"/>
  <c r="M179" i="18"/>
  <c r="M189" i="18"/>
  <c r="M398" i="18"/>
  <c r="M400" i="18"/>
  <c r="M387" i="18"/>
  <c r="M229" i="18"/>
  <c r="M397" i="18"/>
  <c r="M191" i="18"/>
  <c r="M180" i="18"/>
  <c r="M232" i="18"/>
  <c r="M401" i="18"/>
  <c r="M358" i="18"/>
  <c r="M163" i="18"/>
  <c r="M320" i="18"/>
  <c r="M333" i="18"/>
  <c r="M228" i="18"/>
  <c r="M216" i="18"/>
  <c r="M255" i="18"/>
  <c r="M270" i="18"/>
  <c r="M348" i="18"/>
  <c r="M178" i="18"/>
  <c r="M386" i="18"/>
  <c r="M310" i="18"/>
  <c r="M254" i="18"/>
  <c r="M293" i="18"/>
  <c r="M150" i="18"/>
  <c r="M319" i="18"/>
  <c r="M410" i="18"/>
  <c r="M372" i="18"/>
  <c r="M295" i="18"/>
  <c r="M200" i="18"/>
  <c r="M213" i="18"/>
  <c r="M332" i="18"/>
  <c r="M268" i="18"/>
  <c r="M361" i="18"/>
  <c r="M374" i="18"/>
  <c r="M309" i="18"/>
  <c r="M283" i="18"/>
  <c r="M371" i="18"/>
  <c r="M203" i="18"/>
  <c r="M219" i="18"/>
  <c r="M193" i="18"/>
  <c r="M176" i="18"/>
  <c r="M140" i="18"/>
  <c r="M152" i="18"/>
  <c r="M257" i="18"/>
  <c r="M269" i="18"/>
  <c r="M256" i="18"/>
  <c r="M369" i="18"/>
  <c r="M284" i="18"/>
  <c r="M206" i="18"/>
  <c r="M426" i="18"/>
  <c r="M296" i="18"/>
  <c r="M245" i="18"/>
  <c r="M204" i="18"/>
  <c r="M373" i="18"/>
  <c r="M280" i="18"/>
  <c r="M217" i="18"/>
  <c r="M258" i="18"/>
  <c r="M362" i="18"/>
  <c r="M375" i="18"/>
  <c r="M414" i="18"/>
  <c r="M322" i="18"/>
  <c r="M412" i="18"/>
  <c r="M359" i="18"/>
  <c r="M166" i="18"/>
  <c r="M218" i="18"/>
  <c r="M230" i="18"/>
  <c r="M282" i="18"/>
  <c r="M271" i="18"/>
  <c r="M336" i="18"/>
  <c r="M427" i="18"/>
  <c r="M164" i="18"/>
  <c r="M345" i="18"/>
  <c r="M349" i="18"/>
  <c r="M385" i="18"/>
  <c r="M231" i="18"/>
  <c r="M425" i="18"/>
  <c r="M308" i="18"/>
  <c r="M307" i="18"/>
  <c r="M424" i="18"/>
  <c r="M205" i="18"/>
  <c r="M321" i="18"/>
  <c r="M138" i="18"/>
  <c r="M141" i="18"/>
  <c r="M244" i="18"/>
  <c r="M153" i="18"/>
  <c r="M190" i="18"/>
  <c r="M165" i="18"/>
  <c r="M334" i="18"/>
  <c r="M399" i="18"/>
  <c r="M411" i="18"/>
  <c r="M323" i="18"/>
  <c r="M154" i="18"/>
  <c r="M413" i="18"/>
  <c r="M335" i="18"/>
  <c r="M192" i="18"/>
  <c r="M388" i="18"/>
  <c r="M360" i="18"/>
  <c r="M343" i="18"/>
  <c r="M297" i="18"/>
  <c r="M317" i="18"/>
  <c r="M243" i="18"/>
  <c r="M167" i="18"/>
  <c r="M151" i="18"/>
  <c r="H91" i="7941"/>
  <c r="I458" i="18"/>
  <c r="J291" i="7942"/>
  <c r="K291" i="7942" s="1"/>
  <c r="I455" i="18"/>
  <c r="I460" i="18"/>
  <c r="I448" i="18"/>
  <c r="J321" i="7942"/>
  <c r="J138" i="7942"/>
  <c r="K138" i="7942" s="1"/>
  <c r="I160" i="18"/>
  <c r="J148" i="18"/>
  <c r="I465" i="18"/>
  <c r="I462" i="18"/>
  <c r="I30" i="7941"/>
  <c r="H222" i="7941"/>
  <c r="L488" i="18"/>
  <c r="L57" i="7941" s="1"/>
  <c r="E284" i="7955"/>
  <c r="F284" i="7955" s="1"/>
  <c r="L494" i="18"/>
  <c r="L63" i="7941" s="1"/>
  <c r="E374" i="7955"/>
  <c r="F374" i="7955" s="1"/>
  <c r="J158" i="7942"/>
  <c r="K158" i="7942" s="1"/>
  <c r="J134" i="7942"/>
  <c r="K134" i="7942" s="1"/>
  <c r="J39" i="7941"/>
  <c r="J285" i="7942"/>
  <c r="J267" i="7944"/>
  <c r="K21" i="7944" s="1"/>
  <c r="J281" i="7944"/>
  <c r="J225" i="7944"/>
  <c r="J169" i="7944"/>
  <c r="J393" i="7944"/>
  <c r="K30" i="7944" s="1"/>
  <c r="I24" i="7941"/>
  <c r="H216" i="7941"/>
  <c r="I441" i="18"/>
  <c r="I17" i="7941"/>
  <c r="H209" i="7941"/>
  <c r="L384" i="18"/>
  <c r="M384" i="18" s="1"/>
  <c r="L187" i="18"/>
  <c r="L199" i="18" s="1"/>
  <c r="L643" i="18" s="1"/>
  <c r="E323" i="7955"/>
  <c r="J275" i="7942"/>
  <c r="K275" i="7942" s="1"/>
  <c r="J126" i="7942"/>
  <c r="H84" i="7941"/>
  <c r="I451" i="18"/>
  <c r="H90" i="7941"/>
  <c r="I457" i="18"/>
  <c r="I691" i="18"/>
  <c r="I527" i="18" s="1"/>
  <c r="I96" i="7941" s="1"/>
  <c r="K4" i="18"/>
  <c r="K74" i="1"/>
  <c r="K108" i="1" s="1"/>
  <c r="K4" i="7941"/>
  <c r="K4" i="7942"/>
  <c r="K142" i="1"/>
  <c r="K176" i="1"/>
  <c r="K4" i="7944"/>
  <c r="H202" i="7941"/>
  <c r="I10" i="7941"/>
  <c r="J155" i="7944"/>
  <c r="K422" i="7944"/>
  <c r="K454" i="7944"/>
  <c r="K146" i="7944"/>
  <c r="K315" i="7944"/>
  <c r="K100" i="7944"/>
  <c r="K74" i="7944"/>
  <c r="K117" i="7944"/>
  <c r="K158" i="7944"/>
  <c r="K441" i="7944"/>
  <c r="K273" i="7944"/>
  <c r="K464" i="7944"/>
  <c r="K326" i="7944"/>
  <c r="K384" i="7944"/>
  <c r="K231" i="7944"/>
  <c r="K131" i="7944"/>
  <c r="K245" i="7944"/>
  <c r="K366" i="7944"/>
  <c r="K482" i="7944"/>
  <c r="K254" i="7944"/>
  <c r="K202" i="7944"/>
  <c r="K142" i="7944"/>
  <c r="K118" i="7944"/>
  <c r="K257" i="7944"/>
  <c r="K480" i="7944"/>
  <c r="K368" i="7944"/>
  <c r="K424" i="7944"/>
  <c r="K439" i="7944"/>
  <c r="K410" i="7944"/>
  <c r="K172" i="7944"/>
  <c r="K145" i="7944"/>
  <c r="K466" i="7944"/>
  <c r="K256" i="7944"/>
  <c r="K268" i="7944"/>
  <c r="K173" i="7944"/>
  <c r="K329" i="7944"/>
  <c r="K270" i="7944"/>
  <c r="K467" i="7944"/>
  <c r="K240" i="7944"/>
  <c r="K356" i="7944"/>
  <c r="K89" i="7944"/>
  <c r="K203" i="7944"/>
  <c r="K427" i="7944"/>
  <c r="K104" i="7944"/>
  <c r="K105" i="7944"/>
  <c r="K175" i="7944"/>
  <c r="K156" i="7944"/>
  <c r="K352" i="7944"/>
  <c r="K103" i="7944"/>
  <c r="K328" i="7944"/>
  <c r="K327" i="7944"/>
  <c r="K230" i="7944"/>
  <c r="K383" i="7944"/>
  <c r="K130" i="7944"/>
  <c r="K469" i="7944"/>
  <c r="K243" i="7944"/>
  <c r="K412" i="7944"/>
  <c r="K452" i="7944"/>
  <c r="K343" i="7944"/>
  <c r="K413" i="7944"/>
  <c r="K91" i="7944"/>
  <c r="K370" i="7944"/>
  <c r="K313" i="7944"/>
  <c r="K411" i="7944"/>
  <c r="K314" i="7944"/>
  <c r="K215" i="7944"/>
  <c r="K438" i="7944"/>
  <c r="K380" i="7944"/>
  <c r="K214" i="7944"/>
  <c r="K300" i="7944"/>
  <c r="K369" i="7944"/>
  <c r="K340" i="7944"/>
  <c r="K86" i="7944"/>
  <c r="K481" i="7944"/>
  <c r="K119" i="7944"/>
  <c r="K174" i="7944"/>
  <c r="K310" i="7944"/>
  <c r="K159" i="7944"/>
  <c r="K72" i="7944"/>
  <c r="K116" i="7944"/>
  <c r="K298" i="7944"/>
  <c r="K75" i="7944"/>
  <c r="K440" i="7944"/>
  <c r="K455" i="7944"/>
  <c r="K371" i="7944"/>
  <c r="K201" i="7944"/>
  <c r="K258" i="7944"/>
  <c r="K355" i="7944"/>
  <c r="K229" i="7944"/>
  <c r="K354" i="7944"/>
  <c r="K161" i="7944"/>
  <c r="K198" i="7944"/>
  <c r="K394" i="7944"/>
  <c r="K285" i="7944"/>
  <c r="K284" i="7944"/>
  <c r="K301" i="7944"/>
  <c r="K312" i="7944"/>
  <c r="K160" i="7944"/>
  <c r="K217" i="7944"/>
  <c r="L3" i="7944"/>
  <c r="K128" i="7944"/>
  <c r="K77" i="7944"/>
  <c r="K398" i="7944"/>
  <c r="K226" i="7944"/>
  <c r="K189" i="7944"/>
  <c r="K342" i="7944"/>
  <c r="K324" i="7944"/>
  <c r="K184" i="7944"/>
  <c r="K76" i="7944"/>
  <c r="K408" i="7944"/>
  <c r="K385" i="7944"/>
  <c r="K396" i="7944"/>
  <c r="K102" i="7944"/>
  <c r="K259" i="7944"/>
  <c r="K147" i="7944"/>
  <c r="K357" i="7944"/>
  <c r="K242" i="7944"/>
  <c r="K426" i="7944"/>
  <c r="K133" i="7944"/>
  <c r="K90" i="7944"/>
  <c r="K144" i="7944"/>
  <c r="K425" i="7944"/>
  <c r="K188" i="7944"/>
  <c r="K282" i="7944"/>
  <c r="K397" i="7944"/>
  <c r="K186" i="7944"/>
  <c r="K299" i="7944"/>
  <c r="K341" i="7944"/>
  <c r="K436" i="7944"/>
  <c r="K114" i="7944"/>
  <c r="K287" i="7944"/>
  <c r="K212" i="7944"/>
  <c r="K468" i="7944"/>
  <c r="K244" i="7944"/>
  <c r="K272" i="7944"/>
  <c r="K382" i="7944"/>
  <c r="K453" i="7944"/>
  <c r="K338" i="7944"/>
  <c r="K216" i="7944"/>
  <c r="K170" i="7944"/>
  <c r="K483" i="7944"/>
  <c r="K399" i="7944"/>
  <c r="K132" i="7944"/>
  <c r="K286" i="7944"/>
  <c r="K296" i="7944"/>
  <c r="K187" i="7944"/>
  <c r="K271" i="7944"/>
  <c r="K88" i="7944"/>
  <c r="L381" i="18"/>
  <c r="L657" i="18" s="1"/>
  <c r="E383" i="7955"/>
  <c r="L225" i="18"/>
  <c r="L645" i="18" s="1"/>
  <c r="H80" i="7941"/>
  <c r="I447" i="18"/>
  <c r="L479" i="18"/>
  <c r="L48" i="7941" s="1"/>
  <c r="E149" i="7955"/>
  <c r="I407" i="18"/>
  <c r="I659" i="18" s="1"/>
  <c r="J395" i="18"/>
  <c r="J407" i="18" s="1"/>
  <c r="J659" i="18" s="1"/>
  <c r="F188" i="7955"/>
  <c r="J309" i="7944"/>
  <c r="J421" i="7944"/>
  <c r="K32" i="7944" s="1"/>
  <c r="J323" i="7944"/>
  <c r="J365" i="7944"/>
  <c r="K28" i="7944" s="1"/>
  <c r="J127" i="7944"/>
  <c r="J141" i="7944"/>
  <c r="K12" i="7944" s="1"/>
  <c r="J315" i="7942"/>
  <c r="I21" i="7941"/>
  <c r="H213" i="7941"/>
  <c r="H82" i="7941"/>
  <c r="I449" i="18"/>
  <c r="I443" i="18" l="1"/>
  <c r="I671" i="18" s="1"/>
  <c r="I507" i="18" s="1"/>
  <c r="I76" i="7941" s="1"/>
  <c r="K17" i="7944"/>
  <c r="L239" i="18"/>
  <c r="L251" i="18" s="1"/>
  <c r="L647" i="18" s="1"/>
  <c r="T647" i="18" s="1"/>
  <c r="K34" i="7944"/>
  <c r="I9" i="7941"/>
  <c r="I440" i="18"/>
  <c r="I668" i="18" s="1"/>
  <c r="I504" i="18" s="1"/>
  <c r="I73" i="7941" s="1"/>
  <c r="H201" i="7941"/>
  <c r="H665" i="18"/>
  <c r="I92" i="7941"/>
  <c r="J28" i="7941" s="1"/>
  <c r="J442" i="18"/>
  <c r="J670" i="18" s="1"/>
  <c r="J506" i="18" s="1"/>
  <c r="J75" i="7941" s="1"/>
  <c r="G198" i="7941"/>
  <c r="F132" i="7955"/>
  <c r="F162" i="7955"/>
  <c r="F118" i="7955"/>
  <c r="F148" i="7955"/>
  <c r="F119" i="7955"/>
  <c r="F116" i="7955"/>
  <c r="F28" i="7955"/>
  <c r="F149" i="7955"/>
  <c r="F134" i="7955"/>
  <c r="F147" i="7955"/>
  <c r="F98" i="7955"/>
  <c r="F103" i="7955"/>
  <c r="F133" i="7955"/>
  <c r="F163" i="7955"/>
  <c r="F74" i="7955"/>
  <c r="F115" i="7955"/>
  <c r="F100" i="7955"/>
  <c r="L161" i="18"/>
  <c r="L173" i="18" s="1"/>
  <c r="L641" i="18" s="1"/>
  <c r="T641" i="18" s="1"/>
  <c r="J277" i="18"/>
  <c r="J649" i="18" s="1"/>
  <c r="I12" i="7941"/>
  <c r="I13" i="7941"/>
  <c r="J13" i="7941" s="1"/>
  <c r="H205" i="7941"/>
  <c r="H6" i="7941"/>
  <c r="L118" i="7942"/>
  <c r="L119" i="7942" s="1"/>
  <c r="H203" i="7941"/>
  <c r="J8" i="7944"/>
  <c r="J7" i="7944" s="1"/>
  <c r="K24" i="7944"/>
  <c r="K36" i="7944"/>
  <c r="K278" i="18"/>
  <c r="K290" i="18" s="1"/>
  <c r="K650" i="18" s="1"/>
  <c r="K450" i="7944"/>
  <c r="K25" i="7944"/>
  <c r="J491" i="7944"/>
  <c r="K37" i="7944" s="1"/>
  <c r="K20" i="7944"/>
  <c r="K16" i="7944"/>
  <c r="J19" i="7941"/>
  <c r="E117" i="7955"/>
  <c r="K9" i="7944"/>
  <c r="K228" i="7944"/>
  <c r="K356" i="18"/>
  <c r="K368" i="18" s="1"/>
  <c r="K656" i="18" s="1"/>
  <c r="K14" i="7944"/>
  <c r="K26" i="7944"/>
  <c r="E104" i="7955"/>
  <c r="M139" i="18"/>
  <c r="N139" i="18" s="1"/>
  <c r="K200" i="7944"/>
  <c r="L200" i="7944" s="1"/>
  <c r="J144" i="7955" s="1"/>
  <c r="K144" i="7955" s="1"/>
  <c r="K226" i="18"/>
  <c r="K238" i="18" s="1"/>
  <c r="K646" i="18" s="1"/>
  <c r="K18" i="7944"/>
  <c r="K22" i="7944"/>
  <c r="K15" i="7944"/>
  <c r="L471" i="18"/>
  <c r="L40" i="7941" s="1"/>
  <c r="T792" i="7958"/>
  <c r="T803" i="7958" s="1"/>
  <c r="T366" i="7958"/>
  <c r="T741" i="7958" s="1"/>
  <c r="T342" i="7958"/>
  <c r="U339" i="7958" s="1"/>
  <c r="M150" i="7942"/>
  <c r="L151" i="7942" s="1"/>
  <c r="E44" i="7955"/>
  <c r="K174" i="18"/>
  <c r="R612" i="7958"/>
  <c r="P772" i="7958"/>
  <c r="Q627" i="7958"/>
  <c r="P714" i="7958"/>
  <c r="P582" i="7958"/>
  <c r="P743" i="7958" s="1"/>
  <c r="P746" i="7958" s="1"/>
  <c r="P794" i="7958" s="1"/>
  <c r="P786" i="7958"/>
  <c r="P797" i="7958" s="1"/>
  <c r="P499" i="7958"/>
  <c r="L473" i="18"/>
  <c r="L42" i="7941" s="1"/>
  <c r="E89" i="7955"/>
  <c r="L474" i="18"/>
  <c r="L43" i="7941" s="1"/>
  <c r="L477" i="18"/>
  <c r="L46" i="7941" s="1"/>
  <c r="L301" i="7942"/>
  <c r="M301" i="7942" s="1"/>
  <c r="L302" i="7942" s="1"/>
  <c r="M347" i="18"/>
  <c r="N347" i="18" s="1"/>
  <c r="L355" i="18"/>
  <c r="L655" i="18" s="1"/>
  <c r="T655" i="18" s="1"/>
  <c r="L144" i="7942"/>
  <c r="M144" i="7942" s="1"/>
  <c r="K11" i="7944"/>
  <c r="J444" i="18"/>
  <c r="J672" i="18" s="1"/>
  <c r="J508" i="18" s="1"/>
  <c r="J77" i="7941" s="1"/>
  <c r="K469" i="18"/>
  <c r="J303" i="18"/>
  <c r="J651" i="18" s="1"/>
  <c r="K38" i="7941"/>
  <c r="M128" i="7942"/>
  <c r="L129" i="7942" s="1"/>
  <c r="L313" i="7942"/>
  <c r="M313" i="7942" s="1"/>
  <c r="L314" i="7942" s="1"/>
  <c r="T643" i="18"/>
  <c r="L269" i="7942"/>
  <c r="M269" i="7942" s="1"/>
  <c r="L270" i="7942" s="1"/>
  <c r="F57" i="7955"/>
  <c r="F12" i="7955"/>
  <c r="I200" i="7941"/>
  <c r="J107" i="7942"/>
  <c r="L148" i="7942"/>
  <c r="M148" i="7942" s="1"/>
  <c r="F72" i="7955"/>
  <c r="L164" i="7942"/>
  <c r="M164" i="7942" s="1"/>
  <c r="N122" i="18"/>
  <c r="M146" i="7942"/>
  <c r="L147" i="7942" s="1"/>
  <c r="M156" i="7942"/>
  <c r="L157" i="7942" s="1"/>
  <c r="M307" i="7942"/>
  <c r="L308" i="7942" s="1"/>
  <c r="K13" i="7944"/>
  <c r="M202" i="18"/>
  <c r="N202" i="18" s="1"/>
  <c r="M140" i="7942"/>
  <c r="L141" i="7942" s="1"/>
  <c r="F42" i="7955"/>
  <c r="L134" i="18"/>
  <c r="E102" i="7955"/>
  <c r="J38" i="7941"/>
  <c r="J469" i="18"/>
  <c r="F59" i="7955"/>
  <c r="F29" i="7955"/>
  <c r="L212" i="18"/>
  <c r="L644" i="18" s="1"/>
  <c r="T644" i="18" s="1"/>
  <c r="N7" i="7942"/>
  <c r="K252" i="18"/>
  <c r="K264" i="18" s="1"/>
  <c r="K648" i="18" s="1"/>
  <c r="K408" i="18"/>
  <c r="K420" i="18" s="1"/>
  <c r="K660" i="18" s="1"/>
  <c r="H227" i="7941"/>
  <c r="L382" i="18"/>
  <c r="M382" i="18" s="1"/>
  <c r="K421" i="18"/>
  <c r="K304" i="18"/>
  <c r="K316" i="18" s="1"/>
  <c r="K652" i="18" s="1"/>
  <c r="E143" i="7955"/>
  <c r="M161" i="18"/>
  <c r="N161" i="18" s="1"/>
  <c r="K330" i="18"/>
  <c r="K342" i="18" s="1"/>
  <c r="K654" i="18" s="1"/>
  <c r="I25" i="7941"/>
  <c r="M499" i="18"/>
  <c r="M68" i="7941" s="1"/>
  <c r="E450" i="7955"/>
  <c r="F450" i="7955" s="1"/>
  <c r="M484" i="18"/>
  <c r="M53" i="7941" s="1"/>
  <c r="E225" i="7955"/>
  <c r="F225" i="7955" s="1"/>
  <c r="E135" i="7955"/>
  <c r="F135" i="7955" s="1"/>
  <c r="M478" i="18"/>
  <c r="M47" i="7941" s="1"/>
  <c r="M477" i="18"/>
  <c r="M46" i="7941" s="1"/>
  <c r="E120" i="7955"/>
  <c r="F120" i="7955" s="1"/>
  <c r="M497" i="18"/>
  <c r="M66" i="7941" s="1"/>
  <c r="E420" i="7955"/>
  <c r="F420" i="7955" s="1"/>
  <c r="E75" i="7955"/>
  <c r="M474" i="18"/>
  <c r="M43" i="7941" s="1"/>
  <c r="M498" i="18"/>
  <c r="M67" i="7941" s="1"/>
  <c r="E435" i="7955"/>
  <c r="F435" i="7955" s="1"/>
  <c r="E270" i="7955"/>
  <c r="F270" i="7955" s="1"/>
  <c r="M487" i="18"/>
  <c r="M56" i="7941" s="1"/>
  <c r="M494" i="18"/>
  <c r="M63" i="7941" s="1"/>
  <c r="E375" i="7955"/>
  <c r="F375" i="7955" s="1"/>
  <c r="E390" i="7955"/>
  <c r="F390" i="7955" s="1"/>
  <c r="M495" i="18"/>
  <c r="M64" i="7941" s="1"/>
  <c r="M173" i="1"/>
  <c r="M12" i="18"/>
  <c r="E285" i="7955"/>
  <c r="F285" i="7955" s="1"/>
  <c r="M488" i="18"/>
  <c r="M57" i="7941" s="1"/>
  <c r="E345" i="7955"/>
  <c r="F345" i="7955" s="1"/>
  <c r="M492" i="18"/>
  <c r="M61" i="7941" s="1"/>
  <c r="M496" i="18"/>
  <c r="M65" i="7941" s="1"/>
  <c r="E405" i="7955"/>
  <c r="F405" i="7955" s="1"/>
  <c r="E105" i="7955"/>
  <c r="F105" i="7955" s="1"/>
  <c r="M476" i="18"/>
  <c r="M45" i="7941" s="1"/>
  <c r="M475" i="18"/>
  <c r="M44" i="7941" s="1"/>
  <c r="E90" i="7955"/>
  <c r="F90" i="7955" s="1"/>
  <c r="M493" i="18"/>
  <c r="M62" i="7941" s="1"/>
  <c r="E360" i="7955"/>
  <c r="F360" i="7955" s="1"/>
  <c r="M485" i="18"/>
  <c r="M54" i="7941" s="1"/>
  <c r="E240" i="7955"/>
  <c r="F240" i="7955" s="1"/>
  <c r="E45" i="7955"/>
  <c r="F45" i="7955" s="1"/>
  <c r="M472" i="18"/>
  <c r="M41" i="7941" s="1"/>
  <c r="E30" i="7955"/>
  <c r="F30" i="7955" s="1"/>
  <c r="M471" i="18"/>
  <c r="M40" i="7941" s="1"/>
  <c r="M480" i="18"/>
  <c r="M49" i="7941" s="1"/>
  <c r="E165" i="7955"/>
  <c r="F165" i="7955" s="1"/>
  <c r="M489" i="18"/>
  <c r="M58" i="7941" s="1"/>
  <c r="E300" i="7955"/>
  <c r="F300" i="7955" s="1"/>
  <c r="E150" i="7955"/>
  <c r="F150" i="7955" s="1"/>
  <c r="M479" i="18"/>
  <c r="M48" i="7941" s="1"/>
  <c r="N164" i="1"/>
  <c r="N33" i="18" s="1"/>
  <c r="N165" i="1"/>
  <c r="N34" i="18" s="1"/>
  <c r="N170" i="1"/>
  <c r="N39" i="18" s="1"/>
  <c r="N154" i="1"/>
  <c r="N23" i="18" s="1"/>
  <c r="N149" i="1"/>
  <c r="N18" i="18" s="1"/>
  <c r="N158" i="1"/>
  <c r="N27" i="18" s="1"/>
  <c r="N144" i="1"/>
  <c r="N13" i="18" s="1"/>
  <c r="N152" i="1"/>
  <c r="N21" i="18" s="1"/>
  <c r="N161" i="1"/>
  <c r="N30" i="18" s="1"/>
  <c r="N168" i="1"/>
  <c r="N37" i="18" s="1"/>
  <c r="N146" i="1"/>
  <c r="N15" i="18" s="1"/>
  <c r="N169" i="1"/>
  <c r="N38" i="18" s="1"/>
  <c r="N157" i="1"/>
  <c r="N26" i="18" s="1"/>
  <c r="N162" i="1"/>
  <c r="N31" i="18" s="1"/>
  <c r="N143" i="1"/>
  <c r="N151" i="1"/>
  <c r="N20" i="18" s="1"/>
  <c r="N166" i="1"/>
  <c r="N35" i="18" s="1"/>
  <c r="N159" i="1"/>
  <c r="N28" i="18" s="1"/>
  <c r="N171" i="1"/>
  <c r="N40" i="18" s="1"/>
  <c r="N148" i="1"/>
  <c r="N17" i="18" s="1"/>
  <c r="N7" i="18"/>
  <c r="N167" i="1"/>
  <c r="N36" i="18" s="1"/>
  <c r="N147" i="1"/>
  <c r="N16" i="18" s="1"/>
  <c r="N155" i="1"/>
  <c r="N24" i="18" s="1"/>
  <c r="N160" i="1"/>
  <c r="N29" i="18" s="1"/>
  <c r="N163" i="1"/>
  <c r="N32" i="18" s="1"/>
  <c r="N172" i="1"/>
  <c r="N41" i="18" s="1"/>
  <c r="N150" i="1"/>
  <c r="N19" i="18" s="1"/>
  <c r="N156" i="1"/>
  <c r="N25" i="18" s="1"/>
  <c r="N145" i="1"/>
  <c r="N14" i="18" s="1"/>
  <c r="N153" i="1"/>
  <c r="N22" i="18" s="1"/>
  <c r="E210" i="7955"/>
  <c r="F210" i="7955" s="1"/>
  <c r="M483" i="18"/>
  <c r="M52" i="7941" s="1"/>
  <c r="E315" i="7955"/>
  <c r="F315" i="7955" s="1"/>
  <c r="M490" i="18"/>
  <c r="M59" i="7941" s="1"/>
  <c r="M491" i="18"/>
  <c r="M60" i="7941" s="1"/>
  <c r="E330" i="7955"/>
  <c r="F330" i="7955" s="1"/>
  <c r="E255" i="7955"/>
  <c r="F255" i="7955" s="1"/>
  <c r="M486" i="18"/>
  <c r="M55" i="7941" s="1"/>
  <c r="M482" i="18"/>
  <c r="M51" i="7941" s="1"/>
  <c r="E195" i="7955"/>
  <c r="F195" i="7955" s="1"/>
  <c r="E60" i="7955"/>
  <c r="F60" i="7955" s="1"/>
  <c r="M473" i="18"/>
  <c r="M42" i="7941" s="1"/>
  <c r="E180" i="7955"/>
  <c r="F180" i="7955" s="1"/>
  <c r="M481" i="18"/>
  <c r="M50" i="7941" s="1"/>
  <c r="L299" i="7942"/>
  <c r="M299" i="7942" s="1"/>
  <c r="L305" i="7942"/>
  <c r="M305" i="7942" s="1"/>
  <c r="L306" i="7942" s="1"/>
  <c r="L293" i="7942"/>
  <c r="M293" i="7942" s="1"/>
  <c r="J439" i="18"/>
  <c r="J667" i="18" s="1"/>
  <c r="J503" i="18" s="1"/>
  <c r="L309" i="7942"/>
  <c r="M309" i="7942" s="1"/>
  <c r="J463" i="18"/>
  <c r="J691" i="18" s="1"/>
  <c r="J527" i="18" s="1"/>
  <c r="L113" i="7942"/>
  <c r="L152" i="7942"/>
  <c r="E400" i="7955"/>
  <c r="F400" i="7955" s="1"/>
  <c r="J8" i="7941"/>
  <c r="L142" i="7942"/>
  <c r="M287" i="7942"/>
  <c r="L288" i="7942" s="1"/>
  <c r="M271" i="7942"/>
  <c r="L272" i="7942" s="1"/>
  <c r="J21" i="7941"/>
  <c r="I213" i="7941"/>
  <c r="I16" i="7941"/>
  <c r="H208" i="7941"/>
  <c r="K183" i="7944"/>
  <c r="K225" i="7944"/>
  <c r="L18" i="7944" s="1"/>
  <c r="K85" i="7944"/>
  <c r="K169" i="7944"/>
  <c r="L14" i="7944" s="1"/>
  <c r="K253" i="7944"/>
  <c r="K267" i="7944"/>
  <c r="L21" i="7944" s="1"/>
  <c r="K477" i="7944"/>
  <c r="J71" i="7944"/>
  <c r="L4" i="7942"/>
  <c r="L4" i="7944"/>
  <c r="L4" i="7941"/>
  <c r="L176" i="1"/>
  <c r="L4" i="18"/>
  <c r="L74" i="1"/>
  <c r="L108" i="1" s="1"/>
  <c r="L142" i="1"/>
  <c r="K126" i="7942"/>
  <c r="L126" i="7942" s="1"/>
  <c r="I211" i="7941"/>
  <c r="J160" i="18"/>
  <c r="J640" i="18" s="1"/>
  <c r="I676" i="18"/>
  <c r="I512" i="18" s="1"/>
  <c r="I81" i="7941" s="1"/>
  <c r="I209" i="7941" s="1"/>
  <c r="J9" i="7941"/>
  <c r="K147" i="18"/>
  <c r="L135" i="18"/>
  <c r="L147" i="18" s="1"/>
  <c r="K303" i="18"/>
  <c r="K651" i="18" s="1"/>
  <c r="L291" i="18"/>
  <c r="E293" i="7955" s="1"/>
  <c r="H207" i="7941"/>
  <c r="I15" i="7941"/>
  <c r="F203" i="7955"/>
  <c r="F353" i="7955"/>
  <c r="L138" i="7942"/>
  <c r="M323" i="7942"/>
  <c r="L319" i="7942"/>
  <c r="M319" i="7942" s="1"/>
  <c r="L273" i="7942"/>
  <c r="I684" i="18"/>
  <c r="I520" i="18" s="1"/>
  <c r="K277" i="18"/>
  <c r="K649" i="18" s="1"/>
  <c r="F383" i="7955"/>
  <c r="K295" i="7944"/>
  <c r="L23" i="7944" s="1"/>
  <c r="K141" i="7944"/>
  <c r="L12" i="7944" s="1"/>
  <c r="K407" i="7944"/>
  <c r="L31" i="7944" s="1"/>
  <c r="K281" i="7944"/>
  <c r="K463" i="7944"/>
  <c r="L35" i="7944" s="1"/>
  <c r="I224" i="7941"/>
  <c r="J32" i="7941"/>
  <c r="I679" i="18"/>
  <c r="I515" i="18" s="1"/>
  <c r="I84" i="7941" s="1"/>
  <c r="K8" i="7944"/>
  <c r="H71" i="7941"/>
  <c r="H501" i="18"/>
  <c r="I438" i="18"/>
  <c r="K148" i="18"/>
  <c r="K160" i="18" s="1"/>
  <c r="K640" i="18" s="1"/>
  <c r="I688" i="18"/>
  <c r="I524" i="18" s="1"/>
  <c r="I695" i="18"/>
  <c r="I531" i="18" s="1"/>
  <c r="J639" i="18"/>
  <c r="T645" i="18"/>
  <c r="M281" i="7942"/>
  <c r="L282" i="7942" s="1"/>
  <c r="K162" i="7942"/>
  <c r="L124" i="7942"/>
  <c r="M124" i="7942" s="1"/>
  <c r="L122" i="7942"/>
  <c r="L154" i="7942"/>
  <c r="M154" i="7942" s="1"/>
  <c r="L291" i="7942"/>
  <c r="M279" i="7942"/>
  <c r="L275" i="7942"/>
  <c r="L311" i="7942"/>
  <c r="M311" i="7942" s="1"/>
  <c r="L312" i="7942" s="1"/>
  <c r="J466" i="18"/>
  <c r="K285" i="7942"/>
  <c r="M136" i="7942"/>
  <c r="M166" i="7942"/>
  <c r="L265" i="18"/>
  <c r="L277" i="18" s="1"/>
  <c r="L649" i="18" s="1"/>
  <c r="I677" i="18"/>
  <c r="I513" i="18" s="1"/>
  <c r="I82" i="7941" s="1"/>
  <c r="M160" i="7942"/>
  <c r="T657" i="18"/>
  <c r="K351" i="7944"/>
  <c r="L27" i="7944" s="1"/>
  <c r="K127" i="7944"/>
  <c r="K197" i="7944"/>
  <c r="L16" i="7944" s="1"/>
  <c r="K239" i="7944"/>
  <c r="L19" i="7944" s="1"/>
  <c r="L132" i="7944"/>
  <c r="J71" i="7955" s="1"/>
  <c r="K71" i="7955" s="1"/>
  <c r="L100" i="7944"/>
  <c r="L386" i="7944"/>
  <c r="J343" i="7955" s="1"/>
  <c r="K343" i="7955" s="1"/>
  <c r="L91" i="7944"/>
  <c r="J27" i="7955" s="1"/>
  <c r="K27" i="7955" s="1"/>
  <c r="L116" i="7944"/>
  <c r="J54" i="7955" s="1"/>
  <c r="K54" i="7955" s="1"/>
  <c r="L484" i="7944"/>
  <c r="J448" i="7955" s="1"/>
  <c r="K448" i="7955" s="1"/>
  <c r="L118" i="7944"/>
  <c r="J56" i="7955" s="1"/>
  <c r="K56" i="7955" s="1"/>
  <c r="L427" i="7944"/>
  <c r="J387" i="7955" s="1"/>
  <c r="K387" i="7955" s="1"/>
  <c r="L302" i="7944"/>
  <c r="J253" i="7955" s="1"/>
  <c r="K253" i="7955" s="1"/>
  <c r="L89" i="7944"/>
  <c r="J25" i="7955" s="1"/>
  <c r="K25" i="7955" s="1"/>
  <c r="L328" i="7944"/>
  <c r="J281" i="7955" s="1"/>
  <c r="K281" i="7955" s="1"/>
  <c r="L254" i="7944"/>
  <c r="J203" i="7955" s="1"/>
  <c r="L242" i="7944"/>
  <c r="J189" i="7955" s="1"/>
  <c r="K189" i="7955" s="1"/>
  <c r="L72" i="7944"/>
  <c r="L86" i="7944"/>
  <c r="J23" i="7955" s="1"/>
  <c r="L128" i="7944"/>
  <c r="L74" i="7944"/>
  <c r="J9" i="7955" s="1"/>
  <c r="K9" i="7955" s="1"/>
  <c r="L426" i="7944"/>
  <c r="J386" i="7955" s="1"/>
  <c r="K386" i="7955" s="1"/>
  <c r="L257" i="7944"/>
  <c r="J205" i="7955" s="1"/>
  <c r="K205" i="7955" s="1"/>
  <c r="L452" i="7944"/>
  <c r="J414" i="7955" s="1"/>
  <c r="K414" i="7955" s="1"/>
  <c r="L256" i="7944"/>
  <c r="J204" i="7955" s="1"/>
  <c r="K204" i="7955" s="1"/>
  <c r="L216" i="7944"/>
  <c r="J161" i="7955" s="1"/>
  <c r="K161" i="7955" s="1"/>
  <c r="L282" i="7944"/>
  <c r="J233" i="7955" s="1"/>
  <c r="L119" i="7944"/>
  <c r="J57" i="7955" s="1"/>
  <c r="K57" i="7955" s="1"/>
  <c r="L455" i="7944"/>
  <c r="J417" i="7955" s="1"/>
  <c r="K417" i="7955" s="1"/>
  <c r="L232" i="7944"/>
  <c r="J178" i="7955" s="1"/>
  <c r="K178" i="7955" s="1"/>
  <c r="L400" i="7944"/>
  <c r="J358" i="7955" s="1"/>
  <c r="K358" i="7955" s="1"/>
  <c r="L411" i="7944"/>
  <c r="J370" i="7955" s="1"/>
  <c r="K370" i="7955" s="1"/>
  <c r="L436" i="7944"/>
  <c r="J398" i="7955" s="1"/>
  <c r="L438" i="7944"/>
  <c r="J399" i="7955" s="1"/>
  <c r="K399" i="7955" s="1"/>
  <c r="L146" i="7944"/>
  <c r="J86" i="7955" s="1"/>
  <c r="K86" i="7955" s="1"/>
  <c r="L413" i="7944"/>
  <c r="J372" i="7955" s="1"/>
  <c r="K372" i="7955" s="1"/>
  <c r="L424" i="7944"/>
  <c r="J384" i="7955" s="1"/>
  <c r="K384" i="7955" s="1"/>
  <c r="L408" i="7944"/>
  <c r="L173" i="7944"/>
  <c r="J115" i="7955" s="1"/>
  <c r="K115" i="7955" s="1"/>
  <c r="L327" i="7944"/>
  <c r="J280" i="7955" s="1"/>
  <c r="K280" i="7955" s="1"/>
  <c r="L159" i="7944"/>
  <c r="J100" i="7955" s="1"/>
  <c r="K100" i="7955" s="1"/>
  <c r="L287" i="7944"/>
  <c r="J237" i="7955" s="1"/>
  <c r="K237" i="7955" s="1"/>
  <c r="L296" i="7944"/>
  <c r="J248" i="7955" s="1"/>
  <c r="L326" i="7944"/>
  <c r="J279" i="7955" s="1"/>
  <c r="K279" i="7955" s="1"/>
  <c r="L228" i="7944"/>
  <c r="J174" i="7955" s="1"/>
  <c r="K174" i="7955" s="1"/>
  <c r="L170" i="7944"/>
  <c r="L231" i="7944"/>
  <c r="J177" i="7955" s="1"/>
  <c r="K177" i="7955" s="1"/>
  <c r="L103" i="7944"/>
  <c r="J40" i="7955" s="1"/>
  <c r="K40" i="7955" s="1"/>
  <c r="L464" i="7944"/>
  <c r="L104" i="7944"/>
  <c r="J41" i="7955" s="1"/>
  <c r="K41" i="7955" s="1"/>
  <c r="L144" i="7944"/>
  <c r="J84" i="7955" s="1"/>
  <c r="K84" i="7955" s="1"/>
  <c r="L357" i="7944"/>
  <c r="J312" i="7955" s="1"/>
  <c r="K312" i="7955" s="1"/>
  <c r="L114" i="7944"/>
  <c r="L271" i="7944"/>
  <c r="J220" i="7955" s="1"/>
  <c r="K220" i="7955" s="1"/>
  <c r="L244" i="7944"/>
  <c r="J191" i="7955" s="1"/>
  <c r="K191" i="7955" s="1"/>
  <c r="L88" i="7944"/>
  <c r="J24" i="7955" s="1"/>
  <c r="K24" i="7955" s="1"/>
  <c r="L147" i="7944"/>
  <c r="J87" i="7955" s="1"/>
  <c r="K87" i="7955" s="1"/>
  <c r="L330" i="7944"/>
  <c r="J283" i="7955" s="1"/>
  <c r="K283" i="7955" s="1"/>
  <c r="L470" i="7944"/>
  <c r="J433" i="7955" s="1"/>
  <c r="K433" i="7955" s="1"/>
  <c r="L189" i="7944"/>
  <c r="J132" i="7955" s="1"/>
  <c r="K132" i="7955" s="1"/>
  <c r="L273" i="7944"/>
  <c r="J222" i="7955" s="1"/>
  <c r="K222" i="7955" s="1"/>
  <c r="L133" i="7944"/>
  <c r="J72" i="7955" s="1"/>
  <c r="K72" i="7955" s="1"/>
  <c r="L441" i="7944"/>
  <c r="J402" i="7955" s="1"/>
  <c r="K402" i="7955" s="1"/>
  <c r="L243" i="7944"/>
  <c r="J190" i="7955" s="1"/>
  <c r="K190" i="7955" s="1"/>
  <c r="L286" i="7944"/>
  <c r="J236" i="7955" s="1"/>
  <c r="K236" i="7955" s="1"/>
  <c r="L148" i="7944"/>
  <c r="J88" i="7955" s="1"/>
  <c r="K88" i="7955" s="1"/>
  <c r="L202" i="7944"/>
  <c r="J146" i="7955" s="1"/>
  <c r="K146" i="7955" s="1"/>
  <c r="L142" i="7944"/>
  <c r="L217" i="7944"/>
  <c r="J162" i="7955" s="1"/>
  <c r="K162" i="7955" s="1"/>
  <c r="L358" i="7944"/>
  <c r="J313" i="7955" s="1"/>
  <c r="K313" i="7955" s="1"/>
  <c r="L298" i="7944"/>
  <c r="J249" i="7955" s="1"/>
  <c r="K249" i="7955" s="1"/>
  <c r="L315" i="7944"/>
  <c r="J267" i="7955" s="1"/>
  <c r="K267" i="7955" s="1"/>
  <c r="L288" i="7944"/>
  <c r="J238" i="7955" s="1"/>
  <c r="K238" i="7955" s="1"/>
  <c r="L226" i="7944"/>
  <c r="L270" i="7944"/>
  <c r="J219" i="7955" s="1"/>
  <c r="K219" i="7955" s="1"/>
  <c r="L394" i="7944"/>
  <c r="L268" i="7944"/>
  <c r="L380" i="7944"/>
  <c r="L259" i="7944"/>
  <c r="L398" i="7944"/>
  <c r="J356" i="7955" s="1"/>
  <c r="K356" i="7955" s="1"/>
  <c r="L355" i="7944"/>
  <c r="J310" i="7955" s="1"/>
  <c r="K310" i="7955" s="1"/>
  <c r="L186" i="7944"/>
  <c r="J129" i="7955" s="1"/>
  <c r="K129" i="7955" s="1"/>
  <c r="L368" i="7944"/>
  <c r="J324" i="7955" s="1"/>
  <c r="K324" i="7955" s="1"/>
  <c r="L300" i="7944"/>
  <c r="J251" i="7955" s="1"/>
  <c r="K251" i="7955" s="1"/>
  <c r="L397" i="7944"/>
  <c r="J355" i="7955" s="1"/>
  <c r="K355" i="7955" s="1"/>
  <c r="L453" i="7944"/>
  <c r="J415" i="7955" s="1"/>
  <c r="K415" i="7955" s="1"/>
  <c r="L272" i="7944"/>
  <c r="J221" i="7955" s="1"/>
  <c r="K221" i="7955" s="1"/>
  <c r="L77" i="7944"/>
  <c r="J12" i="7955" s="1"/>
  <c r="L215" i="7944"/>
  <c r="J160" i="7955" s="1"/>
  <c r="K160" i="7955" s="1"/>
  <c r="L478" i="7944"/>
  <c r="L468" i="7944"/>
  <c r="J431" i="7955" s="1"/>
  <c r="K431" i="7955" s="1"/>
  <c r="L439" i="7944"/>
  <c r="J400" i="7955" s="1"/>
  <c r="K400" i="7955" s="1"/>
  <c r="L313" i="7944"/>
  <c r="J265" i="7955" s="1"/>
  <c r="K265" i="7955" s="1"/>
  <c r="L454" i="7944"/>
  <c r="J416" i="7955" s="1"/>
  <c r="K416" i="7955" s="1"/>
  <c r="L384" i="7944"/>
  <c r="J341" i="7955" s="1"/>
  <c r="K341" i="7955" s="1"/>
  <c r="L329" i="7944"/>
  <c r="J282" i="7955" s="1"/>
  <c r="K282" i="7955" s="1"/>
  <c r="L370" i="7944"/>
  <c r="J326" i="7955" s="1"/>
  <c r="K326" i="7955" s="1"/>
  <c r="L258" i="7944"/>
  <c r="J206" i="7955" s="1"/>
  <c r="K206" i="7955" s="1"/>
  <c r="L316" i="7944"/>
  <c r="J268" i="7955" s="1"/>
  <c r="K268" i="7955" s="1"/>
  <c r="L120" i="7944"/>
  <c r="J58" i="7955" s="1"/>
  <c r="K58" i="7955" s="1"/>
  <c r="L145" i="7944"/>
  <c r="J85" i="7955" s="1"/>
  <c r="K85" i="7955" s="1"/>
  <c r="L162" i="7944"/>
  <c r="J103" i="7955" s="1"/>
  <c r="K103" i="7955" s="1"/>
  <c r="L156" i="7944"/>
  <c r="J98" i="7955" s="1"/>
  <c r="L301" i="7944"/>
  <c r="J252" i="7955" s="1"/>
  <c r="K252" i="7955" s="1"/>
  <c r="L218" i="7944"/>
  <c r="J163" i="7955" s="1"/>
  <c r="K163" i="7955" s="1"/>
  <c r="L260" i="7944"/>
  <c r="J208" i="7955" s="1"/>
  <c r="K208" i="7955" s="1"/>
  <c r="L372" i="7944"/>
  <c r="J328" i="7955" s="1"/>
  <c r="K328" i="7955" s="1"/>
  <c r="L176" i="7944"/>
  <c r="J118" i="7955" s="1"/>
  <c r="K118" i="7955" s="1"/>
  <c r="L356" i="7944"/>
  <c r="J311" i="7955" s="1"/>
  <c r="K311" i="7955" s="1"/>
  <c r="L341" i="7944"/>
  <c r="J295" i="7955" s="1"/>
  <c r="K295" i="7955" s="1"/>
  <c r="L466" i="7944"/>
  <c r="J429" i="7955" s="1"/>
  <c r="K429" i="7955" s="1"/>
  <c r="L198" i="7944"/>
  <c r="L75" i="7944"/>
  <c r="J10" i="7955" s="1"/>
  <c r="L201" i="7944"/>
  <c r="J145" i="7955" s="1"/>
  <c r="K145" i="7955" s="1"/>
  <c r="L230" i="7944"/>
  <c r="J176" i="7955" s="1"/>
  <c r="K176" i="7955" s="1"/>
  <c r="L184" i="7944"/>
  <c r="L160" i="7944"/>
  <c r="J101" i="7955" s="1"/>
  <c r="K101" i="7955" s="1"/>
  <c r="L229" i="7944"/>
  <c r="J175" i="7955" s="1"/>
  <c r="K175" i="7955" s="1"/>
  <c r="L78" i="7944"/>
  <c r="J13" i="7955" s="1"/>
  <c r="L161" i="7944"/>
  <c r="J102" i="7955" s="1"/>
  <c r="K102" i="7955" s="1"/>
  <c r="L343" i="7944"/>
  <c r="J297" i="7955" s="1"/>
  <c r="K297" i="7955" s="1"/>
  <c r="L414" i="7944"/>
  <c r="J373" i="7955" s="1"/>
  <c r="K373" i="7955" s="1"/>
  <c r="L371" i="7944"/>
  <c r="J327" i="7955" s="1"/>
  <c r="K327" i="7955" s="1"/>
  <c r="L428" i="7944"/>
  <c r="J388" i="7955" s="1"/>
  <c r="K388" i="7955" s="1"/>
  <c r="L102" i="7944"/>
  <c r="J39" i="7955" s="1"/>
  <c r="K39" i="7955" s="1"/>
  <c r="L399" i="7944"/>
  <c r="J357" i="7955" s="1"/>
  <c r="K357" i="7955" s="1"/>
  <c r="L366" i="7944"/>
  <c r="L174" i="7944"/>
  <c r="J116" i="7955" s="1"/>
  <c r="K116" i="7955" s="1"/>
  <c r="L324" i="7944"/>
  <c r="J278" i="7955" s="1"/>
  <c r="M3" i="7944"/>
  <c r="L383" i="7944"/>
  <c r="L344" i="7944"/>
  <c r="J298" i="7955" s="1"/>
  <c r="K298" i="7955" s="1"/>
  <c r="L314" i="7944"/>
  <c r="J266" i="7955" s="1"/>
  <c r="K266" i="7955" s="1"/>
  <c r="L338" i="7944"/>
  <c r="L188" i="7944"/>
  <c r="J131" i="7955" s="1"/>
  <c r="K131" i="7955" s="1"/>
  <c r="L450" i="7944"/>
  <c r="L425" i="7944"/>
  <c r="J385" i="7955" s="1"/>
  <c r="K385" i="7955" s="1"/>
  <c r="L354" i="7944"/>
  <c r="J309" i="7955" s="1"/>
  <c r="K309" i="7955" s="1"/>
  <c r="L396" i="7944"/>
  <c r="J354" i="7955" s="1"/>
  <c r="K354" i="7955" s="1"/>
  <c r="L175" i="7944"/>
  <c r="J117" i="7955" s="1"/>
  <c r="K117" i="7955" s="1"/>
  <c r="L412" i="7944"/>
  <c r="J371" i="7955" s="1"/>
  <c r="K371" i="7955" s="1"/>
  <c r="L456" i="7944"/>
  <c r="J418" i="7955" s="1"/>
  <c r="K418" i="7955" s="1"/>
  <c r="L382" i="7944"/>
  <c r="J339" i="7955" s="1"/>
  <c r="K339" i="7955" s="1"/>
  <c r="L204" i="7944"/>
  <c r="J148" i="7955" s="1"/>
  <c r="K148" i="7955" s="1"/>
  <c r="L130" i="7944"/>
  <c r="J69" i="7955" s="1"/>
  <c r="K69" i="7955" s="1"/>
  <c r="L246" i="7944"/>
  <c r="J193" i="7955" s="1"/>
  <c r="K193" i="7955" s="1"/>
  <c r="L440" i="7944"/>
  <c r="J401" i="7955" s="1"/>
  <c r="K401" i="7955" s="1"/>
  <c r="L203" i="7944"/>
  <c r="J147" i="7955" s="1"/>
  <c r="K147" i="7955" s="1"/>
  <c r="L312" i="7944"/>
  <c r="J264" i="7955" s="1"/>
  <c r="K264" i="7955" s="1"/>
  <c r="L240" i="7944"/>
  <c r="L422" i="7944"/>
  <c r="J383" i="7955" s="1"/>
  <c r="L481" i="7944"/>
  <c r="J445" i="7955" s="1"/>
  <c r="K445" i="7955" s="1"/>
  <c r="L410" i="7944"/>
  <c r="J369" i="7955" s="1"/>
  <c r="K369" i="7955" s="1"/>
  <c r="L105" i="7944"/>
  <c r="J42" i="7955" s="1"/>
  <c r="K42" i="7955" s="1"/>
  <c r="L212" i="7944"/>
  <c r="L483" i="7944"/>
  <c r="J447" i="7955" s="1"/>
  <c r="K447" i="7955" s="1"/>
  <c r="L172" i="7944"/>
  <c r="J114" i="7955" s="1"/>
  <c r="K114" i="7955" s="1"/>
  <c r="L299" i="7944"/>
  <c r="J250" i="7955" s="1"/>
  <c r="K250" i="7955" s="1"/>
  <c r="L340" i="7944"/>
  <c r="J294" i="7955" s="1"/>
  <c r="K294" i="7955" s="1"/>
  <c r="L482" i="7944"/>
  <c r="J446" i="7955" s="1"/>
  <c r="K446" i="7955" s="1"/>
  <c r="L467" i="7944"/>
  <c r="J430" i="7955" s="1"/>
  <c r="K430" i="7955" s="1"/>
  <c r="L187" i="7944"/>
  <c r="J130" i="7955" s="1"/>
  <c r="K130" i="7955" s="1"/>
  <c r="L310" i="7944"/>
  <c r="L442" i="7944"/>
  <c r="J403" i="7955" s="1"/>
  <c r="K403" i="7955" s="1"/>
  <c r="L190" i="7944"/>
  <c r="J133" i="7955" s="1"/>
  <c r="K133" i="7955" s="1"/>
  <c r="L131" i="7944"/>
  <c r="J70" i="7955" s="1"/>
  <c r="K70" i="7955" s="1"/>
  <c r="L352" i="7944"/>
  <c r="L369" i="7944"/>
  <c r="J325" i="7955" s="1"/>
  <c r="K325" i="7955" s="1"/>
  <c r="L284" i="7944"/>
  <c r="J234" i="7955" s="1"/>
  <c r="K234" i="7955" s="1"/>
  <c r="L245" i="7944"/>
  <c r="J192" i="7955" s="1"/>
  <c r="K192" i="7955" s="1"/>
  <c r="L385" i="7944"/>
  <c r="J342" i="7955" s="1"/>
  <c r="K342" i="7955" s="1"/>
  <c r="L134" i="7944"/>
  <c r="J73" i="7955" s="1"/>
  <c r="K73" i="7955" s="1"/>
  <c r="L285" i="7944"/>
  <c r="J235" i="7955" s="1"/>
  <c r="K235" i="7955" s="1"/>
  <c r="L158" i="7944"/>
  <c r="J99" i="7955" s="1"/>
  <c r="K99" i="7955" s="1"/>
  <c r="L480" i="7944"/>
  <c r="J444" i="7955" s="1"/>
  <c r="K444" i="7955" s="1"/>
  <c r="L469" i="7944"/>
  <c r="J432" i="7955" s="1"/>
  <c r="K432" i="7955" s="1"/>
  <c r="L274" i="7944"/>
  <c r="J223" i="7955" s="1"/>
  <c r="K223" i="7955" s="1"/>
  <c r="L106" i="7944"/>
  <c r="J43" i="7955" s="1"/>
  <c r="K43" i="7955" s="1"/>
  <c r="L90" i="7944"/>
  <c r="J26" i="7955" s="1"/>
  <c r="K26" i="7955" s="1"/>
  <c r="L92" i="7944"/>
  <c r="J28" i="7955" s="1"/>
  <c r="K28" i="7955" s="1"/>
  <c r="L342" i="7944"/>
  <c r="J296" i="7955" s="1"/>
  <c r="K296" i="7955" s="1"/>
  <c r="L76" i="7944"/>
  <c r="J11" i="7955" s="1"/>
  <c r="L117" i="7944"/>
  <c r="J55" i="7955" s="1"/>
  <c r="K55" i="7955" s="1"/>
  <c r="L214" i="7944"/>
  <c r="J159" i="7955" s="1"/>
  <c r="K159" i="7955" s="1"/>
  <c r="K323" i="7944"/>
  <c r="K99" i="7944"/>
  <c r="J340" i="7955"/>
  <c r="K340" i="7955" s="1"/>
  <c r="K155" i="7944"/>
  <c r="K379" i="7944"/>
  <c r="L29" i="7944" s="1"/>
  <c r="K113" i="7944"/>
  <c r="L10" i="7944" s="1"/>
  <c r="K435" i="7944"/>
  <c r="L33" i="7944" s="1"/>
  <c r="I685" i="18"/>
  <c r="I521" i="18" s="1"/>
  <c r="I90" i="7941" s="1"/>
  <c r="I20" i="7941"/>
  <c r="H212" i="7941"/>
  <c r="K120" i="7942"/>
  <c r="F323" i="7955"/>
  <c r="I669" i="18"/>
  <c r="I505" i="18" s="1"/>
  <c r="I74" i="7941" s="1"/>
  <c r="I202" i="7941" s="1"/>
  <c r="I222" i="7941"/>
  <c r="J30" i="7941"/>
  <c r="I693" i="18"/>
  <c r="I529" i="18" s="1"/>
  <c r="J268" i="7942"/>
  <c r="I640" i="18"/>
  <c r="I43" i="18"/>
  <c r="M132" i="7942"/>
  <c r="L133" i="7942" s="1"/>
  <c r="I683" i="18"/>
  <c r="I519" i="18" s="1"/>
  <c r="I88" i="7941" s="1"/>
  <c r="I216" i="7941" s="1"/>
  <c r="I227" i="7941"/>
  <c r="J35" i="7941"/>
  <c r="K321" i="7942"/>
  <c r="I686" i="18"/>
  <c r="I522" i="18" s="1"/>
  <c r="I91" i="7941" s="1"/>
  <c r="M187" i="18"/>
  <c r="N187" i="18" s="1"/>
  <c r="M317" i="7942"/>
  <c r="H97" i="7941"/>
  <c r="I464" i="18"/>
  <c r="I681" i="18"/>
  <c r="I517" i="18" s="1"/>
  <c r="I86" i="7941" s="1"/>
  <c r="L277" i="7942"/>
  <c r="L295" i="7942"/>
  <c r="L158" i="7942"/>
  <c r="M327" i="7942"/>
  <c r="K315" i="7942"/>
  <c r="I682" i="18"/>
  <c r="I518" i="18" s="1"/>
  <c r="I87" i="7941" s="1"/>
  <c r="H210" i="7941"/>
  <c r="I18" i="7941"/>
  <c r="T653" i="18"/>
  <c r="I675" i="18"/>
  <c r="I511" i="18" s="1"/>
  <c r="I80" i="7941" s="1"/>
  <c r="K309" i="7944"/>
  <c r="K449" i="7944"/>
  <c r="L34" i="7944" s="1"/>
  <c r="K491" i="7944"/>
  <c r="L37" i="7944" s="1"/>
  <c r="J207" i="7955"/>
  <c r="K207" i="7955" s="1"/>
  <c r="K421" i="7944"/>
  <c r="L32" i="7944" s="1"/>
  <c r="K337" i="7944"/>
  <c r="K393" i="7944"/>
  <c r="L30" i="7944" s="1"/>
  <c r="K365" i="7944"/>
  <c r="L28" i="7944" s="1"/>
  <c r="I26" i="7941"/>
  <c r="H218" i="7941"/>
  <c r="L278" i="18"/>
  <c r="L290" i="18" s="1"/>
  <c r="L650" i="18" s="1"/>
  <c r="J450" i="18"/>
  <c r="I690" i="18"/>
  <c r="I526" i="18" s="1"/>
  <c r="I95" i="7941" s="1"/>
  <c r="K325" i="7942"/>
  <c r="L325" i="7942" s="1"/>
  <c r="H219" i="7941"/>
  <c r="I27" i="7941"/>
  <c r="O3" i="18"/>
  <c r="N215" i="18"/>
  <c r="N137" i="18"/>
  <c r="N200" i="18"/>
  <c r="N306" i="18"/>
  <c r="N423" i="18"/>
  <c r="N150" i="18"/>
  <c r="N242" i="18"/>
  <c r="N333" i="18"/>
  <c r="N358" i="18"/>
  <c r="N281" i="18"/>
  <c r="N372" i="18"/>
  <c r="N410" i="18"/>
  <c r="N335" i="18"/>
  <c r="N426" i="18"/>
  <c r="N296" i="18"/>
  <c r="N254" i="18"/>
  <c r="N213" i="18"/>
  <c r="N332" i="18"/>
  <c r="N268" i="18"/>
  <c r="N163" i="18"/>
  <c r="N241" i="18"/>
  <c r="N319" i="18"/>
  <c r="N424" i="18"/>
  <c r="N320" i="18"/>
  <c r="N374" i="18"/>
  <c r="N400" i="18"/>
  <c r="N348" i="18"/>
  <c r="N219" i="18"/>
  <c r="N294" i="18"/>
  <c r="N267" i="18"/>
  <c r="N361" i="18"/>
  <c r="N177" i="18"/>
  <c r="N293" i="18"/>
  <c r="N216" i="18"/>
  <c r="N270" i="18"/>
  <c r="N228" i="18"/>
  <c r="N387" i="18"/>
  <c r="N360" i="18"/>
  <c r="N229" i="18"/>
  <c r="N373" i="18"/>
  <c r="N166" i="18"/>
  <c r="N413" i="18"/>
  <c r="N343" i="18"/>
  <c r="N271" i="18"/>
  <c r="N427" i="18"/>
  <c r="N334" i="18"/>
  <c r="N385" i="18"/>
  <c r="N321" i="18"/>
  <c r="N397" i="18"/>
  <c r="N189" i="18"/>
  <c r="N180" i="18"/>
  <c r="N176" i="18"/>
  <c r="N192" i="18"/>
  <c r="N399" i="18"/>
  <c r="N206" i="18"/>
  <c r="N141" i="18"/>
  <c r="N64" i="18"/>
  <c r="N285" i="18"/>
  <c r="N350" i="18"/>
  <c r="N231" i="18"/>
  <c r="N207" i="18"/>
  <c r="N220" i="18"/>
  <c r="N181" i="18"/>
  <c r="N298" i="18"/>
  <c r="N369" i="18"/>
  <c r="N425" i="18"/>
  <c r="N243" i="18"/>
  <c r="N258" i="18"/>
  <c r="N255" i="18"/>
  <c r="N346" i="18"/>
  <c r="N178" i="18"/>
  <c r="N245" i="18"/>
  <c r="N153" i="18"/>
  <c r="N309" i="18"/>
  <c r="N204" i="18"/>
  <c r="N165" i="18"/>
  <c r="N284" i="18"/>
  <c r="N311" i="18"/>
  <c r="N103" i="18"/>
  <c r="N272" i="18"/>
  <c r="N51" i="18"/>
  <c r="N363" i="18"/>
  <c r="N194" i="18"/>
  <c r="N297" i="18"/>
  <c r="N203" i="18"/>
  <c r="N217" i="18"/>
  <c r="N257" i="18"/>
  <c r="N282" i="18"/>
  <c r="N401" i="18"/>
  <c r="N232" i="18"/>
  <c r="N310" i="18"/>
  <c r="N386" i="18"/>
  <c r="N151" i="18"/>
  <c r="N414" i="18"/>
  <c r="N283" i="18"/>
  <c r="N388" i="18"/>
  <c r="N193" i="18"/>
  <c r="N295" i="18"/>
  <c r="N256" i="18"/>
  <c r="N164" i="18"/>
  <c r="N337" i="18"/>
  <c r="N77" i="18"/>
  <c r="N90" i="18"/>
  <c r="N349" i="18"/>
  <c r="N280" i="18"/>
  <c r="N398" i="18"/>
  <c r="N359" i="18"/>
  <c r="N269" i="18"/>
  <c r="N142" i="18"/>
  <c r="N345" i="18"/>
  <c r="N205" i="18"/>
  <c r="N152" i="18"/>
  <c r="N233" i="18"/>
  <c r="N155" i="18"/>
  <c r="N376" i="18"/>
  <c r="N384" i="18"/>
  <c r="N190" i="18"/>
  <c r="N371" i="18"/>
  <c r="N179" i="18"/>
  <c r="N140" i="18"/>
  <c r="N322" i="18"/>
  <c r="N336" i="18"/>
  <c r="N168" i="18"/>
  <c r="N246" i="18"/>
  <c r="N411" i="18"/>
  <c r="N428" i="18"/>
  <c r="N415" i="18"/>
  <c r="N138" i="18"/>
  <c r="N307" i="18"/>
  <c r="N230" i="18"/>
  <c r="N167" i="18"/>
  <c r="N362" i="18"/>
  <c r="N375" i="18"/>
  <c r="N317" i="18"/>
  <c r="N244" i="18"/>
  <c r="N412" i="18"/>
  <c r="N323" i="18"/>
  <c r="N154" i="18"/>
  <c r="N308" i="18"/>
  <c r="N259" i="18"/>
  <c r="N389" i="18"/>
  <c r="N218" i="18"/>
  <c r="N402" i="18"/>
  <c r="N324" i="18"/>
  <c r="N116" i="18"/>
  <c r="N191" i="18"/>
  <c r="I674" i="18"/>
  <c r="H78" i="7941"/>
  <c r="I445" i="18"/>
  <c r="J461" i="18"/>
  <c r="M303" i="7942"/>
  <c r="E173" i="7955"/>
  <c r="J452" i="18"/>
  <c r="H214" i="7941"/>
  <c r="I22" i="7941"/>
  <c r="M115" i="7942"/>
  <c r="L134" i="7942"/>
  <c r="L130" i="7942"/>
  <c r="L283" i="7942"/>
  <c r="L297" i="7942"/>
  <c r="K289" i="7942"/>
  <c r="K395" i="18"/>
  <c r="J11" i="7941"/>
  <c r="I203" i="7941"/>
  <c r="H215" i="7941"/>
  <c r="I23" i="7941"/>
  <c r="J687" i="18"/>
  <c r="J523" i="18" s="1"/>
  <c r="J92" i="7941" s="1"/>
  <c r="J443" i="18" l="1"/>
  <c r="J671" i="18" s="1"/>
  <c r="J507" i="18" s="1"/>
  <c r="I201" i="7941"/>
  <c r="H697" i="18"/>
  <c r="L24" i="7944"/>
  <c r="E233" i="7955"/>
  <c r="F233" i="7955" s="1"/>
  <c r="J440" i="18"/>
  <c r="J668" i="18" s="1"/>
  <c r="J504" i="18" s="1"/>
  <c r="J73" i="7941" s="1"/>
  <c r="K9" i="7941" s="1"/>
  <c r="M239" i="18"/>
  <c r="N239" i="18" s="1"/>
  <c r="O239" i="18" s="1"/>
  <c r="L25" i="7944"/>
  <c r="J220" i="7941"/>
  <c r="I220" i="7941"/>
  <c r="I205" i="7941"/>
  <c r="L356" i="18"/>
  <c r="L368" i="18" s="1"/>
  <c r="L656" i="18" s="1"/>
  <c r="T656" i="18" s="1"/>
  <c r="F102" i="7955"/>
  <c r="F89" i="7955"/>
  <c r="F143" i="7955"/>
  <c r="F44" i="7955"/>
  <c r="F104" i="7955"/>
  <c r="F117" i="7955"/>
  <c r="L36" i="7944"/>
  <c r="K13" i="7941"/>
  <c r="J12" i="7941"/>
  <c r="I204" i="7941"/>
  <c r="L9" i="7944"/>
  <c r="L226" i="18"/>
  <c r="E218" i="7955" s="1"/>
  <c r="L20" i="7944"/>
  <c r="L408" i="18"/>
  <c r="M408" i="18" s="1"/>
  <c r="K211" i="7944"/>
  <c r="L17" i="7944" s="1"/>
  <c r="L15" i="7944"/>
  <c r="L26" i="7944"/>
  <c r="L304" i="18"/>
  <c r="E308" i="7955" s="1"/>
  <c r="F308" i="7955" s="1"/>
  <c r="L252" i="18"/>
  <c r="L264" i="18" s="1"/>
  <c r="L648" i="18" s="1"/>
  <c r="L22" i="7944"/>
  <c r="U341" i="7958"/>
  <c r="U342" i="7958" s="1"/>
  <c r="V339" i="7958" s="1"/>
  <c r="U770" i="7958"/>
  <c r="T367" i="7958"/>
  <c r="U364" i="7958" s="1"/>
  <c r="K186" i="18"/>
  <c r="K642" i="18" s="1"/>
  <c r="L174" i="18"/>
  <c r="Q629" i="7958"/>
  <c r="Q630" i="7958" s="1"/>
  <c r="Q765" i="7958"/>
  <c r="Q711" i="7958"/>
  <c r="Q496" i="7958"/>
  <c r="P583" i="7958"/>
  <c r="R614" i="7958"/>
  <c r="R615" i="7958" s="1"/>
  <c r="P805" i="7958"/>
  <c r="L11" i="7944"/>
  <c r="E398" i="7955"/>
  <c r="F398" i="7955" s="1"/>
  <c r="L394" i="18"/>
  <c r="L658" i="18" s="1"/>
  <c r="T658" i="18" s="1"/>
  <c r="N382" i="18"/>
  <c r="O382" i="18" s="1"/>
  <c r="K10" i="7955"/>
  <c r="K12" i="7955"/>
  <c r="K11" i="7955"/>
  <c r="K13" i="7955"/>
  <c r="L638" i="18"/>
  <c r="T638" i="18" s="1"/>
  <c r="N313" i="7942"/>
  <c r="M314" i="7942" s="1"/>
  <c r="N148" i="7942"/>
  <c r="N150" i="7942"/>
  <c r="M151" i="7942" s="1"/>
  <c r="K107" i="7942"/>
  <c r="F75" i="7955"/>
  <c r="M135" i="18"/>
  <c r="N307" i="7942"/>
  <c r="M308" i="7942" s="1"/>
  <c r="N317" i="7942"/>
  <c r="M318" i="7942" s="1"/>
  <c r="N166" i="7942"/>
  <c r="N128" i="7942"/>
  <c r="M129" i="7942" s="1"/>
  <c r="N156" i="7942"/>
  <c r="M157" i="7942" s="1"/>
  <c r="N146" i="7942"/>
  <c r="M147" i="7942" s="1"/>
  <c r="O122" i="18"/>
  <c r="N269" i="7942"/>
  <c r="M270" i="7942" s="1"/>
  <c r="N160" i="7942"/>
  <c r="M161" i="7942" s="1"/>
  <c r="N301" i="7942"/>
  <c r="M302" i="7942" s="1"/>
  <c r="N140" i="7942"/>
  <c r="M141" i="7942" s="1"/>
  <c r="L13" i="7944"/>
  <c r="O7" i="7942"/>
  <c r="M265" i="18"/>
  <c r="N265" i="18" s="1"/>
  <c r="L330" i="18"/>
  <c r="E338" i="7955" s="1"/>
  <c r="F338" i="7955" s="1"/>
  <c r="K433" i="18"/>
  <c r="K661" i="18" s="1"/>
  <c r="L421" i="18"/>
  <c r="Q7" i="7942"/>
  <c r="L300" i="7942"/>
  <c r="N299" i="7942"/>
  <c r="N287" i="7942"/>
  <c r="M288" i="7942" s="1"/>
  <c r="N271" i="7942"/>
  <c r="M272" i="7942" s="1"/>
  <c r="M113" i="7942"/>
  <c r="N281" i="7942"/>
  <c r="M282" i="7942" s="1"/>
  <c r="M278" i="18"/>
  <c r="N278" i="18" s="1"/>
  <c r="E278" i="7955"/>
  <c r="F278" i="7955" s="1"/>
  <c r="E263" i="7955"/>
  <c r="F263" i="7955" s="1"/>
  <c r="E113" i="7955"/>
  <c r="J17" i="7941"/>
  <c r="E211" i="7955"/>
  <c r="F211" i="7955" s="1"/>
  <c r="N483" i="18"/>
  <c r="N52" i="7941" s="1"/>
  <c r="E271" i="7955"/>
  <c r="F271" i="7955" s="1"/>
  <c r="N487" i="18"/>
  <c r="N56" i="7941" s="1"/>
  <c r="E226" i="7955"/>
  <c r="F226" i="7955" s="1"/>
  <c r="N484" i="18"/>
  <c r="N53" i="7941" s="1"/>
  <c r="E391" i="7955"/>
  <c r="F391" i="7955" s="1"/>
  <c r="N495" i="18"/>
  <c r="N64" i="7941" s="1"/>
  <c r="E241" i="7955"/>
  <c r="F241" i="7955" s="1"/>
  <c r="N485" i="18"/>
  <c r="N54" i="7941" s="1"/>
  <c r="N492" i="18"/>
  <c r="N61" i="7941" s="1"/>
  <c r="E346" i="7955"/>
  <c r="F346" i="7955" s="1"/>
  <c r="N477" i="18"/>
  <c r="N46" i="7941" s="1"/>
  <c r="E121" i="7955"/>
  <c r="F121" i="7955" s="1"/>
  <c r="N482" i="18"/>
  <c r="N51" i="7941" s="1"/>
  <c r="E196" i="7955"/>
  <c r="F196" i="7955" s="1"/>
  <c r="E91" i="7955"/>
  <c r="F91" i="7955" s="1"/>
  <c r="N475" i="18"/>
  <c r="N44" i="7941" s="1"/>
  <c r="N478" i="18"/>
  <c r="N47" i="7941" s="1"/>
  <c r="E136" i="7955"/>
  <c r="F136" i="7955" s="1"/>
  <c r="E406" i="7955"/>
  <c r="F406" i="7955" s="1"/>
  <c r="N496" i="18"/>
  <c r="N65" i="7941" s="1"/>
  <c r="N488" i="18"/>
  <c r="N57" i="7941" s="1"/>
  <c r="E286" i="7955"/>
  <c r="F286" i="7955" s="1"/>
  <c r="N476" i="18"/>
  <c r="N45" i="7941" s="1"/>
  <c r="E106" i="7955"/>
  <c r="F106" i="7955" s="1"/>
  <c r="E331" i="7955"/>
  <c r="F331" i="7955" s="1"/>
  <c r="N491" i="18"/>
  <c r="N60" i="7941" s="1"/>
  <c r="N493" i="18"/>
  <c r="N62" i="7941" s="1"/>
  <c r="E361" i="7955"/>
  <c r="F361" i="7955" s="1"/>
  <c r="E166" i="7955"/>
  <c r="F166" i="7955" s="1"/>
  <c r="N480" i="18"/>
  <c r="N49" i="7941" s="1"/>
  <c r="N499" i="18"/>
  <c r="N68" i="7941" s="1"/>
  <c r="E451" i="7955"/>
  <c r="F451" i="7955" s="1"/>
  <c r="N474" i="18"/>
  <c r="N43" i="7941" s="1"/>
  <c r="E76" i="7955"/>
  <c r="N498" i="18"/>
  <c r="N67" i="7941" s="1"/>
  <c r="E436" i="7955"/>
  <c r="F436" i="7955" s="1"/>
  <c r="N12" i="18"/>
  <c r="N173" i="1"/>
  <c r="E61" i="7955"/>
  <c r="F61" i="7955" s="1"/>
  <c r="N473" i="18"/>
  <c r="N42" i="7941" s="1"/>
  <c r="N479" i="18"/>
  <c r="N48" i="7941" s="1"/>
  <c r="E151" i="7955"/>
  <c r="F151" i="7955" s="1"/>
  <c r="N481" i="18"/>
  <c r="N50" i="7941" s="1"/>
  <c r="E181" i="7955"/>
  <c r="F181" i="7955" s="1"/>
  <c r="M11" i="18"/>
  <c r="M470" i="18"/>
  <c r="E15" i="7955"/>
  <c r="E46" i="7955"/>
  <c r="F46" i="7955" s="1"/>
  <c r="N472" i="18"/>
  <c r="N41" i="7941" s="1"/>
  <c r="N490" i="18"/>
  <c r="N59" i="7941" s="1"/>
  <c r="E316" i="7955"/>
  <c r="F316" i="7955" s="1"/>
  <c r="N494" i="18"/>
  <c r="N63" i="7941" s="1"/>
  <c r="E376" i="7955"/>
  <c r="F376" i="7955" s="1"/>
  <c r="N486" i="18"/>
  <c r="N55" i="7941" s="1"/>
  <c r="E256" i="7955"/>
  <c r="F256" i="7955" s="1"/>
  <c r="N489" i="18"/>
  <c r="N58" i="7941" s="1"/>
  <c r="E301" i="7955"/>
  <c r="F301" i="7955" s="1"/>
  <c r="O145" i="1"/>
  <c r="O14" i="18" s="1"/>
  <c r="O153" i="1"/>
  <c r="O22" i="18" s="1"/>
  <c r="O161" i="1"/>
  <c r="O30" i="18" s="1"/>
  <c r="O7" i="18"/>
  <c r="O170" i="1"/>
  <c r="O39" i="18" s="1"/>
  <c r="O146" i="1"/>
  <c r="O15" i="18" s="1"/>
  <c r="O149" i="1"/>
  <c r="O18" i="18" s="1"/>
  <c r="O162" i="1"/>
  <c r="O31" i="18" s="1"/>
  <c r="O154" i="1"/>
  <c r="O23" i="18" s="1"/>
  <c r="O171" i="1"/>
  <c r="O40" i="18" s="1"/>
  <c r="O168" i="1"/>
  <c r="O37" i="18" s="1"/>
  <c r="O143" i="1"/>
  <c r="O167" i="1"/>
  <c r="O36" i="18" s="1"/>
  <c r="O151" i="1"/>
  <c r="O20" i="18" s="1"/>
  <c r="O147" i="1"/>
  <c r="O16" i="18" s="1"/>
  <c r="O148" i="1"/>
  <c r="O17" i="18" s="1"/>
  <c r="O156" i="1"/>
  <c r="O25" i="18" s="1"/>
  <c r="O164" i="1"/>
  <c r="O33" i="18" s="1"/>
  <c r="O166" i="1"/>
  <c r="O35" i="18" s="1"/>
  <c r="O163" i="1"/>
  <c r="O32" i="18" s="1"/>
  <c r="O152" i="1"/>
  <c r="O21" i="18" s="1"/>
  <c r="O160" i="1"/>
  <c r="O29" i="18" s="1"/>
  <c r="O169" i="1"/>
  <c r="O38" i="18" s="1"/>
  <c r="O155" i="1"/>
  <c r="O24" i="18" s="1"/>
  <c r="O158" i="1"/>
  <c r="O27" i="18" s="1"/>
  <c r="O172" i="1"/>
  <c r="O41" i="18" s="1"/>
  <c r="O144" i="1"/>
  <c r="O13" i="18" s="1"/>
  <c r="O165" i="1"/>
  <c r="O34" i="18" s="1"/>
  <c r="O150" i="1"/>
  <c r="O19" i="18" s="1"/>
  <c r="O159" i="1"/>
  <c r="O28" i="18" s="1"/>
  <c r="O157" i="1"/>
  <c r="O26" i="18" s="1"/>
  <c r="N471" i="18"/>
  <c r="N40" i="7941" s="1"/>
  <c r="E31" i="7955"/>
  <c r="F31" i="7955" s="1"/>
  <c r="E421" i="7955"/>
  <c r="F421" i="7955" s="1"/>
  <c r="N497" i="18"/>
  <c r="N66" i="7941" s="1"/>
  <c r="M222" i="7941"/>
  <c r="M211" i="7944"/>
  <c r="M31" i="7941"/>
  <c r="M225" i="18"/>
  <c r="M645" i="18" s="1"/>
  <c r="M421" i="7944"/>
  <c r="M14" i="7941"/>
  <c r="N24" i="7944"/>
  <c r="N30" i="7944"/>
  <c r="M82" i="18"/>
  <c r="M634" i="18" s="1"/>
  <c r="M12" i="7941"/>
  <c r="M202" i="7941"/>
  <c r="M20" i="7941"/>
  <c r="M16" i="7941"/>
  <c r="M303" i="18"/>
  <c r="M651" i="18" s="1"/>
  <c r="M17" i="7941"/>
  <c r="N29" i="7944"/>
  <c r="M186" i="18"/>
  <c r="M642" i="18" s="1"/>
  <c r="M290" i="18"/>
  <c r="M650" i="18" s="1"/>
  <c r="N465" i="18"/>
  <c r="N693" i="18" s="1"/>
  <c r="N461" i="18"/>
  <c r="N689" i="18" s="1"/>
  <c r="M223" i="7941"/>
  <c r="M368" i="18"/>
  <c r="M656" i="18" s="1"/>
  <c r="M56" i="18"/>
  <c r="M329" i="18"/>
  <c r="M653" i="18" s="1"/>
  <c r="N455" i="18"/>
  <c r="N683" i="18" s="1"/>
  <c r="M29" i="7941"/>
  <c r="N35" i="7944"/>
  <c r="N21" i="7944"/>
  <c r="N467" i="18"/>
  <c r="N695" i="18" s="1"/>
  <c r="N464" i="18"/>
  <c r="N692" i="18" s="1"/>
  <c r="M127" i="7944"/>
  <c r="M407" i="18"/>
  <c r="M659" i="18" s="1"/>
  <c r="M221" i="7941"/>
  <c r="N462" i="18"/>
  <c r="N690" i="18" s="1"/>
  <c r="M169" i="7944"/>
  <c r="M18" i="7941"/>
  <c r="M251" i="18"/>
  <c r="M647" i="18" s="1"/>
  <c r="M201" i="7941"/>
  <c r="N454" i="18"/>
  <c r="N682" i="18" s="1"/>
  <c r="M134" i="18"/>
  <c r="M638" i="18" s="1"/>
  <c r="N9" i="7944"/>
  <c r="M355" i="18"/>
  <c r="M655" i="18" s="1"/>
  <c r="M8" i="7941"/>
  <c r="N34" i="7944"/>
  <c r="N439" i="18"/>
  <c r="N667" i="18" s="1"/>
  <c r="M25" i="7941"/>
  <c r="M34" i="7941"/>
  <c r="M309" i="7944"/>
  <c r="M394" i="18"/>
  <c r="M658" i="18" s="1"/>
  <c r="N22" i="7944"/>
  <c r="M210" i="7941"/>
  <c r="N446" i="18"/>
  <c r="N674" i="18" s="1"/>
  <c r="M379" i="7944"/>
  <c r="N448" i="18"/>
  <c r="N676" i="18" s="1"/>
  <c r="M204" i="7941"/>
  <c r="M225" i="7941"/>
  <c r="N16" i="7944"/>
  <c r="N11" i="7944"/>
  <c r="M113" i="7944"/>
  <c r="N28" i="7944"/>
  <c r="M217" i="7941"/>
  <c r="M10" i="7941"/>
  <c r="M449" i="7944"/>
  <c r="N23" i="7944"/>
  <c r="M224" i="7941"/>
  <c r="M23" i="7941"/>
  <c r="M351" i="7944"/>
  <c r="M209" i="7941"/>
  <c r="M228" i="7941"/>
  <c r="M226" i="7941"/>
  <c r="N32" i="7944"/>
  <c r="M433" i="18"/>
  <c r="M661" i="18" s="1"/>
  <c r="M295" i="7944"/>
  <c r="N438" i="18"/>
  <c r="M206" i="7941"/>
  <c r="M342" i="18"/>
  <c r="M654" i="18" s="1"/>
  <c r="M267" i="7944"/>
  <c r="N451" i="18"/>
  <c r="N679" i="18" s="1"/>
  <c r="M491" i="7944"/>
  <c r="N20" i="7944"/>
  <c r="N452" i="18"/>
  <c r="N680" i="18" s="1"/>
  <c r="M22" i="7941"/>
  <c r="M238" i="18"/>
  <c r="M646" i="18" s="1"/>
  <c r="M13" i="7941"/>
  <c r="N15" i="7944"/>
  <c r="M36" i="7941"/>
  <c r="N25" i="7944"/>
  <c r="M393" i="7944"/>
  <c r="M33" i="7941"/>
  <c r="N456" i="18"/>
  <c r="N684" i="18" s="1"/>
  <c r="M323" i="7944"/>
  <c r="N36" i="7944"/>
  <c r="M463" i="7944"/>
  <c r="N26" i="7944"/>
  <c r="M160" i="18"/>
  <c r="M640" i="18" s="1"/>
  <c r="M218" i="7941"/>
  <c r="M239" i="7944"/>
  <c r="M173" i="18"/>
  <c r="M641" i="18" s="1"/>
  <c r="M35" i="7941"/>
  <c r="M121" i="18"/>
  <c r="M637" i="18" s="1"/>
  <c r="M212" i="18"/>
  <c r="M644" i="18" s="1"/>
  <c r="N8" i="7944"/>
  <c r="M95" i="18"/>
  <c r="M635" i="18" s="1"/>
  <c r="N18" i="7944"/>
  <c r="N442" i="18"/>
  <c r="N670" i="18" s="1"/>
  <c r="M9" i="7941"/>
  <c r="M199" i="18"/>
  <c r="M643" i="18" s="1"/>
  <c r="N460" i="18"/>
  <c r="N688" i="18" s="1"/>
  <c r="M7" i="7941"/>
  <c r="N33" i="7944"/>
  <c r="M183" i="7944"/>
  <c r="N12" i="7944"/>
  <c r="N444" i="18"/>
  <c r="N672" i="18" s="1"/>
  <c r="M147" i="18"/>
  <c r="M639" i="18" s="1"/>
  <c r="M15" i="7941"/>
  <c r="M21" i="7941"/>
  <c r="M211" i="7941"/>
  <c r="M155" i="7944"/>
  <c r="M477" i="7944"/>
  <c r="M216" i="7941"/>
  <c r="M213" i="7941"/>
  <c r="M26" i="7941"/>
  <c r="M337" i="7944"/>
  <c r="N457" i="18"/>
  <c r="N685" i="18" s="1"/>
  <c r="M32" i="7941"/>
  <c r="M85" i="7944"/>
  <c r="M197" i="7944"/>
  <c r="N459" i="18"/>
  <c r="N687" i="18" s="1"/>
  <c r="M108" i="18"/>
  <c r="M636" i="18" s="1"/>
  <c r="N19" i="7944"/>
  <c r="N458" i="18"/>
  <c r="N686" i="18" s="1"/>
  <c r="M141" i="7944"/>
  <c r="M420" i="18"/>
  <c r="M660" i="18" s="1"/>
  <c r="N463" i="18"/>
  <c r="N691" i="18" s="1"/>
  <c r="M214" i="7941"/>
  <c r="M281" i="7944"/>
  <c r="M381" i="18"/>
  <c r="M657" i="18" s="1"/>
  <c r="M219" i="7941"/>
  <c r="N445" i="18"/>
  <c r="N673" i="18" s="1"/>
  <c r="N10" i="7944"/>
  <c r="M27" i="7941"/>
  <c r="M19" i="7941"/>
  <c r="M220" i="7941"/>
  <c r="M205" i="7941"/>
  <c r="M407" i="7944"/>
  <c r="M203" i="7941"/>
  <c r="N453" i="18"/>
  <c r="N681" i="18" s="1"/>
  <c r="N441" i="18"/>
  <c r="N669" i="18" s="1"/>
  <c r="M24" i="7941"/>
  <c r="N440" i="18"/>
  <c r="N668" i="18" s="1"/>
  <c r="M99" i="7944"/>
  <c r="M207" i="7941"/>
  <c r="N17" i="7944"/>
  <c r="N13" i="7944"/>
  <c r="N37" i="7944"/>
  <c r="N447" i="18"/>
  <c r="N675" i="18" s="1"/>
  <c r="M212" i="7941"/>
  <c r="N450" i="18"/>
  <c r="N678" i="18" s="1"/>
  <c r="M30" i="7941"/>
  <c r="N14" i="7944"/>
  <c r="M69" i="18"/>
  <c r="M633" i="18" s="1"/>
  <c r="N449" i="18"/>
  <c r="N677" i="18" s="1"/>
  <c r="M208" i="7941"/>
  <c r="N31" i="7944"/>
  <c r="M227" i="7941"/>
  <c r="M277" i="18"/>
  <c r="M649" i="18" s="1"/>
  <c r="M215" i="7941"/>
  <c r="M199" i="7941"/>
  <c r="M365" i="7944"/>
  <c r="N27" i="7944"/>
  <c r="N466" i="18"/>
  <c r="N694" i="18" s="1"/>
  <c r="M435" i="7944"/>
  <c r="M316" i="18"/>
  <c r="M652" i="18" s="1"/>
  <c r="M200" i="7941"/>
  <c r="N443" i="18"/>
  <c r="N671" i="18" s="1"/>
  <c r="M11" i="7941"/>
  <c r="M253" i="7944"/>
  <c r="M28" i="7941"/>
  <c r="M225" i="7944"/>
  <c r="M264" i="18"/>
  <c r="M648" i="18" s="1"/>
  <c r="N309" i="7942"/>
  <c r="M310" i="7942" s="1"/>
  <c r="L310" i="7942"/>
  <c r="L320" i="7942"/>
  <c r="N319" i="7942"/>
  <c r="M320" i="7942" s="1"/>
  <c r="J96" i="7941"/>
  <c r="J224" i="7941" s="1"/>
  <c r="K463" i="18"/>
  <c r="K691" i="18" s="1"/>
  <c r="K527" i="18" s="1"/>
  <c r="K96" i="7941" s="1"/>
  <c r="L294" i="7942"/>
  <c r="N293" i="7942"/>
  <c r="M294" i="7942" s="1"/>
  <c r="T649" i="18"/>
  <c r="N305" i="7942"/>
  <c r="L285" i="7942"/>
  <c r="M152" i="7942"/>
  <c r="L153" i="7942" s="1"/>
  <c r="J462" i="18"/>
  <c r="M119" i="7942"/>
  <c r="J451" i="18"/>
  <c r="J679" i="18" s="1"/>
  <c r="J515" i="18" s="1"/>
  <c r="J84" i="7941" s="1"/>
  <c r="K442" i="18"/>
  <c r="K670" i="18" s="1"/>
  <c r="K506" i="18" s="1"/>
  <c r="K75" i="7941" s="1"/>
  <c r="K444" i="18"/>
  <c r="K672" i="18" s="1"/>
  <c r="K508" i="18" s="1"/>
  <c r="K77" i="7941" s="1"/>
  <c r="J455" i="18"/>
  <c r="J683" i="18" s="1"/>
  <c r="J519" i="18" s="1"/>
  <c r="J88" i="7941" s="1"/>
  <c r="I93" i="7941"/>
  <c r="I221" i="7941" s="1"/>
  <c r="J460" i="18"/>
  <c r="J688" i="18" s="1"/>
  <c r="J524" i="18" s="1"/>
  <c r="J93" i="7941" s="1"/>
  <c r="J453" i="18"/>
  <c r="J681" i="18" s="1"/>
  <c r="J517" i="18" s="1"/>
  <c r="J43" i="18"/>
  <c r="J24" i="7941"/>
  <c r="K28" i="7941"/>
  <c r="J205" i="7941"/>
  <c r="J458" i="18"/>
  <c r="J686" i="18" s="1"/>
  <c r="J522" i="18" s="1"/>
  <c r="J91" i="7941" s="1"/>
  <c r="J449" i="18"/>
  <c r="J677" i="18" s="1"/>
  <c r="J513" i="18" s="1"/>
  <c r="J82" i="7941" s="1"/>
  <c r="M142" i="7942"/>
  <c r="L393" i="7944"/>
  <c r="M30" i="7944" s="1"/>
  <c r="J338" i="7955"/>
  <c r="L183" i="7944"/>
  <c r="J113" i="7955"/>
  <c r="L421" i="7944"/>
  <c r="J368" i="7955"/>
  <c r="L113" i="7944"/>
  <c r="M10" i="7944" s="1"/>
  <c r="L161" i="7942"/>
  <c r="M291" i="7942"/>
  <c r="L292" i="7942" s="1"/>
  <c r="M297" i="7942"/>
  <c r="L298" i="7942" s="1"/>
  <c r="I214" i="7941"/>
  <c r="J22" i="7941"/>
  <c r="I692" i="18"/>
  <c r="I528" i="18" s="1"/>
  <c r="I97" i="7941" s="1"/>
  <c r="I510" i="18"/>
  <c r="I631" i="18"/>
  <c r="L477" i="7944"/>
  <c r="M36" i="7944" s="1"/>
  <c r="J428" i="7955"/>
  <c r="J23" i="7941"/>
  <c r="I215" i="7941"/>
  <c r="I673" i="18"/>
  <c r="I509" i="18" s="1"/>
  <c r="I78" i="7941" s="1"/>
  <c r="L137" i="7942"/>
  <c r="N136" i="7942"/>
  <c r="M137" i="7942" s="1"/>
  <c r="M275" i="7942"/>
  <c r="N311" i="7942"/>
  <c r="M312" i="7942" s="1"/>
  <c r="J72" i="7941"/>
  <c r="K439" i="18"/>
  <c r="I89" i="7941"/>
  <c r="J456" i="18"/>
  <c r="L324" i="7942"/>
  <c r="N323" i="7942"/>
  <c r="K203" i="7955"/>
  <c r="J215" i="7955"/>
  <c r="K215" i="7955" s="1"/>
  <c r="K71" i="7944"/>
  <c r="I98" i="7941"/>
  <c r="J465" i="18"/>
  <c r="M283" i="7942"/>
  <c r="L284" i="7942" s="1"/>
  <c r="K407" i="18"/>
  <c r="K659" i="18" s="1"/>
  <c r="L395" i="18"/>
  <c r="H206" i="7941"/>
  <c r="I14" i="7941"/>
  <c r="I219" i="7941"/>
  <c r="J27" i="7941"/>
  <c r="I223" i="7941"/>
  <c r="J31" i="7941"/>
  <c r="E248" i="7955"/>
  <c r="J410" i="7955"/>
  <c r="K410" i="7955" s="1"/>
  <c r="K398" i="7955"/>
  <c r="N408" i="18"/>
  <c r="O408" i="18" s="1"/>
  <c r="L145" i="7942"/>
  <c r="N144" i="7942"/>
  <c r="J457" i="18"/>
  <c r="K23" i="7955"/>
  <c r="J35" i="7955"/>
  <c r="J694" i="18"/>
  <c r="J530" i="18" s="1"/>
  <c r="J99" i="7941" s="1"/>
  <c r="J227" i="7941" s="1"/>
  <c r="I100" i="7941"/>
  <c r="J467" i="18"/>
  <c r="L109" i="7942"/>
  <c r="L289" i="7942"/>
  <c r="L115" i="7942"/>
  <c r="N115" i="7942"/>
  <c r="L318" i="7942"/>
  <c r="L155" i="7942"/>
  <c r="L351" i="7944"/>
  <c r="M27" i="7944" s="1"/>
  <c r="J293" i="7955"/>
  <c r="M357" i="7944"/>
  <c r="M120" i="7944"/>
  <c r="M163" i="7944"/>
  <c r="M331" i="7944"/>
  <c r="M246" i="7944"/>
  <c r="M468" i="7944"/>
  <c r="M146" i="7944"/>
  <c r="M217" i="7944"/>
  <c r="M343" i="7944"/>
  <c r="M466" i="7944"/>
  <c r="M344" i="7944"/>
  <c r="M148" i="7944"/>
  <c r="M289" i="7944"/>
  <c r="M387" i="7944"/>
  <c r="M287" i="7944"/>
  <c r="M356" i="7944"/>
  <c r="M134" i="7944"/>
  <c r="M156" i="7944"/>
  <c r="M214" i="7944"/>
  <c r="M256" i="7944"/>
  <c r="M285" i="7944"/>
  <c r="M326" i="7944"/>
  <c r="M216" i="7944"/>
  <c r="M144" i="7944"/>
  <c r="M359" i="7944"/>
  <c r="M282" i="7944"/>
  <c r="M442" i="7944"/>
  <c r="M482" i="7944"/>
  <c r="M177" i="7944"/>
  <c r="M485" i="7944"/>
  <c r="M368" i="7944"/>
  <c r="M400" i="7944"/>
  <c r="M212" i="7944"/>
  <c r="M198" i="7944"/>
  <c r="M328" i="7944"/>
  <c r="M414" i="7944"/>
  <c r="M131" i="7944"/>
  <c r="M78" i="7944"/>
  <c r="M107" i="7944"/>
  <c r="M422" i="7944"/>
  <c r="M450" i="7944"/>
  <c r="M411" i="7944"/>
  <c r="M313" i="7944"/>
  <c r="M312" i="7944"/>
  <c r="M317" i="7944"/>
  <c r="M452" i="7944"/>
  <c r="M314" i="7944"/>
  <c r="M172" i="7944"/>
  <c r="M340" i="7944"/>
  <c r="M121" i="7944"/>
  <c r="M240" i="7944"/>
  <c r="M174" i="7944"/>
  <c r="M170" i="7944"/>
  <c r="M453" i="7944"/>
  <c r="M215" i="7944"/>
  <c r="M273" i="7944"/>
  <c r="M202" i="7944"/>
  <c r="M117" i="7944"/>
  <c r="M270" i="7944"/>
  <c r="M329" i="7944"/>
  <c r="M372" i="7944"/>
  <c r="M160" i="7944"/>
  <c r="M145" i="7944"/>
  <c r="M245" i="7944"/>
  <c r="M413" i="7944"/>
  <c r="M190" i="7944"/>
  <c r="M261" i="7944"/>
  <c r="M471" i="7944"/>
  <c r="M188" i="7944"/>
  <c r="M229" i="7944"/>
  <c r="M86" i="7944"/>
  <c r="M470" i="7944"/>
  <c r="M149" i="7944"/>
  <c r="M316" i="7944"/>
  <c r="M330" i="7944"/>
  <c r="M75" i="7944"/>
  <c r="M233" i="7944"/>
  <c r="M302" i="7944"/>
  <c r="M254" i="7944"/>
  <c r="M242" i="7944"/>
  <c r="M342" i="7944"/>
  <c r="M284" i="7944"/>
  <c r="M410" i="7944"/>
  <c r="M100" i="7944"/>
  <c r="M386" i="7944"/>
  <c r="M119" i="7944"/>
  <c r="M428" i="7944"/>
  <c r="M427" i="7944"/>
  <c r="M106" i="7944"/>
  <c r="M274" i="7944"/>
  <c r="M142" i="7944"/>
  <c r="M200" i="7944"/>
  <c r="M352" i="7944"/>
  <c r="M268" i="7944"/>
  <c r="M77" i="7944"/>
  <c r="M259" i="7944"/>
  <c r="M382" i="7944"/>
  <c r="M219" i="7944"/>
  <c r="M443" i="7944"/>
  <c r="M412" i="7944"/>
  <c r="M369" i="7944"/>
  <c r="M327" i="7944"/>
  <c r="M354" i="7944"/>
  <c r="M456" i="7944"/>
  <c r="M385" i="7944"/>
  <c r="M408" i="7944"/>
  <c r="M93" i="7944"/>
  <c r="M247" i="7944"/>
  <c r="M384" i="7944"/>
  <c r="M457" i="7944"/>
  <c r="M370" i="7944"/>
  <c r="M89" i="7944"/>
  <c r="M303" i="7944"/>
  <c r="M72" i="7944"/>
  <c r="M484" i="7944"/>
  <c r="M299" i="7944"/>
  <c r="M201" i="7944"/>
  <c r="M189" i="7944"/>
  <c r="M114" i="7944"/>
  <c r="M371" i="7944"/>
  <c r="M132" i="7944"/>
  <c r="M158" i="7944"/>
  <c r="M464" i="7944"/>
  <c r="M355" i="7944"/>
  <c r="M243" i="7944"/>
  <c r="M244" i="7944"/>
  <c r="M424" i="7944"/>
  <c r="M105" i="7944"/>
  <c r="M401" i="7944"/>
  <c r="M173" i="7944"/>
  <c r="M133" i="7944"/>
  <c r="M175" i="7944"/>
  <c r="M91" i="7944"/>
  <c r="M429" i="7944"/>
  <c r="M257" i="7944"/>
  <c r="M130" i="7944"/>
  <c r="M315" i="7944"/>
  <c r="M116" i="7944"/>
  <c r="M300" i="7944"/>
  <c r="M483" i="7944"/>
  <c r="M373" i="7944"/>
  <c r="M186" i="7944"/>
  <c r="M480" i="7944"/>
  <c r="M76" i="7944"/>
  <c r="M230" i="7944"/>
  <c r="M231" i="7944"/>
  <c r="M345" i="7944"/>
  <c r="M260" i="7944"/>
  <c r="M286" i="7944"/>
  <c r="M161" i="7944"/>
  <c r="M102" i="7944"/>
  <c r="M397" i="7944"/>
  <c r="M341" i="7944"/>
  <c r="M301" i="7944"/>
  <c r="M454" i="7944"/>
  <c r="M425" i="7944"/>
  <c r="M128" i="7944"/>
  <c r="M338" i="7944"/>
  <c r="M310" i="7944"/>
  <c r="M383" i="7944"/>
  <c r="M74" i="7944"/>
  <c r="M288" i="7944"/>
  <c r="M90" i="7944"/>
  <c r="M232" i="7944"/>
  <c r="M380" i="7944"/>
  <c r="M272" i="7944"/>
  <c r="M104" i="7944"/>
  <c r="M441" i="7944"/>
  <c r="M324" i="7944"/>
  <c r="M366" i="7944"/>
  <c r="M118" i="7944"/>
  <c r="M162" i="7944"/>
  <c r="N3" i="7944"/>
  <c r="M296" i="7944"/>
  <c r="M426" i="7944"/>
  <c r="M184" i="7944"/>
  <c r="M88" i="7944"/>
  <c r="M218" i="7944"/>
  <c r="M436" i="7944"/>
  <c r="M467" i="7944"/>
  <c r="M440" i="7944"/>
  <c r="M228" i="7944"/>
  <c r="M439" i="7944"/>
  <c r="M298" i="7944"/>
  <c r="M92" i="7944"/>
  <c r="M159" i="7944"/>
  <c r="M203" i="7944"/>
  <c r="M147" i="7944"/>
  <c r="M204" i="7944"/>
  <c r="M271" i="7944"/>
  <c r="M226" i="7944"/>
  <c r="M438" i="7944"/>
  <c r="M455" i="7944"/>
  <c r="M398" i="7944"/>
  <c r="M469" i="7944"/>
  <c r="M415" i="7944"/>
  <c r="M399" i="7944"/>
  <c r="M478" i="7944"/>
  <c r="M187" i="7944"/>
  <c r="M481" i="7944"/>
  <c r="M358" i="7944"/>
  <c r="M176" i="7944"/>
  <c r="M258" i="7944"/>
  <c r="M191" i="7944"/>
  <c r="M275" i="7944"/>
  <c r="M103" i="7944"/>
  <c r="M396" i="7944"/>
  <c r="M394" i="7944"/>
  <c r="M135" i="7944"/>
  <c r="M205" i="7944"/>
  <c r="L491" i="7944"/>
  <c r="M37" i="7944" s="1"/>
  <c r="J443" i="7955"/>
  <c r="L239" i="7944"/>
  <c r="M19" i="7944" s="1"/>
  <c r="J173" i="7955"/>
  <c r="L85" i="7944"/>
  <c r="J8" i="7955"/>
  <c r="L117" i="7942"/>
  <c r="M117" i="7942"/>
  <c r="L125" i="7942"/>
  <c r="N124" i="7942"/>
  <c r="M125" i="7942" s="1"/>
  <c r="J203" i="7941"/>
  <c r="K11" i="7941"/>
  <c r="M134" i="7942"/>
  <c r="L135" i="7942" s="1"/>
  <c r="J680" i="18"/>
  <c r="J516" i="18" s="1"/>
  <c r="J85" i="7941" s="1"/>
  <c r="K21" i="7941" s="1"/>
  <c r="L304" i="7942"/>
  <c r="N303" i="7942"/>
  <c r="M304" i="7942" s="1"/>
  <c r="K278" i="7955"/>
  <c r="J290" i="7955"/>
  <c r="K290" i="7955" s="1"/>
  <c r="J26" i="7941"/>
  <c r="I218" i="7941"/>
  <c r="M295" i="7942"/>
  <c r="L296" i="7942" s="1"/>
  <c r="J38" i="7955"/>
  <c r="L337" i="7944"/>
  <c r="L281" i="7944"/>
  <c r="J218" i="7955"/>
  <c r="L127" i="7944"/>
  <c r="J53" i="7955"/>
  <c r="L8" i="7944"/>
  <c r="K7" i="7944"/>
  <c r="M126" i="7942"/>
  <c r="L127" i="7942" s="1"/>
  <c r="J76" i="7941"/>
  <c r="K443" i="18"/>
  <c r="K268" i="7942"/>
  <c r="F173" i="7955"/>
  <c r="J689" i="18"/>
  <c r="J525" i="18" s="1"/>
  <c r="J94" i="7941" s="1"/>
  <c r="K30" i="7941" s="1"/>
  <c r="M325" i="7942"/>
  <c r="N325" i="7942" s="1"/>
  <c r="T650" i="18"/>
  <c r="L328" i="7942"/>
  <c r="N327" i="7942"/>
  <c r="M328" i="7942" s="1"/>
  <c r="L315" i="7942"/>
  <c r="M277" i="7942"/>
  <c r="L278" i="7942" s="1"/>
  <c r="I33" i="7941"/>
  <c r="H225" i="7941"/>
  <c r="M32" i="7944"/>
  <c r="L449" i="7944"/>
  <c r="M34" i="7944" s="1"/>
  <c r="L280" i="7942"/>
  <c r="N154" i="7942"/>
  <c r="M155" i="7942" s="1"/>
  <c r="H70" i="7941"/>
  <c r="H199" i="7941"/>
  <c r="I7" i="7941"/>
  <c r="K233" i="7955"/>
  <c r="J245" i="7955"/>
  <c r="K245" i="7955" s="1"/>
  <c r="M4" i="7941"/>
  <c r="M74" i="1"/>
  <c r="M108" i="1" s="1"/>
  <c r="M4" i="7942"/>
  <c r="M142" i="1"/>
  <c r="M4" i="7944"/>
  <c r="M4" i="18"/>
  <c r="M176" i="1"/>
  <c r="M138" i="7942"/>
  <c r="N279" i="7942"/>
  <c r="M280" i="7942" s="1"/>
  <c r="O242" i="18"/>
  <c r="O215" i="18"/>
  <c r="O281" i="18"/>
  <c r="O319" i="18"/>
  <c r="O294" i="18"/>
  <c r="O361" i="18"/>
  <c r="O293" i="18"/>
  <c r="O213" i="18"/>
  <c r="O348" i="18"/>
  <c r="O335" i="18"/>
  <c r="O179" i="18"/>
  <c r="O423" i="18"/>
  <c r="O150" i="18"/>
  <c r="O254" i="18"/>
  <c r="O268" i="18"/>
  <c r="O410" i="18"/>
  <c r="O187" i="18"/>
  <c r="O283" i="18"/>
  <c r="P3" i="18"/>
  <c r="O424" i="18"/>
  <c r="O163" i="18"/>
  <c r="O267" i="18"/>
  <c r="O216" i="18"/>
  <c r="O333" i="18"/>
  <c r="O358" i="18"/>
  <c r="O332" i="18"/>
  <c r="O161" i="18"/>
  <c r="O228" i="18"/>
  <c r="O245" i="18"/>
  <c r="O322" i="18"/>
  <c r="O202" i="18"/>
  <c r="O343" i="18"/>
  <c r="O206" i="18"/>
  <c r="O399" i="18"/>
  <c r="O137" i="18"/>
  <c r="O306" i="18"/>
  <c r="O296" i="18"/>
  <c r="O153" i="18"/>
  <c r="O398" i="18"/>
  <c r="O397" i="18"/>
  <c r="O371" i="18"/>
  <c r="O323" i="18"/>
  <c r="O284" i="18"/>
  <c r="O308" i="18"/>
  <c r="O154" i="18"/>
  <c r="O103" i="18"/>
  <c r="O51" i="18"/>
  <c r="O389" i="18"/>
  <c r="O336" i="18"/>
  <c r="O191" i="18"/>
  <c r="O233" i="18"/>
  <c r="O402" i="18"/>
  <c r="O324" i="18"/>
  <c r="O155" i="18"/>
  <c r="O376" i="18"/>
  <c r="O90" i="18"/>
  <c r="O384" i="18"/>
  <c r="O345" i="18"/>
  <c r="O256" i="18"/>
  <c r="O347" i="18"/>
  <c r="O140" i="18"/>
  <c r="O359" i="18"/>
  <c r="O388" i="18"/>
  <c r="O244" i="18"/>
  <c r="O164" i="18"/>
  <c r="O91" i="18"/>
  <c r="O169" i="18"/>
  <c r="O221" i="18"/>
  <c r="O167" i="18"/>
  <c r="O205" i="18"/>
  <c r="O299" i="18"/>
  <c r="O241" i="18"/>
  <c r="O346" i="18"/>
  <c r="O295" i="18"/>
  <c r="O360" i="18"/>
  <c r="O372" i="18"/>
  <c r="O141" i="18"/>
  <c r="O334" i="18"/>
  <c r="O385" i="18"/>
  <c r="O176" i="18"/>
  <c r="O168" i="18"/>
  <c r="O180" i="18"/>
  <c r="O207" i="18"/>
  <c r="O220" i="18"/>
  <c r="O116" i="18"/>
  <c r="O181" i="18"/>
  <c r="O298" i="18"/>
  <c r="O138" i="18"/>
  <c r="O269" i="18"/>
  <c r="O309" i="18"/>
  <c r="O425" i="18"/>
  <c r="O219" i="18"/>
  <c r="O152" i="18"/>
  <c r="O369" i="18"/>
  <c r="O52" i="18"/>
  <c r="O416" i="18"/>
  <c r="O312" i="18"/>
  <c r="O142" i="18"/>
  <c r="O349" i="18"/>
  <c r="O258" i="18"/>
  <c r="O270" i="18"/>
  <c r="O177" i="18"/>
  <c r="O412" i="18"/>
  <c r="O271" i="18"/>
  <c r="O427" i="18"/>
  <c r="O311" i="18"/>
  <c r="O272" i="18"/>
  <c r="O64" i="18"/>
  <c r="O139" i="18"/>
  <c r="O257" i="18"/>
  <c r="O192" i="18"/>
  <c r="O204" i="18"/>
  <c r="O310" i="18"/>
  <c r="O386" i="18"/>
  <c r="O317" i="18"/>
  <c r="O232" i="18"/>
  <c r="O400" i="18"/>
  <c r="O413" i="18"/>
  <c r="O77" i="18"/>
  <c r="O166" i="18"/>
  <c r="O203" i="18"/>
  <c r="O193" i="18"/>
  <c r="O363" i="18"/>
  <c r="O195" i="18"/>
  <c r="O429" i="18"/>
  <c r="O247" i="18"/>
  <c r="O403" i="18"/>
  <c r="O104" i="18"/>
  <c r="O280" i="18"/>
  <c r="O351" i="18"/>
  <c r="O286" i="18"/>
  <c r="O117" i="18"/>
  <c r="O156" i="18"/>
  <c r="O259" i="18"/>
  <c r="O285" i="18"/>
  <c r="O243" i="18"/>
  <c r="O200" i="18"/>
  <c r="O218" i="18"/>
  <c r="O189" i="18"/>
  <c r="O194" i="18"/>
  <c r="O178" i="18"/>
  <c r="O401" i="18"/>
  <c r="O426" i="18"/>
  <c r="O151" i="18"/>
  <c r="O234" i="18"/>
  <c r="O182" i="18"/>
  <c r="O337" i="18"/>
  <c r="O282" i="18"/>
  <c r="O297" i="18"/>
  <c r="O390" i="18"/>
  <c r="O78" i="18"/>
  <c r="O320" i="18"/>
  <c r="O229" i="18"/>
  <c r="O387" i="18"/>
  <c r="O165" i="18"/>
  <c r="O374" i="18"/>
  <c r="O255" i="18"/>
  <c r="O321" i="18"/>
  <c r="O246" i="18"/>
  <c r="O373" i="18"/>
  <c r="O411" i="18"/>
  <c r="O428" i="18"/>
  <c r="O231" i="18"/>
  <c r="O65" i="18"/>
  <c r="O208" i="18"/>
  <c r="O190" i="18"/>
  <c r="O350" i="18"/>
  <c r="O375" i="18"/>
  <c r="O230" i="18"/>
  <c r="O377" i="18"/>
  <c r="O273" i="18"/>
  <c r="O143" i="18"/>
  <c r="O325" i="18"/>
  <c r="O364" i="18"/>
  <c r="O362" i="18"/>
  <c r="O307" i="18"/>
  <c r="O217" i="18"/>
  <c r="O260" i="18"/>
  <c r="O338" i="18"/>
  <c r="O415" i="18"/>
  <c r="O414" i="18"/>
  <c r="L165" i="7942"/>
  <c r="N164" i="7942"/>
  <c r="M165" i="7942" s="1"/>
  <c r="J678" i="18"/>
  <c r="J514" i="18" s="1"/>
  <c r="J83" i="7941" s="1"/>
  <c r="J395" i="7955"/>
  <c r="K395" i="7955" s="1"/>
  <c r="K383" i="7955"/>
  <c r="L120" i="7942"/>
  <c r="J20" i="7941"/>
  <c r="I212" i="7941"/>
  <c r="J10" i="7941"/>
  <c r="L365" i="7944"/>
  <c r="M28" i="7944" s="1"/>
  <c r="J308" i="7955"/>
  <c r="L323" i="7944"/>
  <c r="M25" i="7944" s="1"/>
  <c r="L225" i="7944"/>
  <c r="M18" i="7944" s="1"/>
  <c r="L435" i="7944"/>
  <c r="M33" i="7944" s="1"/>
  <c r="L463" i="7944"/>
  <c r="M35" i="7944" s="1"/>
  <c r="L197" i="7944"/>
  <c r="M16" i="7944" s="1"/>
  <c r="J128" i="7955"/>
  <c r="L211" i="7944"/>
  <c r="M17" i="7944" s="1"/>
  <c r="J143" i="7955"/>
  <c r="L407" i="7944"/>
  <c r="M31" i="7944" s="1"/>
  <c r="L155" i="7944"/>
  <c r="J83" i="7955"/>
  <c r="L141" i="7944"/>
  <c r="M12" i="7944" s="1"/>
  <c r="J68" i="7955"/>
  <c r="L267" i="7944"/>
  <c r="M21" i="7944" s="1"/>
  <c r="M130" i="7942"/>
  <c r="J631" i="18"/>
  <c r="M273" i="7942"/>
  <c r="M122" i="7942"/>
  <c r="L123" i="7942" s="1"/>
  <c r="F293" i="7955"/>
  <c r="L639" i="18"/>
  <c r="L148" i="18"/>
  <c r="J110" i="7955"/>
  <c r="K98" i="7955"/>
  <c r="J158" i="7955"/>
  <c r="I208" i="7941"/>
  <c r="J16" i="7941"/>
  <c r="K459" i="18"/>
  <c r="L162" i="7942"/>
  <c r="M162" i="7942" s="1"/>
  <c r="L163" i="7942" s="1"/>
  <c r="L238" i="18"/>
  <c r="L646" i="18" s="1"/>
  <c r="N135" i="18"/>
  <c r="O135" i="18" s="1"/>
  <c r="K248" i="7955"/>
  <c r="J260" i="7955"/>
  <c r="K260" i="7955" s="1"/>
  <c r="J447" i="18"/>
  <c r="J18" i="7941"/>
  <c r="I210" i="7941"/>
  <c r="J454" i="18"/>
  <c r="M158" i="7942"/>
  <c r="L321" i="7942"/>
  <c r="J353" i="7955"/>
  <c r="J441" i="18"/>
  <c r="N132" i="7942"/>
  <c r="M133" i="7942" s="1"/>
  <c r="J263" i="7955"/>
  <c r="L253" i="7944"/>
  <c r="L379" i="7944"/>
  <c r="M29" i="7944" s="1"/>
  <c r="J323" i="7955"/>
  <c r="L169" i="7944"/>
  <c r="M14" i="7944" s="1"/>
  <c r="L309" i="7944"/>
  <c r="M24" i="7944" s="1"/>
  <c r="L295" i="7944"/>
  <c r="M23" i="7944" s="1"/>
  <c r="L99" i="7944"/>
  <c r="L167" i="7942"/>
  <c r="I666" i="18"/>
  <c r="I437" i="18"/>
  <c r="J413" i="7955"/>
  <c r="L303" i="18"/>
  <c r="L651" i="18" s="1"/>
  <c r="M291" i="18"/>
  <c r="N291" i="18" s="1"/>
  <c r="K639" i="18"/>
  <c r="J448" i="18"/>
  <c r="J188" i="7955"/>
  <c r="L420" i="18" l="1"/>
  <c r="L660" i="18" s="1"/>
  <c r="T660" i="18" s="1"/>
  <c r="M304" i="18"/>
  <c r="N304" i="18" s="1"/>
  <c r="J201" i="7941"/>
  <c r="L316" i="18"/>
  <c r="L652" i="18" s="1"/>
  <c r="L342" i="18"/>
  <c r="L654" i="18" s="1"/>
  <c r="E428" i="7955"/>
  <c r="F428" i="7955" s="1"/>
  <c r="K440" i="18"/>
  <c r="K668" i="18" s="1"/>
  <c r="K504" i="18" s="1"/>
  <c r="K73" i="7941" s="1"/>
  <c r="K201" i="7941" s="1"/>
  <c r="E368" i="7955"/>
  <c r="F368" i="7955" s="1"/>
  <c r="M356" i="18"/>
  <c r="N356" i="18" s="1"/>
  <c r="O356" i="18" s="1"/>
  <c r="F113" i="7955"/>
  <c r="M252" i="18"/>
  <c r="N252" i="18" s="1"/>
  <c r="M226" i="18"/>
  <c r="N226" i="18" s="1"/>
  <c r="M9" i="7944"/>
  <c r="M20" i="7944"/>
  <c r="M26" i="7944"/>
  <c r="M15" i="7944"/>
  <c r="O265" i="18"/>
  <c r="P265" i="18" s="1"/>
  <c r="M22" i="7944"/>
  <c r="V341" i="7958"/>
  <c r="V770" i="7958"/>
  <c r="U792" i="7958"/>
  <c r="U803" i="7958" s="1"/>
  <c r="U366" i="7958"/>
  <c r="U741" i="7958" s="1"/>
  <c r="L186" i="18"/>
  <c r="L642" i="18" s="1"/>
  <c r="T642" i="18" s="1"/>
  <c r="E158" i="7955"/>
  <c r="M174" i="18"/>
  <c r="S612" i="7958"/>
  <c r="Q580" i="7958"/>
  <c r="Q498" i="7958"/>
  <c r="Q499" i="7958" s="1"/>
  <c r="Q764" i="7958"/>
  <c r="R627" i="7958"/>
  <c r="Q714" i="7958"/>
  <c r="Q787" i="7958"/>
  <c r="Q798" i="7958" s="1"/>
  <c r="Q713" i="7958"/>
  <c r="M11" i="7944"/>
  <c r="P122" i="18"/>
  <c r="M13" i="7944"/>
  <c r="O150" i="7942"/>
  <c r="N151" i="7942" s="1"/>
  <c r="O307" i="7942"/>
  <c r="N308" i="7942" s="1"/>
  <c r="O166" i="7942"/>
  <c r="N167" i="7942" s="1"/>
  <c r="L107" i="7942"/>
  <c r="O148" i="7942"/>
  <c r="F76" i="7955"/>
  <c r="O140" i="7942"/>
  <c r="N141" i="7942" s="1"/>
  <c r="M167" i="7942"/>
  <c r="O146" i="7942"/>
  <c r="N147" i="7942" s="1"/>
  <c r="M330" i="18"/>
  <c r="N330" i="18" s="1"/>
  <c r="O330" i="18" s="1"/>
  <c r="O301" i="7942"/>
  <c r="N302" i="7942" s="1"/>
  <c r="O313" i="7942"/>
  <c r="N314" i="7942" s="1"/>
  <c r="O317" i="7942"/>
  <c r="N318" i="7942" s="1"/>
  <c r="O299" i="7942"/>
  <c r="N300" i="7942" s="1"/>
  <c r="O269" i="7942"/>
  <c r="N270" i="7942" s="1"/>
  <c r="N113" i="7942"/>
  <c r="O160" i="7942"/>
  <c r="O128" i="7942"/>
  <c r="N129" i="7942" s="1"/>
  <c r="M43" i="18"/>
  <c r="O156" i="7942"/>
  <c r="N157" i="7942" s="1"/>
  <c r="P7" i="7942"/>
  <c r="O304" i="18"/>
  <c r="P304" i="18" s="1"/>
  <c r="O278" i="18"/>
  <c r="P278" i="18" s="1"/>
  <c r="F15" i="7955"/>
  <c r="J213" i="7941"/>
  <c r="L433" i="18"/>
  <c r="L661" i="18" s="1"/>
  <c r="T661" i="18" s="1"/>
  <c r="M421" i="18"/>
  <c r="N421" i="18" s="1"/>
  <c r="E443" i="7955"/>
  <c r="F443" i="7955" s="1"/>
  <c r="K43" i="18"/>
  <c r="O287" i="7942"/>
  <c r="N288" i="7942" s="1"/>
  <c r="O271" i="7942"/>
  <c r="N272" i="7942" s="1"/>
  <c r="O281" i="7942"/>
  <c r="N282" i="7942" s="1"/>
  <c r="M300" i="7942"/>
  <c r="O319" i="7942"/>
  <c r="O303" i="7942"/>
  <c r="N304" i="7942" s="1"/>
  <c r="N119" i="7942"/>
  <c r="O293" i="7942"/>
  <c r="N294" i="7942" s="1"/>
  <c r="N297" i="7942"/>
  <c r="M298" i="7942" s="1"/>
  <c r="O309" i="7942"/>
  <c r="N310" i="7942" s="1"/>
  <c r="O291" i="18"/>
  <c r="P291" i="18" s="1"/>
  <c r="O226" i="18"/>
  <c r="P226" i="18" s="1"/>
  <c r="K32" i="7941"/>
  <c r="K224" i="7941" s="1"/>
  <c r="J29" i="7941"/>
  <c r="J221" i="7941" s="1"/>
  <c r="J216" i="7941"/>
  <c r="M6" i="7941"/>
  <c r="O492" i="18"/>
  <c r="O61" i="7941" s="1"/>
  <c r="E347" i="7955"/>
  <c r="F347" i="7955" s="1"/>
  <c r="E197" i="7955"/>
  <c r="F197" i="7955" s="1"/>
  <c r="O482" i="18"/>
  <c r="O51" i="7941" s="1"/>
  <c r="O490" i="18"/>
  <c r="O59" i="7941" s="1"/>
  <c r="E317" i="7955"/>
  <c r="F317" i="7955" s="1"/>
  <c r="O475" i="18"/>
  <c r="O44" i="7941" s="1"/>
  <c r="E92" i="7955"/>
  <c r="F92" i="7955" s="1"/>
  <c r="O12" i="18"/>
  <c r="O173" i="1"/>
  <c r="O489" i="18"/>
  <c r="O58" i="7941" s="1"/>
  <c r="E302" i="7955"/>
  <c r="F302" i="7955" s="1"/>
  <c r="O497" i="18"/>
  <c r="O66" i="7941" s="1"/>
  <c r="E422" i="7955"/>
  <c r="F422" i="7955" s="1"/>
  <c r="O472" i="18"/>
  <c r="O41" i="7941" s="1"/>
  <c r="E47" i="7955"/>
  <c r="F47" i="7955" s="1"/>
  <c r="M469" i="18"/>
  <c r="M39" i="7941"/>
  <c r="M38" i="7941" s="1"/>
  <c r="N206" i="7941"/>
  <c r="N113" i="7944"/>
  <c r="O455" i="18"/>
  <c r="O683" i="18" s="1"/>
  <c r="N420" i="18"/>
  <c r="N660" i="18" s="1"/>
  <c r="N530" i="18" s="1"/>
  <c r="N99" i="7941" s="1"/>
  <c r="N239" i="7944"/>
  <c r="N17" i="7941"/>
  <c r="N134" i="18"/>
  <c r="N638" i="18" s="1"/>
  <c r="N508" i="18" s="1"/>
  <c r="N77" i="7941" s="1"/>
  <c r="N85" i="7944"/>
  <c r="O449" i="18"/>
  <c r="O677" i="18" s="1"/>
  <c r="O448" i="18"/>
  <c r="O676" i="18" s="1"/>
  <c r="O15" i="7944"/>
  <c r="O36" i="7944"/>
  <c r="O10" i="7944"/>
  <c r="N18" i="7941"/>
  <c r="N200" i="7941"/>
  <c r="O29" i="7944"/>
  <c r="N267" i="7944"/>
  <c r="N33" i="7941"/>
  <c r="N147" i="18"/>
  <c r="N639" i="18" s="1"/>
  <c r="N509" i="18" s="1"/>
  <c r="N78" i="7941" s="1"/>
  <c r="N309" i="7944"/>
  <c r="N337" i="7944"/>
  <c r="N329" i="18"/>
  <c r="N653" i="18" s="1"/>
  <c r="N523" i="18" s="1"/>
  <c r="N92" i="7941" s="1"/>
  <c r="O28" i="7944"/>
  <c r="N449" i="7944"/>
  <c r="N155" i="7944"/>
  <c r="N8" i="7941"/>
  <c r="O465" i="18"/>
  <c r="O693" i="18" s="1"/>
  <c r="N127" i="7944"/>
  <c r="N15" i="7941"/>
  <c r="O443" i="18"/>
  <c r="O671" i="18" s="1"/>
  <c r="N169" i="7944"/>
  <c r="N210" i="7941"/>
  <c r="N211" i="7941"/>
  <c r="N407" i="18"/>
  <c r="N659" i="18" s="1"/>
  <c r="N529" i="18" s="1"/>
  <c r="N98" i="7941" s="1"/>
  <c r="O13" i="7944"/>
  <c r="N22" i="7941"/>
  <c r="O459" i="18"/>
  <c r="O687" i="18" s="1"/>
  <c r="N197" i="7944"/>
  <c r="N99" i="7944"/>
  <c r="O453" i="18"/>
  <c r="O681" i="18" s="1"/>
  <c r="O19" i="7944"/>
  <c r="O462" i="18"/>
  <c r="O690" i="18" s="1"/>
  <c r="O18" i="7944"/>
  <c r="N212" i="18"/>
  <c r="N644" i="18" s="1"/>
  <c r="N514" i="18" s="1"/>
  <c r="N83" i="7941" s="1"/>
  <c r="N365" i="7944"/>
  <c r="N228" i="7941"/>
  <c r="N183" i="7944"/>
  <c r="N219" i="7941"/>
  <c r="O447" i="18"/>
  <c r="O675" i="18" s="1"/>
  <c r="O9" i="7944"/>
  <c r="N11" i="7941"/>
  <c r="N186" i="18"/>
  <c r="N642" i="18" s="1"/>
  <c r="N512" i="18" s="1"/>
  <c r="N81" i="7941" s="1"/>
  <c r="N31" i="7941"/>
  <c r="N95" i="18"/>
  <c r="N635" i="18" s="1"/>
  <c r="N505" i="18" s="1"/>
  <c r="N74" i="7941" s="1"/>
  <c r="O446" i="18"/>
  <c r="O674" i="18" s="1"/>
  <c r="N19" i="7941"/>
  <c r="O33" i="7944"/>
  <c r="N199" i="7941"/>
  <c r="N221" i="7941"/>
  <c r="N225" i="7944"/>
  <c r="O16" i="7944"/>
  <c r="N351" i="7944"/>
  <c r="N121" i="18"/>
  <c r="N637" i="18" s="1"/>
  <c r="N507" i="18" s="1"/>
  <c r="N76" i="7941" s="1"/>
  <c r="O32" i="7944"/>
  <c r="N394" i="18"/>
  <c r="N658" i="18" s="1"/>
  <c r="N528" i="18" s="1"/>
  <c r="N97" i="7941" s="1"/>
  <c r="N208" i="7941"/>
  <c r="N323" i="7944"/>
  <c r="N14" i="7941"/>
  <c r="N29" i="7941"/>
  <c r="N209" i="7941"/>
  <c r="O11" i="7944"/>
  <c r="N421" i="7944"/>
  <c r="N35" i="7941"/>
  <c r="N23" i="7941"/>
  <c r="N207" i="7941"/>
  <c r="N25" i="7941"/>
  <c r="O460" i="18"/>
  <c r="O688" i="18" s="1"/>
  <c r="N16" i="7941"/>
  <c r="N216" i="7941"/>
  <c r="N407" i="7944"/>
  <c r="N141" i="7944"/>
  <c r="O464" i="18"/>
  <c r="O692" i="18" s="1"/>
  <c r="O27" i="7944"/>
  <c r="O31" i="7944"/>
  <c r="O34" i="7944"/>
  <c r="N277" i="18"/>
  <c r="N649" i="18" s="1"/>
  <c r="N519" i="18" s="1"/>
  <c r="N88" i="7941" s="1"/>
  <c r="O30" i="7944"/>
  <c r="N203" i="7941"/>
  <c r="N28" i="7941"/>
  <c r="O23" i="7944"/>
  <c r="N214" i="7941"/>
  <c r="N69" i="18"/>
  <c r="N633" i="18" s="1"/>
  <c r="N503" i="18" s="1"/>
  <c r="N72" i="7941" s="1"/>
  <c r="O438" i="18"/>
  <c r="O445" i="18"/>
  <c r="O673" i="18" s="1"/>
  <c r="O439" i="18"/>
  <c r="O667" i="18" s="1"/>
  <c r="N34" i="7941"/>
  <c r="O22" i="7944"/>
  <c r="N10" i="7941"/>
  <c r="O442" i="18"/>
  <c r="O670" i="18" s="1"/>
  <c r="N435" i="7944"/>
  <c r="N12" i="7941"/>
  <c r="N199" i="18"/>
  <c r="N643" i="18" s="1"/>
  <c r="N513" i="18" s="1"/>
  <c r="N82" i="7941" s="1"/>
  <c r="N205" i="7941"/>
  <c r="N27" i="7941"/>
  <c r="N253" i="7944"/>
  <c r="N223" i="7941"/>
  <c r="N290" i="18"/>
  <c r="N650" i="18" s="1"/>
  <c r="N520" i="18" s="1"/>
  <c r="N89" i="7941" s="1"/>
  <c r="O8" i="7944"/>
  <c r="N477" i="7944"/>
  <c r="N303" i="18"/>
  <c r="N651" i="18" s="1"/>
  <c r="N521" i="18" s="1"/>
  <c r="N90" i="7941" s="1"/>
  <c r="N82" i="18"/>
  <c r="N634" i="18" s="1"/>
  <c r="N504" i="18" s="1"/>
  <c r="N73" i="7941" s="1"/>
  <c r="N36" i="7941"/>
  <c r="N108" i="18"/>
  <c r="N636" i="18" s="1"/>
  <c r="N506" i="18" s="1"/>
  <c r="N75" i="7941" s="1"/>
  <c r="N393" i="7944"/>
  <c r="N201" i="7941"/>
  <c r="N32" i="7941"/>
  <c r="N7" i="7941"/>
  <c r="N379" i="7944"/>
  <c r="N463" i="7944"/>
  <c r="O441" i="18"/>
  <c r="O669" i="18" s="1"/>
  <c r="N225" i="18"/>
  <c r="N645" i="18" s="1"/>
  <c r="N515" i="18" s="1"/>
  <c r="N84" i="7941" s="1"/>
  <c r="N13" i="7941"/>
  <c r="N264" i="18"/>
  <c r="N648" i="18" s="1"/>
  <c r="N518" i="18" s="1"/>
  <c r="N87" i="7941" s="1"/>
  <c r="N212" i="7941"/>
  <c r="N160" i="18"/>
  <c r="N640" i="18" s="1"/>
  <c r="N510" i="18" s="1"/>
  <c r="N79" i="7941" s="1"/>
  <c r="O14" i="7944"/>
  <c r="N21" i="7941"/>
  <c r="O461" i="18"/>
  <c r="O689" i="18" s="1"/>
  <c r="O440" i="18"/>
  <c r="O668" i="18" s="1"/>
  <c r="O20" i="7944"/>
  <c r="O21" i="7944"/>
  <c r="O466" i="18"/>
  <c r="O694" i="18" s="1"/>
  <c r="N173" i="18"/>
  <c r="N641" i="18" s="1"/>
  <c r="N511" i="18" s="1"/>
  <c r="N80" i="7941" s="1"/>
  <c r="N225" i="7941"/>
  <c r="N281" i="7944"/>
  <c r="N227" i="7941"/>
  <c r="N238" i="18"/>
  <c r="N646" i="18" s="1"/>
  <c r="N516" i="18" s="1"/>
  <c r="N85" i="7941" s="1"/>
  <c r="O457" i="18"/>
  <c r="O685" i="18" s="1"/>
  <c r="O458" i="18"/>
  <c r="O686" i="18" s="1"/>
  <c r="N222" i="7941"/>
  <c r="O467" i="18"/>
  <c r="O695" i="18" s="1"/>
  <c r="O26" i="7944"/>
  <c r="O35" i="7944"/>
  <c r="O37" i="7944"/>
  <c r="N381" i="18"/>
  <c r="N657" i="18" s="1"/>
  <c r="N527" i="18" s="1"/>
  <c r="N96" i="7941" s="1"/>
  <c r="N26" i="7941"/>
  <c r="O12" i="7944"/>
  <c r="N9" i="7941"/>
  <c r="N226" i="7941"/>
  <c r="O24" i="7944"/>
  <c r="N215" i="7941"/>
  <c r="O456" i="18"/>
  <c r="O684" i="18" s="1"/>
  <c r="N24" i="7941"/>
  <c r="O450" i="18"/>
  <c r="O678" i="18" s="1"/>
  <c r="N220" i="7941"/>
  <c r="N218" i="7941"/>
  <c r="O451" i="18"/>
  <c r="O679" i="18" s="1"/>
  <c r="N213" i="7941"/>
  <c r="N204" i="7941"/>
  <c r="N211" i="7944"/>
  <c r="O25" i="7944"/>
  <c r="N224" i="7941"/>
  <c r="O452" i="18"/>
  <c r="O680" i="18" s="1"/>
  <c r="O444" i="18"/>
  <c r="O672" i="18" s="1"/>
  <c r="N355" i="18"/>
  <c r="N655" i="18" s="1"/>
  <c r="N525" i="18" s="1"/>
  <c r="N94" i="7941" s="1"/>
  <c r="N316" i="18"/>
  <c r="N652" i="18" s="1"/>
  <c r="N522" i="18" s="1"/>
  <c r="N91" i="7941" s="1"/>
  <c r="N368" i="18"/>
  <c r="N656" i="18" s="1"/>
  <c r="N526" i="18" s="1"/>
  <c r="N95" i="7941" s="1"/>
  <c r="N202" i="7941"/>
  <c r="O17" i="7944"/>
  <c r="O463" i="18"/>
  <c r="O691" i="18" s="1"/>
  <c r="N491" i="7944"/>
  <c r="N20" i="7941"/>
  <c r="N251" i="18"/>
  <c r="N647" i="18" s="1"/>
  <c r="N517" i="18" s="1"/>
  <c r="N86" i="7941" s="1"/>
  <c r="N433" i="18"/>
  <c r="N661" i="18" s="1"/>
  <c r="N531" i="18" s="1"/>
  <c r="N100" i="7941" s="1"/>
  <c r="N56" i="18"/>
  <c r="N30" i="7941"/>
  <c r="N295" i="7944"/>
  <c r="N342" i="18"/>
  <c r="N654" i="18" s="1"/>
  <c r="N524" i="18" s="1"/>
  <c r="N93" i="7941" s="1"/>
  <c r="N217" i="7941"/>
  <c r="O454" i="18"/>
  <c r="O682" i="18" s="1"/>
  <c r="M198" i="7941"/>
  <c r="L267" i="7941" s="1"/>
  <c r="E227" i="7955"/>
  <c r="F227" i="7955" s="1"/>
  <c r="O484" i="18"/>
  <c r="O53" i="7941" s="1"/>
  <c r="O471" i="18"/>
  <c r="O40" i="7941" s="1"/>
  <c r="E32" i="7955"/>
  <c r="F32" i="7955" s="1"/>
  <c r="E407" i="7955"/>
  <c r="F407" i="7955" s="1"/>
  <c r="O496" i="18"/>
  <c r="O65" i="7941" s="1"/>
  <c r="E362" i="7955"/>
  <c r="F362" i="7955" s="1"/>
  <c r="O493" i="18"/>
  <c r="O62" i="7941" s="1"/>
  <c r="O474" i="18"/>
  <c r="O43" i="7941" s="1"/>
  <c r="E77" i="7955"/>
  <c r="E392" i="7955"/>
  <c r="F392" i="7955" s="1"/>
  <c r="O495" i="18"/>
  <c r="O64" i="7941" s="1"/>
  <c r="P166" i="1"/>
  <c r="P35" i="18" s="1"/>
  <c r="P158" i="1"/>
  <c r="P27" i="18" s="1"/>
  <c r="P169" i="1"/>
  <c r="P38" i="18" s="1"/>
  <c r="P155" i="1"/>
  <c r="P24" i="18" s="1"/>
  <c r="P165" i="1"/>
  <c r="P34" i="18" s="1"/>
  <c r="P148" i="1"/>
  <c r="P17" i="18" s="1"/>
  <c r="P167" i="1"/>
  <c r="P36" i="18" s="1"/>
  <c r="P170" i="1"/>
  <c r="P39" i="18" s="1"/>
  <c r="P159" i="1"/>
  <c r="P28" i="18" s="1"/>
  <c r="P162" i="1"/>
  <c r="P31" i="18" s="1"/>
  <c r="P146" i="1"/>
  <c r="P15" i="18" s="1"/>
  <c r="P160" i="1"/>
  <c r="P29" i="18" s="1"/>
  <c r="P163" i="1"/>
  <c r="P32" i="18" s="1"/>
  <c r="P7" i="18"/>
  <c r="P161" i="1"/>
  <c r="P30" i="18" s="1"/>
  <c r="P172" i="1"/>
  <c r="P41" i="18" s="1"/>
  <c r="P153" i="1"/>
  <c r="P22" i="18" s="1"/>
  <c r="P147" i="1"/>
  <c r="P16" i="18" s="1"/>
  <c r="P154" i="1"/>
  <c r="P23" i="18" s="1"/>
  <c r="P143" i="1"/>
  <c r="P144" i="1"/>
  <c r="P13" i="18" s="1"/>
  <c r="P149" i="1"/>
  <c r="P18" i="18" s="1"/>
  <c r="P151" i="1"/>
  <c r="P20" i="18" s="1"/>
  <c r="P152" i="1"/>
  <c r="P21" i="18" s="1"/>
  <c r="P157" i="1"/>
  <c r="P26" i="18" s="1"/>
  <c r="P156" i="1"/>
  <c r="P25" i="18" s="1"/>
  <c r="P171" i="1"/>
  <c r="P40" i="18" s="1"/>
  <c r="P145" i="1"/>
  <c r="P14" i="18" s="1"/>
  <c r="P168" i="1"/>
  <c r="P37" i="18" s="1"/>
  <c r="P164" i="1"/>
  <c r="P33" i="18" s="1"/>
  <c r="P150" i="1"/>
  <c r="P19" i="18" s="1"/>
  <c r="E16" i="7955"/>
  <c r="F16" i="7955" s="1"/>
  <c r="N470" i="18"/>
  <c r="N11" i="18"/>
  <c r="M632" i="18"/>
  <c r="M631" i="18" s="1"/>
  <c r="O486" i="18"/>
  <c r="O55" i="7941" s="1"/>
  <c r="E257" i="7955"/>
  <c r="F257" i="7955" s="1"/>
  <c r="E452" i="7955"/>
  <c r="F452" i="7955" s="1"/>
  <c r="O499" i="18"/>
  <c r="O68" i="7941" s="1"/>
  <c r="E272" i="7955"/>
  <c r="F272" i="7955" s="1"/>
  <c r="O487" i="18"/>
  <c r="O56" i="7941" s="1"/>
  <c r="E332" i="7955"/>
  <c r="F332" i="7955" s="1"/>
  <c r="O491" i="18"/>
  <c r="O60" i="7941" s="1"/>
  <c r="O478" i="18"/>
  <c r="O47" i="7941" s="1"/>
  <c r="E137" i="7955"/>
  <c r="F137" i="7955" s="1"/>
  <c r="O498" i="18"/>
  <c r="O67" i="7941" s="1"/>
  <c r="E437" i="7955"/>
  <c r="F437" i="7955" s="1"/>
  <c r="O476" i="18"/>
  <c r="O45" i="7941" s="1"/>
  <c r="E107" i="7955"/>
  <c r="F107" i="7955" s="1"/>
  <c r="O488" i="18"/>
  <c r="O57" i="7941" s="1"/>
  <c r="E287" i="7955"/>
  <c r="F287" i="7955" s="1"/>
  <c r="M71" i="7944"/>
  <c r="N7" i="7944"/>
  <c r="N437" i="18"/>
  <c r="N666" i="18"/>
  <c r="N665" i="18" s="1"/>
  <c r="O477" i="18"/>
  <c r="O46" i="7941" s="1"/>
  <c r="E122" i="7955"/>
  <c r="F122" i="7955" s="1"/>
  <c r="O485" i="18"/>
  <c r="O54" i="7941" s="1"/>
  <c r="E242" i="7955"/>
  <c r="F242" i="7955" s="1"/>
  <c r="E152" i="7955"/>
  <c r="F152" i="7955" s="1"/>
  <c r="O479" i="18"/>
  <c r="O48" i="7941" s="1"/>
  <c r="O483" i="18"/>
  <c r="O52" i="7941" s="1"/>
  <c r="E212" i="7955"/>
  <c r="F212" i="7955" s="1"/>
  <c r="E377" i="7955"/>
  <c r="F377" i="7955" s="1"/>
  <c r="O494" i="18"/>
  <c r="O63" i="7941" s="1"/>
  <c r="E182" i="7955"/>
  <c r="F182" i="7955" s="1"/>
  <c r="O481" i="18"/>
  <c r="O50" i="7941" s="1"/>
  <c r="O473" i="18"/>
  <c r="O42" i="7941" s="1"/>
  <c r="E62" i="7955"/>
  <c r="F62" i="7955" s="1"/>
  <c r="E167" i="7955"/>
  <c r="F167" i="7955" s="1"/>
  <c r="O480" i="18"/>
  <c r="O49" i="7941" s="1"/>
  <c r="N277" i="7942"/>
  <c r="M278" i="7942" s="1"/>
  <c r="O327" i="7942"/>
  <c r="N328" i="7942" s="1"/>
  <c r="N134" i="7942"/>
  <c r="M135" i="7942" s="1"/>
  <c r="O124" i="7942"/>
  <c r="N125" i="7942" s="1"/>
  <c r="N291" i="7942"/>
  <c r="M292" i="7942" s="1"/>
  <c r="M306" i="7942"/>
  <c r="O305" i="7942"/>
  <c r="M285" i="7942"/>
  <c r="N285" i="7942" s="1"/>
  <c r="M286" i="7942" s="1"/>
  <c r="K205" i="7941"/>
  <c r="L13" i="7941"/>
  <c r="J690" i="18"/>
  <c r="J526" i="18" s="1"/>
  <c r="J95" i="7941" s="1"/>
  <c r="J223" i="7941" s="1"/>
  <c r="K24" i="7941"/>
  <c r="N152" i="7942"/>
  <c r="K35" i="7941"/>
  <c r="K466" i="18"/>
  <c r="K694" i="18" s="1"/>
  <c r="K530" i="18" s="1"/>
  <c r="J86" i="7941"/>
  <c r="K22" i="7941" s="1"/>
  <c r="K453" i="18"/>
  <c r="K681" i="18" s="1"/>
  <c r="K517" i="18" s="1"/>
  <c r="K86" i="7941" s="1"/>
  <c r="J222" i="7941"/>
  <c r="K455" i="18"/>
  <c r="K683" i="18" s="1"/>
  <c r="K519" i="18" s="1"/>
  <c r="K88" i="7941" s="1"/>
  <c r="O164" i="7942"/>
  <c r="N165" i="7942" s="1"/>
  <c r="K452" i="18"/>
  <c r="K680" i="18" s="1"/>
  <c r="K516" i="18" s="1"/>
  <c r="K85" i="7941" s="1"/>
  <c r="L21" i="7941" s="1"/>
  <c r="K449" i="18"/>
  <c r="K677" i="18" s="1"/>
  <c r="K513" i="18" s="1"/>
  <c r="K82" i="7941" s="1"/>
  <c r="L143" i="7942"/>
  <c r="N142" i="7942"/>
  <c r="N126" i="7942"/>
  <c r="M127" i="7942" s="1"/>
  <c r="K450" i="18"/>
  <c r="K678" i="18" s="1"/>
  <c r="K514" i="18" s="1"/>
  <c r="K83" i="7941" s="1"/>
  <c r="K35" i="7955"/>
  <c r="K460" i="18"/>
  <c r="K688" i="18" s="1"/>
  <c r="K524" i="18" s="1"/>
  <c r="K93" i="7941" s="1"/>
  <c r="J464" i="18"/>
  <c r="J692" i="18" s="1"/>
  <c r="J528" i="18" s="1"/>
  <c r="J97" i="7941" s="1"/>
  <c r="N109" i="7942"/>
  <c r="M326" i="7942"/>
  <c r="L111" i="7942"/>
  <c r="M111" i="7942"/>
  <c r="K18" i="7941"/>
  <c r="J210" i="7941"/>
  <c r="K158" i="7955"/>
  <c r="J170" i="7955"/>
  <c r="K170" i="7955" s="1"/>
  <c r="K308" i="7955"/>
  <c r="J320" i="7955"/>
  <c r="K320" i="7955" s="1"/>
  <c r="L11" i="7941"/>
  <c r="K203" i="7941"/>
  <c r="J185" i="7955"/>
  <c r="K185" i="7955" s="1"/>
  <c r="K173" i="7955"/>
  <c r="M324" i="7942"/>
  <c r="O323" i="7942"/>
  <c r="N324" i="7942" s="1"/>
  <c r="K413" i="7955"/>
  <c r="J425" i="7955"/>
  <c r="K425" i="7955" s="1"/>
  <c r="L159" i="7942"/>
  <c r="N158" i="7942"/>
  <c r="M159" i="7942" s="1"/>
  <c r="Q3" i="18"/>
  <c r="P241" i="18"/>
  <c r="P242" i="18"/>
  <c r="P424" i="18"/>
  <c r="P200" i="18"/>
  <c r="P187" i="18"/>
  <c r="P306" i="18"/>
  <c r="P161" i="18"/>
  <c r="P215" i="18"/>
  <c r="P281" i="18"/>
  <c r="P216" i="18"/>
  <c r="P423" i="18"/>
  <c r="P294" i="18"/>
  <c r="P213" i="18"/>
  <c r="P397" i="18"/>
  <c r="P137" i="18"/>
  <c r="P356" i="18"/>
  <c r="P382" i="18"/>
  <c r="P163" i="18"/>
  <c r="P254" i="18"/>
  <c r="P358" i="18"/>
  <c r="P293" i="18"/>
  <c r="P319" i="18"/>
  <c r="P320" i="18"/>
  <c r="P348" i="18"/>
  <c r="P165" i="18"/>
  <c r="P295" i="18"/>
  <c r="P333" i="18"/>
  <c r="P322" i="18"/>
  <c r="P412" i="18"/>
  <c r="P332" i="18"/>
  <c r="P372" i="18"/>
  <c r="P323" i="18"/>
  <c r="P141" i="18"/>
  <c r="P427" i="18"/>
  <c r="P267" i="18"/>
  <c r="P153" i="18"/>
  <c r="P400" i="18"/>
  <c r="P179" i="18"/>
  <c r="P413" i="18"/>
  <c r="P203" i="18"/>
  <c r="P321" i="18"/>
  <c r="P77" i="18"/>
  <c r="P246" i="18"/>
  <c r="P255" i="18"/>
  <c r="P373" i="18"/>
  <c r="P428" i="18"/>
  <c r="P116" i="18"/>
  <c r="P415" i="18"/>
  <c r="P307" i="18"/>
  <c r="P166" i="18"/>
  <c r="P230" i="18"/>
  <c r="P239" i="18"/>
  <c r="P363" i="18"/>
  <c r="P52" i="18"/>
  <c r="P195" i="18"/>
  <c r="P247" i="18"/>
  <c r="P182" i="18"/>
  <c r="P231" i="18"/>
  <c r="P193" i="18"/>
  <c r="P257" i="18"/>
  <c r="P143" i="18"/>
  <c r="P156" i="18"/>
  <c r="P205" i="18"/>
  <c r="P259" i="18"/>
  <c r="P280" i="18"/>
  <c r="P228" i="18"/>
  <c r="P360" i="18"/>
  <c r="P296" i="18"/>
  <c r="P374" i="18"/>
  <c r="P361" i="18"/>
  <c r="P135" i="18"/>
  <c r="P308" i="18"/>
  <c r="P334" i="18"/>
  <c r="P191" i="18"/>
  <c r="P399" i="18"/>
  <c r="P233" i="18"/>
  <c r="P402" i="18"/>
  <c r="P324" i="18"/>
  <c r="P376" i="18"/>
  <c r="P90" i="18"/>
  <c r="P256" i="18"/>
  <c r="P177" i="18"/>
  <c r="P140" i="18"/>
  <c r="P411" i="18"/>
  <c r="P180" i="18"/>
  <c r="P244" i="18"/>
  <c r="P164" i="18"/>
  <c r="P152" i="18"/>
  <c r="P169" i="18"/>
  <c r="P221" i="18"/>
  <c r="P104" i="18"/>
  <c r="P260" i="18"/>
  <c r="P347" i="18"/>
  <c r="P359" i="18"/>
  <c r="P410" i="18"/>
  <c r="P202" i="18"/>
  <c r="P387" i="18"/>
  <c r="P176" i="18"/>
  <c r="P51" i="18"/>
  <c r="P389" i="18"/>
  <c r="P345" i="18"/>
  <c r="P371" i="18"/>
  <c r="P385" i="18"/>
  <c r="P154" i="18"/>
  <c r="P298" i="18"/>
  <c r="P206" i="18"/>
  <c r="P269" i="18"/>
  <c r="P388" i="18"/>
  <c r="P219" i="18"/>
  <c r="P189" i="18"/>
  <c r="P139" i="18"/>
  <c r="P369" i="18"/>
  <c r="P207" i="18"/>
  <c r="P142" i="18"/>
  <c r="P349" i="18"/>
  <c r="P309" i="18"/>
  <c r="P150" i="18"/>
  <c r="P268" i="18"/>
  <c r="P272" i="18"/>
  <c r="P64" i="18"/>
  <c r="P398" i="18"/>
  <c r="P271" i="18"/>
  <c r="P192" i="18"/>
  <c r="P204" i="18"/>
  <c r="P310" i="18"/>
  <c r="P386" i="18"/>
  <c r="P317" i="18"/>
  <c r="P91" i="18"/>
  <c r="P425" i="18"/>
  <c r="P232" i="18"/>
  <c r="P155" i="18"/>
  <c r="P78" i="18"/>
  <c r="P208" i="18"/>
  <c r="P220" i="18"/>
  <c r="P190" i="18"/>
  <c r="P144" i="18"/>
  <c r="P209" i="18"/>
  <c r="P429" i="18"/>
  <c r="P390" i="18"/>
  <c r="P426" i="18"/>
  <c r="P103" i="18"/>
  <c r="P181" i="18"/>
  <c r="P284" i="18"/>
  <c r="P335" i="18"/>
  <c r="P229" i="18"/>
  <c r="P245" i="18"/>
  <c r="P408" i="18"/>
  <c r="P258" i="18"/>
  <c r="P286" i="18"/>
  <c r="P325" i="18"/>
  <c r="P312" i="18"/>
  <c r="P416" i="18"/>
  <c r="P157" i="18"/>
  <c r="P243" i="18"/>
  <c r="P346" i="18"/>
  <c r="P270" i="18"/>
  <c r="P343" i="18"/>
  <c r="P168" i="18"/>
  <c r="P218" i="18"/>
  <c r="P194" i="18"/>
  <c r="P178" i="18"/>
  <c r="P217" i="18"/>
  <c r="P336" i="18"/>
  <c r="P417" i="18"/>
  <c r="P391" i="18"/>
  <c r="P285" i="18"/>
  <c r="P118" i="18"/>
  <c r="P352" i="18"/>
  <c r="P364" i="18"/>
  <c r="P378" i="18"/>
  <c r="P235" i="18"/>
  <c r="P105" i="18"/>
  <c r="P53" i="18"/>
  <c r="P79" i="18"/>
  <c r="P151" i="18"/>
  <c r="P283" i="18"/>
  <c r="P384" i="18"/>
  <c r="P282" i="18"/>
  <c r="P313" i="18"/>
  <c r="P222" i="18"/>
  <c r="P92" i="18"/>
  <c r="P339" i="18"/>
  <c r="P375" i="18"/>
  <c r="P66" i="18"/>
  <c r="P300" i="18"/>
  <c r="P404" i="18"/>
  <c r="P65" i="18"/>
  <c r="P117" i="18"/>
  <c r="P311" i="18"/>
  <c r="P430" i="18"/>
  <c r="P287" i="18"/>
  <c r="P414" i="18"/>
  <c r="P170" i="18"/>
  <c r="P261" i="18"/>
  <c r="P299" i="18"/>
  <c r="P234" i="18"/>
  <c r="P337" i="18"/>
  <c r="P326" i="18"/>
  <c r="P365" i="18"/>
  <c r="P377" i="18"/>
  <c r="P248" i="18"/>
  <c r="P403" i="18"/>
  <c r="P167" i="18"/>
  <c r="P196" i="18"/>
  <c r="P338" i="18"/>
  <c r="P351" i="18"/>
  <c r="P183" i="18"/>
  <c r="P273" i="18"/>
  <c r="P350" i="18"/>
  <c r="P138" i="18"/>
  <c r="P362" i="18"/>
  <c r="P274" i="18"/>
  <c r="P297" i="18"/>
  <c r="P401" i="18"/>
  <c r="I6" i="7941"/>
  <c r="M315" i="7942"/>
  <c r="L316" i="7942" s="1"/>
  <c r="K671" i="18"/>
  <c r="K507" i="18" s="1"/>
  <c r="K76" i="7941" s="1"/>
  <c r="K38" i="7955"/>
  <c r="J50" i="7955"/>
  <c r="N229" i="7944"/>
  <c r="N296" i="7944"/>
  <c r="N371" i="7944"/>
  <c r="N121" i="7944"/>
  <c r="N240" i="7944"/>
  <c r="N107" i="7944"/>
  <c r="N485" i="7944"/>
  <c r="N357" i="7944"/>
  <c r="N176" i="7944"/>
  <c r="N203" i="7944"/>
  <c r="N457" i="7944"/>
  <c r="N117" i="7944"/>
  <c r="N248" i="7944"/>
  <c r="N175" i="7944"/>
  <c r="N243" i="7944"/>
  <c r="N104" i="7944"/>
  <c r="N150" i="7944"/>
  <c r="N289" i="7944"/>
  <c r="N259" i="7944"/>
  <c r="N372" i="7944"/>
  <c r="N108" i="7944"/>
  <c r="N318" i="7944"/>
  <c r="N271" i="7944"/>
  <c r="N217" i="7944"/>
  <c r="N298" i="7944"/>
  <c r="N299" i="7944"/>
  <c r="N216" i="7944"/>
  <c r="N198" i="7944"/>
  <c r="N218" i="7944"/>
  <c r="N359" i="7944"/>
  <c r="N414" i="7944"/>
  <c r="N380" i="7944"/>
  <c r="N178" i="7944"/>
  <c r="N312" i="7944"/>
  <c r="N136" i="7944"/>
  <c r="N233" i="7944"/>
  <c r="N94" i="7944"/>
  <c r="N114" i="7944"/>
  <c r="N226" i="7944"/>
  <c r="N410" i="7944"/>
  <c r="N242" i="7944"/>
  <c r="N187" i="7944"/>
  <c r="N425" i="7944"/>
  <c r="N408" i="7944"/>
  <c r="N467" i="7944"/>
  <c r="N356" i="7944"/>
  <c r="N134" i="7944"/>
  <c r="N78" i="7944"/>
  <c r="N384" i="7944"/>
  <c r="N428" i="7944"/>
  <c r="N284" i="7944"/>
  <c r="N424" i="7944"/>
  <c r="N468" i="7944"/>
  <c r="N429" i="7944"/>
  <c r="N142" i="7944"/>
  <c r="N102" i="7944"/>
  <c r="N80" i="7944"/>
  <c r="N254" i="7944"/>
  <c r="N268" i="7944"/>
  <c r="N184" i="7944"/>
  <c r="N310" i="7944"/>
  <c r="N205" i="7944"/>
  <c r="N484" i="7944"/>
  <c r="N74" i="7944"/>
  <c r="N158" i="7944"/>
  <c r="N373" i="7944"/>
  <c r="N262" i="7944"/>
  <c r="N458" i="7944"/>
  <c r="N466" i="7944"/>
  <c r="N261" i="7944"/>
  <c r="N343" i="7944"/>
  <c r="O3" i="7944"/>
  <c r="N149" i="7944"/>
  <c r="N471" i="7944"/>
  <c r="N188" i="7944"/>
  <c r="N275" i="7944"/>
  <c r="N75" i="7944"/>
  <c r="N234" i="7944"/>
  <c r="N430" i="7944"/>
  <c r="N402" i="7944"/>
  <c r="N214" i="7944"/>
  <c r="N146" i="7944"/>
  <c r="N388" i="7944"/>
  <c r="N204" i="7944"/>
  <c r="N483" i="7944"/>
  <c r="N156" i="7944"/>
  <c r="N329" i="7944"/>
  <c r="N464" i="7944"/>
  <c r="N366" i="7944"/>
  <c r="N441" i="7944"/>
  <c r="N132" i="7944"/>
  <c r="N455" i="7944"/>
  <c r="N273" i="7944"/>
  <c r="N245" i="7944"/>
  <c r="N116" i="7944"/>
  <c r="N288" i="7944"/>
  <c r="N161" i="7944"/>
  <c r="N470" i="7944"/>
  <c r="N328" i="7944"/>
  <c r="N399" i="7944"/>
  <c r="N450" i="7944"/>
  <c r="N174" i="7944"/>
  <c r="N438" i="7944"/>
  <c r="N340" i="7944"/>
  <c r="N191" i="7944"/>
  <c r="N230" i="7944"/>
  <c r="N416" i="7944"/>
  <c r="N219" i="7944"/>
  <c r="N122" i="7944"/>
  <c r="N383" i="7944"/>
  <c r="N256" i="7944"/>
  <c r="N478" i="7944"/>
  <c r="N397" i="7944"/>
  <c r="N456" i="7944"/>
  <c r="N444" i="7944"/>
  <c r="N148" i="7944"/>
  <c r="N144" i="7944"/>
  <c r="N382" i="7944"/>
  <c r="N369" i="7944"/>
  <c r="N270" i="7944"/>
  <c r="N170" i="7944"/>
  <c r="N302" i="7944"/>
  <c r="N276" i="7944"/>
  <c r="N147" i="7944"/>
  <c r="N247" i="7944"/>
  <c r="N315" i="7944"/>
  <c r="N119" i="7944"/>
  <c r="N426" i="7944"/>
  <c r="N88" i="7944"/>
  <c r="N370" i="7944"/>
  <c r="N398" i="7944"/>
  <c r="N290" i="7944"/>
  <c r="N324" i="7944"/>
  <c r="N454" i="7944"/>
  <c r="N436" i="7944"/>
  <c r="N427" i="7944"/>
  <c r="N100" i="7944"/>
  <c r="N90" i="7944"/>
  <c r="N287" i="7944"/>
  <c r="N486" i="7944"/>
  <c r="N352" i="7944"/>
  <c r="N314" i="7944"/>
  <c r="N173" i="7944"/>
  <c r="N202" i="7944"/>
  <c r="N346" i="7944"/>
  <c r="N452" i="7944"/>
  <c r="N354" i="7944"/>
  <c r="N440" i="7944"/>
  <c r="N258" i="7944"/>
  <c r="N358" i="7944"/>
  <c r="N215" i="7944"/>
  <c r="N443" i="7944"/>
  <c r="N303" i="7944"/>
  <c r="N206" i="7944"/>
  <c r="N331" i="7944"/>
  <c r="N482" i="7944"/>
  <c r="N159" i="7944"/>
  <c r="N257" i="7944"/>
  <c r="N118" i="7944"/>
  <c r="N330" i="7944"/>
  <c r="N106" i="7944"/>
  <c r="N190" i="7944"/>
  <c r="N469" i="7944"/>
  <c r="N342" i="7944"/>
  <c r="N422" i="7944"/>
  <c r="N317" i="7944"/>
  <c r="N162" i="7944"/>
  <c r="N92" i="7944"/>
  <c r="N128" i="7944"/>
  <c r="N344" i="7944"/>
  <c r="N394" i="7944"/>
  <c r="N453" i="7944"/>
  <c r="N313" i="7944"/>
  <c r="N401" i="7944"/>
  <c r="N200" i="7944"/>
  <c r="N186" i="7944"/>
  <c r="N327" i="7944"/>
  <c r="N105" i="7944"/>
  <c r="N415" i="7944"/>
  <c r="N412" i="7944"/>
  <c r="N300" i="7944"/>
  <c r="N103" i="7944"/>
  <c r="N260" i="7944"/>
  <c r="N177" i="7944"/>
  <c r="N130" i="7944"/>
  <c r="N91" i="7944"/>
  <c r="N304" i="7944"/>
  <c r="N386" i="7944"/>
  <c r="N135" i="7944"/>
  <c r="N345" i="7944"/>
  <c r="N120" i="7944"/>
  <c r="N368" i="7944"/>
  <c r="N201" i="7944"/>
  <c r="N285" i="7944"/>
  <c r="N77" i="7944"/>
  <c r="N232" i="7944"/>
  <c r="N301" i="7944"/>
  <c r="N220" i="7944"/>
  <c r="N192" i="7944"/>
  <c r="N286" i="7944"/>
  <c r="N396" i="7944"/>
  <c r="N439" i="7944"/>
  <c r="N145" i="7944"/>
  <c r="N272" i="7944"/>
  <c r="N332" i="7944"/>
  <c r="N228" i="7944"/>
  <c r="N163" i="7944"/>
  <c r="N385" i="7944"/>
  <c r="N360" i="7944"/>
  <c r="N341" i="7944"/>
  <c r="N274" i="7944"/>
  <c r="N89" i="7944"/>
  <c r="N189" i="7944"/>
  <c r="N442" i="7944"/>
  <c r="N86" i="7944"/>
  <c r="N472" i="7944"/>
  <c r="N76" i="7944"/>
  <c r="N244" i="7944"/>
  <c r="N160" i="7944"/>
  <c r="N387" i="7944"/>
  <c r="N326" i="7944"/>
  <c r="N231" i="7944"/>
  <c r="N400" i="7944"/>
  <c r="N480" i="7944"/>
  <c r="N481" i="7944"/>
  <c r="N355" i="7944"/>
  <c r="N172" i="7944"/>
  <c r="N282" i="7944"/>
  <c r="N131" i="7944"/>
  <c r="N93" i="7944"/>
  <c r="N164" i="7944"/>
  <c r="N212" i="7944"/>
  <c r="N133" i="7944"/>
  <c r="N72" i="7944"/>
  <c r="N316" i="7944"/>
  <c r="N338" i="7944"/>
  <c r="N374" i="7944"/>
  <c r="N246" i="7944"/>
  <c r="N413" i="7944"/>
  <c r="N411" i="7944"/>
  <c r="L149" i="7942"/>
  <c r="M145" i="7942"/>
  <c r="O144" i="7942"/>
  <c r="F248" i="7955"/>
  <c r="L407" i="18"/>
  <c r="L659" i="18" s="1"/>
  <c r="T659" i="18" s="1"/>
  <c r="J25" i="7941"/>
  <c r="I217" i="7941"/>
  <c r="O136" i="7942"/>
  <c r="N137" i="7942" s="1"/>
  <c r="O154" i="7942"/>
  <c r="T651" i="18"/>
  <c r="K110" i="7955"/>
  <c r="O311" i="7942"/>
  <c r="K128" i="7955"/>
  <c r="J140" i="7955"/>
  <c r="K140" i="7955" s="1"/>
  <c r="L463" i="18"/>
  <c r="H198" i="7941"/>
  <c r="K188" i="7955"/>
  <c r="J200" i="7955"/>
  <c r="K200" i="7955" s="1"/>
  <c r="K631" i="18"/>
  <c r="O279" i="7942"/>
  <c r="J335" i="7955"/>
  <c r="K335" i="7955" s="1"/>
  <c r="K323" i="7955"/>
  <c r="J275" i="7955"/>
  <c r="K275" i="7955" s="1"/>
  <c r="K263" i="7955"/>
  <c r="K353" i="7955"/>
  <c r="J365" i="7955"/>
  <c r="K365" i="7955" s="1"/>
  <c r="J675" i="18"/>
  <c r="J511" i="18" s="1"/>
  <c r="J80" i="7941" s="1"/>
  <c r="K16" i="7941" s="1"/>
  <c r="L160" i="18"/>
  <c r="M148" i="18"/>
  <c r="N148" i="18" s="1"/>
  <c r="E128" i="7955"/>
  <c r="T639" i="18"/>
  <c r="L131" i="7942"/>
  <c r="N130" i="7942"/>
  <c r="K68" i="7955"/>
  <c r="J80" i="7955"/>
  <c r="K458" i="18"/>
  <c r="J211" i="7941"/>
  <c r="K19" i="7941"/>
  <c r="L268" i="7942"/>
  <c r="L139" i="7942"/>
  <c r="N138" i="7942"/>
  <c r="T652" i="18"/>
  <c r="L442" i="18"/>
  <c r="K461" i="18"/>
  <c r="L71" i="7944"/>
  <c r="K293" i="7955"/>
  <c r="J305" i="7955"/>
  <c r="K305" i="7955" s="1"/>
  <c r="L444" i="18"/>
  <c r="M289" i="7942"/>
  <c r="K451" i="18"/>
  <c r="J695" i="18"/>
  <c r="J531" i="18" s="1"/>
  <c r="J100" i="7941" s="1"/>
  <c r="J685" i="18"/>
  <c r="J521" i="18" s="1"/>
  <c r="J90" i="7941" s="1"/>
  <c r="K26" i="7941" s="1"/>
  <c r="T648" i="18"/>
  <c r="J14" i="7941"/>
  <c r="I206" i="7941"/>
  <c r="M395" i="18"/>
  <c r="N395" i="18" s="1"/>
  <c r="J34" i="7941"/>
  <c r="I226" i="7941"/>
  <c r="K8" i="7941"/>
  <c r="J200" i="7941"/>
  <c r="J445" i="18"/>
  <c r="J380" i="7955"/>
  <c r="K380" i="7955" s="1"/>
  <c r="K368" i="7955"/>
  <c r="K338" i="7955"/>
  <c r="J350" i="7955"/>
  <c r="K350" i="7955" s="1"/>
  <c r="M109" i="7942"/>
  <c r="F218" i="7955"/>
  <c r="N122" i="7942"/>
  <c r="K143" i="7955"/>
  <c r="J155" i="7955"/>
  <c r="K155" i="7955" s="1"/>
  <c r="K20" i="7941"/>
  <c r="J212" i="7941"/>
  <c r="N4" i="7944"/>
  <c r="N74" i="1"/>
  <c r="N108" i="1" s="1"/>
  <c r="N176" i="1"/>
  <c r="N4" i="7941"/>
  <c r="N142" i="1"/>
  <c r="N4" i="18"/>
  <c r="N4" i="7942"/>
  <c r="J65" i="7955"/>
  <c r="K53" i="7955"/>
  <c r="I228" i="7941"/>
  <c r="J36" i="7941"/>
  <c r="J219" i="7941"/>
  <c r="K27" i="7941"/>
  <c r="J684" i="18"/>
  <c r="J520" i="18" s="1"/>
  <c r="J89" i="7941" s="1"/>
  <c r="I665" i="18"/>
  <c r="I502" i="18"/>
  <c r="O132" i="7942"/>
  <c r="J669" i="18"/>
  <c r="J505" i="18" s="1"/>
  <c r="J74" i="7941" s="1"/>
  <c r="K10" i="7941" s="1"/>
  <c r="M321" i="7942"/>
  <c r="J682" i="18"/>
  <c r="J518" i="18" s="1"/>
  <c r="J87" i="7941" s="1"/>
  <c r="K23" i="7941" s="1"/>
  <c r="T646" i="18"/>
  <c r="K687" i="18"/>
  <c r="K523" i="18" s="1"/>
  <c r="K92" i="7941" s="1"/>
  <c r="L274" i="7942"/>
  <c r="N273" i="7942"/>
  <c r="K83" i="7955"/>
  <c r="J95" i="7955"/>
  <c r="M120" i="7942"/>
  <c r="L276" i="7942"/>
  <c r="N275" i="7942"/>
  <c r="M276" i="7942" s="1"/>
  <c r="I79" i="7941"/>
  <c r="J446" i="18"/>
  <c r="K113" i="7955"/>
  <c r="J125" i="7955"/>
  <c r="K125" i="7955" s="1"/>
  <c r="J676" i="18"/>
  <c r="J512" i="18" s="1"/>
  <c r="J81" i="7941" s="1"/>
  <c r="N162" i="7942"/>
  <c r="M163" i="7942" s="1"/>
  <c r="I225" i="7941"/>
  <c r="J33" i="7941"/>
  <c r="T654" i="18"/>
  <c r="L326" i="7942"/>
  <c r="O325" i="7942"/>
  <c r="N326" i="7942" s="1"/>
  <c r="N283" i="7942"/>
  <c r="J204" i="7941"/>
  <c r="K12" i="7941"/>
  <c r="L7" i="7944"/>
  <c r="K218" i="7955"/>
  <c r="J230" i="7955"/>
  <c r="K230" i="7955" s="1"/>
  <c r="N295" i="7942"/>
  <c r="M296" i="7942" s="1"/>
  <c r="K8" i="7955"/>
  <c r="K443" i="7955"/>
  <c r="J455" i="7955"/>
  <c r="K455" i="7955" s="1"/>
  <c r="E413" i="7955"/>
  <c r="J693" i="18"/>
  <c r="J529" i="18" s="1"/>
  <c r="J98" i="7941" s="1"/>
  <c r="K667" i="18"/>
  <c r="K503" i="18" s="1"/>
  <c r="K72" i="7941" s="1"/>
  <c r="J440" i="7955"/>
  <c r="K440" i="7955" s="1"/>
  <c r="K428" i="7955"/>
  <c r="L9" i="7941" l="1"/>
  <c r="L440" i="18"/>
  <c r="L668" i="18" s="1"/>
  <c r="L504" i="18" s="1"/>
  <c r="L73" i="7941" s="1"/>
  <c r="O252" i="18"/>
  <c r="P252" i="18" s="1"/>
  <c r="F158" i="7955"/>
  <c r="P166" i="7942"/>
  <c r="O167" i="7942" s="1"/>
  <c r="P330" i="18"/>
  <c r="Q330" i="18" s="1"/>
  <c r="U367" i="7958"/>
  <c r="V364" i="7958" s="1"/>
  <c r="V342" i="7958"/>
  <c r="W339" i="7958" s="1"/>
  <c r="V792" i="7958"/>
  <c r="V803" i="7958" s="1"/>
  <c r="V366" i="7958"/>
  <c r="V741" i="7958" s="1"/>
  <c r="N174" i="18"/>
  <c r="O174" i="18" s="1"/>
  <c r="R496" i="7958"/>
  <c r="Q583" i="7958"/>
  <c r="Q772" i="7958"/>
  <c r="Q582" i="7958"/>
  <c r="Q743" i="7958" s="1"/>
  <c r="Q746" i="7958" s="1"/>
  <c r="Q794" i="7958" s="1"/>
  <c r="Q786" i="7958"/>
  <c r="Q797" i="7958" s="1"/>
  <c r="R629" i="7958"/>
  <c r="R765" i="7958"/>
  <c r="R711" i="7958"/>
  <c r="S615" i="7958"/>
  <c r="Q122" i="18"/>
  <c r="P307" i="7942"/>
  <c r="O308" i="7942" s="1"/>
  <c r="P299" i="7942"/>
  <c r="O300" i="7942" s="1"/>
  <c r="P140" i="7942"/>
  <c r="O141" i="7942" s="1"/>
  <c r="L43" i="18"/>
  <c r="P148" i="7942"/>
  <c r="Q148" i="7942" s="1"/>
  <c r="P150" i="7942"/>
  <c r="Q150" i="7942" s="1"/>
  <c r="F77" i="7955"/>
  <c r="P146" i="7942"/>
  <c r="O147" i="7942" s="1"/>
  <c r="P160" i="7942"/>
  <c r="Q160" i="7942" s="1"/>
  <c r="P313" i="7942"/>
  <c r="Q313" i="7942" s="1"/>
  <c r="N161" i="7942"/>
  <c r="P319" i="7942"/>
  <c r="O320" i="7942" s="1"/>
  <c r="P293" i="7942"/>
  <c r="Q293" i="7942" s="1"/>
  <c r="P156" i="7942"/>
  <c r="O157" i="7942" s="1"/>
  <c r="P301" i="7942"/>
  <c r="O302" i="7942" s="1"/>
  <c r="P128" i="7942"/>
  <c r="Q128" i="7942" s="1"/>
  <c r="N43" i="18"/>
  <c r="O115" i="7942"/>
  <c r="P269" i="7942"/>
  <c r="O270" i="7942" s="1"/>
  <c r="P317" i="7942"/>
  <c r="P281" i="7942"/>
  <c r="O282" i="7942" s="1"/>
  <c r="O277" i="7942"/>
  <c r="N278" i="7942" s="1"/>
  <c r="O421" i="18"/>
  <c r="P421" i="18" s="1"/>
  <c r="P309" i="7942"/>
  <c r="O310" i="7942" s="1"/>
  <c r="L32" i="7941"/>
  <c r="O291" i="7942"/>
  <c r="N292" i="7942" s="1"/>
  <c r="P323" i="7942"/>
  <c r="O324" i="7942" s="1"/>
  <c r="P287" i="7942"/>
  <c r="P271" i="7942"/>
  <c r="O134" i="7942"/>
  <c r="P134" i="7942" s="1"/>
  <c r="O135" i="7942" s="1"/>
  <c r="J214" i="7941"/>
  <c r="O297" i="7942"/>
  <c r="N298" i="7942" s="1"/>
  <c r="P124" i="7942"/>
  <c r="O125" i="7942" s="1"/>
  <c r="O126" i="7942"/>
  <c r="N127" i="7942" s="1"/>
  <c r="P164" i="7942"/>
  <c r="O165" i="7942" s="1"/>
  <c r="M268" i="7942"/>
  <c r="L329" i="7942" s="1"/>
  <c r="K29" i="7941"/>
  <c r="L29" i="7941" s="1"/>
  <c r="N320" i="7942"/>
  <c r="P303" i="7942"/>
  <c r="P327" i="7942"/>
  <c r="Q327" i="7942" s="1"/>
  <c r="O158" i="7942"/>
  <c r="N159" i="7942" s="1"/>
  <c r="L355" i="7941"/>
  <c r="L278" i="7941"/>
  <c r="L274" i="7941"/>
  <c r="L283" i="7941"/>
  <c r="L264" i="7941"/>
  <c r="L24" i="7941"/>
  <c r="L329" i="7941"/>
  <c r="L350" i="7941"/>
  <c r="L288" i="7941"/>
  <c r="L280" i="7941"/>
  <c r="L344" i="7941"/>
  <c r="L330" i="7941"/>
  <c r="K462" i="18"/>
  <c r="K690" i="18" s="1"/>
  <c r="K526" i="18" s="1"/>
  <c r="K95" i="7941" s="1"/>
  <c r="L340" i="7941"/>
  <c r="K31" i="7941"/>
  <c r="J208" i="7941"/>
  <c r="N39" i="7941"/>
  <c r="N38" i="7941" s="1"/>
  <c r="N469" i="18"/>
  <c r="P495" i="18"/>
  <c r="P64" i="7941" s="1"/>
  <c r="E393" i="7955"/>
  <c r="F393" i="7955" s="1"/>
  <c r="E228" i="7955"/>
  <c r="F228" i="7955" s="1"/>
  <c r="P484" i="18"/>
  <c r="P53" i="7941" s="1"/>
  <c r="E33" i="7955"/>
  <c r="F33" i="7955" s="1"/>
  <c r="P471" i="18"/>
  <c r="P40" i="7941" s="1"/>
  <c r="P480" i="18"/>
  <c r="P49" i="7941" s="1"/>
  <c r="E168" i="7955"/>
  <c r="F168" i="7955" s="1"/>
  <c r="E303" i="7955"/>
  <c r="F303" i="7955" s="1"/>
  <c r="P489" i="18"/>
  <c r="P58" i="7941" s="1"/>
  <c r="E93" i="7955"/>
  <c r="F93" i="7955" s="1"/>
  <c r="P475" i="18"/>
  <c r="P44" i="7941" s="1"/>
  <c r="P485" i="18"/>
  <c r="P54" i="7941" s="1"/>
  <c r="E243" i="7955"/>
  <c r="F243" i="7955" s="1"/>
  <c r="L356" i="7941"/>
  <c r="N198" i="7941"/>
  <c r="M272" i="7941" s="1"/>
  <c r="L351" i="7941"/>
  <c r="E48" i="7955"/>
  <c r="F48" i="7955" s="1"/>
  <c r="P472" i="18"/>
  <c r="P41" i="7941" s="1"/>
  <c r="E153" i="7955"/>
  <c r="F153" i="7955" s="1"/>
  <c r="P479" i="18"/>
  <c r="P48" i="7941" s="1"/>
  <c r="P12" i="18"/>
  <c r="P173" i="1"/>
  <c r="E453" i="7955"/>
  <c r="F453" i="7955" s="1"/>
  <c r="P499" i="18"/>
  <c r="P68" i="7941" s="1"/>
  <c r="E318" i="7955"/>
  <c r="F318" i="7955" s="1"/>
  <c r="P490" i="18"/>
  <c r="P59" i="7941" s="1"/>
  <c r="P486" i="18"/>
  <c r="P55" i="7941" s="1"/>
  <c r="E258" i="7955"/>
  <c r="F258" i="7955" s="1"/>
  <c r="E348" i="7955"/>
  <c r="F348" i="7955" s="1"/>
  <c r="P492" i="18"/>
  <c r="P61" i="7941" s="1"/>
  <c r="E363" i="7955"/>
  <c r="F363" i="7955" s="1"/>
  <c r="P493" i="18"/>
  <c r="P62" i="7941" s="1"/>
  <c r="L331" i="7941"/>
  <c r="N6" i="7941"/>
  <c r="O666" i="18"/>
  <c r="O665" i="18" s="1"/>
  <c r="O437" i="18"/>
  <c r="L289" i="7941"/>
  <c r="P477" i="18"/>
  <c r="P46" i="7941" s="1"/>
  <c r="E123" i="7955"/>
  <c r="F123" i="7955" s="1"/>
  <c r="P498" i="18"/>
  <c r="P67" i="7941" s="1"/>
  <c r="E438" i="7955"/>
  <c r="F438" i="7955" s="1"/>
  <c r="E138" i="7955"/>
  <c r="F138" i="7955" s="1"/>
  <c r="P478" i="18"/>
  <c r="P47" i="7941" s="1"/>
  <c r="P481" i="18"/>
  <c r="P50" i="7941" s="1"/>
  <c r="E183" i="7955"/>
  <c r="F183" i="7955" s="1"/>
  <c r="Q163" i="1"/>
  <c r="Q32" i="18" s="1"/>
  <c r="Q168" i="1"/>
  <c r="Q37" i="18" s="1"/>
  <c r="Q152" i="1"/>
  <c r="Q21" i="18" s="1"/>
  <c r="Q149" i="1"/>
  <c r="Q18" i="18" s="1"/>
  <c r="Q157" i="1"/>
  <c r="Q26" i="18" s="1"/>
  <c r="Q147" i="1"/>
  <c r="Q16" i="18" s="1"/>
  <c r="Q161" i="1"/>
  <c r="Q30" i="18" s="1"/>
  <c r="Q7" i="18"/>
  <c r="Q151" i="1"/>
  <c r="Q20" i="18" s="1"/>
  <c r="Q170" i="1"/>
  <c r="Q39" i="18" s="1"/>
  <c r="Q148" i="1"/>
  <c r="Q17" i="18" s="1"/>
  <c r="Q156" i="1"/>
  <c r="Q25" i="18" s="1"/>
  <c r="Q165" i="1"/>
  <c r="Q34" i="18" s="1"/>
  <c r="Q167" i="1"/>
  <c r="Q36" i="18" s="1"/>
  <c r="Q172" i="1"/>
  <c r="Q41" i="18" s="1"/>
  <c r="Q160" i="1"/>
  <c r="Q29" i="18" s="1"/>
  <c r="Q150" i="1"/>
  <c r="Q19" i="18" s="1"/>
  <c r="Q143" i="1"/>
  <c r="Q171" i="1"/>
  <c r="Q40" i="18" s="1"/>
  <c r="Q158" i="1"/>
  <c r="Q27" i="18" s="1"/>
  <c r="Q159" i="1"/>
  <c r="Q28" i="18" s="1"/>
  <c r="Q146" i="1"/>
  <c r="Q15" i="18" s="1"/>
  <c r="Q162" i="1"/>
  <c r="Q31" i="18" s="1"/>
  <c r="Q164" i="1"/>
  <c r="Q33" i="18" s="1"/>
  <c r="Q169" i="1"/>
  <c r="Q38" i="18" s="1"/>
  <c r="Q166" i="1"/>
  <c r="Q35" i="18" s="1"/>
  <c r="Q145" i="1"/>
  <c r="Q14" i="18" s="1"/>
  <c r="Q153" i="1"/>
  <c r="Q22" i="18" s="1"/>
  <c r="Q154" i="1"/>
  <c r="Q23" i="18" s="1"/>
  <c r="Q144" i="1"/>
  <c r="Q13" i="18" s="1"/>
  <c r="Q155" i="1"/>
  <c r="Q24" i="18" s="1"/>
  <c r="P487" i="18"/>
  <c r="P56" i="7941" s="1"/>
  <c r="E273" i="7955"/>
  <c r="F273" i="7955" s="1"/>
  <c r="P497" i="18"/>
  <c r="P66" i="7941" s="1"/>
  <c r="E423" i="7955"/>
  <c r="F423" i="7955" s="1"/>
  <c r="P482" i="18"/>
  <c r="P51" i="7941" s="1"/>
  <c r="E198" i="7955"/>
  <c r="F198" i="7955" s="1"/>
  <c r="M231" i="7941"/>
  <c r="L341" i="7941"/>
  <c r="M248" i="7941"/>
  <c r="M250" i="7941"/>
  <c r="L285" i="7941"/>
  <c r="L276" i="7941"/>
  <c r="M233" i="7941"/>
  <c r="M255" i="7941"/>
  <c r="L352" i="7941"/>
  <c r="L327" i="7941"/>
  <c r="M256" i="7941"/>
  <c r="L281" i="7941"/>
  <c r="L333" i="7941"/>
  <c r="M322" i="7941"/>
  <c r="M252" i="7941"/>
  <c r="M302" i="7941"/>
  <c r="M240" i="7941"/>
  <c r="M311" i="7941"/>
  <c r="L346" i="7941"/>
  <c r="M258" i="7941"/>
  <c r="M257" i="7941"/>
  <c r="L279" i="7941"/>
  <c r="M247" i="7941"/>
  <c r="M232" i="7941"/>
  <c r="M301" i="7941"/>
  <c r="L342" i="7941"/>
  <c r="M306" i="7941"/>
  <c r="M314" i="7941"/>
  <c r="M299" i="7941"/>
  <c r="L292" i="7941"/>
  <c r="L271" i="7941"/>
  <c r="L328" i="7941"/>
  <c r="M308" i="7941"/>
  <c r="M238" i="7941"/>
  <c r="M315" i="7941"/>
  <c r="M304" i="7941"/>
  <c r="M312" i="7941"/>
  <c r="M313" i="7941"/>
  <c r="M253" i="7941"/>
  <c r="M296" i="7941"/>
  <c r="M300" i="7941"/>
  <c r="L339" i="7941"/>
  <c r="L348" i="7941"/>
  <c r="M305" i="7941"/>
  <c r="M251" i="7941"/>
  <c r="M320" i="7941"/>
  <c r="M237" i="7941"/>
  <c r="L345" i="7941"/>
  <c r="L338" i="7941"/>
  <c r="M310" i="7941"/>
  <c r="L349" i="7941"/>
  <c r="L273" i="7941"/>
  <c r="L354" i="7941"/>
  <c r="L286" i="7941"/>
  <c r="M239" i="7941"/>
  <c r="M254" i="7941"/>
  <c r="L266" i="7941"/>
  <c r="M249" i="7941"/>
  <c r="M316" i="7941"/>
  <c r="M245" i="7941"/>
  <c r="L275" i="7941"/>
  <c r="L336" i="7941"/>
  <c r="M319" i="7941"/>
  <c r="M324" i="7941"/>
  <c r="L332" i="7941"/>
  <c r="M259" i="7941"/>
  <c r="L268" i="7941"/>
  <c r="M246" i="7941"/>
  <c r="M321" i="7941"/>
  <c r="M242" i="7941"/>
  <c r="M309" i="7941"/>
  <c r="M295" i="7941"/>
  <c r="M298" i="7941"/>
  <c r="L263" i="7941"/>
  <c r="M260" i="7941"/>
  <c r="M297" i="7941"/>
  <c r="M243" i="7941"/>
  <c r="L287" i="7941"/>
  <c r="L282" i="7941"/>
  <c r="M235" i="7941"/>
  <c r="L272" i="7941"/>
  <c r="M303" i="7941"/>
  <c r="L291" i="7941"/>
  <c r="M241" i="7941"/>
  <c r="L343" i="7941"/>
  <c r="L347" i="7941"/>
  <c r="L284" i="7941"/>
  <c r="M323" i="7941"/>
  <c r="M234" i="7941"/>
  <c r="M307" i="7941"/>
  <c r="M318" i="7941"/>
  <c r="M317" i="7941"/>
  <c r="L265" i="7941"/>
  <c r="M244" i="7941"/>
  <c r="M236" i="7941"/>
  <c r="O7" i="7944"/>
  <c r="N71" i="7944"/>
  <c r="O85" i="7944"/>
  <c r="O355" i="18"/>
  <c r="O655" i="18" s="1"/>
  <c r="O525" i="18" s="1"/>
  <c r="O94" i="7941" s="1"/>
  <c r="O226" i="7941"/>
  <c r="O9" i="7941"/>
  <c r="P463" i="18"/>
  <c r="P691" i="18" s="1"/>
  <c r="P438" i="18"/>
  <c r="O323" i="7944"/>
  <c r="P14" i="7944"/>
  <c r="O211" i="7941"/>
  <c r="O69" i="18"/>
  <c r="O633" i="18" s="1"/>
  <c r="O503" i="18" s="1"/>
  <c r="O72" i="7941" s="1"/>
  <c r="P12" i="7944"/>
  <c r="P16" i="7944"/>
  <c r="P9" i="7944"/>
  <c r="O215" i="7941"/>
  <c r="O421" i="7944"/>
  <c r="O28" i="7941"/>
  <c r="O365" i="7944"/>
  <c r="O316" i="18"/>
  <c r="O652" i="18" s="1"/>
  <c r="O522" i="18" s="1"/>
  <c r="O91" i="7941" s="1"/>
  <c r="O169" i="7944"/>
  <c r="O420" i="18"/>
  <c r="O660" i="18" s="1"/>
  <c r="O530" i="18" s="1"/>
  <c r="O99" i="7941" s="1"/>
  <c r="O200" i="7941"/>
  <c r="P456" i="18"/>
  <c r="P684" i="18" s="1"/>
  <c r="O407" i="18"/>
  <c r="O659" i="18" s="1"/>
  <c r="O529" i="18" s="1"/>
  <c r="O98" i="7941" s="1"/>
  <c r="P467" i="18"/>
  <c r="P695" i="18" s="1"/>
  <c r="O205" i="7941"/>
  <c r="O239" i="7944"/>
  <c r="O238" i="18"/>
  <c r="O646" i="18" s="1"/>
  <c r="O516" i="18" s="1"/>
  <c r="O85" i="7941" s="1"/>
  <c r="O379" i="7944"/>
  <c r="O228" i="7941"/>
  <c r="P452" i="18"/>
  <c r="P680" i="18" s="1"/>
  <c r="O477" i="7944"/>
  <c r="P466" i="18"/>
  <c r="P694" i="18" s="1"/>
  <c r="O224" i="7941"/>
  <c r="O29" i="7941"/>
  <c r="O33" i="7941"/>
  <c r="P440" i="18"/>
  <c r="P668" i="18" s="1"/>
  <c r="O381" i="18"/>
  <c r="O657" i="18" s="1"/>
  <c r="O527" i="18" s="1"/>
  <c r="O96" i="7941" s="1"/>
  <c r="O218" i="7941"/>
  <c r="O337" i="7944"/>
  <c r="O209" i="7941"/>
  <c r="O281" i="7944"/>
  <c r="O394" i="18"/>
  <c r="O658" i="18" s="1"/>
  <c r="O528" i="18" s="1"/>
  <c r="O97" i="7941" s="1"/>
  <c r="O12" i="7941"/>
  <c r="O217" i="7941"/>
  <c r="O25" i="7941"/>
  <c r="O264" i="18"/>
  <c r="O648" i="18" s="1"/>
  <c r="O518" i="18" s="1"/>
  <c r="O87" i="7941" s="1"/>
  <c r="P462" i="18"/>
  <c r="P690" i="18" s="1"/>
  <c r="O210" i="7941"/>
  <c r="O22" i="7941"/>
  <c r="P8" i="7944"/>
  <c r="P448" i="18"/>
  <c r="P676" i="18" s="1"/>
  <c r="O290" i="18"/>
  <c r="O650" i="18" s="1"/>
  <c r="O520" i="18" s="1"/>
  <c r="O89" i="7941" s="1"/>
  <c r="O35" i="7941"/>
  <c r="P442" i="18"/>
  <c r="P670" i="18" s="1"/>
  <c r="O199" i="18"/>
  <c r="O643" i="18" s="1"/>
  <c r="O513" i="18" s="1"/>
  <c r="O82" i="7941" s="1"/>
  <c r="O14" i="7941"/>
  <c r="O449" i="7944"/>
  <c r="O99" i="7944"/>
  <c r="O213" i="7941"/>
  <c r="O206" i="7941"/>
  <c r="O202" i="7941"/>
  <c r="P10" i="7944"/>
  <c r="P27" i="7944"/>
  <c r="O16" i="7941"/>
  <c r="P34" i="7944"/>
  <c r="P21" i="7944"/>
  <c r="O108" i="18"/>
  <c r="O636" i="18" s="1"/>
  <c r="O506" i="18" s="1"/>
  <c r="O75" i="7941" s="1"/>
  <c r="O207" i="7941"/>
  <c r="P18" i="7944"/>
  <c r="P26" i="7944"/>
  <c r="P37" i="7944"/>
  <c r="O208" i="7941"/>
  <c r="P444" i="18"/>
  <c r="P672" i="18" s="1"/>
  <c r="P457" i="18"/>
  <c r="P685" i="18" s="1"/>
  <c r="P36" i="7944"/>
  <c r="O491" i="7944"/>
  <c r="P25" i="7944"/>
  <c r="O121" i="18"/>
  <c r="O637" i="18" s="1"/>
  <c r="O507" i="18" s="1"/>
  <c r="O76" i="7941" s="1"/>
  <c r="P465" i="18"/>
  <c r="P693" i="18" s="1"/>
  <c r="O21" i="7941"/>
  <c r="O56" i="18"/>
  <c r="O160" i="18"/>
  <c r="O640" i="18" s="1"/>
  <c r="O510" i="18" s="1"/>
  <c r="O79" i="7941" s="1"/>
  <c r="P20" i="7944"/>
  <c r="O23" i="7941"/>
  <c r="O19" i="7941"/>
  <c r="O329" i="18"/>
  <c r="O653" i="18" s="1"/>
  <c r="O523" i="18" s="1"/>
  <c r="O92" i="7941" s="1"/>
  <c r="P32" i="7944"/>
  <c r="O18" i="7941"/>
  <c r="P459" i="18"/>
  <c r="P687" i="18" s="1"/>
  <c r="O27" i="7941"/>
  <c r="P11" i="7944"/>
  <c r="O225" i="7944"/>
  <c r="O31" i="7941"/>
  <c r="O141" i="7944"/>
  <c r="O211" i="7944"/>
  <c r="O127" i="7944"/>
  <c r="P23" i="7944"/>
  <c r="P15" i="7944"/>
  <c r="O220" i="7941"/>
  <c r="O303" i="18"/>
  <c r="O651" i="18" s="1"/>
  <c r="O521" i="18" s="1"/>
  <c r="O90" i="7941" s="1"/>
  <c r="O147" i="18"/>
  <c r="O639" i="18" s="1"/>
  <c r="O509" i="18" s="1"/>
  <c r="O78" i="7941" s="1"/>
  <c r="O82" i="18"/>
  <c r="O634" i="18" s="1"/>
  <c r="O504" i="18" s="1"/>
  <c r="O73" i="7941" s="1"/>
  <c r="P451" i="18"/>
  <c r="P679" i="18" s="1"/>
  <c r="O435" i="7944"/>
  <c r="O199" i="7941"/>
  <c r="O253" i="7944"/>
  <c r="O32" i="7941"/>
  <c r="O251" i="18"/>
  <c r="O647" i="18" s="1"/>
  <c r="O517" i="18" s="1"/>
  <c r="O86" i="7941" s="1"/>
  <c r="P19" i="7944"/>
  <c r="O186" i="18"/>
  <c r="O642" i="18" s="1"/>
  <c r="O512" i="18" s="1"/>
  <c r="O81" i="7941" s="1"/>
  <c r="O15" i="7941"/>
  <c r="P455" i="18"/>
  <c r="P683" i="18" s="1"/>
  <c r="P464" i="18"/>
  <c r="P692" i="18" s="1"/>
  <c r="O368" i="18"/>
  <c r="O656" i="18" s="1"/>
  <c r="O526" i="18" s="1"/>
  <c r="O95" i="7941" s="1"/>
  <c r="P458" i="18"/>
  <c r="P686" i="18" s="1"/>
  <c r="O24" i="7941"/>
  <c r="O17" i="7941"/>
  <c r="O221" i="7941"/>
  <c r="O95" i="18"/>
  <c r="O635" i="18" s="1"/>
  <c r="O505" i="18" s="1"/>
  <c r="O74" i="7941" s="1"/>
  <c r="O155" i="7944"/>
  <c r="P449" i="18"/>
  <c r="P677" i="18" s="1"/>
  <c r="P31" i="7944"/>
  <c r="O227" i="7941"/>
  <c r="P29" i="7944"/>
  <c r="P443" i="18"/>
  <c r="P671" i="18" s="1"/>
  <c r="P453" i="18"/>
  <c r="P681" i="18" s="1"/>
  <c r="O225" i="7941"/>
  <c r="O11" i="7941"/>
  <c r="O212" i="7941"/>
  <c r="O214" i="7941"/>
  <c r="O222" i="7941"/>
  <c r="O295" i="7944"/>
  <c r="P17" i="7944"/>
  <c r="O216" i="7941"/>
  <c r="O183" i="7944"/>
  <c r="O134" i="18"/>
  <c r="O638" i="18" s="1"/>
  <c r="O508" i="18" s="1"/>
  <c r="O77" i="7941" s="1"/>
  <c r="O26" i="7941"/>
  <c r="P445" i="18"/>
  <c r="P673" i="18" s="1"/>
  <c r="P22" i="7944"/>
  <c r="O463" i="7944"/>
  <c r="O10" i="7941"/>
  <c r="O13" i="7941"/>
  <c r="O36" i="7941"/>
  <c r="O219" i="7941"/>
  <c r="O393" i="7944"/>
  <c r="O342" i="18"/>
  <c r="O654" i="18" s="1"/>
  <c r="O524" i="18" s="1"/>
  <c r="O93" i="7941" s="1"/>
  <c r="P33" i="7944"/>
  <c r="O407" i="7944"/>
  <c r="O204" i="7941"/>
  <c r="O8" i="7941"/>
  <c r="P13" i="7944"/>
  <c r="P30" i="7944"/>
  <c r="O7" i="7941"/>
  <c r="O173" i="18"/>
  <c r="O641" i="18" s="1"/>
  <c r="O511" i="18" s="1"/>
  <c r="O80" i="7941" s="1"/>
  <c r="O113" i="7944"/>
  <c r="P28" i="7944"/>
  <c r="O267" i="7944"/>
  <c r="P441" i="18"/>
  <c r="P669" i="18" s="1"/>
  <c r="O34" i="7941"/>
  <c r="P450" i="18"/>
  <c r="P678" i="18" s="1"/>
  <c r="O197" i="7944"/>
  <c r="P460" i="18"/>
  <c r="P688" i="18" s="1"/>
  <c r="O201" i="7941"/>
  <c r="O225" i="18"/>
  <c r="O645" i="18" s="1"/>
  <c r="O515" i="18" s="1"/>
  <c r="O84" i="7941" s="1"/>
  <c r="O309" i="7944"/>
  <c r="P446" i="18"/>
  <c r="P674" i="18" s="1"/>
  <c r="P461" i="18"/>
  <c r="P689" i="18" s="1"/>
  <c r="O351" i="7944"/>
  <c r="P35" i="7944"/>
  <c r="O223" i="7941"/>
  <c r="O203" i="7941"/>
  <c r="O433" i="18"/>
  <c r="O661" i="18" s="1"/>
  <c r="O531" i="18" s="1"/>
  <c r="O100" i="7941" s="1"/>
  <c r="O20" i="7941"/>
  <c r="O277" i="18"/>
  <c r="O649" i="18" s="1"/>
  <c r="O519" i="18" s="1"/>
  <c r="O88" i="7941" s="1"/>
  <c r="O212" i="18"/>
  <c r="O644" i="18" s="1"/>
  <c r="O514" i="18" s="1"/>
  <c r="O83" i="7941" s="1"/>
  <c r="P439" i="18"/>
  <c r="P667" i="18" s="1"/>
  <c r="P24" i="7944"/>
  <c r="P447" i="18"/>
  <c r="P675" i="18" s="1"/>
  <c r="P454" i="18"/>
  <c r="P682" i="18" s="1"/>
  <c r="O30" i="7941"/>
  <c r="L277" i="7941"/>
  <c r="L270" i="7941"/>
  <c r="E333" i="7955"/>
  <c r="F333" i="7955" s="1"/>
  <c r="P491" i="18"/>
  <c r="P60" i="7941" s="1"/>
  <c r="P483" i="18"/>
  <c r="P52" i="7941" s="1"/>
  <c r="E213" i="7955"/>
  <c r="F213" i="7955" s="1"/>
  <c r="P476" i="18"/>
  <c r="P45" i="7941" s="1"/>
  <c r="E108" i="7955"/>
  <c r="F108" i="7955" s="1"/>
  <c r="P474" i="18"/>
  <c r="P43" i="7941" s="1"/>
  <c r="E78" i="7955"/>
  <c r="E288" i="7955"/>
  <c r="F288" i="7955" s="1"/>
  <c r="P488" i="18"/>
  <c r="P57" i="7941" s="1"/>
  <c r="P473" i="18"/>
  <c r="P42" i="7941" s="1"/>
  <c r="E63" i="7955"/>
  <c r="F63" i="7955" s="1"/>
  <c r="P494" i="18"/>
  <c r="P63" i="7941" s="1"/>
  <c r="E378" i="7955"/>
  <c r="F378" i="7955" s="1"/>
  <c r="E408" i="7955"/>
  <c r="F408" i="7955" s="1"/>
  <c r="P496" i="18"/>
  <c r="P65" i="7941" s="1"/>
  <c r="N632" i="18"/>
  <c r="O11" i="18"/>
  <c r="O470" i="18"/>
  <c r="E17" i="7955"/>
  <c r="F17" i="7955" s="1"/>
  <c r="L334" i="7941"/>
  <c r="L290" i="7941"/>
  <c r="L459" i="18"/>
  <c r="L687" i="18" s="1"/>
  <c r="L523" i="18" s="1"/>
  <c r="L92" i="7941" s="1"/>
  <c r="P305" i="7942"/>
  <c r="O306" i="7942" s="1"/>
  <c r="N306" i="7942"/>
  <c r="L286" i="7942"/>
  <c r="L335" i="7941" s="1"/>
  <c r="O285" i="7942"/>
  <c r="P285" i="7942" s="1"/>
  <c r="O286" i="7942" s="1"/>
  <c r="M153" i="7942"/>
  <c r="O152" i="7942"/>
  <c r="N153" i="7942" s="1"/>
  <c r="L460" i="18"/>
  <c r="L688" i="18" s="1"/>
  <c r="L524" i="18" s="1"/>
  <c r="L93" i="7941" s="1"/>
  <c r="L439" i="18"/>
  <c r="L667" i="18" s="1"/>
  <c r="L503" i="18" s="1"/>
  <c r="L72" i="7941" s="1"/>
  <c r="M107" i="7942"/>
  <c r="L168" i="7942" s="1"/>
  <c r="L455" i="18"/>
  <c r="L683" i="18" s="1"/>
  <c r="L519" i="18" s="1"/>
  <c r="L88" i="7941" s="1"/>
  <c r="K99" i="7941"/>
  <c r="K227" i="7941" s="1"/>
  <c r="L466" i="18"/>
  <c r="L694" i="18" s="1"/>
  <c r="L530" i="18" s="1"/>
  <c r="L99" i="7941" s="1"/>
  <c r="P136" i="7942"/>
  <c r="Q136" i="7942" s="1"/>
  <c r="L449" i="18"/>
  <c r="L677" i="18" s="1"/>
  <c r="L513" i="18" s="1"/>
  <c r="L82" i="7941" s="1"/>
  <c r="K216" i="7941"/>
  <c r="K50" i="7955"/>
  <c r="K213" i="7941"/>
  <c r="M143" i="7942"/>
  <c r="O142" i="7942"/>
  <c r="K95" i="7955"/>
  <c r="K454" i="18"/>
  <c r="K682" i="18" s="1"/>
  <c r="K518" i="18" s="1"/>
  <c r="K87" i="7941" s="1"/>
  <c r="K215" i="7941" s="1"/>
  <c r="K457" i="18"/>
  <c r="K685" i="18" s="1"/>
  <c r="K521" i="18" s="1"/>
  <c r="K90" i="7941" s="1"/>
  <c r="K218" i="7941" s="1"/>
  <c r="K447" i="18"/>
  <c r="K675" i="18" s="1"/>
  <c r="K511" i="18" s="1"/>
  <c r="K80" i="7941" s="1"/>
  <c r="K208" i="7941" s="1"/>
  <c r="Q115" i="7942"/>
  <c r="Q266" i="7941" s="1"/>
  <c r="L322" i="7942"/>
  <c r="L353" i="7941" s="1"/>
  <c r="N280" i="7942"/>
  <c r="P279" i="7942"/>
  <c r="O280" i="7942" s="1"/>
  <c r="K465" i="18"/>
  <c r="M284" i="7942"/>
  <c r="J209" i="7941"/>
  <c r="K17" i="7941"/>
  <c r="L453" i="18"/>
  <c r="M274" i="7942"/>
  <c r="O273" i="7942"/>
  <c r="K65" i="7955"/>
  <c r="M131" i="7942"/>
  <c r="O130" i="7942"/>
  <c r="N131" i="7942" s="1"/>
  <c r="J215" i="7941"/>
  <c r="F413" i="7955"/>
  <c r="Q166" i="7942"/>
  <c r="K204" i="7941"/>
  <c r="L12" i="7941"/>
  <c r="N321" i="7942"/>
  <c r="M322" i="7942" s="1"/>
  <c r="J15" i="7941"/>
  <c r="I207" i="7941"/>
  <c r="N133" i="7942"/>
  <c r="P132" i="7942"/>
  <c r="J218" i="7941"/>
  <c r="O4" i="18"/>
  <c r="O74" i="1"/>
  <c r="O108" i="1" s="1"/>
  <c r="O4" i="7942"/>
  <c r="O176" i="1"/>
  <c r="O4" i="7944"/>
  <c r="O142" i="1"/>
  <c r="O4" i="7941"/>
  <c r="O109" i="7942"/>
  <c r="J673" i="18"/>
  <c r="J509" i="18" s="1"/>
  <c r="J78" i="7941" s="1"/>
  <c r="K14" i="7941" s="1"/>
  <c r="K689" i="18"/>
  <c r="K525" i="18" s="1"/>
  <c r="K94" i="7941" s="1"/>
  <c r="L19" i="7941"/>
  <c r="K211" i="7941"/>
  <c r="K80" i="7955"/>
  <c r="L640" i="18"/>
  <c r="J202" i="7941"/>
  <c r="L22" i="7941"/>
  <c r="K214" i="7941"/>
  <c r="M149" i="7942"/>
  <c r="O275" i="7942"/>
  <c r="P109" i="7942"/>
  <c r="Q109" i="7942"/>
  <c r="Q263" i="7941" s="1"/>
  <c r="I71" i="7941"/>
  <c r="I501" i="18"/>
  <c r="J438" i="18"/>
  <c r="K34" i="7941"/>
  <c r="J226" i="7941"/>
  <c r="K679" i="18"/>
  <c r="K515" i="18" s="1"/>
  <c r="K84" i="7941" s="1"/>
  <c r="L20" i="7941" s="1"/>
  <c r="L672" i="18"/>
  <c r="L508" i="18" s="1"/>
  <c r="L77" i="7941" s="1"/>
  <c r="L205" i="7941" s="1"/>
  <c r="L670" i="18"/>
  <c r="L506" i="18" s="1"/>
  <c r="L75" i="7941" s="1"/>
  <c r="L203" i="7941" s="1"/>
  <c r="F128" i="7955"/>
  <c r="K464" i="18"/>
  <c r="L290" i="7942"/>
  <c r="L337" i="7941" s="1"/>
  <c r="J217" i="7941"/>
  <c r="K25" i="7941"/>
  <c r="L443" i="18"/>
  <c r="Q382" i="18"/>
  <c r="R3" i="18"/>
  <c r="Q252" i="18"/>
  <c r="Q137" i="18"/>
  <c r="Q215" i="18"/>
  <c r="Q161" i="18"/>
  <c r="Q241" i="18"/>
  <c r="Q163" i="18"/>
  <c r="Q150" i="18"/>
  <c r="Q281" i="18"/>
  <c r="Q228" i="18"/>
  <c r="Q242" i="18"/>
  <c r="Q267" i="18"/>
  <c r="Q291" i="18"/>
  <c r="Q254" i="18"/>
  <c r="Q423" i="18"/>
  <c r="Q346" i="18"/>
  <c r="Q306" i="18"/>
  <c r="Q200" i="18"/>
  <c r="Q356" i="18"/>
  <c r="Q213" i="18"/>
  <c r="Q348" i="18"/>
  <c r="Q397" i="18"/>
  <c r="Q400" i="18"/>
  <c r="Q226" i="18"/>
  <c r="Q374" i="18"/>
  <c r="Q187" i="18"/>
  <c r="Q360" i="18"/>
  <c r="Q268" i="18"/>
  <c r="Q179" i="18"/>
  <c r="Q294" i="18"/>
  <c r="Q202" i="18"/>
  <c r="Q165" i="18"/>
  <c r="Q295" i="18"/>
  <c r="Q322" i="18"/>
  <c r="Q412" i="18"/>
  <c r="Q216" i="18"/>
  <c r="Q335" i="18"/>
  <c r="Q272" i="18"/>
  <c r="Q168" i="18"/>
  <c r="Q308" i="18"/>
  <c r="Q218" i="18"/>
  <c r="Q398" i="18"/>
  <c r="Q141" i="18"/>
  <c r="Q194" i="18"/>
  <c r="Q271" i="18"/>
  <c r="Q138" i="18"/>
  <c r="Q178" i="18"/>
  <c r="Q334" i="18"/>
  <c r="Q304" i="18"/>
  <c r="Q204" i="18"/>
  <c r="Q401" i="18"/>
  <c r="Q310" i="18"/>
  <c r="Q386" i="18"/>
  <c r="Q283" i="18"/>
  <c r="Q317" i="18"/>
  <c r="Q104" i="18"/>
  <c r="Q260" i="18"/>
  <c r="Q425" i="18"/>
  <c r="Q337" i="18"/>
  <c r="Q408" i="18"/>
  <c r="Q140" i="18"/>
  <c r="Q345" i="18"/>
  <c r="Q297" i="18"/>
  <c r="Q286" i="18"/>
  <c r="Q265" i="18"/>
  <c r="Q411" i="18"/>
  <c r="Q282" i="18"/>
  <c r="Q319" i="18"/>
  <c r="Q387" i="18"/>
  <c r="Q278" i="18"/>
  <c r="Q323" i="18"/>
  <c r="Q206" i="18"/>
  <c r="Q203" i="18"/>
  <c r="Q64" i="18"/>
  <c r="Q77" i="18"/>
  <c r="Q389" i="18"/>
  <c r="Q246" i="18"/>
  <c r="Q255" i="18"/>
  <c r="Q373" i="18"/>
  <c r="Q428" i="18"/>
  <c r="Q415" i="18"/>
  <c r="Q166" i="18"/>
  <c r="Q239" i="18"/>
  <c r="Q245" i="18"/>
  <c r="Q307" i="18"/>
  <c r="Q91" i="18"/>
  <c r="Q195" i="18"/>
  <c r="Q234" i="18"/>
  <c r="Q247" i="18"/>
  <c r="Q182" i="18"/>
  <c r="Q167" i="18"/>
  <c r="Q192" i="18"/>
  <c r="Q205" i="18"/>
  <c r="Q293" i="18"/>
  <c r="Q320" i="18"/>
  <c r="Q333" i="18"/>
  <c r="Q270" i="18"/>
  <c r="Q153" i="18"/>
  <c r="Q191" i="18"/>
  <c r="Q402" i="18"/>
  <c r="Q324" i="18"/>
  <c r="Q116" i="18"/>
  <c r="Q372" i="18"/>
  <c r="Q177" i="18"/>
  <c r="Q230" i="18"/>
  <c r="Q347" i="18"/>
  <c r="Q359" i="18"/>
  <c r="Q384" i="18"/>
  <c r="Q410" i="18"/>
  <c r="Q424" i="18"/>
  <c r="Q332" i="18"/>
  <c r="Q385" i="18"/>
  <c r="Q427" i="18"/>
  <c r="Q51" i="18"/>
  <c r="Q371" i="18"/>
  <c r="Q154" i="18"/>
  <c r="Q298" i="18"/>
  <c r="Q90" i="18"/>
  <c r="Q256" i="18"/>
  <c r="Q269" i="18"/>
  <c r="Q388" i="18"/>
  <c r="Q219" i="18"/>
  <c r="Q189" i="18"/>
  <c r="Q296" i="18"/>
  <c r="Q139" i="18"/>
  <c r="Q244" i="18"/>
  <c r="Q369" i="18"/>
  <c r="Q207" i="18"/>
  <c r="Q321" i="18"/>
  <c r="Q349" i="18"/>
  <c r="Q309" i="18"/>
  <c r="Q273" i="18"/>
  <c r="Q231" i="18"/>
  <c r="Q336" i="18"/>
  <c r="Q217" i="18"/>
  <c r="Q196" i="18"/>
  <c r="Q417" i="18"/>
  <c r="Q274" i="18"/>
  <c r="Q92" i="18"/>
  <c r="Q350" i="18"/>
  <c r="Q285" i="18"/>
  <c r="Q362" i="18"/>
  <c r="Q375" i="18"/>
  <c r="Q413" i="18"/>
  <c r="Q358" i="18"/>
  <c r="Q343" i="18"/>
  <c r="Q399" i="18"/>
  <c r="Q376" i="18"/>
  <c r="Q180" i="18"/>
  <c r="Q193" i="18"/>
  <c r="Q152" i="18"/>
  <c r="Q52" i="18"/>
  <c r="Q221" i="18"/>
  <c r="Q426" i="18"/>
  <c r="Q257" i="18"/>
  <c r="Q155" i="18"/>
  <c r="Q65" i="18"/>
  <c r="Q117" i="18"/>
  <c r="Q208" i="18"/>
  <c r="Q156" i="18"/>
  <c r="Q220" i="18"/>
  <c r="Q233" i="18"/>
  <c r="Q190" i="18"/>
  <c r="Q259" i="18"/>
  <c r="Q144" i="18"/>
  <c r="Q209" i="18"/>
  <c r="Q391" i="18"/>
  <c r="Q339" i="18"/>
  <c r="Q361" i="18"/>
  <c r="Q135" i="18"/>
  <c r="Q103" i="18"/>
  <c r="Q284" i="18"/>
  <c r="Q169" i="18"/>
  <c r="Q78" i="18"/>
  <c r="Q311" i="18"/>
  <c r="Q326" i="18"/>
  <c r="Q430" i="18"/>
  <c r="Q287" i="18"/>
  <c r="Q142" i="18"/>
  <c r="Q258" i="18"/>
  <c r="Q414" i="18"/>
  <c r="Q170" i="18"/>
  <c r="Q261" i="18"/>
  <c r="Q248" i="18"/>
  <c r="Q93" i="18"/>
  <c r="Q249" i="18"/>
  <c r="Q327" i="18"/>
  <c r="Q119" i="18"/>
  <c r="Q403" i="18"/>
  <c r="Q390" i="18"/>
  <c r="Q184" i="18"/>
  <c r="Q181" i="18"/>
  <c r="Q157" i="18"/>
  <c r="Q243" i="18"/>
  <c r="Q280" i="18"/>
  <c r="Q352" i="18"/>
  <c r="Q378" i="18"/>
  <c r="Q235" i="18"/>
  <c r="Q105" i="18"/>
  <c r="Q151" i="18"/>
  <c r="Q364" i="18"/>
  <c r="Q197" i="18"/>
  <c r="Q418" i="18"/>
  <c r="Q325" i="18"/>
  <c r="Q353" i="18"/>
  <c r="Q377" i="18"/>
  <c r="Q67" i="18"/>
  <c r="Q314" i="18"/>
  <c r="Q210" i="18"/>
  <c r="Q431" i="18"/>
  <c r="Q54" i="18"/>
  <c r="Q405" i="18"/>
  <c r="Q340" i="18"/>
  <c r="Q392" i="18"/>
  <c r="Q164" i="18"/>
  <c r="Q158" i="18"/>
  <c r="Q288" i="18"/>
  <c r="Q106" i="18"/>
  <c r="Q223" i="18"/>
  <c r="Q236" i="18"/>
  <c r="Q429" i="18"/>
  <c r="Q232" i="18"/>
  <c r="Q183" i="18"/>
  <c r="Q66" i="18"/>
  <c r="Q366" i="18"/>
  <c r="Q301" i="18"/>
  <c r="Q80" i="18"/>
  <c r="Q145" i="18"/>
  <c r="Q416" i="18"/>
  <c r="Q229" i="18"/>
  <c r="Q222" i="18"/>
  <c r="Q365" i="18"/>
  <c r="Q300" i="18"/>
  <c r="Q262" i="18"/>
  <c r="Q143" i="18"/>
  <c r="Q176" i="18"/>
  <c r="Q404" i="18"/>
  <c r="Q299" i="18"/>
  <c r="Q351" i="18"/>
  <c r="Q312" i="18"/>
  <c r="Q79" i="18"/>
  <c r="Q379" i="18"/>
  <c r="Q171" i="18"/>
  <c r="Q275" i="18"/>
  <c r="Q313" i="18"/>
  <c r="Q363" i="18"/>
  <c r="Q53" i="18"/>
  <c r="Q338" i="18"/>
  <c r="Q118" i="18"/>
  <c r="L18" i="7941"/>
  <c r="K210" i="7941"/>
  <c r="J225" i="7941"/>
  <c r="K33" i="7941"/>
  <c r="L450" i="18"/>
  <c r="K448" i="18"/>
  <c r="J674" i="18"/>
  <c r="J510" i="18" s="1"/>
  <c r="J79" i="7941" s="1"/>
  <c r="L121" i="7942"/>
  <c r="L269" i="7941" s="1"/>
  <c r="N120" i="7942"/>
  <c r="O162" i="7942"/>
  <c r="K220" i="7941"/>
  <c r="L28" i="7941"/>
  <c r="K441" i="18"/>
  <c r="K456" i="18"/>
  <c r="J228" i="7941"/>
  <c r="K36" i="7941"/>
  <c r="M123" i="7942"/>
  <c r="O122" i="7942"/>
  <c r="I697" i="18"/>
  <c r="L8" i="7941"/>
  <c r="K200" i="7941"/>
  <c r="K467" i="18"/>
  <c r="O283" i="7942"/>
  <c r="O295" i="7942"/>
  <c r="M139" i="7942"/>
  <c r="O138" i="7942"/>
  <c r="O395" i="18"/>
  <c r="P395" i="18" s="1"/>
  <c r="K686" i="18"/>
  <c r="K522" i="18" s="1"/>
  <c r="K91" i="7941" s="1"/>
  <c r="K219" i="7941" s="1"/>
  <c r="O148" i="18"/>
  <c r="P148" i="18" s="1"/>
  <c r="Q148" i="18" s="1"/>
  <c r="N117" i="7942"/>
  <c r="L691" i="18"/>
  <c r="L527" i="18" s="1"/>
  <c r="L96" i="7941" s="1"/>
  <c r="N312" i="7942"/>
  <c r="P311" i="7942"/>
  <c r="N155" i="7942"/>
  <c r="P154" i="7942"/>
  <c r="N145" i="7942"/>
  <c r="P144" i="7942"/>
  <c r="N289" i="7942"/>
  <c r="O426" i="7944"/>
  <c r="O262" i="7944"/>
  <c r="O271" i="7944"/>
  <c r="O483" i="7944"/>
  <c r="O123" i="7944"/>
  <c r="O165" i="7944"/>
  <c r="O430" i="7944"/>
  <c r="O116" i="7944"/>
  <c r="O131" i="7944"/>
  <c r="O86" i="7944"/>
  <c r="O403" i="7944"/>
  <c r="O397" i="7944"/>
  <c r="O370" i="7944"/>
  <c r="O415" i="7944"/>
  <c r="O119" i="7944"/>
  <c r="O416" i="7944"/>
  <c r="O290" i="7944"/>
  <c r="O90" i="7944"/>
  <c r="O459" i="7944"/>
  <c r="O445" i="7944"/>
  <c r="O117" i="7944"/>
  <c r="O234" i="7944"/>
  <c r="O80" i="7944"/>
  <c r="O277" i="7944"/>
  <c r="O192" i="7944"/>
  <c r="O160" i="7944"/>
  <c r="O175" i="7944"/>
  <c r="O89" i="7944"/>
  <c r="O330" i="7944"/>
  <c r="O343" i="7944"/>
  <c r="O300" i="7944"/>
  <c r="O274" i="7944"/>
  <c r="O464" i="7944"/>
  <c r="O380" i="7944"/>
  <c r="O218" i="7944"/>
  <c r="O176" i="7944"/>
  <c r="O285" i="7944"/>
  <c r="O394" i="7944"/>
  <c r="O187" i="7944"/>
  <c r="O172" i="7944"/>
  <c r="O215" i="7944"/>
  <c r="O313" i="7944"/>
  <c r="O288" i="7944"/>
  <c r="O91" i="7944"/>
  <c r="O356" i="7944"/>
  <c r="O146" i="7944"/>
  <c r="O471" i="7944"/>
  <c r="O260" i="7944"/>
  <c r="O442" i="7944"/>
  <c r="O328" i="7944"/>
  <c r="O202" i="7944"/>
  <c r="O326" i="7944"/>
  <c r="O184" i="7944"/>
  <c r="O258" i="7944"/>
  <c r="O102" i="7944"/>
  <c r="O145" i="7944"/>
  <c r="O254" i="7944"/>
  <c r="O221" i="7944"/>
  <c r="O135" i="7944"/>
  <c r="O100" i="7944"/>
  <c r="O259" i="7944"/>
  <c r="O230" i="7944"/>
  <c r="O324" i="7944"/>
  <c r="O240" i="7944"/>
  <c r="O268" i="7944"/>
  <c r="O439" i="7944"/>
  <c r="O354" i="7944"/>
  <c r="O257" i="7944"/>
  <c r="O128" i="7944"/>
  <c r="O486" i="7944"/>
  <c r="O88" i="7944"/>
  <c r="O159" i="7944"/>
  <c r="O291" i="7944"/>
  <c r="O114" i="7944"/>
  <c r="O193" i="7944"/>
  <c r="O470" i="7944"/>
  <c r="O95" i="7944"/>
  <c r="O204" i="7944"/>
  <c r="O456" i="7944"/>
  <c r="O345" i="7944"/>
  <c r="O81" i="7944"/>
  <c r="O148" i="7944"/>
  <c r="O385" i="7944"/>
  <c r="O368" i="7944"/>
  <c r="O144" i="7944"/>
  <c r="O487" i="7944"/>
  <c r="O398" i="7944"/>
  <c r="O359" i="7944"/>
  <c r="O200" i="7944"/>
  <c r="O137" i="7944"/>
  <c r="O374" i="7944"/>
  <c r="O355" i="7944"/>
  <c r="O158" i="7944"/>
  <c r="O206" i="7944"/>
  <c r="O142" i="7944"/>
  <c r="O177" i="7944"/>
  <c r="O226" i="7944"/>
  <c r="O205" i="7944"/>
  <c r="O329" i="7944"/>
  <c r="O212" i="7944"/>
  <c r="O231" i="7944"/>
  <c r="O429" i="7944"/>
  <c r="O286" i="7944"/>
  <c r="O480" i="7944"/>
  <c r="O284" i="7944"/>
  <c r="O174" i="7944"/>
  <c r="O411" i="7944"/>
  <c r="O408" i="7944"/>
  <c r="O188" i="7944"/>
  <c r="O109" i="7944"/>
  <c r="O272" i="7944"/>
  <c r="O346" i="7944"/>
  <c r="O304" i="7944"/>
  <c r="O121" i="7944"/>
  <c r="O106" i="7944"/>
  <c r="O299" i="7944"/>
  <c r="O229" i="7944"/>
  <c r="O482" i="7944"/>
  <c r="O468" i="7944"/>
  <c r="O198" i="7944"/>
  <c r="O453" i="7944"/>
  <c r="O275" i="7944"/>
  <c r="O178" i="7944"/>
  <c r="O401" i="7944"/>
  <c r="O244" i="7944"/>
  <c r="O431" i="7944"/>
  <c r="O249" i="7944"/>
  <c r="O164" i="7944"/>
  <c r="O170" i="7944"/>
  <c r="O410" i="7944"/>
  <c r="O203" i="7944"/>
  <c r="O201" i="7944"/>
  <c r="O366" i="7944"/>
  <c r="O481" i="7944"/>
  <c r="O387" i="7944"/>
  <c r="O318" i="7944"/>
  <c r="O76" i="7944"/>
  <c r="O417" i="7944"/>
  <c r="O179" i="7944"/>
  <c r="O151" i="7944"/>
  <c r="O219" i="7944"/>
  <c r="O108" i="7944"/>
  <c r="O282" i="7944"/>
  <c r="O118" i="7944"/>
  <c r="O466" i="7944"/>
  <c r="O289" i="7944"/>
  <c r="O472" i="7944"/>
  <c r="O402" i="7944"/>
  <c r="O134" i="7944"/>
  <c r="O232" i="7944"/>
  <c r="O186" i="7944"/>
  <c r="O302" i="7944"/>
  <c r="O454" i="7944"/>
  <c r="O338" i="7944"/>
  <c r="O341" i="7944"/>
  <c r="O243" i="7944"/>
  <c r="O444" i="7944"/>
  <c r="O319" i="7944"/>
  <c r="O162" i="7944"/>
  <c r="O216" i="7944"/>
  <c r="O156" i="7944"/>
  <c r="O467" i="7944"/>
  <c r="O347" i="7944"/>
  <c r="O94" i="7944"/>
  <c r="O310" i="7944"/>
  <c r="O414" i="7944"/>
  <c r="O296" i="7944"/>
  <c r="O396" i="7944"/>
  <c r="O273" i="7944"/>
  <c r="O360" i="7944"/>
  <c r="O103" i="7944"/>
  <c r="O133" i="7944"/>
  <c r="O305" i="7944"/>
  <c r="O149" i="7944"/>
  <c r="O220" i="7944"/>
  <c r="O92" i="7944"/>
  <c r="O427" i="7944"/>
  <c r="O235" i="7944"/>
  <c r="O75" i="7944"/>
  <c r="O74" i="7944"/>
  <c r="O389" i="7944"/>
  <c r="O189" i="7944"/>
  <c r="O361" i="7944"/>
  <c r="O191" i="7944"/>
  <c r="O342" i="7944"/>
  <c r="O261" i="7944"/>
  <c r="O298" i="7944"/>
  <c r="O228" i="7944"/>
  <c r="O270" i="7944"/>
  <c r="O190" i="7944"/>
  <c r="O333" i="7944"/>
  <c r="O287" i="7944"/>
  <c r="O413" i="7944"/>
  <c r="O352" i="7944"/>
  <c r="O452" i="7944"/>
  <c r="O424" i="7944"/>
  <c r="O72" i="7944"/>
  <c r="O163" i="7944"/>
  <c r="O233" i="7944"/>
  <c r="O358" i="7944"/>
  <c r="O247" i="7944"/>
  <c r="O425" i="7944"/>
  <c r="O246" i="7944"/>
  <c r="O428" i="7944"/>
  <c r="O248" i="7944"/>
  <c r="O386" i="7944"/>
  <c r="O276" i="7944"/>
  <c r="O457" i="7944"/>
  <c r="O214" i="7944"/>
  <c r="O207" i="7944"/>
  <c r="O332" i="7944"/>
  <c r="O78" i="7944"/>
  <c r="O443" i="7944"/>
  <c r="O263" i="7944"/>
  <c r="O93" i="7944"/>
  <c r="O384" i="7944"/>
  <c r="O317" i="7944"/>
  <c r="O440" i="7944"/>
  <c r="O399" i="7944"/>
  <c r="O383" i="7944"/>
  <c r="O422" i="7944"/>
  <c r="O314" i="7944"/>
  <c r="O327" i="7944"/>
  <c r="O150" i="7944"/>
  <c r="O400" i="7944"/>
  <c r="O301" i="7944"/>
  <c r="O484" i="7944"/>
  <c r="O455" i="7944"/>
  <c r="O450" i="7944"/>
  <c r="O245" i="7944"/>
  <c r="O120" i="7944"/>
  <c r="O473" i="7944"/>
  <c r="O485" i="7944"/>
  <c r="O242" i="7944"/>
  <c r="O478" i="7944"/>
  <c r="O316" i="7944"/>
  <c r="O107" i="7944"/>
  <c r="O357" i="7944"/>
  <c r="O122" i="7944"/>
  <c r="O147" i="7944"/>
  <c r="O315" i="7944"/>
  <c r="O104" i="7944"/>
  <c r="O130" i="7944"/>
  <c r="O373" i="7944"/>
  <c r="O369" i="7944"/>
  <c r="O375" i="7944"/>
  <c r="O344" i="7944"/>
  <c r="O303" i="7944"/>
  <c r="O438" i="7944"/>
  <c r="O132" i="7944"/>
  <c r="O371" i="7944"/>
  <c r="O256" i="7944"/>
  <c r="O412" i="7944"/>
  <c r="O441" i="7944"/>
  <c r="O136" i="7944"/>
  <c r="O312" i="7944"/>
  <c r="O388" i="7944"/>
  <c r="O77" i="7944"/>
  <c r="O161" i="7944"/>
  <c r="P3" i="7944"/>
  <c r="O372" i="7944"/>
  <c r="O469" i="7944"/>
  <c r="O436" i="7944"/>
  <c r="O340" i="7944"/>
  <c r="O105" i="7944"/>
  <c r="O331" i="7944"/>
  <c r="O217" i="7944"/>
  <c r="O458" i="7944"/>
  <c r="O382" i="7944"/>
  <c r="O173" i="7944"/>
  <c r="L452" i="18"/>
  <c r="P325" i="7942"/>
  <c r="N315" i="7942"/>
  <c r="L201" i="7941" l="1"/>
  <c r="V367" i="7958"/>
  <c r="W364" i="7958" s="1"/>
  <c r="Q301" i="7942"/>
  <c r="Q302" i="7942" s="1"/>
  <c r="Q343" i="7941" s="1"/>
  <c r="Q307" i="7942"/>
  <c r="P308" i="7942" s="1"/>
  <c r="W341" i="7958"/>
  <c r="W770" i="7958"/>
  <c r="P174" i="18"/>
  <c r="Q174" i="18" s="1"/>
  <c r="T612" i="7958"/>
  <c r="R787" i="7958"/>
  <c r="R798" i="7958" s="1"/>
  <c r="R713" i="7958"/>
  <c r="Q805" i="7958"/>
  <c r="R630" i="7958"/>
  <c r="R580" i="7958"/>
  <c r="R498" i="7958"/>
  <c r="R499" i="7958" s="1"/>
  <c r="R764" i="7958"/>
  <c r="Q299" i="7942"/>
  <c r="P300" i="7942" s="1"/>
  <c r="O314" i="7942"/>
  <c r="O151" i="7942"/>
  <c r="O161" i="7942"/>
  <c r="Q140" i="7942"/>
  <c r="P141" i="7942" s="1"/>
  <c r="O294" i="7942"/>
  <c r="O129" i="7942"/>
  <c r="Q319" i="7942"/>
  <c r="Q320" i="7942" s="1"/>
  <c r="Q352" i="7941" s="1"/>
  <c r="Q146" i="7942"/>
  <c r="Q147" i="7942" s="1"/>
  <c r="Q282" i="7941" s="1"/>
  <c r="F78" i="7955"/>
  <c r="Q156" i="7942"/>
  <c r="Q157" i="7942" s="1"/>
  <c r="Q287" i="7941" s="1"/>
  <c r="P277" i="7942"/>
  <c r="O278" i="7942" s="1"/>
  <c r="P126" i="7942"/>
  <c r="Q126" i="7942" s="1"/>
  <c r="L224" i="7941"/>
  <c r="Q309" i="7942"/>
  <c r="P310" i="7942" s="1"/>
  <c r="Q281" i="7942"/>
  <c r="Q269" i="7942"/>
  <c r="P270" i="7942" s="1"/>
  <c r="O318" i="7942"/>
  <c r="Q317" i="7942"/>
  <c r="P297" i="7942"/>
  <c r="Q297" i="7942" s="1"/>
  <c r="Q305" i="7942"/>
  <c r="P306" i="7942" s="1"/>
  <c r="O43" i="18"/>
  <c r="O113" i="7942"/>
  <c r="Q421" i="18"/>
  <c r="N135" i="7942"/>
  <c r="P291" i="7942"/>
  <c r="O292" i="7942" s="1"/>
  <c r="Q323" i="7942"/>
  <c r="P324" i="7942" s="1"/>
  <c r="O328" i="7942"/>
  <c r="K221" i="7941"/>
  <c r="L462" i="18"/>
  <c r="L690" i="18" s="1"/>
  <c r="L526" i="18" s="1"/>
  <c r="L95" i="7941" s="1"/>
  <c r="O321" i="7942"/>
  <c r="N322" i="7942" s="1"/>
  <c r="O288" i="7942"/>
  <c r="Q287" i="7942"/>
  <c r="O272" i="7942"/>
  <c r="Q271" i="7942"/>
  <c r="O137" i="7942"/>
  <c r="Q124" i="7942"/>
  <c r="L216" i="7941"/>
  <c r="P152" i="7942"/>
  <c r="O153" i="7942" s="1"/>
  <c r="O119" i="7942"/>
  <c r="M278" i="7941"/>
  <c r="P158" i="7942"/>
  <c r="O159" i="7942" s="1"/>
  <c r="Q164" i="7942"/>
  <c r="Q165" i="7942" s="1"/>
  <c r="Q291" i="7941" s="1"/>
  <c r="L31" i="7941"/>
  <c r="O304" i="7942"/>
  <c r="Q303" i="7942"/>
  <c r="M274" i="7941"/>
  <c r="M263" i="7941"/>
  <c r="K223" i="7941"/>
  <c r="L326" i="7941"/>
  <c r="L221" i="7941"/>
  <c r="M329" i="7941"/>
  <c r="L35" i="7941"/>
  <c r="L227" i="7941" s="1"/>
  <c r="M334" i="7941"/>
  <c r="M264" i="7941"/>
  <c r="M355" i="7941"/>
  <c r="M270" i="7941"/>
  <c r="M283" i="7941"/>
  <c r="M353" i="7941"/>
  <c r="M280" i="7941"/>
  <c r="M285" i="7941"/>
  <c r="M288" i="7941"/>
  <c r="L262" i="7941"/>
  <c r="M230" i="7941"/>
  <c r="E34" i="7955"/>
  <c r="Q471" i="18"/>
  <c r="Q40" i="7941" s="1"/>
  <c r="E364" i="7955"/>
  <c r="Q493" i="18"/>
  <c r="Q62" i="7941" s="1"/>
  <c r="Q473" i="18"/>
  <c r="Q42" i="7941" s="1"/>
  <c r="E64" i="7955"/>
  <c r="Q173" i="1"/>
  <c r="Q12" i="18"/>
  <c r="Q494" i="18"/>
  <c r="Q63" i="7941" s="1"/>
  <c r="E379" i="7955"/>
  <c r="E424" i="7955"/>
  <c r="Q497" i="18"/>
  <c r="Q66" i="7941" s="1"/>
  <c r="Q474" i="18"/>
  <c r="Q43" i="7941" s="1"/>
  <c r="E79" i="7955"/>
  <c r="Q495" i="18"/>
  <c r="Q64" i="7941" s="1"/>
  <c r="E394" i="7955"/>
  <c r="P470" i="18"/>
  <c r="P11" i="18"/>
  <c r="E18" i="7955"/>
  <c r="F18" i="7955" s="1"/>
  <c r="M333" i="7941"/>
  <c r="N300" i="7941"/>
  <c r="M279" i="7941"/>
  <c r="M354" i="7941"/>
  <c r="M342" i="7941"/>
  <c r="N255" i="7941"/>
  <c r="M328" i="7941"/>
  <c r="M352" i="7941"/>
  <c r="N246" i="7941"/>
  <c r="N249" i="7941"/>
  <c r="N296" i="7941"/>
  <c r="N309" i="7941"/>
  <c r="M331" i="7941"/>
  <c r="M275" i="7941"/>
  <c r="N239" i="7941"/>
  <c r="N245" i="7941"/>
  <c r="M344" i="7941"/>
  <c r="N251" i="7941"/>
  <c r="N315" i="7941"/>
  <c r="N242" i="7941"/>
  <c r="N233" i="7941"/>
  <c r="N306" i="7941"/>
  <c r="M265" i="7941"/>
  <c r="N314" i="7941"/>
  <c r="M327" i="7941"/>
  <c r="N244" i="7941"/>
  <c r="N313" i="7941"/>
  <c r="N295" i="7941"/>
  <c r="M286" i="7941"/>
  <c r="N302" i="7941"/>
  <c r="N317" i="7941"/>
  <c r="M271" i="7941"/>
  <c r="N243" i="7941"/>
  <c r="N232" i="7941"/>
  <c r="M277" i="7941"/>
  <c r="N316" i="7941"/>
  <c r="M332" i="7941"/>
  <c r="N250" i="7941"/>
  <c r="N241" i="7941"/>
  <c r="M356" i="7941"/>
  <c r="M267" i="7941"/>
  <c r="M363" i="7941" s="1"/>
  <c r="M282" i="7941"/>
  <c r="N260" i="7941"/>
  <c r="N310" i="7941"/>
  <c r="M290" i="7941"/>
  <c r="M343" i="7941"/>
  <c r="M349" i="7941"/>
  <c r="N303" i="7941"/>
  <c r="M336" i="7941"/>
  <c r="M368" i="7941" s="1"/>
  <c r="N321" i="7941"/>
  <c r="N311" i="7941"/>
  <c r="M346" i="7941"/>
  <c r="M351" i="7941"/>
  <c r="M340" i="7941"/>
  <c r="N319" i="7941"/>
  <c r="N322" i="7941"/>
  <c r="N304" i="7941"/>
  <c r="M347" i="7941"/>
  <c r="N318" i="7941"/>
  <c r="N235" i="7941"/>
  <c r="M292" i="7941"/>
  <c r="N231" i="7941"/>
  <c r="N254" i="7941"/>
  <c r="N324" i="7941"/>
  <c r="N297" i="7941"/>
  <c r="N240" i="7941"/>
  <c r="M338" i="7941"/>
  <c r="N301" i="7941"/>
  <c r="M287" i="7941"/>
  <c r="N256" i="7941"/>
  <c r="M345" i="7941"/>
  <c r="M268" i="7941"/>
  <c r="N308" i="7941"/>
  <c r="N258" i="7941"/>
  <c r="N238" i="7941"/>
  <c r="M289" i="7941"/>
  <c r="M385" i="7941" s="1"/>
  <c r="N247" i="7941"/>
  <c r="N305" i="7941"/>
  <c r="N320" i="7941"/>
  <c r="N237" i="7941"/>
  <c r="M291" i="7941"/>
  <c r="M387" i="7941" s="1"/>
  <c r="N257" i="7941"/>
  <c r="N299" i="7941"/>
  <c r="N298" i="7941"/>
  <c r="M335" i="7941"/>
  <c r="N252" i="7941"/>
  <c r="M273" i="7941"/>
  <c r="M266" i="7941"/>
  <c r="M339" i="7941"/>
  <c r="N323" i="7941"/>
  <c r="M341" i="7941"/>
  <c r="N234" i="7941"/>
  <c r="N236" i="7941"/>
  <c r="M276" i="7941"/>
  <c r="M372" i="7941" s="1"/>
  <c r="M284" i="7941"/>
  <c r="N248" i="7941"/>
  <c r="M348" i="7941"/>
  <c r="N307" i="7941"/>
  <c r="N312" i="7941"/>
  <c r="N259" i="7941"/>
  <c r="N253" i="7941"/>
  <c r="O39" i="7941"/>
  <c r="O38" i="7941" s="1"/>
  <c r="O469" i="18"/>
  <c r="M294" i="7941"/>
  <c r="Q481" i="18"/>
  <c r="Q50" i="7941" s="1"/>
  <c r="E184" i="7955"/>
  <c r="E409" i="7955"/>
  <c r="Q496" i="18"/>
  <c r="Q65" i="7941" s="1"/>
  <c r="E259" i="7955"/>
  <c r="Q486" i="18"/>
  <c r="Q55" i="7941" s="1"/>
  <c r="E124" i="7955"/>
  <c r="Q477" i="18"/>
  <c r="Q46" i="7941" s="1"/>
  <c r="E349" i="7955"/>
  <c r="Q492" i="18"/>
  <c r="Q61" i="7941" s="1"/>
  <c r="E139" i="7955"/>
  <c r="Q478" i="18"/>
  <c r="Q47" i="7941" s="1"/>
  <c r="E229" i="7955"/>
  <c r="Q484" i="18"/>
  <c r="Q53" i="7941" s="1"/>
  <c r="E319" i="7955"/>
  <c r="Q490" i="18"/>
  <c r="Q59" i="7941" s="1"/>
  <c r="P7" i="7944"/>
  <c r="P666" i="18"/>
  <c r="P665" i="18" s="1"/>
  <c r="P437" i="18"/>
  <c r="Q480" i="18"/>
  <c r="Q49" i="7941" s="1"/>
  <c r="E169" i="7955"/>
  <c r="Q491" i="18"/>
  <c r="Q60" i="7941" s="1"/>
  <c r="E334" i="7955"/>
  <c r="E244" i="7955"/>
  <c r="Q485" i="18"/>
  <c r="Q54" i="7941" s="1"/>
  <c r="E274" i="7955"/>
  <c r="Q487" i="18"/>
  <c r="Q56" i="7941" s="1"/>
  <c r="Q483" i="18"/>
  <c r="Q52" i="7941" s="1"/>
  <c r="E214" i="7955"/>
  <c r="E109" i="7955"/>
  <c r="Q476" i="18"/>
  <c r="Q45" i="7941" s="1"/>
  <c r="M281" i="7941"/>
  <c r="N631" i="18"/>
  <c r="N502" i="18"/>
  <c r="O6" i="7941"/>
  <c r="O198" i="7941"/>
  <c r="O632" i="18"/>
  <c r="O71" i="7944"/>
  <c r="Q482" i="18"/>
  <c r="Q51" i="7941" s="1"/>
  <c r="E199" i="7955"/>
  <c r="Q472" i="18"/>
  <c r="Q41" i="7941" s="1"/>
  <c r="E49" i="7955"/>
  <c r="Q489" i="18"/>
  <c r="Q58" i="7941" s="1"/>
  <c r="E304" i="7955"/>
  <c r="Q498" i="18"/>
  <c r="Q67" i="7941" s="1"/>
  <c r="E439" i="7955"/>
  <c r="E454" i="7955"/>
  <c r="Q499" i="18"/>
  <c r="Q68" i="7941" s="1"/>
  <c r="E94" i="7955"/>
  <c r="Q475" i="18"/>
  <c r="Q44" i="7941" s="1"/>
  <c r="E289" i="7955"/>
  <c r="Q488" i="18"/>
  <c r="Q57" i="7941" s="1"/>
  <c r="E154" i="7955"/>
  <c r="Q479" i="18"/>
  <c r="Q48" i="7941" s="1"/>
  <c r="P26" i="7941"/>
  <c r="P18" i="7941"/>
  <c r="P337" i="7944"/>
  <c r="P323" i="7944"/>
  <c r="P227" i="7941"/>
  <c r="P303" i="18"/>
  <c r="P651" i="18" s="1"/>
  <c r="P521" i="18" s="1"/>
  <c r="P90" i="7941" s="1"/>
  <c r="P208" i="7941"/>
  <c r="Q467" i="18"/>
  <c r="Q695" i="18" s="1"/>
  <c r="P214" i="7941"/>
  <c r="P329" i="18"/>
  <c r="P653" i="18" s="1"/>
  <c r="P523" i="18" s="1"/>
  <c r="P92" i="7941" s="1"/>
  <c r="Q35" i="7944"/>
  <c r="P82" i="18"/>
  <c r="P634" i="18" s="1"/>
  <c r="P504" i="18" s="1"/>
  <c r="P73" i="7941" s="1"/>
  <c r="P155" i="7944"/>
  <c r="P381" i="18"/>
  <c r="P657" i="18" s="1"/>
  <c r="P527" i="18" s="1"/>
  <c r="P96" i="7941" s="1"/>
  <c r="P11" i="7941"/>
  <c r="P477" i="7944"/>
  <c r="Q25" i="7944"/>
  <c r="P197" i="7944"/>
  <c r="Q14" i="7944"/>
  <c r="P30" i="7941"/>
  <c r="Q450" i="18"/>
  <c r="Q678" i="18" s="1"/>
  <c r="Q447" i="18"/>
  <c r="Q675" i="18" s="1"/>
  <c r="Q442" i="18"/>
  <c r="Q670" i="18" s="1"/>
  <c r="P16" i="7941"/>
  <c r="Q452" i="18"/>
  <c r="Q680" i="18" s="1"/>
  <c r="Q451" i="18"/>
  <c r="Q679" i="18" s="1"/>
  <c r="P211" i="7944"/>
  <c r="P420" i="18"/>
  <c r="P660" i="18" s="1"/>
  <c r="P530" i="18" s="1"/>
  <c r="P99" i="7941" s="1"/>
  <c r="Q24" i="7944"/>
  <c r="P20" i="7941"/>
  <c r="P239" i="7944"/>
  <c r="Q21" i="7944"/>
  <c r="P379" i="7944"/>
  <c r="Q465" i="18"/>
  <c r="Q693" i="18" s="1"/>
  <c r="Q461" i="18"/>
  <c r="Q689" i="18" s="1"/>
  <c r="P204" i="7941"/>
  <c r="Q36" i="7944"/>
  <c r="P225" i="7944"/>
  <c r="Q13" i="7944"/>
  <c r="Q446" i="18"/>
  <c r="Q674" i="18" s="1"/>
  <c r="Q27" i="7944"/>
  <c r="P210" i="7941"/>
  <c r="P206" i="7941"/>
  <c r="P9" i="7941"/>
  <c r="Q464" i="18"/>
  <c r="Q692" i="18" s="1"/>
  <c r="Q29" i="7944"/>
  <c r="P35" i="7941"/>
  <c r="P147" i="18"/>
  <c r="P639" i="18" s="1"/>
  <c r="P509" i="18" s="1"/>
  <c r="P78" i="7941" s="1"/>
  <c r="P342" i="18"/>
  <c r="P654" i="18" s="1"/>
  <c r="P524" i="18" s="1"/>
  <c r="P93" i="7941" s="1"/>
  <c r="Q463" i="18"/>
  <c r="Q691" i="18" s="1"/>
  <c r="P203" i="7941"/>
  <c r="P238" i="18"/>
  <c r="P646" i="18" s="1"/>
  <c r="P516" i="18" s="1"/>
  <c r="P85" i="7941" s="1"/>
  <c r="Q26" i="7944"/>
  <c r="Q32" i="7944"/>
  <c r="P108" i="18"/>
  <c r="P636" i="18" s="1"/>
  <c r="P506" i="18" s="1"/>
  <c r="P75" i="7941" s="1"/>
  <c r="Q19" i="7944"/>
  <c r="Q18" i="7944"/>
  <c r="P15" i="7941"/>
  <c r="P228" i="7941"/>
  <c r="P225" i="7941"/>
  <c r="Q34" i="7944"/>
  <c r="P22" i="7941"/>
  <c r="P209" i="7941"/>
  <c r="P219" i="7941"/>
  <c r="P8" i="7941"/>
  <c r="P113" i="7944"/>
  <c r="P23" i="7941"/>
  <c r="Q444" i="18"/>
  <c r="Q672" i="18" s="1"/>
  <c r="P12" i="7941"/>
  <c r="P207" i="7941"/>
  <c r="P56" i="18"/>
  <c r="P10" i="7941"/>
  <c r="P277" i="18"/>
  <c r="P649" i="18" s="1"/>
  <c r="P519" i="18" s="1"/>
  <c r="P88" i="7941" s="1"/>
  <c r="P365" i="7944"/>
  <c r="P173" i="18"/>
  <c r="P641" i="18" s="1"/>
  <c r="P511" i="18" s="1"/>
  <c r="P80" i="7941" s="1"/>
  <c r="Q457" i="18"/>
  <c r="Q685" i="18" s="1"/>
  <c r="P201" i="7941"/>
  <c r="P220" i="7941"/>
  <c r="P491" i="7944"/>
  <c r="P33" i="7941"/>
  <c r="P355" i="18"/>
  <c r="P655" i="18" s="1"/>
  <c r="P525" i="18" s="1"/>
  <c r="P94" i="7941" s="1"/>
  <c r="P212" i="18"/>
  <c r="P644" i="18" s="1"/>
  <c r="P514" i="18" s="1"/>
  <c r="P83" i="7941" s="1"/>
  <c r="P433" i="18"/>
  <c r="P661" i="18" s="1"/>
  <c r="P531" i="18" s="1"/>
  <c r="P100" i="7941" s="1"/>
  <c r="P224" i="7941"/>
  <c r="Q16" i="7944"/>
  <c r="P213" i="7941"/>
  <c r="P205" i="7941"/>
  <c r="Q10" i="7944"/>
  <c r="P211" i="7941"/>
  <c r="P27" i="7941"/>
  <c r="P186" i="18"/>
  <c r="P642" i="18" s="1"/>
  <c r="P512" i="18" s="1"/>
  <c r="P81" i="7941" s="1"/>
  <c r="Q11" i="7944"/>
  <c r="P69" i="18"/>
  <c r="P633" i="18" s="1"/>
  <c r="P503" i="18" s="1"/>
  <c r="P72" i="7941" s="1"/>
  <c r="P85" i="7944"/>
  <c r="P29" i="7941"/>
  <c r="Q12" i="7944"/>
  <c r="P264" i="18"/>
  <c r="P648" i="18" s="1"/>
  <c r="P518" i="18" s="1"/>
  <c r="P87" i="7941" s="1"/>
  <c r="Q455" i="18"/>
  <c r="Q683" i="18" s="1"/>
  <c r="Q37" i="7944"/>
  <c r="P200" i="7941"/>
  <c r="Q448" i="18"/>
  <c r="Q676" i="18" s="1"/>
  <c r="P463" i="7944"/>
  <c r="P34" i="7941"/>
  <c r="Q460" i="18"/>
  <c r="Q688" i="18" s="1"/>
  <c r="Q31" i="7944"/>
  <c r="P217" i="7941"/>
  <c r="Q466" i="18"/>
  <c r="Q694" i="18" s="1"/>
  <c r="Q30" i="7944"/>
  <c r="Q443" i="18"/>
  <c r="Q671" i="18" s="1"/>
  <c r="P36" i="7941"/>
  <c r="P421" i="7944"/>
  <c r="Q441" i="18"/>
  <c r="Q669" i="18" s="1"/>
  <c r="P32" i="7941"/>
  <c r="Q9" i="7944"/>
  <c r="Q22" i="7944"/>
  <c r="P17" i="7941"/>
  <c r="P24" i="7941"/>
  <c r="P202" i="7941"/>
  <c r="Q20" i="7944"/>
  <c r="P368" i="18"/>
  <c r="P656" i="18" s="1"/>
  <c r="P526" i="18" s="1"/>
  <c r="P95" i="7941" s="1"/>
  <c r="Q8" i="7944"/>
  <c r="Q449" i="18"/>
  <c r="Q677" i="18" s="1"/>
  <c r="P14" i="7941"/>
  <c r="P134" i="18"/>
  <c r="P638" i="18" s="1"/>
  <c r="P508" i="18" s="1"/>
  <c r="P77" i="7941" s="1"/>
  <c r="Q453" i="18"/>
  <c r="Q681" i="18" s="1"/>
  <c r="Q439" i="18"/>
  <c r="Q667" i="18" s="1"/>
  <c r="P316" i="18"/>
  <c r="P652" i="18" s="1"/>
  <c r="P522" i="18" s="1"/>
  <c r="P91" i="7941" s="1"/>
  <c r="P407" i="7944"/>
  <c r="Q28" i="7944"/>
  <c r="Q438" i="18"/>
  <c r="P7" i="7941"/>
  <c r="P218" i="7941"/>
  <c r="P351" i="7944"/>
  <c r="P223" i="7941"/>
  <c r="P393" i="7944"/>
  <c r="P407" i="18"/>
  <c r="P659" i="18" s="1"/>
  <c r="P529" i="18" s="1"/>
  <c r="P98" i="7941" s="1"/>
  <c r="P225" i="18"/>
  <c r="P645" i="18" s="1"/>
  <c r="P515" i="18" s="1"/>
  <c r="P84" i="7941" s="1"/>
  <c r="Q459" i="18"/>
  <c r="Q687" i="18" s="1"/>
  <c r="P212" i="7941"/>
  <c r="P267" i="7944"/>
  <c r="Q17" i="7944"/>
  <c r="P253" i="7944"/>
  <c r="Q458" i="18"/>
  <c r="Q686" i="18" s="1"/>
  <c r="P95" i="18"/>
  <c r="P635" i="18" s="1"/>
  <c r="P505" i="18" s="1"/>
  <c r="P74" i="7941" s="1"/>
  <c r="P127" i="7944"/>
  <c r="P215" i="7941"/>
  <c r="Q15" i="7944"/>
  <c r="Q440" i="18"/>
  <c r="Q668" i="18" s="1"/>
  <c r="Q33" i="7944"/>
  <c r="Q462" i="18"/>
  <c r="Q690" i="18" s="1"/>
  <c r="P222" i="7941"/>
  <c r="P295" i="7944"/>
  <c r="Q445" i="18"/>
  <c r="Q673" i="18" s="1"/>
  <c r="P13" i="7941"/>
  <c r="P121" i="18"/>
  <c r="P637" i="18" s="1"/>
  <c r="P507" i="18" s="1"/>
  <c r="P76" i="7941" s="1"/>
  <c r="Q454" i="18"/>
  <c r="Q682" i="18" s="1"/>
  <c r="P309" i="7944"/>
  <c r="P25" i="7941"/>
  <c r="P281" i="7944"/>
  <c r="Q23" i="7944"/>
  <c r="P221" i="7941"/>
  <c r="P251" i="18"/>
  <c r="P647" i="18" s="1"/>
  <c r="P517" i="18" s="1"/>
  <c r="P86" i="7941" s="1"/>
  <c r="P290" i="18"/>
  <c r="P650" i="18" s="1"/>
  <c r="P520" i="18" s="1"/>
  <c r="P89" i="7941" s="1"/>
  <c r="P169" i="7944"/>
  <c r="P226" i="7941"/>
  <c r="P99" i="7944"/>
  <c r="Q456" i="18"/>
  <c r="Q684" i="18" s="1"/>
  <c r="P141" i="7944"/>
  <c r="P394" i="18"/>
  <c r="P658" i="18" s="1"/>
  <c r="P528" i="18" s="1"/>
  <c r="P97" i="7941" s="1"/>
  <c r="P199" i="7941"/>
  <c r="P21" i="7941"/>
  <c r="P449" i="7944"/>
  <c r="P199" i="18"/>
  <c r="P643" i="18" s="1"/>
  <c r="P513" i="18" s="1"/>
  <c r="P82" i="7941" s="1"/>
  <c r="P216" i="7941"/>
  <c r="P183" i="7944"/>
  <c r="P28" i="7941"/>
  <c r="P160" i="18"/>
  <c r="P640" i="18" s="1"/>
  <c r="P510" i="18" s="1"/>
  <c r="P79" i="7941" s="1"/>
  <c r="P435" i="7944"/>
  <c r="P31" i="7941"/>
  <c r="P19" i="7941"/>
  <c r="M330" i="7941"/>
  <c r="N268" i="7942"/>
  <c r="M329" i="7942" s="1"/>
  <c r="N286" i="7942"/>
  <c r="Q285" i="7942"/>
  <c r="L220" i="7941"/>
  <c r="P115" i="7942"/>
  <c r="M459" i="18"/>
  <c r="M687" i="18" s="1"/>
  <c r="M523" i="18" s="1"/>
  <c r="M92" i="7941" s="1"/>
  <c r="M449" i="18"/>
  <c r="M677" i="18" s="1"/>
  <c r="M513" i="18" s="1"/>
  <c r="M82" i="7941" s="1"/>
  <c r="L451" i="18"/>
  <c r="L679" i="18" s="1"/>
  <c r="L515" i="18" s="1"/>
  <c r="L84" i="7941" s="1"/>
  <c r="L212" i="7941" s="1"/>
  <c r="M463" i="18"/>
  <c r="M691" i="18" s="1"/>
  <c r="M527" i="18" s="1"/>
  <c r="M96" i="7941" s="1"/>
  <c r="L210" i="7941"/>
  <c r="P129" i="7942"/>
  <c r="Q129" i="7942"/>
  <c r="Q273" i="7941" s="1"/>
  <c r="L200" i="7941"/>
  <c r="J206" i="7941"/>
  <c r="L458" i="18"/>
  <c r="L686" i="18" s="1"/>
  <c r="L522" i="18" s="1"/>
  <c r="L91" i="7941" s="1"/>
  <c r="L27" i="7941"/>
  <c r="N149" i="7942"/>
  <c r="M440" i="18"/>
  <c r="M668" i="18" s="1"/>
  <c r="M504" i="18" s="1"/>
  <c r="M73" i="7941" s="1"/>
  <c r="L457" i="18"/>
  <c r="L685" i="18" s="1"/>
  <c r="L521" i="18" s="1"/>
  <c r="L90" i="7941" s="1"/>
  <c r="L454" i="18"/>
  <c r="L682" i="18" s="1"/>
  <c r="L518" i="18" s="1"/>
  <c r="L87" i="7941" s="1"/>
  <c r="K212" i="7941"/>
  <c r="L26" i="7941"/>
  <c r="L461" i="18"/>
  <c r="L689" i="18" s="1"/>
  <c r="L525" i="18" s="1"/>
  <c r="L94" i="7941" s="1"/>
  <c r="K445" i="18"/>
  <c r="K673" i="18" s="1"/>
  <c r="K509" i="18" s="1"/>
  <c r="P130" i="7942"/>
  <c r="O131" i="7942" s="1"/>
  <c r="M460" i="18"/>
  <c r="M688" i="18" s="1"/>
  <c r="M524" i="18" s="1"/>
  <c r="M93" i="7941" s="1"/>
  <c r="M455" i="18"/>
  <c r="M683" i="18" s="1"/>
  <c r="M519" i="18" s="1"/>
  <c r="M88" i="7941" s="1"/>
  <c r="L16" i="7941"/>
  <c r="L23" i="7941"/>
  <c r="P142" i="7942"/>
  <c r="N143" i="7942"/>
  <c r="P355" i="7944"/>
  <c r="P317" i="7944"/>
  <c r="P88" i="7944"/>
  <c r="P142" i="7944"/>
  <c r="P320" i="7944"/>
  <c r="P466" i="7944"/>
  <c r="P417" i="7944"/>
  <c r="P110" i="7944"/>
  <c r="P222" i="7944"/>
  <c r="P348" i="7944"/>
  <c r="P217" i="7944"/>
  <c r="P114" i="7944"/>
  <c r="P75" i="7944"/>
  <c r="P122" i="7944"/>
  <c r="P180" i="7944"/>
  <c r="P193" i="7944"/>
  <c r="P357" i="7944"/>
  <c r="P96" i="7944"/>
  <c r="P165" i="7944"/>
  <c r="P208" i="7944"/>
  <c r="P178" i="7944"/>
  <c r="P456" i="7944"/>
  <c r="P218" i="7944"/>
  <c r="P360" i="7944"/>
  <c r="P202" i="7944"/>
  <c r="P286" i="7944"/>
  <c r="P226" i="7944"/>
  <c r="P220" i="7944"/>
  <c r="P455" i="7944"/>
  <c r="P358" i="7944"/>
  <c r="P186" i="7944"/>
  <c r="P399" i="7944"/>
  <c r="P436" i="7944"/>
  <c r="P422" i="7944"/>
  <c r="P172" i="7944"/>
  <c r="P425" i="7944"/>
  <c r="P340" i="7944"/>
  <c r="P374" i="7944"/>
  <c r="P347" i="7944"/>
  <c r="P151" i="7944"/>
  <c r="P483" i="7944"/>
  <c r="P81" i="7944"/>
  <c r="P390" i="7944"/>
  <c r="P386" i="7944"/>
  <c r="P149" i="7944"/>
  <c r="P359" i="7944"/>
  <c r="P106" i="7944"/>
  <c r="P305" i="7944"/>
  <c r="P370" i="7944"/>
  <c r="P219" i="7944"/>
  <c r="P201" i="7944"/>
  <c r="P257" i="7944"/>
  <c r="P324" i="7944"/>
  <c r="P342" i="7944"/>
  <c r="P366" i="7944"/>
  <c r="P439" i="7944"/>
  <c r="P472" i="7944"/>
  <c r="P78" i="7944"/>
  <c r="P474" i="7944"/>
  <c r="P277" i="7944"/>
  <c r="P179" i="7944"/>
  <c r="P234" i="7944"/>
  <c r="P260" i="7944"/>
  <c r="P159" i="7944"/>
  <c r="P316" i="7944"/>
  <c r="P150" i="7944"/>
  <c r="P134" i="7944"/>
  <c r="P296" i="7944"/>
  <c r="P243" i="7944"/>
  <c r="P299" i="7944"/>
  <c r="P232" i="7944"/>
  <c r="P229" i="7944"/>
  <c r="P326" i="7944"/>
  <c r="P174" i="7944"/>
  <c r="P341" i="7944"/>
  <c r="P275" i="7944"/>
  <c r="P301" i="7944"/>
  <c r="P473" i="7944"/>
  <c r="P118" i="7944"/>
  <c r="P163" i="7944"/>
  <c r="P460" i="7944"/>
  <c r="P458" i="7944"/>
  <c r="P233" i="7944"/>
  <c r="P93" i="7944"/>
  <c r="P144" i="7944"/>
  <c r="P488" i="7944"/>
  <c r="P368" i="7944"/>
  <c r="P131" i="7944"/>
  <c r="P95" i="7944"/>
  <c r="P162" i="7944"/>
  <c r="P278" i="7944"/>
  <c r="P272" i="7944"/>
  <c r="P221" i="7944"/>
  <c r="P77" i="7944"/>
  <c r="P289" i="7944"/>
  <c r="P319" i="7944"/>
  <c r="P371" i="7944"/>
  <c r="P441" i="7944"/>
  <c r="P429" i="7944"/>
  <c r="P128" i="7944"/>
  <c r="P230" i="7944"/>
  <c r="P382" i="7944"/>
  <c r="P254" i="7944"/>
  <c r="P426" i="7944"/>
  <c r="P191" i="7944"/>
  <c r="P440" i="7944"/>
  <c r="P216" i="7944"/>
  <c r="P454" i="7944"/>
  <c r="P242" i="7944"/>
  <c r="P338" i="7944"/>
  <c r="P411" i="7944"/>
  <c r="P173" i="7944"/>
  <c r="P215" i="7944"/>
  <c r="P470" i="7944"/>
  <c r="P103" i="7944"/>
  <c r="P334" i="7944"/>
  <c r="P332" i="7944"/>
  <c r="P146" i="7944"/>
  <c r="P415" i="7944"/>
  <c r="P333" i="7944"/>
  <c r="P137" i="7944"/>
  <c r="P175" i="7944"/>
  <c r="P117" i="7944"/>
  <c r="P404" i="7944"/>
  <c r="P203" i="7944"/>
  <c r="P416" i="7944"/>
  <c r="P231" i="7944"/>
  <c r="P273" i="7944"/>
  <c r="P274" i="7944"/>
  <c r="P285" i="7944"/>
  <c r="P396" i="7944"/>
  <c r="P478" i="7944"/>
  <c r="P189" i="7944"/>
  <c r="P145" i="7944"/>
  <c r="P288" i="7944"/>
  <c r="P384" i="7944"/>
  <c r="P152" i="7944"/>
  <c r="P259" i="7944"/>
  <c r="P105" i="7944"/>
  <c r="P376" i="7944"/>
  <c r="P304" i="7944"/>
  <c r="P119" i="7944"/>
  <c r="P398" i="7944"/>
  <c r="P247" i="7944"/>
  <c r="P240" i="7944"/>
  <c r="P244" i="7944"/>
  <c r="P282" i="7944"/>
  <c r="P469" i="7944"/>
  <c r="P198" i="7944"/>
  <c r="P408" i="7944"/>
  <c r="P467" i="7944"/>
  <c r="P206" i="7944"/>
  <c r="P158" i="7944"/>
  <c r="P330" i="7944"/>
  <c r="Q3" i="7944"/>
  <c r="P164" i="7944"/>
  <c r="P372" i="7944"/>
  <c r="P74" i="7944"/>
  <c r="P446" i="7944"/>
  <c r="P459" i="7944"/>
  <c r="P135" i="7944"/>
  <c r="P192" i="7944"/>
  <c r="P214" i="7944"/>
  <c r="P176" i="7944"/>
  <c r="P428" i="7944"/>
  <c r="P246" i="7944"/>
  <c r="P352" i="7944"/>
  <c r="P268" i="7944"/>
  <c r="P481" i="7944"/>
  <c r="P270" i="7944"/>
  <c r="P102" i="7944"/>
  <c r="P430" i="7944"/>
  <c r="P343" i="7944"/>
  <c r="P236" i="7944"/>
  <c r="P264" i="7944"/>
  <c r="P331" i="7944"/>
  <c r="P170" i="7944"/>
  <c r="P464" i="7944"/>
  <c r="P314" i="7944"/>
  <c r="P413" i="7944"/>
  <c r="P443" i="7944"/>
  <c r="P432" i="7944"/>
  <c r="P108" i="7944"/>
  <c r="P90" i="7944"/>
  <c r="P315" i="7944"/>
  <c r="P410" i="7944"/>
  <c r="P205" i="7944"/>
  <c r="P256" i="7944"/>
  <c r="P485" i="7944"/>
  <c r="P116" i="7944"/>
  <c r="P344" i="7944"/>
  <c r="P92" i="7944"/>
  <c r="P389" i="7944"/>
  <c r="P291" i="7944"/>
  <c r="P94" i="7944"/>
  <c r="P362" i="7944"/>
  <c r="P76" i="7944"/>
  <c r="P148" i="7944"/>
  <c r="P457" i="7944"/>
  <c r="P345" i="7944"/>
  <c r="P329" i="7944"/>
  <c r="P190" i="7944"/>
  <c r="P303" i="7944"/>
  <c r="P156" i="7944"/>
  <c r="P394" i="7944"/>
  <c r="P184" i="7944"/>
  <c r="P424" i="7944"/>
  <c r="P166" i="7944"/>
  <c r="P80" i="7944"/>
  <c r="P235" i="7944"/>
  <c r="P306" i="7944"/>
  <c r="P138" i="7944"/>
  <c r="P486" i="7944"/>
  <c r="P200" i="7944"/>
  <c r="P212" i="7944"/>
  <c r="P369" i="7944"/>
  <c r="P388" i="7944"/>
  <c r="P177" i="7944"/>
  <c r="P249" i="7944"/>
  <c r="P86" i="7944"/>
  <c r="P380" i="7944"/>
  <c r="P300" i="7944"/>
  <c r="P442" i="7944"/>
  <c r="P228" i="7944"/>
  <c r="P204" i="7944"/>
  <c r="P91" i="7944"/>
  <c r="P263" i="7944"/>
  <c r="P444" i="7944"/>
  <c r="P121" i="7944"/>
  <c r="P72" i="7944"/>
  <c r="P397" i="7944"/>
  <c r="P120" i="7944"/>
  <c r="P401" i="7944"/>
  <c r="P292" i="7944"/>
  <c r="P482" i="7944"/>
  <c r="P414" i="7944"/>
  <c r="P188" i="7944"/>
  <c r="P412" i="7944"/>
  <c r="P453" i="7944"/>
  <c r="P418" i="7944"/>
  <c r="P89" i="7944"/>
  <c r="P132" i="7944"/>
  <c r="P484" i="7944"/>
  <c r="P327" i="7944"/>
  <c r="P104" i="7944"/>
  <c r="P160" i="7944"/>
  <c r="P290" i="7944"/>
  <c r="P354" i="7944"/>
  <c r="P400" i="7944"/>
  <c r="P403" i="7944"/>
  <c r="P161" i="7944"/>
  <c r="P375" i="7944"/>
  <c r="P356" i="7944"/>
  <c r="P136" i="7944"/>
  <c r="P261" i="7944"/>
  <c r="P452" i="7944"/>
  <c r="P258" i="7944"/>
  <c r="P438" i="7944"/>
  <c r="P361" i="7944"/>
  <c r="P82" i="7944"/>
  <c r="P287" i="7944"/>
  <c r="P387" i="7944"/>
  <c r="P480" i="7944"/>
  <c r="P194" i="7944"/>
  <c r="P312" i="7944"/>
  <c r="P487" i="7944"/>
  <c r="P427" i="7944"/>
  <c r="P313" i="7944"/>
  <c r="P100" i="7944"/>
  <c r="P385" i="7944"/>
  <c r="P130" i="7944"/>
  <c r="P450" i="7944"/>
  <c r="P402" i="7944"/>
  <c r="P123" i="7944"/>
  <c r="P248" i="7944"/>
  <c r="P373" i="7944"/>
  <c r="P284" i="7944"/>
  <c r="P124" i="7944"/>
  <c r="P133" i="7944"/>
  <c r="P445" i="7944"/>
  <c r="P271" i="7944"/>
  <c r="P298" i="7944"/>
  <c r="P109" i="7944"/>
  <c r="P207" i="7944"/>
  <c r="P318" i="7944"/>
  <c r="P147" i="7944"/>
  <c r="P431" i="7944"/>
  <c r="P262" i="7944"/>
  <c r="P302" i="7944"/>
  <c r="P328" i="7944"/>
  <c r="P187" i="7944"/>
  <c r="P310" i="7944"/>
  <c r="P250" i="7944"/>
  <c r="P276" i="7944"/>
  <c r="P468" i="7944"/>
  <c r="P346" i="7944"/>
  <c r="P107" i="7944"/>
  <c r="P471" i="7944"/>
  <c r="P245" i="7944"/>
  <c r="P383" i="7944"/>
  <c r="O155" i="7942"/>
  <c r="Q154" i="7942"/>
  <c r="N284" i="7942"/>
  <c r="P283" i="7942"/>
  <c r="O284" i="7942" s="1"/>
  <c r="K695" i="18"/>
  <c r="K531" i="18" s="1"/>
  <c r="K100" i="7941" s="1"/>
  <c r="L36" i="7941" s="1"/>
  <c r="N123" i="7942"/>
  <c r="P122" i="7942"/>
  <c r="K692" i="18"/>
  <c r="K528" i="18" s="1"/>
  <c r="K97" i="7941" s="1"/>
  <c r="L33" i="7941" s="1"/>
  <c r="J437" i="18"/>
  <c r="J666" i="18"/>
  <c r="Q314" i="7942"/>
  <c r="Q349" i="7941" s="1"/>
  <c r="P314" i="7942"/>
  <c r="K222" i="7941"/>
  <c r="L30" i="7941"/>
  <c r="L680" i="18"/>
  <c r="L516" i="18" s="1"/>
  <c r="L85" i="7941" s="1"/>
  <c r="L213" i="7941" s="1"/>
  <c r="M316" i="7942"/>
  <c r="M350" i="7941" s="1"/>
  <c r="O315" i="7942"/>
  <c r="O145" i="7942"/>
  <c r="Q144" i="7942"/>
  <c r="O312" i="7942"/>
  <c r="Q311" i="7942"/>
  <c r="K684" i="18"/>
  <c r="K520" i="18" s="1"/>
  <c r="K89" i="7941" s="1"/>
  <c r="K217" i="7941" s="1"/>
  <c r="M121" i="7942"/>
  <c r="M269" i="7941" s="1"/>
  <c r="N107" i="7942"/>
  <c r="M168" i="7942" s="1"/>
  <c r="O120" i="7942"/>
  <c r="K676" i="18"/>
  <c r="K512" i="18" s="1"/>
  <c r="K81" i="7941" s="1"/>
  <c r="L17" i="7941" s="1"/>
  <c r="Q395" i="18"/>
  <c r="L671" i="18"/>
  <c r="L507" i="18" s="1"/>
  <c r="L76" i="7941" s="1"/>
  <c r="L204" i="7941" s="1"/>
  <c r="M439" i="18"/>
  <c r="M667" i="18" s="1"/>
  <c r="M503" i="18" s="1"/>
  <c r="M72" i="7941" s="1"/>
  <c r="L447" i="18"/>
  <c r="M442" i="18"/>
  <c r="M670" i="18" s="1"/>
  <c r="M506" i="18" s="1"/>
  <c r="M75" i="7941" s="1"/>
  <c r="M444" i="18"/>
  <c r="M672" i="18" s="1"/>
  <c r="M508" i="18" s="1"/>
  <c r="M77" i="7941" s="1"/>
  <c r="I70" i="7941"/>
  <c r="I199" i="7941"/>
  <c r="I198" i="7941" s="1"/>
  <c r="J7" i="7941"/>
  <c r="O133" i="7942"/>
  <c r="Q132" i="7942"/>
  <c r="Q167" i="7942"/>
  <c r="Q292" i="7941" s="1"/>
  <c r="P167" i="7942"/>
  <c r="P328" i="7942"/>
  <c r="Q328" i="7942"/>
  <c r="Q356" i="7941" s="1"/>
  <c r="O326" i="7942"/>
  <c r="Q325" i="7942"/>
  <c r="O117" i="7942"/>
  <c r="N296" i="7942"/>
  <c r="P295" i="7942"/>
  <c r="O296" i="7942" s="1"/>
  <c r="Q161" i="7942"/>
  <c r="Q289" i="7941" s="1"/>
  <c r="P161" i="7942"/>
  <c r="L678" i="18"/>
  <c r="L514" i="18" s="1"/>
  <c r="L83" i="7941" s="1"/>
  <c r="L211" i="7941" s="1"/>
  <c r="T640" i="18"/>
  <c r="L631" i="18"/>
  <c r="N276" i="7942"/>
  <c r="P275" i="7942"/>
  <c r="L681" i="18"/>
  <c r="L517" i="18" s="1"/>
  <c r="L86" i="7941" s="1"/>
  <c r="L214" i="7941" s="1"/>
  <c r="O111" i="7942"/>
  <c r="P137" i="7942"/>
  <c r="Q137" i="7942"/>
  <c r="Q277" i="7941" s="1"/>
  <c r="M290" i="7942"/>
  <c r="M337" i="7941" s="1"/>
  <c r="O289" i="7942"/>
  <c r="N139" i="7942"/>
  <c r="P138" i="7942"/>
  <c r="O139" i="7942" s="1"/>
  <c r="Q134" i="7942"/>
  <c r="P294" i="7942"/>
  <c r="Q294" i="7942"/>
  <c r="Q339" i="7941" s="1"/>
  <c r="K669" i="18"/>
  <c r="K505" i="18" s="1"/>
  <c r="K74" i="7941" s="1"/>
  <c r="N163" i="7942"/>
  <c r="P162" i="7942"/>
  <c r="O163" i="7942" s="1"/>
  <c r="K446" i="18"/>
  <c r="M466" i="18"/>
  <c r="M694" i="18" s="1"/>
  <c r="M530" i="18" s="1"/>
  <c r="M99" i="7941" s="1"/>
  <c r="N111" i="7942"/>
  <c r="P4" i="7941"/>
  <c r="P74" i="1"/>
  <c r="P108" i="1" s="1"/>
  <c r="P4" i="7944"/>
  <c r="P142" i="1"/>
  <c r="P4" i="7942"/>
  <c r="P4" i="18"/>
  <c r="P176" i="1"/>
  <c r="K15" i="7941"/>
  <c r="J207" i="7941"/>
  <c r="N274" i="7942"/>
  <c r="P273" i="7942"/>
  <c r="K693" i="18"/>
  <c r="K529" i="18" s="1"/>
  <c r="K98" i="7941" s="1"/>
  <c r="K226" i="7941" s="1"/>
  <c r="Q279" i="7942"/>
  <c r="M383" i="7941" l="1"/>
  <c r="P302" i="7942"/>
  <c r="Q308" i="7942"/>
  <c r="Q346" i="7941" s="1"/>
  <c r="W342" i="7958"/>
  <c r="W792" i="7958"/>
  <c r="W803" i="7958" s="1"/>
  <c r="W366" i="7958"/>
  <c r="R582" i="7958"/>
  <c r="R743" i="7958" s="1"/>
  <c r="R746" i="7958" s="1"/>
  <c r="R794" i="7958" s="1"/>
  <c r="R786" i="7958"/>
  <c r="R797" i="7958" s="1"/>
  <c r="S627" i="7958"/>
  <c r="R714" i="7958"/>
  <c r="S496" i="7958"/>
  <c r="R583" i="7958"/>
  <c r="T615" i="7958"/>
  <c r="R772" i="7958"/>
  <c r="Q300" i="7942"/>
  <c r="Q342" i="7941" s="1"/>
  <c r="Q141" i="7942"/>
  <c r="Q279" i="7941" s="1"/>
  <c r="O127" i="7942"/>
  <c r="Q324" i="7942"/>
  <c r="Q354" i="7941" s="1"/>
  <c r="Q130" i="7942"/>
  <c r="P131" i="7942" s="1"/>
  <c r="P147" i="7942"/>
  <c r="Q277" i="7942"/>
  <c r="P278" i="7942" s="1"/>
  <c r="Q291" i="7942"/>
  <c r="P292" i="7942" s="1"/>
  <c r="Q310" i="7942"/>
  <c r="Q347" i="7941" s="1"/>
  <c r="P320" i="7942"/>
  <c r="O298" i="7942"/>
  <c r="P157" i="7942"/>
  <c r="Q306" i="7942"/>
  <c r="Q345" i="7941" s="1"/>
  <c r="Q152" i="7942"/>
  <c r="P153" i="7942" s="1"/>
  <c r="P321" i="7942"/>
  <c r="O322" i="7942" s="1"/>
  <c r="Q270" i="7942"/>
  <c r="Q327" i="7941" s="1"/>
  <c r="N335" i="7941"/>
  <c r="P43" i="18"/>
  <c r="P318" i="7942"/>
  <c r="Q318" i="7942"/>
  <c r="Q351" i="7941" s="1"/>
  <c r="Q113" i="7942"/>
  <c r="Q265" i="7941" s="1"/>
  <c r="P113" i="7942"/>
  <c r="P282" i="7942"/>
  <c r="Q282" i="7942"/>
  <c r="Q333" i="7941" s="1"/>
  <c r="L25" i="7941"/>
  <c r="Q158" i="7942"/>
  <c r="Q159" i="7942" s="1"/>
  <c r="Q288" i="7941" s="1"/>
  <c r="Q288" i="7942"/>
  <c r="Q336" i="7941" s="1"/>
  <c r="P288" i="7942"/>
  <c r="P165" i="7942"/>
  <c r="O107" i="7942"/>
  <c r="N168" i="7942" s="1"/>
  <c r="Q272" i="7942"/>
  <c r="Q328" i="7941" s="1"/>
  <c r="P272" i="7942"/>
  <c r="L223" i="7941"/>
  <c r="N264" i="7941"/>
  <c r="Q321" i="7942"/>
  <c r="P322" i="7942" s="1"/>
  <c r="Q125" i="7942"/>
  <c r="Q271" i="7941" s="1"/>
  <c r="P125" i="7942"/>
  <c r="M359" i="7941"/>
  <c r="Q119" i="7942"/>
  <c r="Q268" i="7941" s="1"/>
  <c r="P119" i="7942"/>
  <c r="M374" i="7941"/>
  <c r="N329" i="7941"/>
  <c r="M370" i="7941"/>
  <c r="M379" i="7941"/>
  <c r="P304" i="7942"/>
  <c r="Q304" i="7942"/>
  <c r="Q344" i="7941" s="1"/>
  <c r="Q151" i="7942"/>
  <c r="Q284" i="7941" s="1"/>
  <c r="P151" i="7942"/>
  <c r="M384" i="7941"/>
  <c r="M377" i="7941"/>
  <c r="M366" i="7941"/>
  <c r="M360" i="7941"/>
  <c r="M376" i="7941"/>
  <c r="M361" i="7941"/>
  <c r="N330" i="7941"/>
  <c r="M382" i="7941"/>
  <c r="N290" i="7941"/>
  <c r="L215" i="7941"/>
  <c r="N270" i="7941"/>
  <c r="M386" i="7941"/>
  <c r="M381" i="7941"/>
  <c r="N280" i="7941"/>
  <c r="L219" i="7941"/>
  <c r="N340" i="7941"/>
  <c r="N278" i="7941"/>
  <c r="N334" i="7941"/>
  <c r="N283" i="7941"/>
  <c r="L218" i="7941"/>
  <c r="M388" i="7941"/>
  <c r="M454" i="18"/>
  <c r="M682" i="18" s="1"/>
  <c r="M518" i="18" s="1"/>
  <c r="M87" i="7941" s="1"/>
  <c r="M380" i="7941"/>
  <c r="M375" i="7941"/>
  <c r="M364" i="7941"/>
  <c r="M450" i="18"/>
  <c r="M678" i="18" s="1"/>
  <c r="M514" i="18" s="1"/>
  <c r="M83" i="7941" s="1"/>
  <c r="Q7" i="7944"/>
  <c r="F289" i="7955"/>
  <c r="E290" i="7955"/>
  <c r="F290" i="7955" s="1"/>
  <c r="F454" i="7955"/>
  <c r="E455" i="7955"/>
  <c r="F455" i="7955" s="1"/>
  <c r="O312" i="7941"/>
  <c r="N351" i="7941"/>
  <c r="O240" i="7941"/>
  <c r="O297" i="7941"/>
  <c r="O259" i="7941"/>
  <c r="O295" i="7941"/>
  <c r="O248" i="7941"/>
  <c r="O318" i="7941"/>
  <c r="N273" i="7941"/>
  <c r="O316" i="7941"/>
  <c r="N342" i="7941"/>
  <c r="O319" i="7941"/>
  <c r="N327" i="7941"/>
  <c r="O249" i="7941"/>
  <c r="O300" i="7941"/>
  <c r="N355" i="7941"/>
  <c r="N288" i="7941"/>
  <c r="N263" i="7941"/>
  <c r="N336" i="7941"/>
  <c r="N347" i="7941"/>
  <c r="O304" i="7941"/>
  <c r="N328" i="7941"/>
  <c r="O236" i="7941"/>
  <c r="N271" i="7941"/>
  <c r="O246" i="7941"/>
  <c r="N345" i="7941"/>
  <c r="O247" i="7941"/>
  <c r="O234" i="7941"/>
  <c r="O235" i="7941"/>
  <c r="O313" i="7941"/>
  <c r="O323" i="7941"/>
  <c r="O324" i="7941"/>
  <c r="N344" i="7941"/>
  <c r="O303" i="7941"/>
  <c r="N338" i="7941"/>
  <c r="N343" i="7941"/>
  <c r="N287" i="7941"/>
  <c r="O317" i="7941"/>
  <c r="O322" i="7941"/>
  <c r="O237" i="7941"/>
  <c r="O308" i="7941"/>
  <c r="O315" i="7941"/>
  <c r="N339" i="7941"/>
  <c r="O305" i="7941"/>
  <c r="N277" i="7941"/>
  <c r="O244" i="7941"/>
  <c r="O321" i="7941"/>
  <c r="O245" i="7941"/>
  <c r="N289" i="7941"/>
  <c r="O238" i="7941"/>
  <c r="O302" i="7941"/>
  <c r="N354" i="7941"/>
  <c r="O250" i="7941"/>
  <c r="N349" i="7941"/>
  <c r="O296" i="7941"/>
  <c r="O260" i="7941"/>
  <c r="O257" i="7941"/>
  <c r="O253" i="7941"/>
  <c r="N292" i="7941"/>
  <c r="O256" i="7941"/>
  <c r="O232" i="7941"/>
  <c r="O254" i="7941"/>
  <c r="O310" i="7941"/>
  <c r="O242" i="7941"/>
  <c r="O306" i="7941"/>
  <c r="N279" i="7941"/>
  <c r="O252" i="7941"/>
  <c r="N332" i="7941"/>
  <c r="N291" i="7941"/>
  <c r="N341" i="7941"/>
  <c r="N346" i="7941"/>
  <c r="O258" i="7941"/>
  <c r="O299" i="7941"/>
  <c r="N272" i="7941"/>
  <c r="O233" i="7941"/>
  <c r="O311" i="7941"/>
  <c r="O320" i="7941"/>
  <c r="O307" i="7941"/>
  <c r="O243" i="7941"/>
  <c r="N285" i="7941"/>
  <c r="O314" i="7941"/>
  <c r="O309" i="7941"/>
  <c r="N268" i="7941"/>
  <c r="N265" i="7941"/>
  <c r="N352" i="7941"/>
  <c r="O255" i="7941"/>
  <c r="O241" i="7941"/>
  <c r="O231" i="7941"/>
  <c r="N282" i="7941"/>
  <c r="O301" i="7941"/>
  <c r="N356" i="7941"/>
  <c r="O251" i="7941"/>
  <c r="N333" i="7941"/>
  <c r="N266" i="7941"/>
  <c r="N284" i="7941"/>
  <c r="O239" i="7941"/>
  <c r="O298" i="7941"/>
  <c r="F214" i="7955"/>
  <c r="E215" i="7955"/>
  <c r="F215" i="7955" s="1"/>
  <c r="F169" i="7955"/>
  <c r="E170" i="7955"/>
  <c r="F170" i="7955" s="1"/>
  <c r="F229" i="7955"/>
  <c r="E230" i="7955"/>
  <c r="F230" i="7955" s="1"/>
  <c r="F349" i="7955"/>
  <c r="E350" i="7955"/>
  <c r="F350" i="7955" s="1"/>
  <c r="F259" i="7955"/>
  <c r="E260" i="7955"/>
  <c r="F260" i="7955" s="1"/>
  <c r="N274" i="7941"/>
  <c r="M362" i="7941"/>
  <c r="M367" i="7941"/>
  <c r="N294" i="7941"/>
  <c r="F424" i="7955"/>
  <c r="E425" i="7955"/>
  <c r="F425" i="7955" s="1"/>
  <c r="Q368" i="18"/>
  <c r="Q656" i="18" s="1"/>
  <c r="Q526" i="18" s="1"/>
  <c r="Q95" i="7941" s="1"/>
  <c r="Q169" i="7944"/>
  <c r="Q449" i="7944"/>
  <c r="Q16" i="7941"/>
  <c r="Q227" i="7941"/>
  <c r="Q393" i="7944"/>
  <c r="R35" i="7944"/>
  <c r="R452" i="18"/>
  <c r="Q9" i="7941"/>
  <c r="Q17" i="7941"/>
  <c r="R25" i="7944"/>
  <c r="Q127" i="7944"/>
  <c r="R13" i="7944"/>
  <c r="Q56" i="18"/>
  <c r="Q134" i="18"/>
  <c r="Q638" i="18" s="1"/>
  <c r="Q508" i="18" s="1"/>
  <c r="Q77" i="7941" s="1"/>
  <c r="R24" i="7944"/>
  <c r="Q210" i="7941"/>
  <c r="R31" i="7944"/>
  <c r="R37" i="7944"/>
  <c r="Q155" i="7944"/>
  <c r="Q27" i="7941"/>
  <c r="Q225" i="7944"/>
  <c r="Q200" i="7941"/>
  <c r="R33" i="7944"/>
  <c r="Q7" i="7941"/>
  <c r="Q209" i="7941"/>
  <c r="Q208" i="7941"/>
  <c r="Q342" i="18"/>
  <c r="Q654" i="18" s="1"/>
  <c r="Q524" i="18" s="1"/>
  <c r="Q93" i="7941" s="1"/>
  <c r="Q228" i="7941"/>
  <c r="Q108" i="18"/>
  <c r="Q636" i="18" s="1"/>
  <c r="Q506" i="18" s="1"/>
  <c r="Q75" i="7941" s="1"/>
  <c r="Q211" i="7944"/>
  <c r="R462" i="18"/>
  <c r="Q407" i="7944"/>
  <c r="Q295" i="7944"/>
  <c r="R466" i="18"/>
  <c r="Q251" i="18"/>
  <c r="Q647" i="18" s="1"/>
  <c r="Q517" i="18" s="1"/>
  <c r="Q86" i="7941" s="1"/>
  <c r="Q253" i="7944"/>
  <c r="Q201" i="7941"/>
  <c r="R19" i="7944"/>
  <c r="Q225" i="7941"/>
  <c r="Q220" i="7941"/>
  <c r="R15" i="7944"/>
  <c r="Q222" i="7941"/>
  <c r="Q113" i="7944"/>
  <c r="Q21" i="7941"/>
  <c r="R443" i="18"/>
  <c r="R450" i="18"/>
  <c r="Q226" i="7941"/>
  <c r="Q323" i="7944"/>
  <c r="R447" i="18"/>
  <c r="R439" i="18"/>
  <c r="R21" i="7944"/>
  <c r="R453" i="18"/>
  <c r="Q11" i="7941"/>
  <c r="R457" i="18"/>
  <c r="Q365" i="7944"/>
  <c r="R454" i="18"/>
  <c r="Q224" i="7941"/>
  <c r="R26" i="7944"/>
  <c r="Q35" i="7941"/>
  <c r="Q33" i="7941"/>
  <c r="Q31" i="7941"/>
  <c r="R459" i="18"/>
  <c r="Q186" i="18"/>
  <c r="Q642" i="18" s="1"/>
  <c r="Q512" i="18" s="1"/>
  <c r="Q81" i="7941" s="1"/>
  <c r="Q212" i="7941"/>
  <c r="R441" i="18"/>
  <c r="Q141" i="7944"/>
  <c r="Q216" i="7941"/>
  <c r="Q219" i="7941"/>
  <c r="Q351" i="7944"/>
  <c r="Q477" i="7944"/>
  <c r="Q203" i="7941"/>
  <c r="Q26" i="7941"/>
  <c r="Q381" i="18"/>
  <c r="Q657" i="18" s="1"/>
  <c r="Q527" i="18" s="1"/>
  <c r="Q96" i="7941" s="1"/>
  <c r="Q277" i="18"/>
  <c r="Q649" i="18" s="1"/>
  <c r="Q519" i="18" s="1"/>
  <c r="Q88" i="7941" s="1"/>
  <c r="Q147" i="18"/>
  <c r="Q639" i="18" s="1"/>
  <c r="Q509" i="18" s="1"/>
  <c r="Q78" i="7941" s="1"/>
  <c r="Q281" i="7944"/>
  <c r="Q223" i="7941"/>
  <c r="Q197" i="7944"/>
  <c r="R20" i="7944"/>
  <c r="Q19" i="7941"/>
  <c r="Q10" i="7941"/>
  <c r="Q218" i="7941"/>
  <c r="R22" i="7944"/>
  <c r="R36" i="7944"/>
  <c r="Q355" i="18"/>
  <c r="Q655" i="18" s="1"/>
  <c r="Q525" i="18" s="1"/>
  <c r="Q94" i="7941" s="1"/>
  <c r="R449" i="18"/>
  <c r="Q421" i="7944"/>
  <c r="R460" i="18"/>
  <c r="R458" i="18"/>
  <c r="R29" i="7944"/>
  <c r="Q212" i="18"/>
  <c r="Q644" i="18" s="1"/>
  <c r="Q514" i="18" s="1"/>
  <c r="Q83" i="7941" s="1"/>
  <c r="Q20" i="7941"/>
  <c r="Q34" i="7941"/>
  <c r="R30" i="7944"/>
  <c r="Q207" i="7941"/>
  <c r="R34" i="7944"/>
  <c r="R438" i="18"/>
  <c r="Q85" i="7944"/>
  <c r="Q329" i="18"/>
  <c r="Q653" i="18" s="1"/>
  <c r="Q523" i="18" s="1"/>
  <c r="Q92" i="7941" s="1"/>
  <c r="Q199" i="7941"/>
  <c r="Q303" i="18"/>
  <c r="Q651" i="18" s="1"/>
  <c r="Q521" i="18" s="1"/>
  <c r="Q90" i="7941" s="1"/>
  <c r="Q22" i="7941"/>
  <c r="Q205" i="7941"/>
  <c r="Q18" i="7941"/>
  <c r="Q221" i="7941"/>
  <c r="R446" i="18"/>
  <c r="Q491" i="7944"/>
  <c r="Q32" i="7941"/>
  <c r="Q199" i="18"/>
  <c r="Q643" i="18" s="1"/>
  <c r="Q513" i="18" s="1"/>
  <c r="Q82" i="7941" s="1"/>
  <c r="Q238" i="18"/>
  <c r="Q646" i="18" s="1"/>
  <c r="Q516" i="18" s="1"/>
  <c r="Q85" i="7941" s="1"/>
  <c r="Q433" i="18"/>
  <c r="Q661" i="18" s="1"/>
  <c r="Q531" i="18" s="1"/>
  <c r="Q100" i="7941" s="1"/>
  <c r="Q30" i="7941"/>
  <c r="Q202" i="7941"/>
  <c r="R444" i="18"/>
  <c r="R456" i="18"/>
  <c r="Q160" i="18"/>
  <c r="Q640" i="18" s="1"/>
  <c r="Q510" i="18" s="1"/>
  <c r="Q79" i="7941" s="1"/>
  <c r="Q15" i="7941"/>
  <c r="R32" i="7944"/>
  <c r="Q337" i="7944"/>
  <c r="Q316" i="18"/>
  <c r="Q652" i="18" s="1"/>
  <c r="Q522" i="18" s="1"/>
  <c r="Q91" i="7941" s="1"/>
  <c r="Q290" i="18"/>
  <c r="Q650" i="18" s="1"/>
  <c r="Q520" i="18" s="1"/>
  <c r="Q89" i="7941" s="1"/>
  <c r="Q25" i="7941"/>
  <c r="Q8" i="7941"/>
  <c r="R17" i="7944"/>
  <c r="Q379" i="7944"/>
  <c r="Q24" i="7941"/>
  <c r="R448" i="18"/>
  <c r="Q13" i="7941"/>
  <c r="Q215" i="7941"/>
  <c r="Q82" i="18"/>
  <c r="Q634" i="18" s="1"/>
  <c r="Q504" i="18" s="1"/>
  <c r="Q73" i="7941" s="1"/>
  <c r="R463" i="18"/>
  <c r="Q29" i="7941"/>
  <c r="Q12" i="7941"/>
  <c r="R18" i="7944"/>
  <c r="R8" i="7944"/>
  <c r="Q173" i="18"/>
  <c r="Q641" i="18" s="1"/>
  <c r="Q511" i="18" s="1"/>
  <c r="Q80" i="7941" s="1"/>
  <c r="Q204" i="7941"/>
  <c r="Q217" i="7941"/>
  <c r="Q394" i="18"/>
  <c r="Q658" i="18" s="1"/>
  <c r="Q528" i="18" s="1"/>
  <c r="Q97" i="7941" s="1"/>
  <c r="R16" i="7944"/>
  <c r="Q267" i="7944"/>
  <c r="Q407" i="18"/>
  <c r="Q659" i="18" s="1"/>
  <c r="Q529" i="18" s="1"/>
  <c r="Q98" i="7941" s="1"/>
  <c r="R442" i="18"/>
  <c r="Q28" i="7941"/>
  <c r="Q121" i="18"/>
  <c r="Q637" i="18" s="1"/>
  <c r="Q507" i="18" s="1"/>
  <c r="Q76" i="7941" s="1"/>
  <c r="Q99" i="7944"/>
  <c r="R465" i="18"/>
  <c r="Q183" i="7944"/>
  <c r="Q214" i="7941"/>
  <c r="R27" i="7944"/>
  <c r="Q239" i="7944"/>
  <c r="R451" i="18"/>
  <c r="Q463" i="7944"/>
  <c r="Q420" i="18"/>
  <c r="Q660" i="18" s="1"/>
  <c r="Q530" i="18" s="1"/>
  <c r="Q99" i="7941" s="1"/>
  <c r="Q36" i="7941"/>
  <c r="R440" i="18"/>
  <c r="R14" i="7944"/>
  <c r="R455" i="18"/>
  <c r="Q211" i="7941"/>
  <c r="R467" i="18"/>
  <c r="Q206" i="7941"/>
  <c r="Q95" i="18"/>
  <c r="Q635" i="18" s="1"/>
  <c r="Q505" i="18" s="1"/>
  <c r="Q74" i="7941" s="1"/>
  <c r="Q213" i="7941"/>
  <c r="R9" i="7944"/>
  <c r="R23" i="7944"/>
  <c r="R445" i="18"/>
  <c r="Q14" i="7941"/>
  <c r="R12" i="7944"/>
  <c r="R464" i="18"/>
  <c r="R11" i="7944"/>
  <c r="Q23" i="7941"/>
  <c r="R28" i="7944"/>
  <c r="Q435" i="7944"/>
  <c r="R10" i="7944"/>
  <c r="R461" i="18"/>
  <c r="Q264" i="18"/>
  <c r="Q648" i="18" s="1"/>
  <c r="Q518" i="18" s="1"/>
  <c r="Q87" i="7941" s="1"/>
  <c r="Q309" i="7944"/>
  <c r="Q225" i="18"/>
  <c r="Q645" i="18" s="1"/>
  <c r="Q515" i="18" s="1"/>
  <c r="Q84" i="7941" s="1"/>
  <c r="Q69" i="18"/>
  <c r="Q633" i="18" s="1"/>
  <c r="Q503" i="18" s="1"/>
  <c r="Q72" i="7941" s="1"/>
  <c r="F364" i="7955"/>
  <c r="E365" i="7955"/>
  <c r="F365" i="7955" s="1"/>
  <c r="N276" i="7941"/>
  <c r="N353" i="7941"/>
  <c r="F439" i="7955"/>
  <c r="E440" i="7955"/>
  <c r="F440" i="7955" s="1"/>
  <c r="F49" i="7955"/>
  <c r="E50" i="7955"/>
  <c r="F244" i="7955"/>
  <c r="E245" i="7955"/>
  <c r="F245" i="7955" s="1"/>
  <c r="N275" i="7941"/>
  <c r="M373" i="7941"/>
  <c r="F79" i="7955"/>
  <c r="E80" i="7955"/>
  <c r="E380" i="7955"/>
  <c r="F380" i="7955" s="1"/>
  <c r="F379" i="7955"/>
  <c r="F64" i="7955"/>
  <c r="E65" i="7955"/>
  <c r="N331" i="7941"/>
  <c r="N267" i="7941"/>
  <c r="P6" i="7941"/>
  <c r="P632" i="18"/>
  <c r="F154" i="7955"/>
  <c r="E155" i="7955"/>
  <c r="F155" i="7955" s="1"/>
  <c r="F94" i="7955"/>
  <c r="E95" i="7955"/>
  <c r="O631" i="18"/>
  <c r="O502" i="18"/>
  <c r="N501" i="18"/>
  <c r="N71" i="7941"/>
  <c r="N70" i="7941" s="1"/>
  <c r="F334" i="7955"/>
  <c r="E335" i="7955"/>
  <c r="F335" i="7955" s="1"/>
  <c r="F319" i="7955"/>
  <c r="E320" i="7955"/>
  <c r="F320" i="7955" s="1"/>
  <c r="F139" i="7955"/>
  <c r="E140" i="7955"/>
  <c r="F140" i="7955" s="1"/>
  <c r="F124" i="7955"/>
  <c r="E125" i="7955"/>
  <c r="F125" i="7955" s="1"/>
  <c r="F409" i="7955"/>
  <c r="E410" i="7955"/>
  <c r="F410" i="7955" s="1"/>
  <c r="N230" i="7941"/>
  <c r="M378" i="7941"/>
  <c r="M371" i="7941"/>
  <c r="P469" i="18"/>
  <c r="P39" i="7941"/>
  <c r="P38" i="7941" s="1"/>
  <c r="F34" i="7955"/>
  <c r="E35" i="7955"/>
  <c r="N286" i="7941"/>
  <c r="N348" i="7941"/>
  <c r="P198" i="7941"/>
  <c r="O275" i="7941" s="1"/>
  <c r="Q437" i="18"/>
  <c r="Q666" i="18"/>
  <c r="Q665" i="18" s="1"/>
  <c r="P71" i="7944"/>
  <c r="F304" i="7955"/>
  <c r="E305" i="7955"/>
  <c r="F305" i="7955" s="1"/>
  <c r="F199" i="7955"/>
  <c r="E200" i="7955"/>
  <c r="F200" i="7955" s="1"/>
  <c r="F109" i="7955"/>
  <c r="E110" i="7955"/>
  <c r="F274" i="7955"/>
  <c r="E275" i="7955"/>
  <c r="F275" i="7955" s="1"/>
  <c r="F184" i="7955"/>
  <c r="E185" i="7955"/>
  <c r="F185" i="7955" s="1"/>
  <c r="F394" i="7955"/>
  <c r="E395" i="7955"/>
  <c r="F395" i="7955" s="1"/>
  <c r="Q11" i="18"/>
  <c r="E19" i="7955"/>
  <c r="Q470" i="18"/>
  <c r="N281" i="7941"/>
  <c r="Q298" i="7942"/>
  <c r="Q341" i="7941" s="1"/>
  <c r="P298" i="7942"/>
  <c r="Q295" i="7942"/>
  <c r="Q296" i="7942" s="1"/>
  <c r="Q340" i="7941" s="1"/>
  <c r="Q286" i="7942"/>
  <c r="Q335" i="7941" s="1"/>
  <c r="P286" i="7942"/>
  <c r="K228" i="7941"/>
  <c r="M462" i="18"/>
  <c r="M690" i="18" s="1"/>
  <c r="M526" i="18" s="1"/>
  <c r="M95" i="7941" s="1"/>
  <c r="L456" i="18"/>
  <c r="L684" i="18" s="1"/>
  <c r="L520" i="18" s="1"/>
  <c r="L89" i="7941" s="1"/>
  <c r="K78" i="7941"/>
  <c r="L445" i="18"/>
  <c r="L673" i="18" s="1"/>
  <c r="L509" i="18" s="1"/>
  <c r="L78" i="7941" s="1"/>
  <c r="L441" i="18"/>
  <c r="L669" i="18" s="1"/>
  <c r="L505" i="18" s="1"/>
  <c r="L74" i="7941" s="1"/>
  <c r="M457" i="18"/>
  <c r="M685" i="18" s="1"/>
  <c r="M521" i="18" s="1"/>
  <c r="M90" i="7941" s="1"/>
  <c r="M458" i="18"/>
  <c r="M686" i="18" s="1"/>
  <c r="M522" i="18" s="1"/>
  <c r="M91" i="7941" s="1"/>
  <c r="M443" i="18"/>
  <c r="M671" i="18" s="1"/>
  <c r="M507" i="18" s="1"/>
  <c r="M76" i="7941" s="1"/>
  <c r="O143" i="7942"/>
  <c r="Q142" i="7942"/>
  <c r="Q138" i="7942"/>
  <c r="P139" i="7942" s="1"/>
  <c r="M451" i="18"/>
  <c r="M679" i="18" s="1"/>
  <c r="M515" i="18" s="1"/>
  <c r="M84" i="7941" s="1"/>
  <c r="L467" i="18"/>
  <c r="L695" i="18" s="1"/>
  <c r="L531" i="18" s="1"/>
  <c r="L100" i="7941" s="1"/>
  <c r="L228" i="7941" s="1"/>
  <c r="Q4" i="18"/>
  <c r="R4" i="18" s="1"/>
  <c r="Q176" i="1"/>
  <c r="Q74" i="1"/>
  <c r="Q108" i="1" s="1"/>
  <c r="Q4" i="7942"/>
  <c r="Q142" i="1"/>
  <c r="Q4" i="7944"/>
  <c r="R4" i="7944" s="1"/>
  <c r="Q4" i="7941"/>
  <c r="L34" i="7941"/>
  <c r="M369" i="7941"/>
  <c r="M326" i="7941"/>
  <c r="Q111" i="7942"/>
  <c r="Q264" i="7941" s="1"/>
  <c r="P111" i="7942"/>
  <c r="Q117" i="7942"/>
  <c r="Q267" i="7941" s="1"/>
  <c r="P117" i="7942"/>
  <c r="M365" i="7941"/>
  <c r="M262" i="7941"/>
  <c r="L675" i="18"/>
  <c r="L511" i="18" s="1"/>
  <c r="L80" i="7941" s="1"/>
  <c r="L208" i="7941" s="1"/>
  <c r="K225" i="7941"/>
  <c r="O274" i="7942"/>
  <c r="Q273" i="7942"/>
  <c r="O276" i="7942"/>
  <c r="Q275" i="7942"/>
  <c r="T631" i="18"/>
  <c r="L448" i="18"/>
  <c r="Q312" i="7942"/>
  <c r="Q348" i="7941" s="1"/>
  <c r="P312" i="7942"/>
  <c r="N316" i="7942"/>
  <c r="N350" i="7941" s="1"/>
  <c r="P315" i="7942"/>
  <c r="L222" i="7941"/>
  <c r="L464" i="18"/>
  <c r="O123" i="7942"/>
  <c r="Q122" i="7942"/>
  <c r="P280" i="7942"/>
  <c r="Q280" i="7942"/>
  <c r="Q332" i="7941" s="1"/>
  <c r="O268" i="7942"/>
  <c r="N329" i="7942" s="1"/>
  <c r="K674" i="18"/>
  <c r="K510" i="18" s="1"/>
  <c r="K79" i="7941" s="1"/>
  <c r="L15" i="7941" s="1"/>
  <c r="Q283" i="7942"/>
  <c r="N121" i="7942"/>
  <c r="N269" i="7941" s="1"/>
  <c r="P120" i="7942"/>
  <c r="K209" i="7941"/>
  <c r="L465" i="18"/>
  <c r="Q162" i="7942"/>
  <c r="K202" i="7941"/>
  <c r="L10" i="7941"/>
  <c r="P135" i="7942"/>
  <c r="Q135" i="7942"/>
  <c r="Q276" i="7941" s="1"/>
  <c r="N290" i="7942"/>
  <c r="N337" i="7941" s="1"/>
  <c r="P289" i="7942"/>
  <c r="M453" i="18"/>
  <c r="M681" i="18" s="1"/>
  <c r="M517" i="18" s="1"/>
  <c r="M86" i="7941" s="1"/>
  <c r="P326" i="7942"/>
  <c r="Q326" i="7942"/>
  <c r="Q355" i="7941" s="1"/>
  <c r="Q133" i="7942"/>
  <c r="Q275" i="7941" s="1"/>
  <c r="P133" i="7942"/>
  <c r="J6" i="7941"/>
  <c r="P145" i="7942"/>
  <c r="Q145" i="7942"/>
  <c r="Q281" i="7941" s="1"/>
  <c r="Q127" i="7942"/>
  <c r="Q272" i="7941" s="1"/>
  <c r="P127" i="7942"/>
  <c r="M452" i="18"/>
  <c r="M680" i="18" s="1"/>
  <c r="M516" i="18" s="1"/>
  <c r="M85" i="7941" s="1"/>
  <c r="J665" i="18"/>
  <c r="J502" i="18"/>
  <c r="P155" i="7942"/>
  <c r="Q155" i="7942"/>
  <c r="Q286" i="7941" s="1"/>
  <c r="Q291" i="7944"/>
  <c r="Q248" i="7944"/>
  <c r="Q178" i="7944"/>
  <c r="Q100" i="7944"/>
  <c r="Q148" i="7944"/>
  <c r="Q166" i="7944"/>
  <c r="Q359" i="7944"/>
  <c r="Q77" i="7944"/>
  <c r="Q195" i="7944"/>
  <c r="Q474" i="7944"/>
  <c r="Q306" i="7944"/>
  <c r="Q149" i="7944"/>
  <c r="Q456" i="7944"/>
  <c r="Q402" i="7944"/>
  <c r="Q344" i="7944"/>
  <c r="Q415" i="7944"/>
  <c r="Q95" i="7944"/>
  <c r="Q277" i="7944"/>
  <c r="Q418" i="7944"/>
  <c r="Q356" i="7944"/>
  <c r="Q136" i="7944"/>
  <c r="Q310" i="7944"/>
  <c r="Q86" i="7944"/>
  <c r="Q447" i="7944"/>
  <c r="Q343" i="7944"/>
  <c r="Q257" i="7944"/>
  <c r="Q232" i="7944"/>
  <c r="Q205" i="7944"/>
  <c r="Q346" i="7944"/>
  <c r="Q399" i="7944"/>
  <c r="Q170" i="7944"/>
  <c r="Q486" i="7944"/>
  <c r="Q416" i="7944"/>
  <c r="Q329" i="7944"/>
  <c r="Q469" i="7944"/>
  <c r="Q201" i="7944"/>
  <c r="Q198" i="7944"/>
  <c r="Q184" i="7944"/>
  <c r="Q327" i="7944"/>
  <c r="Q467" i="7944"/>
  <c r="Q135" i="7944"/>
  <c r="Q91" i="7944"/>
  <c r="Q391" i="7944"/>
  <c r="Q90" i="7944"/>
  <c r="Q483" i="7944"/>
  <c r="Q192" i="7944"/>
  <c r="Q206" i="7944"/>
  <c r="Q82" i="7944"/>
  <c r="Q150" i="7944"/>
  <c r="Q194" i="7944"/>
  <c r="Q321" i="7944"/>
  <c r="Q123" i="7944"/>
  <c r="Q428" i="7944"/>
  <c r="Q191" i="7944"/>
  <c r="Q454" i="7944"/>
  <c r="Q218" i="7944"/>
  <c r="Q202" i="7944"/>
  <c r="Q296" i="7944"/>
  <c r="Q338" i="7944"/>
  <c r="Q425" i="7944"/>
  <c r="Q270" i="7944"/>
  <c r="Q264" i="7944"/>
  <c r="Q111" i="7944"/>
  <c r="Q279" i="7944"/>
  <c r="Q93" i="7944"/>
  <c r="Q288" i="7944"/>
  <c r="Q265" i="7944"/>
  <c r="Q301" i="7944"/>
  <c r="Q390" i="7944"/>
  <c r="Q121" i="7944"/>
  <c r="Q357" i="7944"/>
  <c r="Q153" i="7944"/>
  <c r="Q75" i="7944"/>
  <c r="Q254" i="7944"/>
  <c r="Q455" i="7944"/>
  <c r="Q231" i="7944"/>
  <c r="Q380" i="7944"/>
  <c r="Q262" i="7944"/>
  <c r="Q358" i="7944"/>
  <c r="Q268" i="7944"/>
  <c r="Q172" i="7944"/>
  <c r="Q424" i="7944"/>
  <c r="Q114" i="7944"/>
  <c r="Q289" i="7944"/>
  <c r="Q398" i="7944"/>
  <c r="Q80" i="7944"/>
  <c r="Q181" i="7944"/>
  <c r="Q335" i="7944"/>
  <c r="Q276" i="7944"/>
  <c r="Q374" i="7944"/>
  <c r="Q305" i="7944"/>
  <c r="Q103" i="7944"/>
  <c r="Q475" i="7944"/>
  <c r="Q108" i="7944"/>
  <c r="Q161" i="7944"/>
  <c r="Q375" i="7944"/>
  <c r="Q334" i="7944"/>
  <c r="Q470" i="7944"/>
  <c r="Q413" i="7944"/>
  <c r="R3" i="7944"/>
  <c r="Q144" i="7944"/>
  <c r="Q307" i="7944"/>
  <c r="Q362" i="7944"/>
  <c r="Q147" i="7944"/>
  <c r="Q72" i="7944"/>
  <c r="Q92" i="7944"/>
  <c r="Q459" i="7944"/>
  <c r="Q290" i="7944"/>
  <c r="Q484" i="7944"/>
  <c r="Q130" i="7944"/>
  <c r="Q156" i="7944"/>
  <c r="Q261" i="7944"/>
  <c r="Q219" i="7944"/>
  <c r="Q176" i="7944"/>
  <c r="Q300" i="7944"/>
  <c r="Q256" i="7944"/>
  <c r="Q439" i="7944"/>
  <c r="Q354" i="7944"/>
  <c r="Q386" i="7944"/>
  <c r="Q88" i="7944"/>
  <c r="Q461" i="7944"/>
  <c r="Q145" i="7944"/>
  <c r="Q251" i="7944"/>
  <c r="Q317" i="7944"/>
  <c r="Q124" i="7944"/>
  <c r="Q457" i="7944"/>
  <c r="Q207" i="7944"/>
  <c r="Q236" i="7944"/>
  <c r="Q302" i="7944"/>
  <c r="Q298" i="7944"/>
  <c r="Q360" i="7944"/>
  <c r="Q240" i="7944"/>
  <c r="Q174" i="7944"/>
  <c r="Q187" i="7944"/>
  <c r="Q312" i="7944"/>
  <c r="Q109" i="7944"/>
  <c r="Q444" i="7944"/>
  <c r="Q293" i="7944"/>
  <c r="Q320" i="7944"/>
  <c r="Q388" i="7944"/>
  <c r="Q152" i="7944"/>
  <c r="Q471" i="7944"/>
  <c r="Q330" i="7944"/>
  <c r="Q318" i="7944"/>
  <c r="Q246" i="7944"/>
  <c r="Q342" i="7944"/>
  <c r="Q128" i="7944"/>
  <c r="Q394" i="7944"/>
  <c r="Q314" i="7944"/>
  <c r="Q215" i="7944"/>
  <c r="Q372" i="7944"/>
  <c r="Q404" i="7944"/>
  <c r="Q120" i="7944"/>
  <c r="Q405" i="7944"/>
  <c r="Q104" i="7944"/>
  <c r="Q377" i="7944"/>
  <c r="Q74" i="7944"/>
  <c r="Q221" i="7944"/>
  <c r="Q472" i="7944"/>
  <c r="Q332" i="7944"/>
  <c r="Q94" i="7944"/>
  <c r="Q164" i="7944"/>
  <c r="Q349" i="7944"/>
  <c r="Q333" i="7944"/>
  <c r="Q223" i="7944"/>
  <c r="Q432" i="7944"/>
  <c r="Q167" i="7944"/>
  <c r="Q234" i="7944"/>
  <c r="Q427" i="7944"/>
  <c r="Q282" i="7944"/>
  <c r="Q258" i="7944"/>
  <c r="Q383" i="7944"/>
  <c r="Q331" i="7944"/>
  <c r="Q245" i="7944"/>
  <c r="Q368" i="7944"/>
  <c r="Q480" i="7944"/>
  <c r="Q284" i="7944"/>
  <c r="Q228" i="7944"/>
  <c r="Q173" i="7944"/>
  <c r="Q397" i="7944"/>
  <c r="Q138" i="7944"/>
  <c r="Q175" i="7944"/>
  <c r="Q376" i="7944"/>
  <c r="Q315" i="7944"/>
  <c r="Q233" i="7944"/>
  <c r="Q208" i="7944"/>
  <c r="Q102" i="7944"/>
  <c r="Q417" i="7944"/>
  <c r="Q217" i="7944"/>
  <c r="Q303" i="7944"/>
  <c r="Q412" i="7944"/>
  <c r="Q385" i="7944"/>
  <c r="Q422" i="7944"/>
  <c r="Q411" i="7944"/>
  <c r="Q313" i="7944"/>
  <c r="Q487" i="7944"/>
  <c r="Q160" i="7944"/>
  <c r="Q319" i="7944"/>
  <c r="Q249" i="7944"/>
  <c r="Q370" i="7944"/>
  <c r="Q179" i="7944"/>
  <c r="Q222" i="7944"/>
  <c r="Q96" i="7944"/>
  <c r="Q446" i="7944"/>
  <c r="Q190" i="7944"/>
  <c r="Q324" i="7944"/>
  <c r="Q212" i="7944"/>
  <c r="Q230" i="7944"/>
  <c r="Q286" i="7944"/>
  <c r="Q438" i="7944"/>
  <c r="Q250" i="7944"/>
  <c r="Q316" i="7944"/>
  <c r="Q142" i="7944"/>
  <c r="Q83" i="7944"/>
  <c r="Q473" i="7944"/>
  <c r="Q189" i="7944"/>
  <c r="Q384" i="7944"/>
  <c r="Q76" i="7944"/>
  <c r="Q139" i="7944"/>
  <c r="Q272" i="7944"/>
  <c r="Q81" i="7944"/>
  <c r="Q209" i="7944"/>
  <c r="Q180" i="7944"/>
  <c r="Q165" i="7944"/>
  <c r="Q244" i="7944"/>
  <c r="Q387" i="7944"/>
  <c r="Q464" i="7944"/>
  <c r="Q285" i="7944"/>
  <c r="Q243" i="7944"/>
  <c r="Q452" i="7944"/>
  <c r="Q366" i="7944"/>
  <c r="Q341" i="7944"/>
  <c r="Q237" i="7944"/>
  <c r="Q263" i="7944"/>
  <c r="Q348" i="7944"/>
  <c r="Q363" i="7944"/>
  <c r="Q401" i="7944"/>
  <c r="Q442" i="7944"/>
  <c r="Q468" i="7944"/>
  <c r="Q481" i="7944"/>
  <c r="Q371" i="7944"/>
  <c r="Q119" i="7944"/>
  <c r="Q400" i="7944"/>
  <c r="Q193" i="7944"/>
  <c r="Q122" i="7944"/>
  <c r="Q274" i="7944"/>
  <c r="Q436" i="7944"/>
  <c r="Q177" i="7944"/>
  <c r="Q146" i="7944"/>
  <c r="Q118" i="7944"/>
  <c r="Q151" i="7944"/>
  <c r="Q361" i="7944"/>
  <c r="Q116" i="7944"/>
  <c r="Q458" i="7944"/>
  <c r="Q489" i="7944"/>
  <c r="Q466" i="7944"/>
  <c r="Q203" i="7944"/>
  <c r="Q440" i="7944"/>
  <c r="Q226" i="7944"/>
  <c r="Q271" i="7944"/>
  <c r="Q382" i="7944"/>
  <c r="Q396" i="7944"/>
  <c r="Q287" i="7944"/>
  <c r="Q159" i="7944"/>
  <c r="Q97" i="7944"/>
  <c r="Q89" i="7944"/>
  <c r="Q292" i="7944"/>
  <c r="Q188" i="7944"/>
  <c r="Q214" i="7944"/>
  <c r="Q242" i="7944"/>
  <c r="Q133" i="7944"/>
  <c r="Q403" i="7944"/>
  <c r="Q485" i="7944"/>
  <c r="Q132" i="7944"/>
  <c r="Q419" i="7944"/>
  <c r="Q482" i="7944"/>
  <c r="Q186" i="7944"/>
  <c r="Q340" i="7944"/>
  <c r="Q131" i="7944"/>
  <c r="Q117" i="7944"/>
  <c r="Q430" i="7944"/>
  <c r="Q273" i="7944"/>
  <c r="Q247" i="7944"/>
  <c r="Q414" i="7944"/>
  <c r="Q408" i="7944"/>
  <c r="Q134" i="7944"/>
  <c r="Q347" i="7944"/>
  <c r="Q204" i="7944"/>
  <c r="Q137" i="7944"/>
  <c r="Q220" i="7944"/>
  <c r="Q299" i="7944"/>
  <c r="Q326" i="7944"/>
  <c r="Q259" i="7944"/>
  <c r="Q125" i="7944"/>
  <c r="Q443" i="7944"/>
  <c r="Q107" i="7944"/>
  <c r="Q163" i="7944"/>
  <c r="Q426" i="7944"/>
  <c r="Q429" i="7944"/>
  <c r="Q410" i="7944"/>
  <c r="Q453" i="7944"/>
  <c r="Q78" i="7944"/>
  <c r="Q304" i="7944"/>
  <c r="Q431" i="7944"/>
  <c r="Q441" i="7944"/>
  <c r="Q389" i="7944"/>
  <c r="Q162" i="7944"/>
  <c r="Q110" i="7944"/>
  <c r="Q445" i="7944"/>
  <c r="Q200" i="7944"/>
  <c r="Q216" i="7944"/>
  <c r="Q373" i="7944"/>
  <c r="Q328" i="7944"/>
  <c r="Q478" i="7944"/>
  <c r="Q235" i="7944"/>
  <c r="Q158" i="7944"/>
  <c r="Q355" i="7944"/>
  <c r="Q433" i="7944"/>
  <c r="Q460" i="7944"/>
  <c r="Q229" i="7944"/>
  <c r="Q275" i="7944"/>
  <c r="Q369" i="7944"/>
  <c r="Q488" i="7944"/>
  <c r="Q278" i="7944"/>
  <c r="Q106" i="7944"/>
  <c r="Q105" i="7944"/>
  <c r="Q260" i="7944"/>
  <c r="Q352" i="7944"/>
  <c r="Q345" i="7944"/>
  <c r="Q450" i="7944"/>
  <c r="M461" i="18"/>
  <c r="M689" i="18" s="1"/>
  <c r="M525" i="18" s="1"/>
  <c r="M94" i="7941" s="1"/>
  <c r="Q292" i="7942" l="1"/>
  <c r="Q338" i="7941" s="1"/>
  <c r="N372" i="7941"/>
  <c r="F80" i="7955"/>
  <c r="R805" i="7958"/>
  <c r="W741" i="7958"/>
  <c r="W367" i="7958"/>
  <c r="S630" i="7958"/>
  <c r="S765" i="7958"/>
  <c r="S798" i="7958" s="1"/>
  <c r="S711" i="7958"/>
  <c r="S580" i="7958"/>
  <c r="S498" i="7958"/>
  <c r="S499" i="7958" s="1"/>
  <c r="S764" i="7958"/>
  <c r="U612" i="7958"/>
  <c r="Q131" i="7942"/>
  <c r="Q274" i="7941" s="1"/>
  <c r="Q278" i="7942"/>
  <c r="Q331" i="7941" s="1"/>
  <c r="Q153" i="7942"/>
  <c r="Q285" i="7941" s="1"/>
  <c r="N367" i="7941"/>
  <c r="Q198" i="7941"/>
  <c r="P276" i="7941" s="1"/>
  <c r="P159" i="7942"/>
  <c r="Q43" i="18"/>
  <c r="L217" i="7941"/>
  <c r="N360" i="7941"/>
  <c r="Q322" i="7942"/>
  <c r="Q353" i="7941" s="1"/>
  <c r="P296" i="7942"/>
  <c r="N361" i="7941"/>
  <c r="N365" i="7941"/>
  <c r="N376" i="7941"/>
  <c r="N362" i="7941"/>
  <c r="N366" i="7941"/>
  <c r="O330" i="7941"/>
  <c r="N370" i="7941"/>
  <c r="N371" i="7941"/>
  <c r="N386" i="7941"/>
  <c r="N379" i="7941"/>
  <c r="N387" i="7941"/>
  <c r="N368" i="7941"/>
  <c r="N374" i="7941"/>
  <c r="N383" i="7941"/>
  <c r="N377" i="7941"/>
  <c r="N363" i="7941"/>
  <c r="N378" i="7941"/>
  <c r="N375" i="7941"/>
  <c r="N359" i="7941"/>
  <c r="O270" i="7941"/>
  <c r="N382" i="7941"/>
  <c r="N364" i="7941"/>
  <c r="F50" i="7955"/>
  <c r="F19" i="7955"/>
  <c r="F110" i="7955"/>
  <c r="C10" i="7961" s="1"/>
  <c r="O264" i="7941"/>
  <c r="F35" i="7955"/>
  <c r="O338" i="7941"/>
  <c r="F65" i="7955"/>
  <c r="O355" i="7941"/>
  <c r="O331" i="7941"/>
  <c r="Q632" i="18"/>
  <c r="N380" i="7941"/>
  <c r="N388" i="7941"/>
  <c r="P322" i="7941"/>
  <c r="P309" i="7941"/>
  <c r="O335" i="7941"/>
  <c r="P319" i="7941"/>
  <c r="O289" i="7941"/>
  <c r="P320" i="7941"/>
  <c r="P247" i="7941"/>
  <c r="O349" i="7941"/>
  <c r="O345" i="7941"/>
  <c r="P259" i="7941"/>
  <c r="O284" i="7941"/>
  <c r="P324" i="7941"/>
  <c r="O356" i="7941"/>
  <c r="O272" i="7941"/>
  <c r="P318" i="7941"/>
  <c r="P246" i="7941"/>
  <c r="P238" i="7941"/>
  <c r="O281" i="7941"/>
  <c r="P317" i="7941"/>
  <c r="P250" i="7941"/>
  <c r="O343" i="7941"/>
  <c r="P251" i="7941"/>
  <c r="P301" i="7941"/>
  <c r="O332" i="7941"/>
  <c r="O279" i="7941"/>
  <c r="P323" i="7941"/>
  <c r="P257" i="7941"/>
  <c r="O354" i="7941"/>
  <c r="P244" i="7941"/>
  <c r="P248" i="7941"/>
  <c r="O266" i="7941"/>
  <c r="O341" i="7941"/>
  <c r="O287" i="7941"/>
  <c r="P303" i="7941"/>
  <c r="P314" i="7941"/>
  <c r="O274" i="7941"/>
  <c r="P315" i="7941"/>
  <c r="O268" i="7941"/>
  <c r="P242" i="7941"/>
  <c r="O339" i="7941"/>
  <c r="O371" i="7941" s="1"/>
  <c r="O347" i="7941"/>
  <c r="P297" i="7941"/>
  <c r="P235" i="7941"/>
  <c r="O276" i="7941"/>
  <c r="O333" i="7941"/>
  <c r="P312" i="7941"/>
  <c r="O271" i="7941"/>
  <c r="O367" i="7941" s="1"/>
  <c r="O327" i="7941"/>
  <c r="P296" i="7941"/>
  <c r="O265" i="7941"/>
  <c r="P310" i="7941"/>
  <c r="P298" i="7941"/>
  <c r="O282" i="7941"/>
  <c r="P295" i="7941"/>
  <c r="P302" i="7941"/>
  <c r="O285" i="7941"/>
  <c r="O381" i="7941" s="1"/>
  <c r="P239" i="7941"/>
  <c r="P233" i="7941"/>
  <c r="O291" i="7941"/>
  <c r="P232" i="7941"/>
  <c r="O263" i="7941"/>
  <c r="P307" i="7941"/>
  <c r="P240" i="7941"/>
  <c r="P311" i="7941"/>
  <c r="P234" i="7941"/>
  <c r="O277" i="7941"/>
  <c r="P300" i="7941"/>
  <c r="P236" i="7941"/>
  <c r="O344" i="7941"/>
  <c r="P237" i="7941"/>
  <c r="P316" i="7941"/>
  <c r="O328" i="7941"/>
  <c r="P245" i="7941"/>
  <c r="P299" i="7941"/>
  <c r="P305" i="7941"/>
  <c r="O342" i="7941"/>
  <c r="P255" i="7941"/>
  <c r="O352" i="7941"/>
  <c r="P306" i="7941"/>
  <c r="O351" i="7941"/>
  <c r="P313" i="7941"/>
  <c r="P254" i="7941"/>
  <c r="P258" i="7941"/>
  <c r="P252" i="7941"/>
  <c r="O292" i="7941"/>
  <c r="O388" i="7941" s="1"/>
  <c r="P231" i="7941"/>
  <c r="O334" i="7941"/>
  <c r="O336" i="7941"/>
  <c r="O346" i="7941"/>
  <c r="P249" i="7941"/>
  <c r="O353" i="7941"/>
  <c r="P256" i="7941"/>
  <c r="O273" i="7941"/>
  <c r="P321" i="7941"/>
  <c r="P308" i="7941"/>
  <c r="P260" i="7941"/>
  <c r="P253" i="7941"/>
  <c r="P243" i="7941"/>
  <c r="P304" i="7941"/>
  <c r="P241" i="7941"/>
  <c r="F95" i="7955"/>
  <c r="O288" i="7941"/>
  <c r="O384" i="7941" s="1"/>
  <c r="R7" i="7944"/>
  <c r="Q6" i="7941"/>
  <c r="O294" i="7941"/>
  <c r="O340" i="7941"/>
  <c r="P502" i="18"/>
  <c r="P631" i="18"/>
  <c r="O348" i="7941"/>
  <c r="Q71" i="7944"/>
  <c r="N385" i="7941"/>
  <c r="N373" i="7941"/>
  <c r="N384" i="7941"/>
  <c r="O329" i="7941"/>
  <c r="O280" i="7941"/>
  <c r="Q469" i="18"/>
  <c r="Q39" i="7941"/>
  <c r="Q38" i="7941" s="1"/>
  <c r="O267" i="7941"/>
  <c r="O71" i="7941"/>
  <c r="O70" i="7941" s="1"/>
  <c r="O501" i="18"/>
  <c r="O286" i="7941"/>
  <c r="O290" i="7941"/>
  <c r="R437" i="18"/>
  <c r="O230" i="7941"/>
  <c r="N381" i="7941"/>
  <c r="O278" i="7941"/>
  <c r="Q139" i="7942"/>
  <c r="Q278" i="7941" s="1"/>
  <c r="L202" i="7941"/>
  <c r="M445" i="18"/>
  <c r="M673" i="18" s="1"/>
  <c r="M509" i="18" s="1"/>
  <c r="M78" i="7941" s="1"/>
  <c r="O149" i="7942"/>
  <c r="O283" i="7941" s="1"/>
  <c r="M447" i="18"/>
  <c r="M675" i="18" s="1"/>
  <c r="M511" i="18" s="1"/>
  <c r="M80" i="7941" s="1"/>
  <c r="P143" i="7942"/>
  <c r="Q143" i="7942"/>
  <c r="Q280" i="7941" s="1"/>
  <c r="K206" i="7941"/>
  <c r="L14" i="7941"/>
  <c r="L206" i="7941" s="1"/>
  <c r="Q163" i="7942"/>
  <c r="Q290" i="7941" s="1"/>
  <c r="P163" i="7942"/>
  <c r="O121" i="7942"/>
  <c r="O269" i="7941" s="1"/>
  <c r="Q120" i="7942"/>
  <c r="P107" i="7942"/>
  <c r="O168" i="7942" s="1"/>
  <c r="P123" i="7942"/>
  <c r="Q123" i="7942"/>
  <c r="Q270" i="7941" s="1"/>
  <c r="L692" i="18"/>
  <c r="L528" i="18" s="1"/>
  <c r="L97" i="7941" s="1"/>
  <c r="L225" i="7941" s="1"/>
  <c r="P274" i="7942"/>
  <c r="Q274" i="7942"/>
  <c r="Q329" i="7941" s="1"/>
  <c r="L693" i="18"/>
  <c r="L529" i="18" s="1"/>
  <c r="L98" i="7941" s="1"/>
  <c r="L226" i="7941" s="1"/>
  <c r="L446" i="18"/>
  <c r="M456" i="18"/>
  <c r="M684" i="18" s="1"/>
  <c r="M520" i="18" s="1"/>
  <c r="M89" i="7941" s="1"/>
  <c r="Q276" i="7942"/>
  <c r="Q330" i="7941" s="1"/>
  <c r="P276" i="7942"/>
  <c r="K207" i="7941"/>
  <c r="J501" i="18"/>
  <c r="J71" i="7941"/>
  <c r="K438" i="18"/>
  <c r="O290" i="7942"/>
  <c r="O337" i="7941" s="1"/>
  <c r="Q289" i="7942"/>
  <c r="N262" i="7941"/>
  <c r="O316" i="7942"/>
  <c r="O350" i="7941" s="1"/>
  <c r="Q315" i="7942"/>
  <c r="L676" i="18"/>
  <c r="L512" i="18" s="1"/>
  <c r="L81" i="7941" s="1"/>
  <c r="L209" i="7941" s="1"/>
  <c r="J697" i="18"/>
  <c r="N369" i="7941"/>
  <c r="N326" i="7941"/>
  <c r="P284" i="7942"/>
  <c r="Q284" i="7942"/>
  <c r="Q334" i="7941" s="1"/>
  <c r="M441" i="18"/>
  <c r="M669" i="18" s="1"/>
  <c r="M505" i="18" s="1"/>
  <c r="M74" i="7941" s="1"/>
  <c r="P268" i="7942"/>
  <c r="O329" i="7942" s="1"/>
  <c r="M467" i="18"/>
  <c r="M695" i="18" s="1"/>
  <c r="M531" i="18" s="1"/>
  <c r="M100" i="7941" s="1"/>
  <c r="M358" i="7941"/>
  <c r="E58" i="7959" l="1"/>
  <c r="G58" i="7959" s="1"/>
  <c r="G10" i="7959" s="1"/>
  <c r="C7" i="7961"/>
  <c r="E56" i="7959"/>
  <c r="G56" i="7959" s="1"/>
  <c r="G8" i="7959" s="1"/>
  <c r="C5" i="7961"/>
  <c r="E57" i="7959"/>
  <c r="G57" i="7959" s="1"/>
  <c r="G9" i="7959" s="1"/>
  <c r="C6" i="7961"/>
  <c r="E60" i="7959"/>
  <c r="G60" i="7959" s="1"/>
  <c r="G12" i="7959" s="1"/>
  <c r="C9" i="7961"/>
  <c r="E59" i="7959"/>
  <c r="G59" i="7959" s="1"/>
  <c r="G11" i="7959" s="1"/>
  <c r="C8" i="7961"/>
  <c r="T496" i="7958"/>
  <c r="S583" i="7958"/>
  <c r="U615" i="7958"/>
  <c r="S772" i="7958"/>
  <c r="T627" i="7958"/>
  <c r="S714" i="7958"/>
  <c r="S582" i="7958"/>
  <c r="S743" i="7958" s="1"/>
  <c r="S786" i="7958"/>
  <c r="S797" i="7958" s="1"/>
  <c r="Q268" i="7942"/>
  <c r="Q329" i="7942" s="1"/>
  <c r="O375" i="7941"/>
  <c r="P334" i="7941"/>
  <c r="P329" i="7941"/>
  <c r="O362" i="7941"/>
  <c r="O379" i="7941"/>
  <c r="P330" i="7941"/>
  <c r="P275" i="7941"/>
  <c r="O361" i="7941"/>
  <c r="O366" i="7941"/>
  <c r="P270" i="7941"/>
  <c r="P290" i="7941"/>
  <c r="O374" i="7941"/>
  <c r="O386" i="7941"/>
  <c r="P272" i="7941"/>
  <c r="O385" i="7941"/>
  <c r="P286" i="7941"/>
  <c r="P280" i="7941"/>
  <c r="N358" i="7941"/>
  <c r="O382" i="7941"/>
  <c r="O363" i="7941"/>
  <c r="O370" i="7941"/>
  <c r="P281" i="7941"/>
  <c r="P338" i="7941"/>
  <c r="P278" i="7941"/>
  <c r="O369" i="7941"/>
  <c r="O387" i="7941"/>
  <c r="P264" i="7941"/>
  <c r="O376" i="7941"/>
  <c r="O372" i="7941"/>
  <c r="O359" i="7941"/>
  <c r="O378" i="7941"/>
  <c r="O383" i="7941"/>
  <c r="P274" i="7941"/>
  <c r="Q502" i="18"/>
  <c r="Q631" i="18"/>
  <c r="O360" i="7941"/>
  <c r="P501" i="18"/>
  <c r="P71" i="7941"/>
  <c r="P70" i="7941" s="1"/>
  <c r="O380" i="7941"/>
  <c r="P341" i="7941"/>
  <c r="P354" i="7941"/>
  <c r="P353" i="7941"/>
  <c r="Q302" i="7941"/>
  <c r="Q318" i="7941"/>
  <c r="P273" i="7941"/>
  <c r="Q246" i="7941"/>
  <c r="Q299" i="7941"/>
  <c r="Q303" i="7941"/>
  <c r="P266" i="7941"/>
  <c r="Q237" i="7941"/>
  <c r="Q315" i="7941"/>
  <c r="Q298" i="7941"/>
  <c r="Q296" i="7941"/>
  <c r="P279" i="7941"/>
  <c r="P347" i="7941"/>
  <c r="Q323" i="7941"/>
  <c r="P356" i="7941"/>
  <c r="P327" i="7941"/>
  <c r="P340" i="7941"/>
  <c r="P372" i="7941" s="1"/>
  <c r="Q319" i="7941"/>
  <c r="Q313" i="7941"/>
  <c r="Q311" i="7941"/>
  <c r="Q251" i="7941"/>
  <c r="Q247" i="7941"/>
  <c r="Q256" i="7941"/>
  <c r="Q321" i="7941"/>
  <c r="Q259" i="7941"/>
  <c r="P335" i="7941"/>
  <c r="P339" i="7941"/>
  <c r="Q312" i="7941"/>
  <c r="P352" i="7941"/>
  <c r="P289" i="7941"/>
  <c r="Q234" i="7941"/>
  <c r="Q260" i="7941"/>
  <c r="Q236" i="7941"/>
  <c r="Q257" i="7941"/>
  <c r="Q304" i="7941"/>
  <c r="Q307" i="7941"/>
  <c r="Q241" i="7941"/>
  <c r="P277" i="7941"/>
  <c r="P284" i="7941"/>
  <c r="P292" i="7941"/>
  <c r="P271" i="7941"/>
  <c r="Q320" i="7941"/>
  <c r="Q324" i="7941"/>
  <c r="P342" i="7941"/>
  <c r="Q309" i="7941"/>
  <c r="Q242" i="7941"/>
  <c r="P285" i="7941"/>
  <c r="Q249" i="7941"/>
  <c r="Q253" i="7941"/>
  <c r="Q295" i="7941"/>
  <c r="Q300" i="7941"/>
  <c r="P333" i="7941"/>
  <c r="Q255" i="7941"/>
  <c r="Q314" i="7941"/>
  <c r="Q297" i="7941"/>
  <c r="Q305" i="7941"/>
  <c r="Q306" i="7941"/>
  <c r="Q316" i="7941"/>
  <c r="Q232" i="7941"/>
  <c r="Q248" i="7941"/>
  <c r="Q376" i="7941" s="1"/>
  <c r="Q233" i="7941"/>
  <c r="P336" i="7941"/>
  <c r="P328" i="7941"/>
  <c r="Q301" i="7941"/>
  <c r="P288" i="7941"/>
  <c r="P348" i="7941"/>
  <c r="Q252" i="7941"/>
  <c r="P351" i="7941"/>
  <c r="Q250" i="7941"/>
  <c r="P345" i="7941"/>
  <c r="P291" i="7941"/>
  <c r="P263" i="7941"/>
  <c r="P359" i="7941" s="1"/>
  <c r="Q240" i="7941"/>
  <c r="P287" i="7941"/>
  <c r="Q258" i="7941"/>
  <c r="Q322" i="7941"/>
  <c r="Q245" i="7941"/>
  <c r="Q373" i="7941" s="1"/>
  <c r="Q308" i="7941"/>
  <c r="Q238" i="7941"/>
  <c r="P344" i="7941"/>
  <c r="Q244" i="7941"/>
  <c r="P343" i="7941"/>
  <c r="Q254" i="7941"/>
  <c r="P265" i="7941"/>
  <c r="P349" i="7941"/>
  <c r="Q317" i="7941"/>
  <c r="Q235" i="7941"/>
  <c r="P346" i="7941"/>
  <c r="Q239" i="7941"/>
  <c r="Q243" i="7941"/>
  <c r="P268" i="7941"/>
  <c r="Q231" i="7941"/>
  <c r="Q310" i="7941"/>
  <c r="P282" i="7941"/>
  <c r="P332" i="7941"/>
  <c r="P230" i="7941"/>
  <c r="O373" i="7941"/>
  <c r="P294" i="7941"/>
  <c r="O364" i="7941"/>
  <c r="O377" i="7941"/>
  <c r="O368" i="7941"/>
  <c r="P267" i="7941"/>
  <c r="P331" i="7941"/>
  <c r="P355" i="7941"/>
  <c r="O326" i="7941"/>
  <c r="M465" i="18"/>
  <c r="M693" i="18" s="1"/>
  <c r="M529" i="18" s="1"/>
  <c r="M98" i="7941" s="1"/>
  <c r="Q149" i="7942"/>
  <c r="Q283" i="7941" s="1"/>
  <c r="P149" i="7942"/>
  <c r="P283" i="7941" s="1"/>
  <c r="K666" i="18"/>
  <c r="K437" i="18"/>
  <c r="Q316" i="7942"/>
  <c r="Q350" i="7941" s="1"/>
  <c r="P316" i="7942"/>
  <c r="P350" i="7941" s="1"/>
  <c r="J70" i="7941"/>
  <c r="J199" i="7941"/>
  <c r="J198" i="7941" s="1"/>
  <c r="K7" i="7941"/>
  <c r="P290" i="7942"/>
  <c r="P337" i="7941" s="1"/>
  <c r="Q290" i="7942"/>
  <c r="Q337" i="7941" s="1"/>
  <c r="Q121" i="7942"/>
  <c r="Q269" i="7941" s="1"/>
  <c r="P121" i="7942"/>
  <c r="P269" i="7941" s="1"/>
  <c r="Q107" i="7942"/>
  <c r="M448" i="18"/>
  <c r="M676" i="18" s="1"/>
  <c r="M512" i="18" s="1"/>
  <c r="M81" i="7941" s="1"/>
  <c r="L674" i="18"/>
  <c r="L510" i="18" s="1"/>
  <c r="L79" i="7941" s="1"/>
  <c r="L207" i="7941" s="1"/>
  <c r="M464" i="18"/>
  <c r="M692" i="18" s="1"/>
  <c r="M528" i="18" s="1"/>
  <c r="M97" i="7941" s="1"/>
  <c r="O365" i="7941"/>
  <c r="O262" i="7941"/>
  <c r="F8" i="7961" l="1"/>
  <c r="F9" i="7961"/>
  <c r="F6" i="7961"/>
  <c r="F5" i="7961"/>
  <c r="F7" i="7961"/>
  <c r="T630" i="7958"/>
  <c r="T765" i="7958"/>
  <c r="T798" i="7958" s="1"/>
  <c r="T711" i="7958"/>
  <c r="V612" i="7958"/>
  <c r="T498" i="7958"/>
  <c r="T499" i="7958" s="1"/>
  <c r="T580" i="7958"/>
  <c r="T764" i="7958"/>
  <c r="P384" i="7941"/>
  <c r="P329" i="7942"/>
  <c r="P379" i="7941"/>
  <c r="Q360" i="7941"/>
  <c r="P366" i="7941"/>
  <c r="P373" i="7941"/>
  <c r="P382" i="7941"/>
  <c r="P361" i="7941"/>
  <c r="P371" i="7941"/>
  <c r="P362" i="7941"/>
  <c r="Q367" i="7941"/>
  <c r="Q372" i="7941"/>
  <c r="Q378" i="7941"/>
  <c r="Q383" i="7941"/>
  <c r="P367" i="7941"/>
  <c r="Q387" i="7941"/>
  <c r="P374" i="7941"/>
  <c r="Q379" i="7941"/>
  <c r="P360" i="7941"/>
  <c r="P386" i="7941"/>
  <c r="Q386" i="7941"/>
  <c r="P377" i="7941"/>
  <c r="P368" i="7941"/>
  <c r="P376" i="7941"/>
  <c r="Q362" i="7941"/>
  <c r="P370" i="7941"/>
  <c r="P363" i="7941"/>
  <c r="O358" i="7941"/>
  <c r="P387" i="7941"/>
  <c r="Q382" i="7941"/>
  <c r="Q377" i="7941"/>
  <c r="Q363" i="7941"/>
  <c r="Q366" i="7941"/>
  <c r="Q361" i="7941"/>
  <c r="Q369" i="7941"/>
  <c r="Q368" i="7941"/>
  <c r="Q364" i="7941"/>
  <c r="P388" i="7941"/>
  <c r="Q388" i="7941"/>
  <c r="Q371" i="7941"/>
  <c r="P385" i="7941"/>
  <c r="P378" i="7941"/>
  <c r="P383" i="7941"/>
  <c r="Q294" i="7941"/>
  <c r="Q370" i="7941"/>
  <c r="Q385" i="7941"/>
  <c r="Q375" i="7941"/>
  <c r="Q501" i="18"/>
  <c r="Q71" i="7941"/>
  <c r="Q70" i="7941" s="1"/>
  <c r="Q381" i="7941"/>
  <c r="Q359" i="7941"/>
  <c r="Q230" i="7941"/>
  <c r="P375" i="7941"/>
  <c r="Q374" i="7941"/>
  <c r="P364" i="7941"/>
  <c r="Q380" i="7941"/>
  <c r="P381" i="7941"/>
  <c r="P380" i="7941"/>
  <c r="Q384" i="7941"/>
  <c r="Q326" i="7941"/>
  <c r="P369" i="7941"/>
  <c r="P326" i="7941"/>
  <c r="Q262" i="7941"/>
  <c r="Q365" i="7941"/>
  <c r="K6" i="7941"/>
  <c r="K665" i="18"/>
  <c r="K502" i="18"/>
  <c r="P168" i="7942"/>
  <c r="Q168" i="7942"/>
  <c r="M446" i="18"/>
  <c r="M674" i="18" s="1"/>
  <c r="M510" i="18" s="1"/>
  <c r="M79" i="7941" s="1"/>
  <c r="P365" i="7941"/>
  <c r="P262" i="7941"/>
  <c r="T582" i="7958" l="1"/>
  <c r="T743" i="7958" s="1"/>
  <c r="T786" i="7958"/>
  <c r="T797" i="7958" s="1"/>
  <c r="T583" i="7958"/>
  <c r="U496" i="7958"/>
  <c r="V615" i="7958"/>
  <c r="U627" i="7958"/>
  <c r="T714" i="7958"/>
  <c r="K697" i="18"/>
  <c r="Q358" i="7941"/>
  <c r="P358" i="7941"/>
  <c r="K501" i="18"/>
  <c r="K71" i="7941"/>
  <c r="L438" i="18"/>
  <c r="W612" i="7958" l="1"/>
  <c r="U630" i="7958"/>
  <c r="U765" i="7958"/>
  <c r="U798" i="7958" s="1"/>
  <c r="U711" i="7958"/>
  <c r="U580" i="7958"/>
  <c r="U498" i="7958"/>
  <c r="U764" i="7958"/>
  <c r="K70" i="7941"/>
  <c r="L7" i="7941"/>
  <c r="K199" i="7941"/>
  <c r="K198" i="7941" s="1"/>
  <c r="L666" i="18"/>
  <c r="L437" i="18"/>
  <c r="U582" i="7958" l="1"/>
  <c r="U743" i="7958" s="1"/>
  <c r="U786" i="7958"/>
  <c r="U797" i="7958" s="1"/>
  <c r="U499" i="7958"/>
  <c r="V627" i="7958"/>
  <c r="U714" i="7958"/>
  <c r="L665" i="18"/>
  <c r="L502" i="18"/>
  <c r="L6" i="7941"/>
  <c r="V496" i="7958" l="1"/>
  <c r="U583" i="7958"/>
  <c r="V630" i="7958"/>
  <c r="V765" i="7958"/>
  <c r="V798" i="7958" s="1"/>
  <c r="V711" i="7958"/>
  <c r="L697" i="18"/>
  <c r="T665" i="18"/>
  <c r="L71" i="7941"/>
  <c r="L501" i="18"/>
  <c r="W627" i="7958" l="1"/>
  <c r="V714" i="7958"/>
  <c r="V580" i="7958"/>
  <c r="V498" i="7958"/>
  <c r="V764" i="7958"/>
  <c r="L699" i="18"/>
  <c r="T697" i="18"/>
  <c r="L70" i="7941"/>
  <c r="V582" i="7958" l="1"/>
  <c r="V743" i="7958" s="1"/>
  <c r="V786" i="7958"/>
  <c r="V797" i="7958" s="1"/>
  <c r="W630" i="7958"/>
  <c r="W765" i="7958"/>
  <c r="W798" i="7958" s="1"/>
  <c r="E21" i="7959" s="1"/>
  <c r="F8" i="7959" s="1"/>
  <c r="W711" i="7958"/>
  <c r="V499" i="7958"/>
  <c r="W496" i="7958" l="1"/>
  <c r="V583" i="7958"/>
  <c r="W580" i="7958" l="1"/>
  <c r="W498" i="7958"/>
  <c r="W764" i="7958"/>
  <c r="W582" i="7958" l="1"/>
  <c r="W743" i="7958" s="1"/>
  <c r="W499" i="7958"/>
  <c r="W583" i="7958" l="1"/>
  <c r="S731" i="7958" l="1"/>
  <c r="V732" i="7958"/>
  <c r="U732" i="7958"/>
  <c r="W732" i="7958"/>
  <c r="S732" i="7958"/>
  <c r="T732" i="7958"/>
  <c r="W745" i="7958" l="1"/>
  <c r="W793" i="7958"/>
  <c r="U745" i="7958"/>
  <c r="U746" i="7958" s="1"/>
  <c r="U794" i="7958" s="1"/>
  <c r="U793" i="7958"/>
  <c r="T745" i="7958"/>
  <c r="T746" i="7958" s="1"/>
  <c r="T794" i="7958" s="1"/>
  <c r="T793" i="7958"/>
  <c r="V745" i="7958"/>
  <c r="V746" i="7958" s="1"/>
  <c r="V794" i="7958" s="1"/>
  <c r="V793" i="7958"/>
  <c r="S745" i="7958"/>
  <c r="S746" i="7958" s="1"/>
  <c r="S794" i="7958" s="1"/>
  <c r="S793" i="7958"/>
  <c r="S756" i="7958"/>
  <c r="S757" i="7958" s="1"/>
  <c r="S782" i="7958"/>
  <c r="S733" i="7958"/>
  <c r="T730" i="7958" s="1"/>
  <c r="T771" i="7958" l="1"/>
  <c r="T733" i="7958"/>
  <c r="U730" i="7958" s="1"/>
  <c r="S783" i="7958"/>
  <c r="S805" i="7958" s="1"/>
  <c r="S804" i="7958"/>
  <c r="U733" i="7958" l="1"/>
  <c r="V730" i="7958" s="1"/>
  <c r="U771" i="7958"/>
  <c r="T804" i="7958"/>
  <c r="T772" i="7958"/>
  <c r="T805" i="7958" s="1"/>
  <c r="U804" i="7958" l="1"/>
  <c r="U772" i="7958"/>
  <c r="U805" i="7958" s="1"/>
  <c r="V771" i="7958"/>
  <c r="V733" i="7958"/>
  <c r="W730" i="7958" s="1"/>
  <c r="V804" i="7958" l="1"/>
  <c r="V772" i="7958"/>
  <c r="V805" i="7958" s="1"/>
  <c r="W733" i="7958"/>
  <c r="W771" i="7958"/>
  <c r="W804" i="7958" l="1"/>
  <c r="E26" i="7959" s="1"/>
  <c r="W772" i="7958"/>
  <c r="N79" i="7944" l="1"/>
  <c r="O79" i="7944"/>
  <c r="P79" i="7944"/>
  <c r="Q79" i="7944"/>
  <c r="M79" i="7944"/>
  <c r="L40" i="7944"/>
  <c r="L39" i="7944" s="1"/>
  <c r="H609" i="7958"/>
  <c r="W613" i="7958" s="1"/>
  <c r="W775" i="7958" s="1"/>
  <c r="L71" i="1"/>
  <c r="R72" i="1" s="1"/>
  <c r="L173" i="1"/>
  <c r="R174" i="1" s="1"/>
  <c r="M8" i="7944" l="1"/>
  <c r="M7" i="7944" s="1"/>
  <c r="J14" i="7955"/>
  <c r="L12" i="18"/>
  <c r="W783" i="7958"/>
  <c r="W712" i="7958"/>
  <c r="W755" i="7958" s="1"/>
  <c r="W757" i="7958" s="1"/>
  <c r="W614" i="7958"/>
  <c r="W615" i="7958" s="1"/>
  <c r="W714" i="7958" s="1"/>
  <c r="L11" i="18" l="1"/>
  <c r="E14" i="7955"/>
  <c r="K14" i="7955"/>
  <c r="J20" i="7955"/>
  <c r="L470" i="18"/>
  <c r="M438" i="18" s="1"/>
  <c r="W786" i="7958"/>
  <c r="W797" i="7958" s="1"/>
  <c r="E20" i="7959" s="1"/>
  <c r="W713" i="7958"/>
  <c r="W744" i="7958" s="1"/>
  <c r="W746" i="7958" s="1"/>
  <c r="W794" i="7958" s="1"/>
  <c r="W805" i="7958" s="1"/>
  <c r="L469" i="18" l="1"/>
  <c r="L39" i="7941"/>
  <c r="L38" i="7941" s="1"/>
  <c r="K20" i="7955"/>
  <c r="F14" i="7955"/>
  <c r="E20" i="7955"/>
  <c r="F7" i="7959"/>
  <c r="M666" i="18"/>
  <c r="M437" i="18"/>
  <c r="L199" i="7941" l="1"/>
  <c r="L198" i="7941" s="1"/>
  <c r="F20" i="7955"/>
  <c r="E55" i="7959" s="1"/>
  <c r="G55" i="7959" s="1"/>
  <c r="G7" i="7959" s="1"/>
  <c r="M665" i="18"/>
  <c r="M502" i="18"/>
  <c r="F4" i="7961" l="1"/>
  <c r="C4" i="7961"/>
  <c r="M501" i="18"/>
  <c r="M71" i="7941"/>
  <c r="M70" i="7941" s="1"/>
  <c r="L312" i="7941"/>
  <c r="L304" i="7941"/>
  <c r="L307" i="7941"/>
  <c r="L305" i="7941"/>
  <c r="L315" i="7941"/>
  <c r="L299" i="7941"/>
  <c r="L297" i="7941"/>
  <c r="L246" i="7941"/>
  <c r="L242" i="7941"/>
  <c r="L252" i="7941"/>
  <c r="L259" i="7941"/>
  <c r="L249" i="7941"/>
  <c r="L244" i="7941"/>
  <c r="L298" i="7941"/>
  <c r="L317" i="7941"/>
  <c r="L318" i="7941"/>
  <c r="L303" i="7941"/>
  <c r="L296" i="7941"/>
  <c r="L319" i="7941"/>
  <c r="L313" i="7941"/>
  <c r="L321" i="7941"/>
  <c r="L316" i="7941"/>
  <c r="L311" i="7941"/>
  <c r="L308" i="7941"/>
  <c r="L323" i="7941"/>
  <c r="L322" i="7941"/>
  <c r="L309" i="7941"/>
  <c r="L310" i="7941"/>
  <c r="L255" i="7941"/>
  <c r="L256" i="7941"/>
  <c r="L248" i="7941"/>
  <c r="L251" i="7941"/>
  <c r="L253" i="7941"/>
  <c r="L320" i="7941"/>
  <c r="L306" i="7941"/>
  <c r="L302" i="7941"/>
  <c r="L314" i="7941"/>
  <c r="L301" i="7941"/>
  <c r="L300" i="7941"/>
  <c r="L324" i="7941"/>
  <c r="L240" i="7941"/>
  <c r="L239" i="7941"/>
  <c r="L237" i="7941"/>
  <c r="L232" i="7941"/>
  <c r="L231" i="7941"/>
  <c r="L254" i="7941"/>
  <c r="L243" i="7941"/>
  <c r="L371" i="7941" s="1"/>
  <c r="L245" i="7941"/>
  <c r="L295" i="7941"/>
  <c r="L238" i="7941"/>
  <c r="L247" i="7941"/>
  <c r="L375" i="7941" s="1"/>
  <c r="L250" i="7941"/>
  <c r="L257" i="7941"/>
  <c r="L385" i="7941" s="1"/>
  <c r="L260" i="7941"/>
  <c r="L241" i="7941"/>
  <c r="L233" i="7941"/>
  <c r="L258" i="7941"/>
  <c r="L235" i="7941"/>
  <c r="L236" i="7941"/>
  <c r="L234" i="7941"/>
  <c r="L363" i="7941" l="1"/>
  <c r="L364" i="7941"/>
  <c r="L362" i="7941"/>
  <c r="L360" i="7941"/>
  <c r="L361" i="7941"/>
  <c r="L365" i="7941"/>
  <c r="B10" i="7961" s="1"/>
  <c r="L373" i="7941"/>
  <c r="L386" i="7941"/>
  <c r="L368" i="7941"/>
  <c r="L381" i="7941"/>
  <c r="L378" i="7941"/>
  <c r="L369" i="7941"/>
  <c r="L376" i="7941"/>
  <c r="L379" i="7941"/>
  <c r="L367" i="7941"/>
  <c r="L294" i="7941"/>
  <c r="L383" i="7941"/>
  <c r="L382" i="7941"/>
  <c r="L230" i="7941"/>
  <c r="L359" i="7941"/>
  <c r="L372" i="7941"/>
  <c r="L370" i="7941"/>
  <c r="L377" i="7941"/>
  <c r="L374" i="7941"/>
  <c r="L387" i="7941"/>
  <c r="B9" i="7961"/>
  <c r="L388" i="7941"/>
  <c r="L366" i="7941"/>
  <c r="L384" i="7941"/>
  <c r="L380" i="7941"/>
  <c r="B8" i="7961" l="1"/>
  <c r="D25" i="7959"/>
  <c r="E25" i="7959" s="1"/>
  <c r="F12" i="7959" s="1"/>
  <c r="E9" i="7961" s="1"/>
  <c r="B5" i="7961"/>
  <c r="B6" i="7961"/>
  <c r="D23" i="7959"/>
  <c r="E23" i="7959" s="1"/>
  <c r="F10" i="7959" s="1"/>
  <c r="E7" i="7961" s="1"/>
  <c r="D24" i="7959"/>
  <c r="E24" i="7959" s="1"/>
  <c r="F11" i="7959" s="1"/>
  <c r="E8" i="7961" s="1"/>
  <c r="B7" i="7961"/>
  <c r="L358" i="7941"/>
  <c r="B4" i="7961"/>
  <c r="B11" i="7961"/>
  <c r="E12" i="7961" l="1"/>
  <c r="E28" i="7959"/>
  <c r="B12" i="7961"/>
</calcChain>
</file>

<file path=xl/comments1.xml><?xml version="1.0" encoding="utf-8"?>
<comments xmlns="http://schemas.openxmlformats.org/spreadsheetml/2006/main">
  <authors>
    <author>Author</author>
  </authors>
  <commentList>
    <comment ref="F5" authorId="0">
      <text>
        <r>
          <rPr>
            <sz val="8"/>
            <color indexed="81"/>
            <rFont val="Tahoma"/>
            <family val="2"/>
          </rPr>
          <t>The opening RAB is based on the final year of the previous regulatory control period.</t>
        </r>
      </text>
    </comment>
    <comment ref="J6" authorId="0">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0">
      <text>
        <r>
          <rPr>
            <sz val="8"/>
            <color indexed="81"/>
            <rFont val="Tahoma"/>
            <family val="2"/>
          </rPr>
          <t>Based on lives adopted for the current regulatory control period, as per the current decision. Enter a valid numeric life or n/a.</t>
        </r>
      </text>
    </comment>
    <comment ref="M6" authorId="0">
      <text>
        <r>
          <rPr>
            <sz val="8"/>
            <color indexed="81"/>
            <rFont val="Tahoma"/>
            <family val="2"/>
          </rPr>
          <t>Based on forecast capex values in the final year of the previous regulatory control period which was added to the RAB, as per the current decision (in end of year terms).</t>
        </r>
      </text>
    </comment>
    <comment ref="N6" author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text>
        <r>
          <rPr>
            <sz val="8"/>
            <color indexed="81"/>
            <rFont val="Tahoma"/>
            <family val="2"/>
          </rPr>
          <t>Based on the actual assets under constructions values in the final year of the previous regulatory control period (in end of year terms).</t>
        </r>
      </text>
    </comment>
    <comment ref="S6" authorId="0">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0">
      <text>
        <r>
          <rPr>
            <sz val="8"/>
            <color indexed="81"/>
            <rFont val="Tahoma"/>
            <family val="2"/>
          </rPr>
          <t>Set equal to tax life specified by the Australian Tax Office for the category of assets and commissioning date. Enter a valid numeric life or n/a.</t>
        </r>
      </text>
    </comment>
    <comment ref="V6" authorId="0">
      <text>
        <r>
          <rPr>
            <sz val="8"/>
            <color indexed="81"/>
            <rFont val="Tahoma"/>
            <family val="2"/>
          </rPr>
          <t>Insert the base financial year that the current regulatory control period commences in.</t>
        </r>
      </text>
    </comment>
    <comment ref="W6" authorId="0">
      <text>
        <r>
          <rPr>
            <sz val="8"/>
            <color indexed="81"/>
            <rFont val="Tahoma"/>
            <family val="2"/>
          </rPr>
          <t>Insert the number of years for the current regulatory control period.</t>
        </r>
      </text>
    </comment>
    <comment ref="K7" authorId="0">
      <text>
        <r>
          <rPr>
            <b/>
            <sz val="9"/>
            <color indexed="81"/>
            <rFont val="Tahoma"/>
            <family val="2"/>
          </rPr>
          <t>Author:</t>
        </r>
        <r>
          <rPr>
            <sz val="9"/>
            <color indexed="81"/>
            <rFont val="Tahoma"/>
            <family val="2"/>
          </rPr>
          <t xml:space="preserve">
From    R:\Library\Vic AA 13\AER MRP pass through submission Final\Attachment F-Adjusted AER Post-tax Revenue Model</t>
        </r>
      </text>
    </comment>
    <comment ref="Y7" authorId="0">
      <text>
        <r>
          <rPr>
            <b/>
            <sz val="9"/>
            <color indexed="81"/>
            <rFont val="Tahoma"/>
            <family val="2"/>
          </rPr>
          <t>AER:</t>
        </r>
        <r>
          <rPr>
            <sz val="9"/>
            <color indexed="81"/>
            <rFont val="Tahoma"/>
            <family val="2"/>
          </rPr>
          <t xml:space="preserve">
These values are the tax remianing life as at 1 July 2011 as set out in the approved PTRM. </t>
        </r>
      </text>
    </comment>
    <comment ref="F39" authorId="0">
      <text>
        <r>
          <rPr>
            <sz val="8"/>
            <color indexed="81"/>
            <rFont val="Tahoma"/>
            <family val="2"/>
          </rPr>
          <t>Exclude half year rate of return. Inputs are assumed to be in middle of year terms because actual capex is reported evenly over a financial year.</t>
        </r>
      </text>
    </comment>
    <comment ref="R72" authorId="0">
      <text>
        <r>
          <rPr>
            <sz val="8"/>
            <color indexed="81"/>
            <rFont val="Tahoma"/>
            <family val="2"/>
          </rPr>
          <t>Total for the regulatory control period.</t>
        </r>
      </text>
    </comment>
    <comment ref="F73" authorId="0">
      <text>
        <r>
          <rPr>
            <sz val="8"/>
            <color indexed="81"/>
            <rFont val="Tahoma"/>
            <family val="2"/>
          </rPr>
          <t>Exclude half year rate of return. Inputs are assumed to be in middle of year terms because actual disposal is reported evenly over a financial year.</t>
        </r>
      </text>
    </comment>
    <comment ref="R106" authorId="0">
      <text>
        <r>
          <rPr>
            <sz val="8"/>
            <color indexed="81"/>
            <rFont val="Tahoma"/>
            <family val="2"/>
          </rPr>
          <t>Total for the regulatory control period.</t>
        </r>
      </text>
    </comment>
    <comment ref="F107" authorId="0">
      <text>
        <r>
          <rPr>
            <sz val="8"/>
            <color indexed="81"/>
            <rFont val="Tahoma"/>
            <family val="2"/>
          </rPr>
          <t>Exclude half year rate of return. Inputs are assumed to be in middle of year terms because actual contributions are reported evenly over a financial year.</t>
        </r>
      </text>
    </comment>
    <comment ref="R140" authorId="0">
      <text>
        <r>
          <rPr>
            <sz val="8"/>
            <color indexed="81"/>
            <rFont val="Tahoma"/>
            <family val="2"/>
          </rPr>
          <t>Total for the regulatory control period.</t>
        </r>
      </text>
    </comment>
    <comment ref="F141" authorId="0">
      <text>
        <r>
          <rPr>
            <sz val="8"/>
            <color indexed="81"/>
            <rFont val="Tahoma"/>
            <family val="2"/>
          </rPr>
          <t>Exclude half year rate of return. Inputs are assumed to be in middle of year terms because actual net capex is reported evenly over a financial year.</t>
        </r>
      </text>
    </comment>
    <comment ref="R174" authorId="0">
      <text>
        <r>
          <rPr>
            <sz val="8"/>
            <color indexed="81"/>
            <rFont val="Tahoma"/>
            <family val="2"/>
          </rPr>
          <t>Total for the regulatory control period.</t>
        </r>
      </text>
    </comment>
    <comment ref="F177" authorId="0">
      <text>
        <r>
          <rPr>
            <sz val="8"/>
            <color indexed="81"/>
            <rFont val="Tahoma"/>
            <family val="2"/>
          </rPr>
          <t>Consistent with the annual adjustments to form of control.</t>
        </r>
      </text>
    </comment>
    <comment ref="F179" authorId="0">
      <text>
        <r>
          <rPr>
            <sz val="8"/>
            <color indexed="81"/>
            <rFont val="Tahoma"/>
            <family val="2"/>
          </rPr>
          <t>Forecast inflation rate used in the decisions covering the previous and current regulatory control periods.</t>
        </r>
      </text>
    </comment>
    <comment ref="F182" authorId="0">
      <text>
        <r>
          <rPr>
            <sz val="8"/>
            <color indexed="81"/>
            <rFont val="Tahoma"/>
            <family val="2"/>
          </rPr>
          <t>Nominal WACC used in the decisions covering the previous and current regulatory control periods.</t>
        </r>
      </text>
    </comment>
    <comment ref="H182" authorId="0">
      <text>
        <r>
          <rPr>
            <sz val="9"/>
            <color indexed="81"/>
            <rFont val="Tahoma"/>
            <family val="2"/>
          </rPr>
          <t xml:space="preserve">='R:\Library\Vic AA 13\AER MRP pass through submission Final\Attachment F-Adjusted AER Post-tax Revenue Model.xlsm'!vanilla
</t>
        </r>
      </text>
    </comment>
  </commentList>
</comments>
</file>

<file path=xl/comments2.xml><?xml version="1.0" encoding="utf-8"?>
<comments xmlns="http://schemas.openxmlformats.org/spreadsheetml/2006/main">
  <authors>
    <author>Author</author>
  </authors>
  <commentLis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0">
      <text>
        <r>
          <rPr>
            <sz val="8"/>
            <color indexed="81"/>
            <rFont val="Tahoma"/>
            <family val="2"/>
          </rPr>
          <t>This column is based on the prudent additional capex allowed in the previous regulatory control period (if any).</t>
        </r>
      </text>
    </comment>
    <comment ref="G565" authorId="0">
      <text>
        <r>
          <rPr>
            <sz val="8"/>
            <color indexed="81"/>
            <rFont val="Tahoma"/>
            <family val="2"/>
          </rPr>
          <t>This column is based on the foregone return on prudent additional capex allowed in the previous regulatory control period (if any).</t>
        </r>
      </text>
    </comment>
    <comment ref="G597" authorId="0">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0">
      <text>
        <r>
          <rPr>
            <sz val="8"/>
            <color indexed="81"/>
            <rFont val="Tahoma"/>
            <family val="2"/>
          </rPr>
          <t>This column is based on the prudent additional capex allowed in the previous regulatory control period (if any).</t>
        </r>
      </text>
    </comment>
    <comment ref="G134" authorId="0">
      <text>
        <r>
          <rPr>
            <sz val="8"/>
            <color indexed="81"/>
            <rFont val="Tahoma"/>
            <family val="2"/>
          </rPr>
          <t>This column is based on the foregone return on prudent additional capex allowed in the previous regulatory control period (if any).</t>
        </r>
      </text>
    </comment>
    <comment ref="G166" authorId="0">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Author</author>
  </authors>
  <commentList>
    <comment ref="W767" authorId="0">
      <text>
        <r>
          <rPr>
            <b/>
            <sz val="8"/>
            <color indexed="81"/>
            <rFont val="Tahoma"/>
            <family val="2"/>
          </rPr>
          <t>Author:</t>
        </r>
        <r>
          <rPr>
            <sz val="8"/>
            <color indexed="81"/>
            <rFont val="Tahoma"/>
            <family val="2"/>
          </rPr>
          <t xml:space="preserve">
All group 7 references removed and relevant rows linked to next two rows for separate classes</t>
        </r>
      </text>
    </comment>
  </commentList>
</comments>
</file>

<file path=xl/comments6.xml><?xml version="1.0" encoding="utf-8"?>
<comments xmlns="http://schemas.openxmlformats.org/spreadsheetml/2006/main">
  <authors>
    <author>Author</author>
  </authors>
  <commentList>
    <comment ref="E22" authorId="0">
      <text>
        <r>
          <rPr>
            <b/>
            <sz val="9"/>
            <color indexed="81"/>
            <rFont val="Tahoma"/>
            <family val="2"/>
          </rPr>
          <t>Author:</t>
        </r>
        <r>
          <rPr>
            <sz val="9"/>
            <color indexed="81"/>
            <rFont val="Tahoma"/>
            <family val="2"/>
          </rPr>
          <t xml:space="preserve">
Modified to also include land &amp; buildings</t>
        </r>
      </text>
    </comment>
  </commentList>
</comments>
</file>

<file path=xl/comments7.xml><?xml version="1.0" encoding="utf-8"?>
<comments xmlns="http://schemas.openxmlformats.org/spreadsheetml/2006/main">
  <authors>
    <author>Author</author>
  </authors>
  <commentList>
    <comment ref="K8" authorId="0">
      <text>
        <r>
          <rPr>
            <b/>
            <sz val="9"/>
            <color indexed="81"/>
            <rFont val="Tahoma"/>
            <family val="2"/>
          </rPr>
          <t>AER:</t>
        </r>
        <r>
          <rPr>
            <sz val="9"/>
            <color indexed="81"/>
            <rFont val="Tahoma"/>
            <family val="2"/>
          </rPr>
          <t xml:space="preserve">
Formula changes in order to take into account 2010-11 actual capex.</t>
        </r>
      </text>
    </comment>
  </commentList>
</comments>
</file>

<file path=xl/sharedStrings.xml><?xml version="1.0" encoding="utf-8"?>
<sst xmlns="http://schemas.openxmlformats.org/spreadsheetml/2006/main" count="1228" uniqueCount="232">
  <si>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</si>
  <si>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</si>
  <si>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</si>
  <si>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</si>
  <si>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</si>
  <si>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</si>
  <si>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</si>
  <si>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</si>
  <si>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</si>
  <si>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</si>
  <si>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</si>
  <si>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</si>
  <si>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</si>
  <si>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</si>
  <si>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</si>
  <si>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</si>
  <si>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</si>
  <si>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</si>
  <si>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</si>
  <si>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</si>
  <si>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</si>
  <si>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</si>
  <si>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</si>
  <si>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</si>
  <si>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</si>
  <si>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</si>
  <si>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</si>
  <si>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</si>
  <si>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</si>
  <si>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</si>
  <si>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</si>
  <si>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</si>
  <si>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</si>
  <si>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</si>
  <si>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</si>
  <si>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</si>
  <si>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</si>
  <si>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</si>
  <si>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</si>
  <si>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</si>
  <si>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</si>
  <si>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</si>
  <si>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</si>
  <si>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</si>
  <si>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</si>
  <si>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</si>
  <si>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</si>
  <si>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</si>
  <si>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</si>
  <si>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</si>
  <si>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</si>
  <si>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</si>
  <si>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</si>
  <si>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</si>
  <si>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</si>
  <si>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</si>
  <si>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</si>
  <si>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</si>
  <si>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</si>
  <si>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</si>
  <si>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</si>
  <si>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</si>
  <si>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</si>
  <si>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</si>
  <si>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</si>
  <si>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</si>
  <si>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</si>
  <si>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</si>
  <si>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</si>
  <si>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</si>
  <si>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</si>
  <si>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</si>
  <si>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</si>
  <si>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</si>
  <si>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</si>
  <si>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</si>
  <si>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</si>
  <si>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</si>
  <si>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</si>
  <si>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</si>
  <si>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</si>
  <si>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</si>
  <si>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</si>
  <si>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</si>
  <si>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</si>
  <si>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</si>
  <si>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</si>
  <si>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</si>
  <si>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</si>
  <si>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</si>
  <si>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</si>
  <si>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</si>
  <si>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</si>
  <si>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</si>
  <si>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</si>
  <si>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</si>
  <si>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</si>
  <si>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</si>
  <si>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</si>
  <si>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</si>
  <si>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</si>
  <si>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</si>
  <si>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</si>
  <si>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</si>
  <si>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</si>
  <si>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</si>
  <si>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</si>
  <si>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</si>
  <si>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</si>
  <si>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</si>
  <si>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</si>
  <si>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</si>
  <si>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($m Nominal)</t>
  </si>
  <si>
    <t>Closing Asset Value</t>
  </si>
  <si>
    <t>Average Remaining Life</t>
  </si>
  <si>
    <t>Closing Tax Value</t>
  </si>
  <si>
    <t>Average Tax Remaining Life</t>
  </si>
  <si>
    <t>Length of Regulatory Control Period (Year)</t>
  </si>
  <si>
    <r>
      <t xml:space="preserve">Real </t>
    </r>
    <r>
      <rPr>
        <u/>
        <sz val="10"/>
        <rFont val="Arial"/>
        <family val="2"/>
      </rPr>
      <t>Forecast</t>
    </r>
    <r>
      <rPr>
        <sz val="10"/>
        <rFont val="Arial"/>
        <family val="2"/>
      </rPr>
      <t xml:space="preserve"> Straight-line Depreciation</t>
    </r>
  </si>
  <si>
    <t>Average Tax Remaining Life at 1 July 2011 (Year)</t>
  </si>
  <si>
    <t xml:space="preserve">Date: </t>
  </si>
  <si>
    <t>Mains &amp; Services</t>
  </si>
  <si>
    <t>Meters</t>
  </si>
  <si>
    <t>Buildings</t>
  </si>
  <si>
    <t>SCADA</t>
  </si>
  <si>
    <t>Computer Equipment</t>
  </si>
  <si>
    <t>Other Assets</t>
  </si>
  <si>
    <t>Equity Raising Costs</t>
  </si>
  <si>
    <t>Land</t>
  </si>
  <si>
    <t>n/a</t>
  </si>
  <si>
    <t xml:space="preserve"> </t>
  </si>
  <si>
    <t>OAV</t>
  </si>
  <si>
    <t>Land &amp; Buildings</t>
  </si>
  <si>
    <t>Meters Commercial/Industrial</t>
  </si>
  <si>
    <t>Meters Domestic</t>
  </si>
  <si>
    <t xml:space="preserve">Land </t>
  </si>
  <si>
    <t>Tax Depreciation</t>
  </si>
  <si>
    <t>Capital Expenditure</t>
  </si>
  <si>
    <t>Group 8</t>
  </si>
  <si>
    <t>Group 7</t>
  </si>
  <si>
    <t>Group 6</t>
  </si>
  <si>
    <t>Group 5</t>
  </si>
  <si>
    <t>Group 4</t>
  </si>
  <si>
    <t>Group 3</t>
  </si>
  <si>
    <t>Group 2</t>
  </si>
  <si>
    <t>Gross Capex</t>
  </si>
  <si>
    <t>Group 1</t>
  </si>
  <si>
    <t>Grand Total</t>
  </si>
  <si>
    <t>Tax Depn</t>
  </si>
  <si>
    <t>Capex</t>
  </si>
  <si>
    <t>Capex $m (MOD)</t>
  </si>
  <si>
    <t>2011</t>
  </si>
  <si>
    <t>Depn Rate</t>
  </si>
  <si>
    <t>Straight Line</t>
  </si>
  <si>
    <t>Depn Method</t>
  </si>
  <si>
    <t>Depn Life</t>
  </si>
  <si>
    <t>Total Group 7 Asset Class Tax Depreciation</t>
  </si>
  <si>
    <t>Tax Depreciation Schedule $m (MOD)</t>
  </si>
  <si>
    <t>Fully Deductible</t>
  </si>
  <si>
    <t>Repairs</t>
  </si>
  <si>
    <t>Meters Industrial &amp; Commercial</t>
  </si>
  <si>
    <t>Depn
Method</t>
  </si>
  <si>
    <t>Depn
Life</t>
  </si>
  <si>
    <t>OAV $m
(MOD)</t>
  </si>
  <si>
    <t>Group 7
Asset Class</t>
  </si>
  <si>
    <t>TAX DEPRECIATION - GROUP 7 ASSET CLASS</t>
  </si>
  <si>
    <t>Total Group 6 Asset Class Tax Depreciation</t>
  </si>
  <si>
    <t>2006</t>
  </si>
  <si>
    <t>Declining Balance</t>
  </si>
  <si>
    <t>Group 6
Asset Class</t>
  </si>
  <si>
    <t>TAX DEPRECIATION - GROUP 6 ASSET CLASS</t>
  </si>
  <si>
    <t>Total Group 5 Asset Class Tax Depreciation</t>
  </si>
  <si>
    <t>Actual 2007 NGEP tax additions</t>
  </si>
  <si>
    <t>Group 5
Asset Class</t>
  </si>
  <si>
    <t>TAX DEPRECIATION - GROUP 5 ASSET CLASS</t>
  </si>
  <si>
    <t>Total Group 4 Asset Class Tax Depreciation</t>
  </si>
  <si>
    <t>2005</t>
  </si>
  <si>
    <t>2004</t>
  </si>
  <si>
    <t>2003</t>
  </si>
  <si>
    <t>2002</t>
  </si>
  <si>
    <t>Group 4
Asset Class</t>
  </si>
  <si>
    <t>TAX DEPRECIATION - GROUP 4 ASSET CLASS</t>
  </si>
  <si>
    <t>Total Group 3 Asset Class Tax Depreciation</t>
  </si>
  <si>
    <t>2001</t>
  </si>
  <si>
    <t>2000</t>
  </si>
  <si>
    <t>1999</t>
  </si>
  <si>
    <t>Group 3
Asset Class</t>
  </si>
  <si>
    <t>TAX DEPRECIATION - GROUP 3 ASSET CLASS</t>
  </si>
  <si>
    <t>Total Group 2 Asset Class Tax Depreciation</t>
  </si>
  <si>
    <t>Group 2
Asset Class</t>
  </si>
  <si>
    <t>TAX DEPRECIATION - GROUP 2 ASSET CLASS</t>
  </si>
  <si>
    <t>Total Group 1 Asset Class Tax Depreciation</t>
  </si>
  <si>
    <t>Group 1
Asset Class</t>
  </si>
  <si>
    <t>TAX DEPRECIATION - GROUP 1 ASSET CLASS</t>
  </si>
  <si>
    <t>Envestra Vic</t>
  </si>
  <si>
    <t>PTRM - Tax Standard Lives (Years)</t>
  </si>
  <si>
    <t>Summary of PTRM Tax Inputs</t>
  </si>
  <si>
    <t>Opening Tax Value ($mn)</t>
  </si>
  <si>
    <t>Tax Remaining Life (years)</t>
  </si>
  <si>
    <t>Tax Standard Life (years)</t>
  </si>
  <si>
    <t>check</t>
  </si>
  <si>
    <t>New Tax Categories</t>
  </si>
  <si>
    <t>Proportion</t>
  </si>
  <si>
    <t>$mn, nom</t>
  </si>
  <si>
    <t>Total Opening Tax RAB</t>
  </si>
  <si>
    <t>Estimating Standard Lives</t>
  </si>
  <si>
    <t>Page No.</t>
  </si>
  <si>
    <t>Life (years)</t>
  </si>
  <si>
    <t>PTRM Std Tax Life (years)</t>
  </si>
  <si>
    <t>RAB Std Lives (years)</t>
  </si>
  <si>
    <t>RAB Remaining Lives (years) (for TAB calc)</t>
  </si>
  <si>
    <t>Tax RAB Standard Lives (years)</t>
  </si>
  <si>
    <t>Tax RAB Remaining Lives (years)</t>
  </si>
  <si>
    <t>PTRM Asset Category</t>
  </si>
  <si>
    <t>N/A</t>
  </si>
  <si>
    <t>Estimating 2018 Opening Tax RAB</t>
  </si>
  <si>
    <t>From ATO Ruling 2016/1</t>
  </si>
  <si>
    <t>Pipelines (including high, medium or low pressure trunk, primary or secondary mains or services) (Mains &amp; Services)</t>
  </si>
  <si>
    <t>Gas Meters</t>
  </si>
  <si>
    <t xml:space="preserve">Buildings </t>
  </si>
  <si>
    <t>Control Systems (excluding computers) (SCADA)</t>
  </si>
  <si>
    <t>Computers and computer equipment</t>
  </si>
  <si>
    <t>Regulators (including gate stations, subgate stations, block valve stations, pressure regulating stations and district regulating stations) (Other Assets)</t>
  </si>
  <si>
    <t>Nominal Forecast Straight-line Depreciation</t>
  </si>
  <si>
    <t>Actual RAB roll forward</t>
  </si>
  <si>
    <t>Summary</t>
  </si>
  <si>
    <t>Opening capital base as at 1 January 2018</t>
  </si>
  <si>
    <t>Remaining asset life as at 1 January 2018</t>
  </si>
  <si>
    <t>Opening TAB as at 1 January 2018</t>
  </si>
  <si>
    <t>Remaining tax asset life as at 1 January 2018</t>
  </si>
  <si>
    <t>Estimating Remaining Lives for 2018 Opening Tax RAB</t>
  </si>
  <si>
    <t>Lagged Actual CPI Inflation 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</si>
</sst>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quot;#,##0;[Red]\-&quot;$&quot;#,##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_);_(* \(#,##0.00\);_(* &quot;-&quot;??_);_(@_)"/>
    <numFmt numFmtId="175" formatCode="_(#,##0.0%_);\(#,##0.0%\);_(&quot;-&quot;_)"/>
    <numFmt numFmtId="176" formatCode="_-&quot;$&quot;* #,##0.0_-;\-&quot;$&quot;* #,##0.0_-;_-&quot;$&quot;* &quot;-&quot;??_-;_-@_-"/>
    <numFmt numFmtId="177" formatCode="#,##0.00_ ;\-#,##0.00\ "/>
    <numFmt numFmtId="178" formatCode="_-* #,##0.0_-;\-* #,##0.0_-;_-* &quot;-&quot;?_-;_-@_-"/>
    <numFmt numFmtId="179" formatCode="_-* #,##0.000000_-;\-* #,##0.000000_-;_-* &quot;-&quot;??_-;_-@_-"/>
    <numFmt numFmtId="180" formatCode="#,##0.0"/>
    <numFmt numFmtId="181" formatCode="#,##0.000"/>
  </numFmts>
  <fonts count="57">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u/>
      <sz val="7.9"/>
      <name val="Arial"/>
      <family val="2"/>
    </font>
    <font>
      <sz val="8"/>
      <color indexed="10"/>
      <name val="Arial"/>
      <family val="2"/>
    </font>
    <font>
      <sz val="8"/>
      <name val="Trebuchet MS"/>
      <family val="2"/>
    </font>
    <font>
      <b/>
      <sz val="14"/>
      <name val="Arial"/>
      <family val="2"/>
    </font>
    <font>
      <b/>
      <sz val="12"/>
      <color indexed="12"/>
      <name val="Arial"/>
      <family val="2"/>
    </font>
    <font>
      <sz val="9"/>
      <color indexed="81"/>
      <name val="Tahoma"/>
      <family val="2"/>
    </font>
    <font>
      <b/>
      <sz val="9"/>
      <color indexed="81"/>
      <name val="Tahoma"/>
      <family val="2"/>
    </font>
    <font>
      <u/>
      <sz val="10"/>
      <name val="Arial"/>
      <family val="2"/>
    </font>
    <font>
      <sz val="10"/>
      <name val="Arial"/>
      <family val="2"/>
    </font>
    <font>
      <sz val="10"/>
      <color theme="1"/>
      <name val="Arial"/>
      <family val="2"/>
    </font>
    <font>
      <b/>
      <u/>
      <sz val="10"/>
      <name val="Arial"/>
      <family val="2"/>
    </font>
    <font>
      <b/>
      <sz val="10"/>
      <color indexed="10"/>
      <name val="Arial"/>
      <family val="2"/>
    </font>
    <font>
      <b/>
      <u/>
      <sz val="11"/>
      <name val="Times New Roman"/>
      <family val="1"/>
    </font>
    <font>
      <b/>
      <sz val="8"/>
      <color indexed="81"/>
      <name val="Tahoma"/>
      <family val="2"/>
    </font>
    <font>
      <b/>
      <sz val="16"/>
      <color theme="0"/>
      <name val="Calibri"/>
      <family val="2"/>
      <scheme val="minor"/>
    </font>
    <font>
      <sz val="10"/>
      <color theme="0"/>
      <name val="Calibri"/>
      <family val="2"/>
      <scheme val="minor"/>
    </font>
    <font>
      <sz val="10"/>
      <color theme="1"/>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
      <color theme="0"/>
      <name val="Calibri"/>
      <family val="2"/>
      <scheme val="minor"/>
    </font>
    <font>
      <b/>
      <sz val="10"/>
      <color theme="1"/>
      <name val="Calibri"/>
      <family val="2"/>
      <scheme val="minor"/>
    </font>
    <font>
      <sz val="9"/>
      <color rgb="FFFF0000"/>
      <name val="Calibri"/>
      <family val="2"/>
      <scheme val="minor"/>
    </font>
    <font>
      <sz val="11"/>
      <color theme="1"/>
      <name val="Calibri"/>
      <family val="2"/>
      <scheme val="minor"/>
    </font>
  </fonts>
  <fills count="24">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52"/>
        <bgColor indexed="64"/>
      </patternFill>
    </fill>
    <fill>
      <patternFill patternType="solid">
        <fgColor indexed="47"/>
        <bgColor indexed="64"/>
      </patternFill>
    </fill>
    <fill>
      <patternFill patternType="solid">
        <fgColor indexed="49"/>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66FFFF"/>
        <bgColor indexed="64"/>
      </patternFill>
    </fill>
    <fill>
      <patternFill patternType="solid">
        <fgColor theme="1"/>
        <bgColor indexed="64"/>
      </patternFill>
    </fill>
    <fill>
      <patternFill patternType="solid">
        <fgColor rgb="FF002060"/>
        <bgColor indexed="64"/>
      </patternFill>
    </fill>
    <fill>
      <patternFill patternType="solid">
        <fgColor theme="6"/>
        <bgColor indexed="64"/>
      </patternFill>
    </fill>
    <fill>
      <patternFill patternType="solid">
        <fgColor theme="9"/>
        <bgColor indexed="64"/>
      </patternFill>
    </fill>
  </fills>
  <borders count="59">
    <border>
      <left/>
      <right/>
      <top/>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indexed="23"/>
      </left>
      <right/>
      <top style="thin">
        <color indexed="23"/>
      </top>
      <bottom/>
      <diagonal/>
    </border>
    <border>
      <left/>
      <right/>
      <top style="thin">
        <color auto="1"/>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226">
    <xf numFmtId="0" fontId="0" fillId="0" borderId="0"/>
    <xf numFmtId="10" fontId="2" fillId="2" borderId="0"/>
    <xf numFmtId="10" fontId="2" fillId="2" borderId="0"/>
    <xf numFmtId="10" fontId="2" fillId="2" borderId="0"/>
    <xf numFmtId="10" fontId="2" fillId="2" borderId="0"/>
    <xf numFmtId="175" fontId="31" fillId="0" borderId="1">
      <alignment vertical="center"/>
      <protection locked="0"/>
    </xf>
    <xf numFmtId="164" fontId="4" fillId="3" borderId="0" applyNumberFormat="0" applyFont="0" applyBorder="0" applyAlignment="0">
      <alignment horizontal="right"/>
    </xf>
    <xf numFmtId="0" fontId="4" fillId="4" borderId="0" applyNumberFormat="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 borderId="0" applyNumberFormat="0"/>
    <xf numFmtId="171" fontId="1" fillId="6" borderId="0" applyFont="0" applyBorder="0">
      <alignment horizontal="right"/>
    </xf>
    <xf numFmtId="171" fontId="4" fillId="6" borderId="0" applyFont="0" applyBorder="0">
      <alignment horizontal="right"/>
    </xf>
    <xf numFmtId="171" fontId="4" fillId="6" borderId="0" applyFont="0" applyBorder="0">
      <alignment horizontal="right"/>
    </xf>
    <xf numFmtId="165" fontId="1" fillId="6" borderId="0" applyFont="0" applyBorder="0" applyAlignment="0"/>
    <xf numFmtId="165" fontId="4" fillId="6" borderId="0" applyFont="0" applyBorder="0" applyAlignment="0"/>
    <xf numFmtId="165" fontId="4" fillId="6" borderId="0" applyFont="0" applyBorder="0" applyAlignment="0"/>
    <xf numFmtId="171" fontId="1" fillId="6" borderId="0" applyFont="0" applyBorder="0">
      <alignment horizontal="right"/>
    </xf>
    <xf numFmtId="164" fontId="1"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0" fontId="1" fillId="7" borderId="0" applyFont="0" applyBorder="0">
      <alignment horizontal="right"/>
      <protection locked="0"/>
    </xf>
    <xf numFmtId="10" fontId="4" fillId="7" borderId="0" applyFont="0" applyBorder="0">
      <alignment horizontal="right"/>
      <protection locked="0"/>
    </xf>
    <xf numFmtId="10" fontId="4" fillId="7" borderId="0" applyFont="0" applyBorder="0">
      <alignment horizontal="right"/>
      <protection locked="0"/>
    </xf>
    <xf numFmtId="164" fontId="1" fillId="7" borderId="0" applyFont="0" applyBorder="0" applyAlignment="0">
      <alignment horizontal="right"/>
      <protection locked="0"/>
    </xf>
    <xf numFmtId="3" fontId="1" fillId="8" borderId="0" applyFont="0" applyBorder="0">
      <protection locked="0"/>
    </xf>
    <xf numFmtId="3" fontId="4" fillId="8" borderId="0" applyFont="0" applyBorder="0">
      <protection locked="0"/>
    </xf>
    <xf numFmtId="3" fontId="4" fillId="8" borderId="0" applyFont="0" applyBorder="0">
      <protection locked="0"/>
    </xf>
    <xf numFmtId="165" fontId="24" fillId="8" borderId="0" applyBorder="0" applyAlignment="0">
      <protection locked="0"/>
    </xf>
    <xf numFmtId="172" fontId="1" fillId="9" borderId="0" applyFont="0" applyBorder="0">
      <alignment horizontal="right"/>
      <protection locked="0"/>
    </xf>
    <xf numFmtId="172" fontId="4" fillId="9" borderId="0" applyFont="0" applyBorder="0">
      <alignment horizontal="right"/>
      <protection locked="0"/>
    </xf>
    <xf numFmtId="172" fontId="4" fillId="9" borderId="0" applyFont="0" applyBorder="0">
      <alignment horizontal="right"/>
      <protection locked="0"/>
    </xf>
    <xf numFmtId="164" fontId="1"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5" fontId="25" fillId="10" borderId="0" applyBorder="0" applyAlignment="0"/>
    <xf numFmtId="171" fontId="26" fillId="3" borderId="2" applyFont="0" applyBorder="0" applyAlignment="0"/>
    <xf numFmtId="165" fontId="24" fillId="3" borderId="0" applyFont="0" applyBorder="0" applyAlignment="0"/>
    <xf numFmtId="0" fontId="2" fillId="11" borderId="3">
      <alignment vertical="center"/>
    </xf>
    <xf numFmtId="0" fontId="33" fillId="7"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38"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12" borderId="3">
      <alignment vertical="center"/>
    </xf>
    <xf numFmtId="0" fontId="2" fillId="12" borderId="3">
      <alignment vertical="center"/>
    </xf>
    <xf numFmtId="0" fontId="2" fillId="12" borderId="3">
      <alignment vertical="center"/>
    </xf>
    <xf numFmtId="0" fontId="2" fillId="12" borderId="3">
      <alignment vertical="center"/>
    </xf>
    <xf numFmtId="10" fontId="30" fillId="0" borderId="0"/>
    <xf numFmtId="0" fontId="7" fillId="0" borderId="0"/>
    <xf numFmtId="0" fontId="32" fillId="0" borderId="0"/>
    <xf numFmtId="15" fontId="4" fillId="0" borderId="0"/>
    <xf numFmtId="0" fontId="1" fillId="0" borderId="0"/>
    <xf numFmtId="41" fontId="1" fillId="3" borderId="0" applyNumberFormat="0" applyFont="0" applyBorder="0" applyAlignment="0">
      <alignment horizontal="right"/>
    </xf>
    <xf numFmtId="0" fontId="1" fillId="4" borderId="0" applyNumberForma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5" borderId="0" applyNumberFormat="0"/>
    <xf numFmtId="171" fontId="1" fillId="6" borderId="0" applyFont="0" applyBorder="0">
      <alignment horizontal="right"/>
    </xf>
    <xf numFmtId="171" fontId="1" fillId="6" borderId="0" applyFont="0" applyBorder="0">
      <alignment horizontal="right"/>
    </xf>
    <xf numFmtId="165" fontId="1" fillId="6" borderId="0" applyFont="0" applyBorder="0" applyAlignment="0"/>
    <xf numFmtId="165" fontId="1" fillId="6" borderId="0" applyFont="0" applyBorder="0" applyAlignment="0"/>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10" fontId="1" fillId="7" borderId="0" applyFont="0" applyBorder="0">
      <alignment horizontal="right"/>
      <protection locked="0"/>
    </xf>
    <xf numFmtId="10" fontId="1" fillId="7" borderId="0" applyFont="0" applyBorder="0">
      <alignment horizontal="right"/>
      <protection locked="0"/>
    </xf>
    <xf numFmtId="3" fontId="1" fillId="8" borderId="0" applyFont="0" applyBorder="0">
      <protection locked="0"/>
    </xf>
    <xf numFmtId="3" fontId="1" fillId="8" borderId="0" applyFont="0" applyBorder="0">
      <protection locked="0"/>
    </xf>
    <xf numFmtId="172" fontId="1" fillId="9" borderId="0" applyFont="0" applyBorder="0">
      <alignment horizontal="right"/>
      <protection locked="0"/>
    </xf>
    <xf numFmtId="172" fontId="1" fillId="9"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0" fontId="56" fillId="0" borderId="0"/>
  </cellStyleXfs>
  <cellXfs count="673">
    <xf numFmtId="0" fontId="0" fillId="0" borderId="0" xfId="0"/>
    <xf numFmtId="0" fontId="2" fillId="13" borderId="3"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01" applyNumberFormat="1"/>
    <xf numFmtId="0" fontId="0" fillId="2" borderId="0" xfId="0" applyFill="1"/>
    <xf numFmtId="0" fontId="8" fillId="0" borderId="0" xfId="0" applyFont="1"/>
    <xf numFmtId="0" fontId="0" fillId="0" borderId="0" xfId="0" applyAlignment="1"/>
    <xf numFmtId="0" fontId="0" fillId="14" borderId="0" xfId="0" applyFill="1" applyBorder="1" applyAlignment="1">
      <alignment wrapText="1"/>
    </xf>
    <xf numFmtId="0" fontId="0" fillId="14" borderId="0" xfId="0" applyFill="1"/>
    <xf numFmtId="0" fontId="2" fillId="14" borderId="0" xfId="0" applyFont="1" applyFill="1" applyAlignment="1">
      <alignment horizontal="center" wrapText="1"/>
    </xf>
    <xf numFmtId="10" fontId="2" fillId="14" borderId="0" xfId="101" applyNumberFormat="1" applyFont="1" applyFill="1" applyAlignment="1">
      <alignment horizontal="center" wrapText="1"/>
    </xf>
    <xf numFmtId="0" fontId="0" fillId="14" borderId="0" xfId="0" applyFill="1" applyBorder="1"/>
    <xf numFmtId="0" fontId="4" fillId="14" borderId="0" xfId="0" applyFont="1" applyFill="1" applyBorder="1" applyAlignment="1">
      <alignment wrapText="1"/>
    </xf>
    <xf numFmtId="0" fontId="0" fillId="14" borderId="0" xfId="0" applyFill="1" applyBorder="1" applyAlignment="1">
      <alignment vertical="center" wrapText="1"/>
    </xf>
    <xf numFmtId="0" fontId="4" fillId="14" borderId="0" xfId="0" applyFont="1" applyFill="1" applyBorder="1" applyAlignment="1">
      <alignment horizontal="left" vertical="center"/>
    </xf>
    <xf numFmtId="0" fontId="2" fillId="14" borderId="0" xfId="0" applyFont="1" applyFill="1" applyBorder="1" applyAlignment="1">
      <alignment horizontal="center"/>
    </xf>
    <xf numFmtId="0" fontId="2" fillId="14" borderId="0" xfId="0" applyFont="1" applyFill="1" applyBorder="1"/>
    <xf numFmtId="0" fontId="0" fillId="14" borderId="0" xfId="0" applyFill="1" applyAlignment="1">
      <alignment horizontal="center"/>
    </xf>
    <xf numFmtId="0" fontId="0" fillId="14" borderId="0" xfId="0" applyFill="1" applyAlignment="1"/>
    <xf numFmtId="10" fontId="1" fillId="14" borderId="0" xfId="101" applyNumberFormat="1" applyFill="1"/>
    <xf numFmtId="10" fontId="0" fillId="14" borderId="0" xfId="101" applyNumberFormat="1" applyFont="1" applyFill="1"/>
    <xf numFmtId="165" fontId="0" fillId="14" borderId="0" xfId="101" applyNumberFormat="1" applyFont="1" applyFill="1"/>
    <xf numFmtId="168" fontId="4" fillId="14" borderId="0" xfId="8" applyNumberFormat="1" applyFont="1" applyFill="1"/>
    <xf numFmtId="0" fontId="2" fillId="13" borderId="0" xfId="0" applyFont="1" applyFill="1" applyBorder="1" applyAlignment="1">
      <alignment horizontal="center"/>
    </xf>
    <xf numFmtId="0" fontId="10" fillId="14" borderId="0" xfId="0" applyFont="1" applyFill="1" applyAlignment="1">
      <alignment horizontal="center"/>
    </xf>
    <xf numFmtId="0" fontId="10" fillId="14" borderId="0" xfId="0" applyFont="1" applyFill="1" applyAlignment="1">
      <alignment horizontal="right"/>
    </xf>
    <xf numFmtId="43" fontId="10" fillId="14" borderId="0" xfId="8" applyFont="1" applyFill="1" applyAlignment="1">
      <alignment horizontal="left"/>
    </xf>
    <xf numFmtId="168" fontId="0" fillId="14" borderId="0" xfId="8" applyNumberFormat="1" applyFont="1" applyFill="1"/>
    <xf numFmtId="166" fontId="0" fillId="14" borderId="0" xfId="0" applyNumberFormat="1" applyFill="1"/>
    <xf numFmtId="43" fontId="10" fillId="14" borderId="0" xfId="8" applyFont="1" applyFill="1" applyAlignment="1">
      <alignment horizontal="right"/>
    </xf>
    <xf numFmtId="43" fontId="4" fillId="14" borderId="0" xfId="8" applyFont="1" applyFill="1"/>
    <xf numFmtId="0" fontId="2" fillId="14" borderId="0" xfId="0" applyFont="1" applyFill="1" applyAlignment="1">
      <alignment horizontal="right"/>
    </xf>
    <xf numFmtId="0" fontId="0" fillId="14" borderId="4" xfId="0" applyFill="1" applyBorder="1"/>
    <xf numFmtId="0" fontId="2" fillId="14" borderId="4" xfId="0" applyFont="1" applyFill="1" applyBorder="1" applyAlignment="1">
      <alignment horizontal="right"/>
    </xf>
    <xf numFmtId="168" fontId="4" fillId="0" borderId="4" xfId="8" applyNumberFormat="1" applyFont="1" applyFill="1" applyBorder="1"/>
    <xf numFmtId="43" fontId="10" fillId="14" borderId="4" xfId="8" applyFont="1" applyFill="1" applyBorder="1" applyAlignment="1">
      <alignment horizontal="right"/>
    </xf>
    <xf numFmtId="43" fontId="0" fillId="14" borderId="0" xfId="0" applyNumberFormat="1" applyFill="1"/>
    <xf numFmtId="44" fontId="11" fillId="14" borderId="0" xfId="22" applyFont="1" applyFill="1" applyBorder="1" applyAlignment="1">
      <alignment horizontal="center" vertical="center"/>
    </xf>
    <xf numFmtId="0" fontId="2" fillId="14" borderId="0" xfId="0" applyFont="1" applyFill="1" applyBorder="1" applyAlignment="1">
      <alignment vertical="center"/>
    </xf>
    <xf numFmtId="0" fontId="4" fillId="14" borderId="0" xfId="0" applyFont="1" applyFill="1" applyBorder="1" applyAlignment="1">
      <alignment vertical="center"/>
    </xf>
    <xf numFmtId="10" fontId="1" fillId="14" borderId="0" xfId="101" applyNumberFormat="1" applyFill="1" applyBorder="1"/>
    <xf numFmtId="0" fontId="8" fillId="14" borderId="0" xfId="0" applyFont="1" applyFill="1" applyBorder="1" applyAlignment="1"/>
    <xf numFmtId="0" fontId="8" fillId="14" borderId="0" xfId="0" applyFont="1" applyFill="1"/>
    <xf numFmtId="0" fontId="0" fillId="14" borderId="0" xfId="0" applyFill="1" applyAlignment="1">
      <alignment wrapText="1"/>
    </xf>
    <xf numFmtId="0" fontId="0" fillId="14" borderId="0" xfId="0" applyFill="1" applyBorder="1" applyAlignment="1"/>
    <xf numFmtId="0" fontId="4" fillId="14" borderId="0" xfId="0" applyFont="1" applyFill="1"/>
    <xf numFmtId="43" fontId="10" fillId="14" borderId="5" xfId="8" applyFont="1" applyFill="1" applyBorder="1" applyAlignment="1">
      <alignment horizontal="right"/>
    </xf>
    <xf numFmtId="44" fontId="0" fillId="14" borderId="0" xfId="0" applyNumberFormat="1" applyFill="1"/>
    <xf numFmtId="0" fontId="4" fillId="0" borderId="0" xfId="0" applyFont="1"/>
    <xf numFmtId="0" fontId="5" fillId="14" borderId="0" xfId="0" applyFont="1" applyFill="1" applyBorder="1" applyAlignment="1">
      <alignment horizontal="center" vertical="center"/>
    </xf>
    <xf numFmtId="0" fontId="12" fillId="14" borderId="0" xfId="0" applyFont="1" applyFill="1" applyBorder="1" applyAlignment="1">
      <alignment horizontal="center"/>
    </xf>
    <xf numFmtId="0" fontId="7" fillId="14" borderId="0" xfId="0" applyFont="1" applyFill="1" applyBorder="1"/>
    <xf numFmtId="0" fontId="4" fillId="14" borderId="0" xfId="0" applyFont="1" applyFill="1" applyBorder="1" applyAlignment="1"/>
    <xf numFmtId="0" fontId="4" fillId="14" borderId="4" xfId="0" applyFont="1" applyFill="1" applyBorder="1"/>
    <xf numFmtId="0" fontId="2" fillId="14" borderId="4" xfId="0" applyFont="1" applyFill="1" applyBorder="1"/>
    <xf numFmtId="0" fontId="7" fillId="14" borderId="0" xfId="0" applyFont="1" applyFill="1" applyBorder="1" applyAlignment="1">
      <alignment horizontal="left"/>
    </xf>
    <xf numFmtId="0" fontId="2" fillId="14" borderId="4" xfId="0" applyFont="1" applyFill="1" applyBorder="1" applyAlignment="1">
      <alignment horizontal="center"/>
    </xf>
    <xf numFmtId="0" fontId="2" fillId="14" borderId="4" xfId="0" applyFont="1" applyFill="1" applyBorder="1" applyAlignment="1">
      <alignment horizontal="left"/>
    </xf>
    <xf numFmtId="0" fontId="12" fillId="14" borderId="4" xfId="0" applyFont="1" applyFill="1" applyBorder="1" applyAlignment="1">
      <alignment horizontal="center"/>
    </xf>
    <xf numFmtId="44" fontId="10" fillId="14" borderId="0" xfId="22" applyFont="1" applyFill="1" applyBorder="1" applyAlignment="1">
      <alignment horizontal="center" vertical="center"/>
    </xf>
    <xf numFmtId="43" fontId="4" fillId="4" borderId="6" xfId="8" applyNumberFormat="1" applyFont="1" applyFill="1" applyBorder="1" applyAlignment="1">
      <alignment horizontal="right" vertical="center"/>
    </xf>
    <xf numFmtId="43" fontId="4" fillId="4" borderId="0" xfId="8" applyNumberFormat="1" applyFont="1" applyFill="1" applyBorder="1" applyAlignment="1">
      <alignment horizontal="right" vertical="center"/>
    </xf>
    <xf numFmtId="43" fontId="4" fillId="4" borderId="0" xfId="8" applyFont="1" applyFill="1" applyBorder="1" applyAlignment="1">
      <alignment horizontal="center" vertical="center"/>
    </xf>
    <xf numFmtId="167" fontId="10" fillId="14" borderId="0" xfId="8" applyNumberFormat="1" applyFont="1" applyFill="1"/>
    <xf numFmtId="167" fontId="10" fillId="14" borderId="0" xfId="8" applyNumberFormat="1" applyFont="1" applyFill="1" applyAlignment="1">
      <alignment horizontal="right"/>
    </xf>
    <xf numFmtId="167" fontId="10" fillId="14" borderId="0" xfId="0" applyNumberFormat="1" applyFont="1" applyFill="1"/>
    <xf numFmtId="43" fontId="10" fillId="14" borderId="4" xfId="8" applyNumberFormat="1" applyFont="1" applyFill="1" applyBorder="1" applyAlignment="1">
      <alignment horizontal="right"/>
    </xf>
    <xf numFmtId="43" fontId="10" fillId="14" borderId="0" xfId="8" applyNumberFormat="1" applyFont="1" applyFill="1" applyAlignment="1">
      <alignment horizontal="right"/>
    </xf>
    <xf numFmtId="0" fontId="8" fillId="3" borderId="3" xfId="0" applyFont="1" applyFill="1" applyBorder="1"/>
    <xf numFmtId="0" fontId="7" fillId="3" borderId="3" xfId="0" applyFont="1" applyFill="1" applyBorder="1"/>
    <xf numFmtId="0" fontId="7" fillId="3" borderId="3" xfId="0" applyFont="1" applyFill="1" applyBorder="1" applyAlignment="1">
      <alignment horizontal="center"/>
    </xf>
    <xf numFmtId="10" fontId="7" fillId="3" borderId="3" xfId="101" applyNumberFormat="1" applyFont="1" applyFill="1" applyBorder="1" applyAlignment="1">
      <alignment horizontal="center"/>
    </xf>
    <xf numFmtId="0" fontId="0" fillId="12" borderId="3" xfId="0" applyFill="1" applyBorder="1"/>
    <xf numFmtId="0" fontId="0" fillId="12" borderId="3" xfId="0" applyFill="1" applyBorder="1" applyAlignment="1">
      <alignment wrapText="1"/>
    </xf>
    <xf numFmtId="44" fontId="2" fillId="12" borderId="3" xfId="0" applyNumberFormat="1" applyFont="1" applyFill="1" applyBorder="1" applyAlignment="1">
      <alignment horizontal="center" wrapText="1"/>
    </xf>
    <xf numFmtId="0" fontId="7" fillId="12" borderId="3" xfId="0" applyFont="1" applyFill="1" applyBorder="1" applyAlignment="1">
      <alignment vertical="center"/>
    </xf>
    <xf numFmtId="0" fontId="1" fillId="12" borderId="3" xfId="0" applyFont="1" applyFill="1" applyBorder="1"/>
    <xf numFmtId="0" fontId="9" fillId="12" borderId="3" xfId="0" applyFont="1" applyFill="1" applyBorder="1" applyAlignment="1">
      <alignment vertical="center" wrapText="1"/>
    </xf>
    <xf numFmtId="0" fontId="9" fillId="12" borderId="3" xfId="0" applyFont="1" applyFill="1" applyBorder="1" applyAlignment="1">
      <alignment wrapText="1"/>
    </xf>
    <xf numFmtId="0" fontId="2" fillId="12" borderId="3" xfId="0" applyFont="1" applyFill="1" applyBorder="1"/>
    <xf numFmtId="0" fontId="2" fillId="3" borderId="3" xfId="0" applyFont="1" applyFill="1" applyBorder="1" applyAlignment="1">
      <alignment horizontal="center"/>
    </xf>
    <xf numFmtId="0" fontId="7" fillId="3" borderId="3" xfId="0" applyFont="1" applyFill="1" applyBorder="1" applyAlignment="1">
      <alignment horizontal="left"/>
    </xf>
    <xf numFmtId="168" fontId="4" fillId="12" borderId="3" xfId="8" applyNumberFormat="1" applyFont="1" applyFill="1" applyBorder="1"/>
    <xf numFmtId="43" fontId="4" fillId="12" borderId="3" xfId="8" applyFont="1" applyFill="1" applyBorder="1"/>
    <xf numFmtId="10" fontId="0" fillId="14" borderId="0" xfId="101" applyNumberFormat="1"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44" fontId="0" fillId="0" borderId="0" xfId="0" applyNumberFormat="1"/>
    <xf numFmtId="0" fontId="4" fillId="14" borderId="0" xfId="0" applyFont="1" applyFill="1" applyBorder="1"/>
    <xf numFmtId="10" fontId="4" fillId="14" borderId="4" xfId="101" applyNumberFormat="1" applyFont="1" applyFill="1" applyBorder="1" applyAlignment="1" applyProtection="1">
      <alignment horizontal="center"/>
    </xf>
    <xf numFmtId="43" fontId="4" fillId="14" borderId="0" xfId="8" applyNumberFormat="1" applyFont="1" applyFill="1" applyBorder="1" applyAlignment="1">
      <alignment horizontal="right" vertical="center"/>
    </xf>
    <xf numFmtId="169" fontId="1" fillId="14" borderId="0" xfId="8" applyNumberFormat="1" applyFill="1" applyBorder="1"/>
    <xf numFmtId="0" fontId="1" fillId="14" borderId="0" xfId="100" applyFill="1" applyBorder="1"/>
    <xf numFmtId="10" fontId="1" fillId="14" borderId="0" xfId="100" applyNumberFormat="1" applyFill="1" applyBorder="1"/>
    <xf numFmtId="0" fontId="1" fillId="14" borderId="0" xfId="100" applyFont="1" applyFill="1" applyBorder="1"/>
    <xf numFmtId="0" fontId="4" fillId="14" borderId="0" xfId="100" applyFont="1" applyFill="1" applyBorder="1"/>
    <xf numFmtId="0" fontId="3" fillId="12" borderId="3" xfId="0" applyFont="1" applyFill="1" applyBorder="1" applyAlignment="1">
      <alignment vertical="center"/>
    </xf>
    <xf numFmtId="170" fontId="0" fillId="14" borderId="0" xfId="8" applyNumberFormat="1" applyFont="1" applyFill="1"/>
    <xf numFmtId="165" fontId="0" fillId="14" borderId="0" xfId="101" applyNumberFormat="1" applyFont="1" applyFill="1" applyBorder="1"/>
    <xf numFmtId="166" fontId="0" fillId="14" borderId="0" xfId="0" applyNumberFormat="1" applyFill="1" applyBorder="1"/>
    <xf numFmtId="43" fontId="10" fillId="14" borderId="0" xfId="8" applyFont="1" applyFill="1" applyBorder="1" applyAlignment="1">
      <alignment horizontal="right"/>
    </xf>
    <xf numFmtId="167" fontId="10" fillId="14" borderId="0" xfId="8" applyNumberFormat="1" applyFont="1" applyFill="1" applyBorder="1"/>
    <xf numFmtId="43" fontId="10" fillId="14" borderId="0" xfId="8" applyNumberFormat="1" applyFont="1" applyFill="1" applyBorder="1" applyAlignment="1">
      <alignment horizontal="right"/>
    </xf>
    <xf numFmtId="167" fontId="10" fillId="14" borderId="0" xfId="8" applyNumberFormat="1" applyFont="1" applyFill="1" applyBorder="1" applyAlignment="1">
      <alignment horizontal="right"/>
    </xf>
    <xf numFmtId="167" fontId="10" fillId="14" borderId="0" xfId="0" applyNumberFormat="1" applyFont="1" applyFill="1" applyBorder="1"/>
    <xf numFmtId="43" fontId="4" fillId="14" borderId="0" xfId="8" applyFont="1" applyFill="1" applyBorder="1"/>
    <xf numFmtId="10" fontId="1" fillId="4" borderId="6" xfId="101" applyNumberFormat="1" applyFill="1" applyBorder="1"/>
    <xf numFmtId="0" fontId="0" fillId="3" borderId="3" xfId="0" applyFill="1" applyBorder="1"/>
    <xf numFmtId="168" fontId="2" fillId="12" borderId="3" xfId="8" applyNumberFormat="1" applyFont="1" applyFill="1" applyBorder="1"/>
    <xf numFmtId="2" fontId="0" fillId="14" borderId="0" xfId="0" applyNumberFormat="1" applyFill="1"/>
    <xf numFmtId="43" fontId="15" fillId="14" borderId="0" xfId="0" applyNumberFormat="1" applyFont="1" applyFill="1"/>
    <xf numFmtId="167" fontId="4" fillId="14" borderId="0" xfId="8" applyNumberFormat="1" applyFont="1" applyFill="1"/>
    <xf numFmtId="43" fontId="4" fillId="14" borderId="0" xfId="8" applyNumberFormat="1" applyFont="1" applyFill="1" applyAlignment="1">
      <alignment horizontal="right"/>
    </xf>
    <xf numFmtId="0" fontId="4" fillId="14" borderId="0" xfId="0" quotePrefix="1" applyFont="1" applyFill="1" applyBorder="1" applyAlignment="1">
      <alignment horizontal="right"/>
    </xf>
    <xf numFmtId="168" fontId="4" fillId="14" borderId="0" xfId="8" applyNumberFormat="1" applyFont="1" applyFill="1" applyBorder="1"/>
    <xf numFmtId="43" fontId="0" fillId="14" borderId="0" xfId="8" applyNumberFormat="1" applyFont="1" applyFill="1"/>
    <xf numFmtId="43" fontId="4" fillId="14" borderId="0" xfId="0" applyNumberFormat="1" applyFont="1" applyFill="1"/>
    <xf numFmtId="43" fontId="4" fillId="14" borderId="0" xfId="8" applyNumberFormat="1" applyFont="1" applyFill="1"/>
    <xf numFmtId="43" fontId="4" fillId="12" borderId="3" xfId="8" applyNumberFormat="1" applyFont="1" applyFill="1" applyBorder="1"/>
    <xf numFmtId="43" fontId="4" fillId="14" borderId="0" xfId="8" applyNumberFormat="1" applyFont="1" applyFill="1" applyBorder="1"/>
    <xf numFmtId="0" fontId="0" fillId="12" borderId="0" xfId="0" applyFill="1" applyBorder="1"/>
    <xf numFmtId="168" fontId="2" fillId="14" borderId="0" xfId="8" applyNumberFormat="1" applyFont="1" applyFill="1" applyBorder="1"/>
    <xf numFmtId="43" fontId="15" fillId="14" borderId="0" xfId="8" applyNumberFormat="1" applyFont="1" applyFill="1"/>
    <xf numFmtId="0" fontId="4" fillId="3" borderId="3" xfId="0" applyFont="1" applyFill="1" applyBorder="1"/>
    <xf numFmtId="0" fontId="4" fillId="3" borderId="3" xfId="0" quotePrefix="1" applyFont="1" applyFill="1" applyBorder="1" applyAlignment="1">
      <alignment horizontal="right"/>
    </xf>
    <xf numFmtId="168" fontId="0" fillId="3" borderId="3" xfId="8" applyNumberFormat="1" applyFont="1" applyFill="1" applyBorder="1"/>
    <xf numFmtId="43" fontId="0" fillId="3" borderId="3" xfId="0" applyNumberFormat="1" applyFill="1" applyBorder="1"/>
    <xf numFmtId="166" fontId="0" fillId="3" borderId="3" xfId="0" applyNumberFormat="1" applyFill="1" applyBorder="1"/>
    <xf numFmtId="0" fontId="10" fillId="14" borderId="0" xfId="0" quotePrefix="1" applyFont="1" applyFill="1" applyBorder="1" applyAlignment="1">
      <alignment horizontal="right"/>
    </xf>
    <xf numFmtId="0" fontId="4" fillId="4" borderId="9" xfId="8" applyNumberFormat="1" applyFont="1" applyFill="1" applyBorder="1" applyAlignment="1">
      <alignment horizontal="right" vertical="center"/>
    </xf>
    <xf numFmtId="0" fontId="16" fillId="14" borderId="0" xfId="0" applyFont="1" applyFill="1"/>
    <xf numFmtId="0" fontId="0" fillId="12" borderId="5" xfId="0" applyFill="1" applyBorder="1"/>
    <xf numFmtId="0" fontId="17" fillId="12" borderId="0" xfId="0" applyFont="1" applyFill="1" applyBorder="1"/>
    <xf numFmtId="0" fontId="0" fillId="12" borderId="4" xfId="0" applyFill="1" applyBorder="1"/>
    <xf numFmtId="0" fontId="0" fillId="3" borderId="0" xfId="0" applyFill="1"/>
    <xf numFmtId="0" fontId="18" fillId="14" borderId="0" xfId="0" applyFont="1" applyFill="1"/>
    <xf numFmtId="0" fontId="4" fillId="14" borderId="0" xfId="0" applyNumberFormat="1" applyFont="1" applyFill="1" applyBorder="1" applyAlignment="1">
      <alignment vertical="center"/>
    </xf>
    <xf numFmtId="165" fontId="1" fillId="14" borderId="0" xfId="101" applyNumberFormat="1" applyFill="1"/>
    <xf numFmtId="165" fontId="1" fillId="14" borderId="0" xfId="101" applyNumberFormat="1" applyFill="1" applyBorder="1"/>
    <xf numFmtId="43" fontId="1" fillId="14" borderId="0" xfId="8" applyNumberFormat="1" applyFill="1"/>
    <xf numFmtId="168" fontId="1" fillId="14" borderId="0" xfId="8" applyNumberFormat="1" applyFill="1"/>
    <xf numFmtId="168" fontId="0" fillId="14" borderId="0" xfId="8" applyNumberFormat="1" applyFont="1" applyFill="1" applyBorder="1"/>
    <xf numFmtId="43" fontId="0" fillId="14" borderId="0" xfId="0" applyNumberFormat="1" applyFill="1" applyBorder="1"/>
    <xf numFmtId="169" fontId="1" fillId="14" borderId="0" xfId="100" applyNumberFormat="1" applyFill="1" applyBorder="1"/>
    <xf numFmtId="0" fontId="2" fillId="14" borderId="0" xfId="0" quotePrefix="1" applyFont="1" applyFill="1" applyBorder="1" applyAlignment="1">
      <alignment horizontal="right" vertical="center"/>
    </xf>
    <xf numFmtId="0" fontId="2" fillId="3" borderId="3" xfId="0" applyFont="1" applyFill="1" applyBorder="1" applyAlignment="1">
      <alignment horizontal="right"/>
    </xf>
    <xf numFmtId="43" fontId="10" fillId="6" borderId="10" xfId="8" applyNumberFormat="1" applyFont="1" applyFill="1" applyBorder="1" applyAlignment="1">
      <alignment horizontal="right"/>
    </xf>
    <xf numFmtId="43" fontId="10" fillId="6" borderId="11" xfId="8" applyNumberFormat="1" applyFont="1" applyFill="1" applyBorder="1" applyAlignment="1">
      <alignment horizontal="right"/>
    </xf>
    <xf numFmtId="43" fontId="10" fillId="6" borderId="12" xfId="8" applyNumberFormat="1" applyFont="1" applyFill="1" applyBorder="1" applyAlignment="1">
      <alignment horizontal="right"/>
    </xf>
    <xf numFmtId="43" fontId="10" fillId="6" borderId="0" xfId="8" applyNumberFormat="1" applyFont="1" applyFill="1" applyAlignment="1">
      <alignment horizontal="right"/>
    </xf>
    <xf numFmtId="2" fontId="4" fillId="14" borderId="0" xfId="0" applyNumberFormat="1" applyFont="1" applyFill="1"/>
    <xf numFmtId="166" fontId="4" fillId="14" borderId="0" xfId="0" applyNumberFormat="1" applyFont="1" applyFill="1"/>
    <xf numFmtId="0" fontId="4" fillId="14" borderId="0" xfId="0" applyFont="1" applyFill="1" applyAlignment="1">
      <alignment horizontal="left"/>
    </xf>
    <xf numFmtId="0" fontId="11" fillId="14" borderId="0" xfId="0" applyFont="1" applyFill="1" applyBorder="1" applyAlignment="1">
      <alignment horizontal="right"/>
    </xf>
    <xf numFmtId="168" fontId="1" fillId="14" borderId="0" xfId="8" applyNumberFormat="1" applyFill="1" applyBorder="1"/>
    <xf numFmtId="43" fontId="15" fillId="14" borderId="0" xfId="0" applyNumberFormat="1" applyFont="1" applyFill="1" applyBorder="1"/>
    <xf numFmtId="43" fontId="2" fillId="12" borderId="3" xfId="0" applyNumberFormat="1" applyFont="1" applyFill="1" applyBorder="1"/>
    <xf numFmtId="0" fontId="2" fillId="12" borderId="3" xfId="0" quotePrefix="1" applyFont="1" applyFill="1" applyBorder="1" applyAlignment="1">
      <alignment horizontal="right"/>
    </xf>
    <xf numFmtId="0" fontId="0" fillId="14" borderId="0" xfId="0" applyFill="1" applyBorder="1" applyAlignment="1">
      <alignment horizontal="center"/>
    </xf>
    <xf numFmtId="0" fontId="1" fillId="14" borderId="0" xfId="100" applyFont="1" applyFill="1" applyBorder="1" applyAlignment="1">
      <alignment vertical="justify"/>
    </xf>
    <xf numFmtId="0" fontId="2" fillId="12" borderId="3" xfId="0" applyFont="1" applyFill="1" applyBorder="1" applyAlignment="1">
      <alignment vertical="center"/>
    </xf>
    <xf numFmtId="10" fontId="4" fillId="14" borderId="0" xfId="101" applyNumberFormat="1" applyFont="1" applyFill="1" applyBorder="1" applyAlignment="1" applyProtection="1">
      <alignment horizontal="center"/>
    </xf>
    <xf numFmtId="0" fontId="10" fillId="14" borderId="4" xfId="0" applyFont="1" applyFill="1" applyBorder="1"/>
    <xf numFmtId="0" fontId="10" fillId="14" borderId="5" xfId="0" applyFont="1" applyFill="1" applyBorder="1"/>
    <xf numFmtId="43" fontId="15" fillId="14" borderId="0" xfId="8" applyNumberFormat="1" applyFont="1" applyFill="1" applyBorder="1" applyAlignment="1">
      <alignment horizontal="right"/>
    </xf>
    <xf numFmtId="43" fontId="10" fillId="14" borderId="0" xfId="8" applyNumberFormat="1" applyFont="1" applyFill="1"/>
    <xf numFmtId="43" fontId="10" fillId="14" borderId="0" xfId="0" applyNumberFormat="1" applyFont="1" applyFill="1"/>
    <xf numFmtId="43" fontId="4" fillId="4" borderId="13" xfId="8" applyNumberFormat="1" applyFont="1" applyFill="1" applyBorder="1" applyAlignment="1">
      <alignment horizontal="right" vertical="center"/>
    </xf>
    <xf numFmtId="43" fontId="4" fillId="4" borderId="14" xfId="8" applyNumberFormat="1" applyFont="1" applyFill="1" applyBorder="1" applyAlignment="1">
      <alignment horizontal="right" vertical="center"/>
    </xf>
    <xf numFmtId="0" fontId="19" fillId="0" borderId="0" xfId="0" applyFont="1"/>
    <xf numFmtId="168" fontId="20" fillId="14" borderId="0" xfId="8" applyNumberFormat="1" applyFont="1" applyFill="1"/>
    <xf numFmtId="0" fontId="0" fillId="12" borderId="0" xfId="0" applyFill="1"/>
    <xf numFmtId="0" fontId="7" fillId="12" borderId="0" xfId="0" applyFont="1" applyFill="1" applyBorder="1"/>
    <xf numFmtId="43" fontId="4" fillId="14" borderId="6" xfId="8" applyNumberFormat="1" applyFont="1" applyFill="1" applyBorder="1" applyAlignment="1">
      <alignment horizontal="right" vertical="center"/>
    </xf>
    <xf numFmtId="43" fontId="4" fillId="14" borderId="14" xfId="8" applyNumberFormat="1" applyFont="1" applyFill="1" applyBorder="1" applyAlignment="1">
      <alignment horizontal="right" vertical="center"/>
    </xf>
    <xf numFmtId="43" fontId="15" fillId="14" borderId="4" xfId="8" applyNumberFormat="1" applyFont="1" applyFill="1" applyBorder="1"/>
    <xf numFmtId="0" fontId="4" fillId="14" borderId="0" xfId="0" applyFont="1" applyFill="1" applyBorder="1" applyAlignment="1">
      <alignment horizontal="center" vertical="center"/>
    </xf>
    <xf numFmtId="0" fontId="2" fillId="12" borderId="3" xfId="0" applyFont="1" applyFill="1" applyBorder="1" applyAlignment="1">
      <alignment horizontal="left"/>
    </xf>
    <xf numFmtId="0" fontId="10" fillId="12" borderId="3" xfId="0" applyFont="1" applyFill="1" applyBorder="1" applyAlignment="1">
      <alignment horizontal="right"/>
    </xf>
    <xf numFmtId="168" fontId="1" fillId="12" borderId="3" xfId="8" applyNumberFormat="1" applyFill="1" applyBorder="1"/>
    <xf numFmtId="43" fontId="4" fillId="12" borderId="3" xfId="0" applyNumberFormat="1" applyFont="1" applyFill="1" applyBorder="1"/>
    <xf numFmtId="43" fontId="15" fillId="12" borderId="3" xfId="0" applyNumberFormat="1" applyFont="1" applyFill="1" applyBorder="1"/>
    <xf numFmtId="166" fontId="4" fillId="12" borderId="3" xfId="0" applyNumberFormat="1" applyFont="1" applyFill="1" applyBorder="1"/>
    <xf numFmtId="0" fontId="10" fillId="14" borderId="0" xfId="0" applyFont="1" applyFill="1" applyAlignment="1">
      <alignment horizontal="left"/>
    </xf>
    <xf numFmtId="0" fontId="21" fillId="14"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6" borderId="0" xfId="8" applyNumberFormat="1" applyFont="1" applyFill="1" applyBorder="1" applyAlignment="1">
      <alignment horizontal="right"/>
    </xf>
    <xf numFmtId="167" fontId="4" fillId="14" borderId="0" xfId="8" applyNumberFormat="1" applyFont="1" applyFill="1" applyBorder="1"/>
    <xf numFmtId="10" fontId="1" fillId="14" borderId="15" xfId="101" applyNumberFormat="1" applyFill="1" applyBorder="1"/>
    <xf numFmtId="43" fontId="1" fillId="14" borderId="15" xfId="8" applyNumberFormat="1" applyFill="1" applyBorder="1"/>
    <xf numFmtId="43" fontId="15" fillId="14" borderId="15" xfId="0" applyNumberFormat="1" applyFont="1" applyFill="1" applyBorder="1"/>
    <xf numFmtId="43" fontId="0" fillId="14" borderId="15" xfId="0" applyNumberFormat="1" applyFill="1" applyBorder="1"/>
    <xf numFmtId="43" fontId="4" fillId="14" borderId="15" xfId="0" applyNumberFormat="1" applyFont="1" applyFill="1" applyBorder="1"/>
    <xf numFmtId="43" fontId="15" fillId="14" borderId="15" xfId="8" applyNumberFormat="1" applyFont="1" applyFill="1" applyBorder="1"/>
    <xf numFmtId="43" fontId="4" fillId="14" borderId="15" xfId="8" applyNumberFormat="1" applyFont="1" applyFill="1" applyBorder="1"/>
    <xf numFmtId="10" fontId="0" fillId="14" borderId="15" xfId="101" applyNumberFormat="1" applyFont="1" applyFill="1" applyBorder="1"/>
    <xf numFmtId="169" fontId="0" fillId="14" borderId="15" xfId="0" applyNumberFormat="1" applyFill="1" applyBorder="1"/>
    <xf numFmtId="43" fontId="0" fillId="14" borderId="15" xfId="8" applyNumberFormat="1" applyFont="1" applyFill="1" applyBorder="1"/>
    <xf numFmtId="168" fontId="0" fillId="14" borderId="15" xfId="8" applyNumberFormat="1" applyFont="1" applyFill="1" applyBorder="1"/>
    <xf numFmtId="0" fontId="0" fillId="14" borderId="15" xfId="0" applyFill="1" applyBorder="1"/>
    <xf numFmtId="168" fontId="1" fillId="14" borderId="15" xfId="8" applyNumberFormat="1" applyFill="1" applyBorder="1"/>
    <xf numFmtId="43" fontId="4" fillId="14" borderId="15" xfId="8" applyFont="1" applyFill="1" applyBorder="1"/>
    <xf numFmtId="43" fontId="10" fillId="14" borderId="16" xfId="8" applyNumberFormat="1" applyFont="1" applyFill="1" applyBorder="1" applyAlignment="1">
      <alignment horizontal="right"/>
    </xf>
    <xf numFmtId="43" fontId="10" fillId="14" borderId="15" xfId="8" applyNumberFormat="1" applyFont="1" applyFill="1" applyBorder="1" applyAlignment="1">
      <alignment horizontal="right"/>
    </xf>
    <xf numFmtId="43" fontId="10" fillId="6" borderId="17" xfId="8" applyNumberFormat="1" applyFont="1" applyFill="1" applyBorder="1" applyAlignment="1">
      <alignment horizontal="right"/>
    </xf>
    <xf numFmtId="43" fontId="10" fillId="6" borderId="18" xfId="8" applyNumberFormat="1" applyFont="1" applyFill="1" applyBorder="1" applyAlignment="1">
      <alignment horizontal="right"/>
    </xf>
    <xf numFmtId="43" fontId="10" fillId="14" borderId="15" xfId="8"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8" applyFont="1" applyFill="1" applyBorder="1"/>
    <xf numFmtId="167" fontId="4" fillId="0" borderId="0" xfId="8" applyNumberFormat="1" applyFont="1" applyFill="1" applyBorder="1"/>
    <xf numFmtId="43" fontId="10" fillId="0" borderId="0" xfId="8" applyNumberFormat="1" applyFont="1" applyFill="1" applyBorder="1" applyAlignment="1">
      <alignment horizontal="right"/>
    </xf>
    <xf numFmtId="167" fontId="10" fillId="0" borderId="0" xfId="8" applyNumberFormat="1" applyFont="1" applyFill="1" applyBorder="1"/>
    <xf numFmtId="43" fontId="10" fillId="0" borderId="0" xfId="8" applyNumberFormat="1" applyFont="1" applyFill="1" applyAlignment="1">
      <alignment horizontal="right"/>
    </xf>
    <xf numFmtId="43" fontId="10" fillId="0" borderId="0" xfId="8" applyFont="1" applyFill="1" applyAlignment="1">
      <alignment horizontal="right"/>
    </xf>
    <xf numFmtId="0" fontId="0" fillId="0" borderId="0" xfId="0" applyFill="1" applyBorder="1"/>
    <xf numFmtId="43" fontId="10" fillId="6" borderId="11" xfId="8" applyFont="1" applyFill="1" applyBorder="1" applyAlignment="1">
      <alignment horizontal="right"/>
    </xf>
    <xf numFmtId="43" fontId="10" fillId="6" borderId="0" xfId="8" applyFont="1" applyFill="1" applyAlignment="1">
      <alignment horizontal="right"/>
    </xf>
    <xf numFmtId="43" fontId="10" fillId="6" borderId="12" xfId="8" applyFont="1" applyFill="1" applyBorder="1" applyAlignment="1">
      <alignment horizontal="right"/>
    </xf>
    <xf numFmtId="43" fontId="2" fillId="12" borderId="19" xfId="0" applyNumberFormat="1" applyFont="1" applyFill="1" applyBorder="1"/>
    <xf numFmtId="0" fontId="4" fillId="0" borderId="0" xfId="0" applyFont="1" applyFill="1" applyBorder="1"/>
    <xf numFmtId="165" fontId="1" fillId="0" borderId="0" xfId="101" applyNumberFormat="1" applyFill="1" applyBorder="1"/>
    <xf numFmtId="166" fontId="0" fillId="0" borderId="0" xfId="0" applyNumberFormat="1" applyFill="1" applyBorder="1"/>
    <xf numFmtId="10" fontId="0" fillId="0" borderId="0" xfId="101" applyNumberFormat="1" applyFont="1" applyFill="1" applyBorder="1"/>
    <xf numFmtId="165" fontId="0" fillId="0" borderId="0" xfId="101" applyNumberFormat="1" applyFont="1" applyFill="1" applyBorder="1"/>
    <xf numFmtId="43" fontId="10" fillId="0" borderId="0" xfId="8" applyFont="1" applyFill="1" applyBorder="1" applyAlignment="1">
      <alignment horizontal="right"/>
    </xf>
    <xf numFmtId="167" fontId="10" fillId="0" borderId="0" xfId="8" applyNumberFormat="1" applyFont="1" applyFill="1" applyBorder="1" applyAlignment="1">
      <alignment horizontal="right"/>
    </xf>
    <xf numFmtId="167" fontId="10" fillId="0" borderId="0" xfId="0" applyNumberFormat="1" applyFont="1" applyFill="1" applyBorder="1"/>
    <xf numFmtId="10" fontId="1" fillId="0" borderId="0" xfId="101" applyNumberFormat="1" applyFill="1" applyBorder="1"/>
    <xf numFmtId="0" fontId="8" fillId="0" borderId="0" xfId="0" applyFont="1" applyFill="1"/>
    <xf numFmtId="10" fontId="1" fillId="14" borderId="0" xfId="100" applyNumberFormat="1" applyFont="1" applyFill="1" applyBorder="1"/>
    <xf numFmtId="0" fontId="12" fillId="14" borderId="4" xfId="0" applyFont="1" applyFill="1" applyBorder="1" applyAlignment="1" applyProtection="1">
      <alignment horizontal="center"/>
    </xf>
    <xf numFmtId="169" fontId="0" fillId="14" borderId="20" xfId="0" applyNumberFormat="1" applyFill="1" applyBorder="1"/>
    <xf numFmtId="169" fontId="0" fillId="14" borderId="0" xfId="0" applyNumberFormat="1" applyFill="1" applyBorder="1"/>
    <xf numFmtId="169" fontId="1" fillId="14" borderId="15" xfId="8" applyNumberFormat="1" applyFill="1" applyBorder="1"/>
    <xf numFmtId="0" fontId="2" fillId="14" borderId="21" xfId="0" quotePrefix="1" applyFont="1" applyFill="1" applyBorder="1" applyAlignment="1">
      <alignment horizontal="right" vertical="center"/>
    </xf>
    <xf numFmtId="44" fontId="15" fillId="14" borderId="0" xfId="0" applyNumberFormat="1" applyFont="1" applyFill="1"/>
    <xf numFmtId="43" fontId="4" fillId="14" borderId="0" xfId="8" applyFont="1" applyFill="1" applyBorder="1" applyAlignment="1">
      <alignment horizontal="center" vertical="center"/>
    </xf>
    <xf numFmtId="13" fontId="10" fillId="14" borderId="0" xfId="8"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7" fillId="0" borderId="0" xfId="0" applyFont="1"/>
    <xf numFmtId="0" fontId="19" fillId="0" borderId="4" xfId="0" applyFont="1" applyBorder="1" applyAlignment="1">
      <alignment horizontal="right"/>
    </xf>
    <xf numFmtId="0" fontId="19" fillId="0" borderId="4" xfId="0" applyFont="1" applyBorder="1"/>
    <xf numFmtId="0" fontId="19" fillId="0" borderId="0" xfId="0" applyFont="1" applyAlignment="1">
      <alignment horizontal="right"/>
    </xf>
    <xf numFmtId="17" fontId="19" fillId="0" borderId="0" xfId="0" applyNumberFormat="1" applyFont="1"/>
    <xf numFmtId="173" fontId="15" fillId="14" borderId="0" xfId="0" applyNumberFormat="1" applyFont="1" applyFill="1"/>
    <xf numFmtId="166" fontId="0" fillId="4" borderId="6" xfId="0" applyNumberFormat="1" applyFill="1" applyBorder="1" applyAlignment="1">
      <alignment horizontal="center" wrapText="1"/>
    </xf>
    <xf numFmtId="166" fontId="4" fillId="4" borderId="0" xfId="0" applyNumberFormat="1" applyFont="1" applyFill="1" applyBorder="1" applyAlignment="1">
      <alignment horizontal="center" vertical="center" wrapText="1"/>
    </xf>
    <xf numFmtId="166" fontId="0" fillId="4" borderId="0" xfId="0" applyNumberFormat="1" applyFill="1" applyBorder="1" applyAlignment="1">
      <alignment horizontal="center" wrapText="1"/>
    </xf>
    <xf numFmtId="167" fontId="4" fillId="4" borderId="0" xfId="8" applyNumberFormat="1" applyFont="1" applyFill="1" applyBorder="1" applyAlignment="1">
      <alignment horizontal="right" vertical="center"/>
    </xf>
    <xf numFmtId="10" fontId="0" fillId="14" borderId="0" xfId="0" applyNumberFormat="1" applyFill="1"/>
    <xf numFmtId="0" fontId="4" fillId="14" borderId="0" xfId="77" applyFont="1" applyFill="1"/>
    <xf numFmtId="0" fontId="4" fillId="0" borderId="0" xfId="77"/>
    <xf numFmtId="0" fontId="7" fillId="14" borderId="0" xfId="77" applyFont="1" applyFill="1" applyBorder="1" applyAlignment="1">
      <alignment horizontal="left"/>
    </xf>
    <xf numFmtId="0" fontId="2" fillId="3" borderId="3" xfId="77" applyFont="1" applyFill="1" applyBorder="1" applyAlignment="1">
      <alignment horizontal="center"/>
    </xf>
    <xf numFmtId="0" fontId="7" fillId="3" borderId="3" xfId="77" applyFont="1" applyFill="1" applyBorder="1" applyAlignment="1">
      <alignment horizontal="left"/>
    </xf>
    <xf numFmtId="0" fontId="2" fillId="3" borderId="3" xfId="77" applyFont="1" applyFill="1" applyBorder="1" applyAlignment="1">
      <alignment horizontal="right"/>
    </xf>
    <xf numFmtId="0" fontId="4" fillId="12" borderId="3" xfId="77" applyFill="1" applyBorder="1"/>
    <xf numFmtId="0" fontId="2" fillId="12" borderId="3" xfId="77" applyFont="1" applyFill="1" applyBorder="1"/>
    <xf numFmtId="0" fontId="2" fillId="12" borderId="3" xfId="77" applyFont="1" applyFill="1" applyBorder="1" applyAlignment="1">
      <alignment horizontal="right"/>
    </xf>
    <xf numFmtId="0" fontId="4" fillId="12" borderId="3" xfId="77" applyFill="1" applyBorder="1" applyAlignment="1">
      <alignment horizontal="right"/>
    </xf>
    <xf numFmtId="0" fontId="4" fillId="14" borderId="0" xfId="77" applyFill="1" applyBorder="1"/>
    <xf numFmtId="0" fontId="4" fillId="14" borderId="5" xfId="77" applyFill="1" applyBorder="1"/>
    <xf numFmtId="0" fontId="4" fillId="14" borderId="0" xfId="77" applyFont="1" applyFill="1" applyBorder="1" applyAlignment="1">
      <alignment horizontal="right"/>
    </xf>
    <xf numFmtId="0" fontId="4" fillId="14" borderId="0" xfId="77" applyFill="1"/>
    <xf numFmtId="0" fontId="4" fillId="14" borderId="0" xfId="77" applyFont="1" applyFill="1" applyAlignment="1">
      <alignment horizontal="right"/>
    </xf>
    <xf numFmtId="0" fontId="4" fillId="0" borderId="0" xfId="77" applyFill="1"/>
    <xf numFmtId="43" fontId="2" fillId="14" borderId="0" xfId="77" applyNumberFormat="1" applyFont="1" applyFill="1" applyAlignment="1">
      <alignment horizontal="right"/>
    </xf>
    <xf numFmtId="43" fontId="15" fillId="14" borderId="0" xfId="77" applyNumberFormat="1" applyFont="1" applyFill="1" applyAlignment="1">
      <alignment horizontal="right"/>
    </xf>
    <xf numFmtId="0" fontId="15" fillId="14" borderId="0" xfId="77" applyFont="1" applyFill="1"/>
    <xf numFmtId="0" fontId="23" fillId="14" borderId="22" xfId="77" applyFont="1" applyFill="1" applyBorder="1" applyAlignment="1"/>
    <xf numFmtId="0" fontId="23" fillId="14" borderId="23" xfId="77" applyFont="1" applyFill="1" applyBorder="1" applyAlignment="1"/>
    <xf numFmtId="43" fontId="15" fillId="14" borderId="0" xfId="77" applyNumberFormat="1" applyFont="1" applyFill="1"/>
    <xf numFmtId="0" fontId="13" fillId="12" borderId="7" xfId="77" applyFont="1" applyFill="1" applyBorder="1" applyAlignment="1">
      <alignment horizontal="center"/>
    </xf>
    <xf numFmtId="0" fontId="13" fillId="12" borderId="8" xfId="77" applyFont="1" applyFill="1" applyBorder="1" applyAlignment="1">
      <alignment horizontal="center"/>
    </xf>
    <xf numFmtId="43" fontId="15" fillId="0" borderId="0" xfId="77" applyNumberFormat="1" applyFont="1"/>
    <xf numFmtId="0" fontId="4" fillId="14" borderId="0" xfId="77" applyFill="1" applyBorder="1" applyAlignment="1"/>
    <xf numFmtId="0" fontId="2" fillId="14" borderId="0" xfId="77" applyFont="1" applyFill="1"/>
    <xf numFmtId="0" fontId="23" fillId="14" borderId="0" xfId="77" applyFont="1" applyFill="1" applyBorder="1" applyAlignment="1">
      <alignment horizontal="center"/>
    </xf>
    <xf numFmtId="0" fontId="13" fillId="14" borderId="0" xfId="77" applyFont="1" applyFill="1" applyBorder="1" applyAlignment="1">
      <alignment horizontal="center"/>
    </xf>
    <xf numFmtId="43" fontId="15" fillId="14" borderId="0" xfId="77" applyNumberFormat="1" applyFont="1" applyFill="1" applyBorder="1" applyAlignment="1">
      <alignment horizontal="right"/>
    </xf>
    <xf numFmtId="43" fontId="15" fillId="0" borderId="0" xfId="77" applyNumberFormat="1" applyFont="1" applyAlignment="1">
      <alignment horizontal="right"/>
    </xf>
    <xf numFmtId="0" fontId="15" fillId="14" borderId="0" xfId="77" applyFont="1" applyFill="1" applyAlignment="1">
      <alignment horizontal="right"/>
    </xf>
    <xf numFmtId="0" fontId="15" fillId="14" borderId="0" xfId="77" applyFont="1" applyFill="1" applyBorder="1"/>
    <xf numFmtId="43" fontId="15" fillId="14" borderId="0" xfId="77" applyNumberFormat="1" applyFont="1" applyFill="1" applyAlignment="1">
      <alignment horizontal="left"/>
    </xf>
    <xf numFmtId="43" fontId="4" fillId="14" borderId="0" xfId="77" applyNumberFormat="1" applyFill="1"/>
    <xf numFmtId="43" fontId="4" fillId="0" borderId="0" xfId="77" applyNumberFormat="1"/>
    <xf numFmtId="0" fontId="15" fillId="0" borderId="0" xfId="77" applyFont="1"/>
    <xf numFmtId="0" fontId="15" fillId="0" borderId="0" xfId="77" applyFont="1" applyAlignment="1">
      <alignment horizontal="right"/>
    </xf>
    <xf numFmtId="167" fontId="15" fillId="14" borderId="0" xfId="77" applyNumberFormat="1" applyFont="1" applyFill="1" applyAlignment="1">
      <alignment horizontal="right"/>
    </xf>
    <xf numFmtId="166" fontId="4" fillId="15" borderId="0" xfId="0" applyNumberFormat="1" applyFont="1" applyFill="1" applyBorder="1" applyAlignment="1">
      <alignment horizontal="center" vertical="center" wrapText="1"/>
    </xf>
    <xf numFmtId="166" fontId="4" fillId="15" borderId="6" xfId="0" applyNumberFormat="1" applyFont="1" applyFill="1" applyBorder="1" applyAlignment="1">
      <alignment horizontal="center" vertical="center" wrapText="1"/>
    </xf>
    <xf numFmtId="43" fontId="10" fillId="14" borderId="5" xfId="9" applyFont="1" applyFill="1" applyBorder="1" applyAlignment="1">
      <alignment horizontal="right"/>
    </xf>
    <xf numFmtId="43" fontId="10" fillId="6" borderId="10" xfId="9" applyFont="1" applyFill="1" applyBorder="1" applyAlignment="1">
      <alignment horizontal="right"/>
    </xf>
    <xf numFmtId="43" fontId="10" fillId="6" borderId="11" xfId="9" applyFont="1" applyFill="1" applyBorder="1" applyAlignment="1">
      <alignment horizontal="right"/>
    </xf>
    <xf numFmtId="43" fontId="10" fillId="6" borderId="12" xfId="9" applyFont="1" applyFill="1" applyBorder="1" applyAlignment="1">
      <alignment horizontal="right"/>
    </xf>
    <xf numFmtId="43" fontId="10" fillId="6" borderId="0" xfId="9" applyFont="1" applyFill="1" applyAlignment="1">
      <alignment horizontal="right"/>
    </xf>
    <xf numFmtId="43" fontId="10" fillId="15" borderId="4" xfId="9" applyFont="1" applyFill="1" applyBorder="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4" fillId="14" borderId="0" xfId="77" applyNumberFormat="1" applyFont="1" applyFill="1"/>
    <xf numFmtId="0" fontId="4" fillId="16" borderId="0" xfId="77" applyFill="1" applyBorder="1"/>
    <xf numFmtId="43" fontId="15" fillId="16" borderId="0" xfId="77" applyNumberFormat="1" applyFont="1" applyFill="1" applyAlignment="1">
      <alignment horizontal="right"/>
    </xf>
    <xf numFmtId="0" fontId="4" fillId="16" borderId="0" xfId="77" applyFill="1"/>
    <xf numFmtId="167" fontId="4" fillId="4" borderId="6" xfId="8" applyNumberFormat="1" applyFont="1" applyFill="1" applyBorder="1" applyAlignment="1">
      <alignment horizontal="right" vertical="center"/>
    </xf>
    <xf numFmtId="167" fontId="4" fillId="4" borderId="6" xfId="8" applyNumberFormat="1" applyFont="1" applyFill="1" applyBorder="1" applyAlignment="1">
      <alignment horizontal="center" vertical="center"/>
    </xf>
    <xf numFmtId="167" fontId="4" fillId="4" borderId="0" xfId="8" applyNumberFormat="1" applyFont="1" applyFill="1" applyBorder="1" applyAlignment="1">
      <alignment horizontal="center" vertical="center"/>
    </xf>
    <xf numFmtId="167" fontId="4" fillId="14" borderId="0" xfId="8" applyNumberFormat="1" applyFont="1" applyFill="1" applyBorder="1" applyAlignment="1">
      <alignment horizontal="center" vertical="center"/>
    </xf>
    <xf numFmtId="176" fontId="15" fillId="14" borderId="0" xfId="0" applyNumberFormat="1" applyFont="1" applyFill="1"/>
    <xf numFmtId="167" fontId="4" fillId="14" borderId="13" xfId="8" applyNumberFormat="1" applyFont="1" applyFill="1" applyBorder="1" applyAlignment="1">
      <alignment horizontal="right" vertical="center"/>
    </xf>
    <xf numFmtId="167" fontId="4" fillId="14" borderId="6" xfId="8" applyNumberFormat="1" applyFont="1" applyFill="1" applyBorder="1" applyAlignment="1">
      <alignment horizontal="right" vertical="center"/>
    </xf>
    <xf numFmtId="167" fontId="4" fillId="14" borderId="14" xfId="8" applyNumberFormat="1" applyFont="1" applyFill="1" applyBorder="1" applyAlignment="1">
      <alignment horizontal="right" vertical="center"/>
    </xf>
    <xf numFmtId="167" fontId="4" fillId="14" borderId="0" xfId="8" applyNumberFormat="1" applyFont="1" applyFill="1" applyBorder="1" applyAlignment="1">
      <alignment horizontal="right" vertical="center"/>
    </xf>
    <xf numFmtId="0" fontId="23" fillId="14" borderId="24" xfId="77" applyFont="1" applyFill="1" applyBorder="1" applyAlignment="1">
      <alignment horizontal="center"/>
    </xf>
    <xf numFmtId="43" fontId="15" fillId="15" borderId="0" xfId="77" applyNumberFormat="1" applyFont="1" applyFill="1" applyAlignment="1">
      <alignment horizontal="right"/>
    </xf>
    <xf numFmtId="167" fontId="4" fillId="17" borderId="6" xfId="8" applyNumberFormat="1" applyFont="1" applyFill="1" applyBorder="1" applyAlignment="1">
      <alignment horizontal="right" vertical="center"/>
    </xf>
    <xf numFmtId="0" fontId="4" fillId="16" borderId="0" xfId="0" applyFont="1" applyFill="1"/>
    <xf numFmtId="0" fontId="0" fillId="16" borderId="0" xfId="0" applyFill="1"/>
    <xf numFmtId="0" fontId="21" fillId="17" borderId="0" xfId="0" applyFont="1" applyFill="1" applyAlignment="1">
      <alignment vertical="center"/>
    </xf>
    <xf numFmtId="0" fontId="1" fillId="14" borderId="0" xfId="77" applyFont="1" applyFill="1"/>
    <xf numFmtId="0" fontId="39" fillId="14" borderId="0" xfId="77" applyFont="1" applyFill="1"/>
    <xf numFmtId="0" fontId="2" fillId="0" borderId="0" xfId="77" applyFont="1"/>
    <xf numFmtId="167" fontId="4" fillId="14" borderId="0" xfId="77" applyNumberFormat="1" applyFont="1" applyFill="1"/>
    <xf numFmtId="10" fontId="1" fillId="0" borderId="30" xfId="101" applyNumberFormat="1" applyFill="1" applyBorder="1"/>
    <xf numFmtId="10" fontId="1" fillId="14" borderId="6" xfId="100" applyNumberFormat="1" applyFill="1" applyBorder="1"/>
    <xf numFmtId="10" fontId="1" fillId="0" borderId="31" xfId="8" applyNumberFormat="1" applyFill="1" applyBorder="1"/>
    <xf numFmtId="10" fontId="1" fillId="14" borderId="31" xfId="8" applyNumberFormat="1" applyFill="1" applyBorder="1"/>
    <xf numFmtId="166" fontId="4" fillId="0" borderId="0" xfId="77" applyNumberFormat="1"/>
    <xf numFmtId="166" fontId="4" fillId="0" borderId="0" xfId="77" applyNumberFormat="1" applyFill="1"/>
    <xf numFmtId="0" fontId="2" fillId="0" borderId="0" xfId="77" applyFont="1" applyFill="1"/>
    <xf numFmtId="6" fontId="2" fillId="0" borderId="0" xfId="77" quotePrefix="1" applyNumberFormat="1" applyFont="1" applyAlignment="1">
      <alignment horizontal="center"/>
    </xf>
    <xf numFmtId="43" fontId="2" fillId="0" borderId="0" xfId="77" applyNumberFormat="1" applyFont="1" applyFill="1" applyAlignment="1">
      <alignment horizontal="right"/>
    </xf>
    <xf numFmtId="0" fontId="1" fillId="0" borderId="0" xfId="77" applyFont="1" applyFill="1" applyAlignment="1">
      <alignment horizontal="right"/>
    </xf>
    <xf numFmtId="0" fontId="1" fillId="0" borderId="0" xfId="77" applyFont="1" applyAlignment="1">
      <alignment horizontal="right"/>
    </xf>
    <xf numFmtId="0" fontId="4" fillId="0" borderId="0" xfId="77" applyAlignment="1">
      <alignment horizontal="right"/>
    </xf>
    <xf numFmtId="167" fontId="4" fillId="0" borderId="0" xfId="8" applyNumberFormat="1" applyFont="1" applyFill="1"/>
    <xf numFmtId="0" fontId="1" fillId="14" borderId="0" xfId="0" applyFont="1" applyFill="1" applyBorder="1"/>
    <xf numFmtId="0" fontId="1" fillId="16" borderId="0" xfId="193" applyFill="1"/>
    <xf numFmtId="0" fontId="1" fillId="16" borderId="0" xfId="193" applyFont="1" applyFill="1" applyAlignment="1">
      <alignment horizontal="right"/>
    </xf>
    <xf numFmtId="0" fontId="1" fillId="16" borderId="0" xfId="193" applyFill="1" applyAlignment="1">
      <alignment horizontal="right"/>
    </xf>
    <xf numFmtId="167" fontId="1" fillId="16" borderId="0" xfId="193" applyNumberFormat="1" applyFill="1"/>
    <xf numFmtId="166" fontId="1" fillId="16" borderId="0" xfId="193" applyNumberFormat="1" applyFill="1"/>
    <xf numFmtId="2" fontId="1" fillId="16" borderId="0" xfId="193" applyNumberFormat="1" applyFill="1"/>
    <xf numFmtId="0" fontId="2" fillId="16" borderId="0" xfId="193" applyFont="1" applyFill="1"/>
    <xf numFmtId="0" fontId="1" fillId="16" borderId="0" xfId="193" applyFont="1" applyFill="1"/>
    <xf numFmtId="43" fontId="1" fillId="16" borderId="0" xfId="193" applyNumberFormat="1" applyFill="1"/>
    <xf numFmtId="166" fontId="1" fillId="16" borderId="0" xfId="193" applyNumberFormat="1" applyFill="1" applyAlignment="1">
      <alignment horizontal="right"/>
    </xf>
    <xf numFmtId="9" fontId="1" fillId="16" borderId="0" xfId="101" applyFill="1"/>
    <xf numFmtId="166" fontId="1" fillId="16" borderId="0" xfId="193" applyNumberFormat="1" applyFont="1" applyFill="1"/>
    <xf numFmtId="0" fontId="39" fillId="16" borderId="0" xfId="193" applyFont="1" applyFill="1"/>
    <xf numFmtId="168" fontId="1" fillId="16" borderId="0" xfId="224" applyNumberFormat="1" applyFill="1"/>
    <xf numFmtId="167" fontId="1" fillId="16" borderId="0" xfId="224" applyNumberFormat="1" applyFill="1"/>
    <xf numFmtId="167" fontId="1" fillId="18" borderId="0" xfId="224" applyNumberFormat="1" applyFill="1"/>
    <xf numFmtId="0" fontId="1" fillId="18" borderId="0" xfId="193" applyFill="1"/>
    <xf numFmtId="167" fontId="0" fillId="16" borderId="0" xfId="224" applyNumberFormat="1" applyFont="1" applyFill="1"/>
    <xf numFmtId="0" fontId="2" fillId="16" borderId="23" xfId="193" applyFont="1" applyFill="1" applyBorder="1" applyAlignment="1">
      <alignment horizontal="center"/>
    </xf>
    <xf numFmtId="0" fontId="2" fillId="16" borderId="3" xfId="193" applyFont="1" applyFill="1" applyBorder="1" applyAlignment="1">
      <alignment horizontal="center"/>
    </xf>
    <xf numFmtId="0" fontId="2" fillId="16" borderId="22" xfId="193" applyFont="1" applyFill="1" applyBorder="1" applyAlignment="1">
      <alignment horizontal="center"/>
    </xf>
    <xf numFmtId="167" fontId="1" fillId="16" borderId="23" xfId="193" applyNumberFormat="1" applyFill="1" applyBorder="1"/>
    <xf numFmtId="167" fontId="1" fillId="16" borderId="3" xfId="193" applyNumberFormat="1" applyFill="1" applyBorder="1"/>
    <xf numFmtId="167" fontId="1" fillId="16" borderId="22" xfId="193" applyNumberFormat="1" applyFill="1" applyBorder="1"/>
    <xf numFmtId="167" fontId="1" fillId="16" borderId="2" xfId="193" applyNumberFormat="1" applyFill="1" applyBorder="1"/>
    <xf numFmtId="167" fontId="1" fillId="16" borderId="28" xfId="193" applyNumberFormat="1" applyFill="1" applyBorder="1"/>
    <xf numFmtId="167" fontId="1" fillId="16" borderId="26" xfId="193" applyNumberFormat="1" applyFill="1" applyBorder="1"/>
    <xf numFmtId="167" fontId="1" fillId="16" borderId="27" xfId="193" applyNumberFormat="1" applyFill="1" applyBorder="1"/>
    <xf numFmtId="167" fontId="2" fillId="16" borderId="23" xfId="193" applyNumberFormat="1" applyFont="1" applyFill="1" applyBorder="1"/>
    <xf numFmtId="167" fontId="2" fillId="16" borderId="3" xfId="193" applyNumberFormat="1" applyFont="1" applyFill="1" applyBorder="1"/>
    <xf numFmtId="167" fontId="2" fillId="16" borderId="22" xfId="193" applyNumberFormat="1" applyFont="1" applyFill="1" applyBorder="1"/>
    <xf numFmtId="167" fontId="2" fillId="16" borderId="2" xfId="193" applyNumberFormat="1" applyFont="1" applyFill="1" applyBorder="1"/>
    <xf numFmtId="167" fontId="2" fillId="16" borderId="0" xfId="193" applyNumberFormat="1" applyFont="1" applyFill="1"/>
    <xf numFmtId="167" fontId="2" fillId="16" borderId="28" xfId="193" applyNumberFormat="1" applyFont="1" applyFill="1" applyBorder="1"/>
    <xf numFmtId="167" fontId="2" fillId="16" borderId="26" xfId="193" applyNumberFormat="1" applyFont="1" applyFill="1" applyBorder="1"/>
    <xf numFmtId="167" fontId="2" fillId="16" borderId="27" xfId="193" applyNumberFormat="1" applyFont="1" applyFill="1" applyBorder="1"/>
    <xf numFmtId="0" fontId="1" fillId="16" borderId="0" xfId="193" applyFill="1" applyBorder="1"/>
    <xf numFmtId="177" fontId="40" fillId="16" borderId="0" xfId="193" applyNumberFormat="1" applyFont="1" applyFill="1" applyBorder="1"/>
    <xf numFmtId="178" fontId="1" fillId="16" borderId="0" xfId="193" applyNumberFormat="1" applyFill="1" applyBorder="1"/>
    <xf numFmtId="0" fontId="40" fillId="16" borderId="0" xfId="193" applyFont="1" applyFill="1" applyBorder="1"/>
    <xf numFmtId="167" fontId="1" fillId="16" borderId="32" xfId="224" applyNumberFormat="1" applyFont="1" applyFill="1" applyBorder="1"/>
    <xf numFmtId="167" fontId="1" fillId="16" borderId="32" xfId="224" applyNumberFormat="1" applyFill="1" applyBorder="1"/>
    <xf numFmtId="167" fontId="1" fillId="16" borderId="4" xfId="224" applyNumberFormat="1" applyFill="1" applyBorder="1"/>
    <xf numFmtId="167" fontId="1" fillId="16" borderId="29" xfId="224" applyNumberFormat="1" applyFill="1" applyBorder="1"/>
    <xf numFmtId="0" fontId="1" fillId="16" borderId="8" xfId="193" applyFill="1" applyBorder="1"/>
    <xf numFmtId="0" fontId="1" fillId="16" borderId="7" xfId="193" applyFill="1" applyBorder="1"/>
    <xf numFmtId="167" fontId="1" fillId="16" borderId="28" xfId="224" applyNumberFormat="1" applyFont="1" applyFill="1" applyBorder="1"/>
    <xf numFmtId="167" fontId="1" fillId="16" borderId="2" xfId="224" applyNumberFormat="1" applyFill="1" applyBorder="1"/>
    <xf numFmtId="167" fontId="1" fillId="16" borderId="0" xfId="224" applyNumberFormat="1" applyFill="1" applyBorder="1"/>
    <xf numFmtId="167" fontId="1" fillId="16" borderId="28" xfId="224" applyNumberFormat="1" applyFill="1" applyBorder="1"/>
    <xf numFmtId="0" fontId="1" fillId="16" borderId="24" xfId="193" applyFill="1" applyBorder="1"/>
    <xf numFmtId="168" fontId="1" fillId="16" borderId="0" xfId="193" applyNumberFormat="1" applyFill="1" applyBorder="1"/>
    <xf numFmtId="168" fontId="1" fillId="16" borderId="0" xfId="224" applyNumberFormat="1" applyFill="1" applyBorder="1"/>
    <xf numFmtId="167" fontId="1" fillId="18" borderId="23" xfId="224" applyNumberFormat="1" applyFill="1" applyBorder="1"/>
    <xf numFmtId="167" fontId="1" fillId="18" borderId="3" xfId="224" applyNumberFormat="1" applyFill="1" applyBorder="1"/>
    <xf numFmtId="167" fontId="1" fillId="18" borderId="22" xfId="224" applyNumberFormat="1" applyFill="1" applyBorder="1"/>
    <xf numFmtId="167" fontId="1" fillId="16" borderId="3" xfId="224" applyNumberFormat="1" applyFill="1" applyBorder="1"/>
    <xf numFmtId="167" fontId="1" fillId="16" borderId="22" xfId="224" applyNumberFormat="1" applyFill="1" applyBorder="1"/>
    <xf numFmtId="0" fontId="1" fillId="16" borderId="22" xfId="193" applyFill="1" applyBorder="1"/>
    <xf numFmtId="0" fontId="2" fillId="16" borderId="0" xfId="193" applyFont="1" applyFill="1" applyBorder="1" applyAlignment="1">
      <alignment horizontal="center"/>
    </xf>
    <xf numFmtId="1" fontId="2" fillId="16" borderId="26" xfId="193" applyNumberFormat="1" applyFont="1" applyFill="1" applyBorder="1" applyAlignment="1">
      <alignment horizontal="center"/>
    </xf>
    <xf numFmtId="1" fontId="2" fillId="16" borderId="31" xfId="193" applyNumberFormat="1" applyFont="1" applyFill="1" applyBorder="1" applyAlignment="1">
      <alignment horizontal="center"/>
    </xf>
    <xf numFmtId="49" fontId="2" fillId="16" borderId="27" xfId="224" applyNumberFormat="1" applyFont="1" applyFill="1" applyBorder="1" applyAlignment="1">
      <alignment horizontal="center"/>
    </xf>
    <xf numFmtId="0" fontId="1" fillId="16" borderId="32" xfId="193" applyFill="1" applyBorder="1"/>
    <xf numFmtId="10" fontId="1" fillId="16" borderId="29" xfId="101" applyNumberFormat="1" applyFill="1" applyBorder="1"/>
    <xf numFmtId="0" fontId="1" fillId="16" borderId="29" xfId="193" applyFill="1" applyBorder="1"/>
    <xf numFmtId="0" fontId="1" fillId="16" borderId="2" xfId="193" applyFill="1" applyBorder="1"/>
    <xf numFmtId="0" fontId="1" fillId="16" borderId="28" xfId="193" applyFill="1" applyBorder="1"/>
    <xf numFmtId="0" fontId="1" fillId="16" borderId="26" xfId="193" applyFill="1" applyBorder="1"/>
    <xf numFmtId="167" fontId="1" fillId="16" borderId="27" xfId="224" applyNumberFormat="1" applyFill="1" applyBorder="1"/>
    <xf numFmtId="0" fontId="1" fillId="16" borderId="27" xfId="193" applyFill="1" applyBorder="1"/>
    <xf numFmtId="0" fontId="2" fillId="16" borderId="0" xfId="193" applyFont="1" applyFill="1" applyAlignment="1">
      <alignment wrapText="1"/>
    </xf>
    <xf numFmtId="166" fontId="1" fillId="16" borderId="0" xfId="193" applyNumberFormat="1" applyFill="1" applyBorder="1"/>
    <xf numFmtId="167" fontId="0" fillId="18" borderId="32" xfId="224" applyNumberFormat="1" applyFont="1" applyFill="1" applyBorder="1"/>
    <xf numFmtId="167" fontId="0" fillId="18" borderId="4" xfId="224" applyNumberFormat="1" applyFont="1" applyFill="1" applyBorder="1"/>
    <xf numFmtId="167" fontId="0" fillId="18" borderId="29" xfId="224" applyNumberFormat="1" applyFont="1" applyFill="1" applyBorder="1"/>
    <xf numFmtId="167" fontId="0" fillId="16" borderId="4" xfId="224" applyNumberFormat="1" applyFont="1" applyFill="1" applyBorder="1"/>
    <xf numFmtId="167" fontId="0" fillId="16" borderId="29" xfId="224" applyNumberFormat="1" applyFont="1" applyFill="1" applyBorder="1"/>
    <xf numFmtId="167" fontId="0" fillId="16" borderId="32" xfId="224" applyNumberFormat="1" applyFont="1" applyFill="1" applyBorder="1"/>
    <xf numFmtId="167" fontId="0" fillId="18" borderId="2" xfId="224" applyNumberFormat="1" applyFont="1" applyFill="1" applyBorder="1"/>
    <xf numFmtId="167" fontId="0" fillId="18" borderId="0" xfId="224" applyNumberFormat="1" applyFont="1" applyFill="1" applyBorder="1"/>
    <xf numFmtId="167" fontId="0" fillId="18" borderId="28" xfId="224" applyNumberFormat="1" applyFont="1" applyFill="1" applyBorder="1"/>
    <xf numFmtId="167" fontId="0" fillId="16" borderId="0" xfId="224" applyNumberFormat="1" applyFont="1" applyFill="1" applyBorder="1"/>
    <xf numFmtId="167" fontId="0" fillId="16" borderId="28" xfId="224" applyNumberFormat="1" applyFont="1" applyFill="1" applyBorder="1"/>
    <xf numFmtId="167" fontId="0" fillId="16" borderId="2" xfId="224" applyNumberFormat="1" applyFont="1" applyFill="1" applyBorder="1"/>
    <xf numFmtId="167" fontId="1" fillId="16" borderId="27" xfId="224" applyNumberFormat="1" applyFont="1" applyFill="1" applyBorder="1"/>
    <xf numFmtId="167" fontId="1" fillId="18" borderId="26" xfId="224" applyNumberFormat="1" applyFont="1" applyFill="1" applyBorder="1"/>
    <xf numFmtId="167" fontId="1" fillId="18" borderId="31" xfId="224" applyNumberFormat="1" applyFont="1" applyFill="1" applyBorder="1"/>
    <xf numFmtId="167" fontId="1" fillId="18" borderId="27" xfId="224" applyNumberFormat="1" applyFont="1" applyFill="1" applyBorder="1"/>
    <xf numFmtId="0" fontId="2" fillId="16" borderId="26" xfId="193" applyFont="1" applyFill="1" applyBorder="1" applyAlignment="1">
      <alignment horizontal="center"/>
    </xf>
    <xf numFmtId="0" fontId="2" fillId="16" borderId="31" xfId="193" applyFont="1" applyFill="1" applyBorder="1" applyAlignment="1">
      <alignment horizontal="center"/>
    </xf>
    <xf numFmtId="0" fontId="2" fillId="16" borderId="27" xfId="193" applyFont="1" applyFill="1" applyBorder="1" applyAlignment="1">
      <alignment horizontal="center"/>
    </xf>
    <xf numFmtId="167" fontId="1" fillId="18" borderId="0" xfId="193" applyNumberFormat="1" applyFill="1" applyBorder="1"/>
    <xf numFmtId="167" fontId="1" fillId="18" borderId="28" xfId="193" applyNumberFormat="1" applyFill="1" applyBorder="1"/>
    <xf numFmtId="179" fontId="1" fillId="16" borderId="0" xfId="193" applyNumberFormat="1" applyFill="1"/>
    <xf numFmtId="167" fontId="1" fillId="18" borderId="32" xfId="224" applyNumberFormat="1" applyFill="1" applyBorder="1"/>
    <xf numFmtId="167" fontId="1" fillId="18" borderId="4" xfId="224" applyNumberFormat="1" applyFill="1" applyBorder="1"/>
    <xf numFmtId="167" fontId="1" fillId="18" borderId="29" xfId="224" applyNumberFormat="1" applyFill="1" applyBorder="1"/>
    <xf numFmtId="0" fontId="1" fillId="18" borderId="8" xfId="193" applyFill="1" applyBorder="1"/>
    <xf numFmtId="167" fontId="1" fillId="18" borderId="2" xfId="193" applyNumberFormat="1" applyFill="1" applyBorder="1"/>
    <xf numFmtId="167" fontId="1" fillId="18" borderId="0" xfId="193" applyNumberFormat="1" applyFill="1"/>
    <xf numFmtId="0" fontId="1" fillId="18" borderId="7" xfId="193" applyFill="1" applyBorder="1"/>
    <xf numFmtId="167" fontId="1" fillId="18" borderId="2" xfId="224" applyNumberFormat="1" applyFill="1" applyBorder="1"/>
    <xf numFmtId="167" fontId="1" fillId="18" borderId="0" xfId="224" applyNumberFormat="1" applyFill="1" applyBorder="1"/>
    <xf numFmtId="167" fontId="1" fillId="18" borderId="28" xfId="224" applyNumberFormat="1" applyFill="1" applyBorder="1"/>
    <xf numFmtId="167" fontId="1" fillId="18" borderId="28" xfId="224" applyNumberFormat="1" applyFont="1" applyFill="1" applyBorder="1"/>
    <xf numFmtId="0" fontId="1" fillId="18" borderId="24" xfId="193" applyFill="1" applyBorder="1"/>
    <xf numFmtId="0" fontId="2" fillId="18" borderId="23" xfId="193" applyFont="1" applyFill="1" applyBorder="1" applyAlignment="1">
      <alignment horizontal="center"/>
    </xf>
    <xf numFmtId="0" fontId="2" fillId="18" borderId="3" xfId="193" applyFont="1" applyFill="1" applyBorder="1" applyAlignment="1">
      <alignment horizontal="center"/>
    </xf>
    <xf numFmtId="0" fontId="2" fillId="18" borderId="22" xfId="193" applyFont="1" applyFill="1" applyBorder="1" applyAlignment="1">
      <alignment horizontal="center"/>
    </xf>
    <xf numFmtId="0" fontId="1" fillId="18" borderId="0" xfId="193" applyFill="1" applyBorder="1"/>
    <xf numFmtId="168" fontId="1" fillId="18" borderId="0" xfId="193" applyNumberFormat="1" applyFill="1" applyBorder="1"/>
    <xf numFmtId="168" fontId="1" fillId="18" borderId="0" xfId="224" applyNumberFormat="1" applyFill="1" applyBorder="1"/>
    <xf numFmtId="0" fontId="1" fillId="18" borderId="22" xfId="193" applyFill="1" applyBorder="1"/>
    <xf numFmtId="0" fontId="2" fillId="18" borderId="0" xfId="193" applyFont="1" applyFill="1" applyBorder="1" applyAlignment="1">
      <alignment horizontal="center"/>
    </xf>
    <xf numFmtId="1" fontId="2" fillId="18" borderId="26" xfId="193" applyNumberFormat="1" applyFont="1" applyFill="1" applyBorder="1" applyAlignment="1">
      <alignment horizontal="center"/>
    </xf>
    <xf numFmtId="1" fontId="2" fillId="18" borderId="31" xfId="193" applyNumberFormat="1" applyFont="1" applyFill="1" applyBorder="1" applyAlignment="1">
      <alignment horizontal="center"/>
    </xf>
    <xf numFmtId="49" fontId="2" fillId="18" borderId="27" xfId="224" applyNumberFormat="1" applyFont="1" applyFill="1" applyBorder="1" applyAlignment="1">
      <alignment horizontal="center"/>
    </xf>
    <xf numFmtId="0" fontId="1" fillId="18" borderId="32" xfId="193" applyFill="1" applyBorder="1"/>
    <xf numFmtId="10" fontId="1" fillId="18" borderId="29" xfId="101" applyNumberFormat="1" applyFill="1" applyBorder="1"/>
    <xf numFmtId="0" fontId="1" fillId="18" borderId="29" xfId="193" applyFill="1" applyBorder="1"/>
    <xf numFmtId="0" fontId="1" fillId="18" borderId="2" xfId="193" applyFill="1" applyBorder="1"/>
    <xf numFmtId="0" fontId="1" fillId="18" borderId="28" xfId="193" applyFill="1" applyBorder="1"/>
    <xf numFmtId="0" fontId="1" fillId="18" borderId="26" xfId="193" applyFill="1" applyBorder="1"/>
    <xf numFmtId="167" fontId="1" fillId="18" borderId="27" xfId="224" applyNumberFormat="1" applyFill="1" applyBorder="1"/>
    <xf numFmtId="0" fontId="1" fillId="18" borderId="27" xfId="193" applyFill="1" applyBorder="1"/>
    <xf numFmtId="0" fontId="2" fillId="18" borderId="0" xfId="193" applyFont="1" applyFill="1"/>
    <xf numFmtId="167" fontId="1" fillId="18" borderId="0" xfId="193" applyNumberFormat="1" applyFont="1" applyFill="1" applyBorder="1"/>
    <xf numFmtId="167" fontId="1" fillId="18" borderId="28" xfId="193" applyNumberFormat="1" applyFont="1" applyFill="1" applyBorder="1"/>
    <xf numFmtId="168" fontId="1" fillId="16" borderId="29" xfId="224" applyNumberFormat="1" applyFill="1" applyBorder="1"/>
    <xf numFmtId="167" fontId="1" fillId="16" borderId="8" xfId="224" applyNumberFormat="1" applyFill="1" applyBorder="1"/>
    <xf numFmtId="167" fontId="1" fillId="16" borderId="7" xfId="224" applyNumberFormat="1" applyFill="1" applyBorder="1"/>
    <xf numFmtId="167" fontId="1" fillId="18" borderId="7" xfId="224" applyNumberFormat="1" applyFill="1" applyBorder="1"/>
    <xf numFmtId="167" fontId="1" fillId="16" borderId="24" xfId="224" applyNumberFormat="1" applyFill="1" applyBorder="1"/>
    <xf numFmtId="0" fontId="2" fillId="16" borderId="0" xfId="193" applyFont="1" applyFill="1" applyAlignment="1">
      <alignment horizontal="center" wrapText="1"/>
    </xf>
    <xf numFmtId="167" fontId="1" fillId="16" borderId="23" xfId="224" applyNumberFormat="1" applyFill="1" applyBorder="1"/>
    <xf numFmtId="167" fontId="20" fillId="16" borderId="3" xfId="224" applyNumberFormat="1" applyFont="1" applyFill="1" applyBorder="1"/>
    <xf numFmtId="167" fontId="1" fillId="18" borderId="3" xfId="224" applyNumberFormat="1" applyFont="1" applyFill="1" applyBorder="1"/>
    <xf numFmtId="168" fontId="20" fillId="16" borderId="3" xfId="224" applyNumberFormat="1" applyFont="1" applyFill="1" applyBorder="1"/>
    <xf numFmtId="167" fontId="1" fillId="16" borderId="0" xfId="193" applyNumberFormat="1" applyFill="1" applyBorder="1"/>
    <xf numFmtId="1" fontId="2" fillId="16" borderId="0" xfId="193" applyNumberFormat="1" applyFont="1" applyFill="1" applyBorder="1" applyAlignment="1">
      <alignment horizontal="center"/>
    </xf>
    <xf numFmtId="167" fontId="1" fillId="16" borderId="0" xfId="193" applyNumberFormat="1" applyFont="1" applyFill="1" applyBorder="1"/>
    <xf numFmtId="167" fontId="1" fillId="16" borderId="3" xfId="224" applyNumberFormat="1" applyFont="1" applyFill="1" applyBorder="1"/>
    <xf numFmtId="49" fontId="2" fillId="16" borderId="0" xfId="224" applyNumberFormat="1" applyFont="1" applyFill="1" applyBorder="1" applyAlignment="1">
      <alignment horizontal="center"/>
    </xf>
    <xf numFmtId="49" fontId="2" fillId="16" borderId="26" xfId="224" applyNumberFormat="1" applyFont="1" applyFill="1" applyBorder="1" applyAlignment="1">
      <alignment horizontal="center"/>
    </xf>
    <xf numFmtId="49" fontId="2" fillId="16" borderId="31" xfId="193" applyNumberFormat="1" applyFont="1" applyFill="1" applyBorder="1" applyAlignment="1">
      <alignment horizontal="center"/>
    </xf>
    <xf numFmtId="49" fontId="2" fillId="16" borderId="31" xfId="224" applyNumberFormat="1" applyFont="1" applyFill="1" applyBorder="1" applyAlignment="1">
      <alignment horizontal="center"/>
    </xf>
    <xf numFmtId="49" fontId="2" fillId="16" borderId="23" xfId="193" applyNumberFormat="1" applyFont="1" applyFill="1" applyBorder="1" applyAlignment="1">
      <alignment horizontal="center"/>
    </xf>
    <xf numFmtId="49" fontId="2" fillId="16" borderId="3" xfId="224" applyNumberFormat="1" applyFont="1" applyFill="1" applyBorder="1" applyAlignment="1">
      <alignment horizontal="center"/>
    </xf>
    <xf numFmtId="49" fontId="2" fillId="16" borderId="3" xfId="193" applyNumberFormat="1" applyFont="1" applyFill="1" applyBorder="1" applyAlignment="1">
      <alignment horizontal="center"/>
    </xf>
    <xf numFmtId="49" fontId="2" fillId="16" borderId="22" xfId="224" applyNumberFormat="1" applyFont="1" applyFill="1" applyBorder="1" applyAlignment="1">
      <alignment horizontal="center"/>
    </xf>
    <xf numFmtId="178" fontId="1" fillId="16" borderId="0" xfId="193" applyNumberFormat="1" applyFill="1"/>
    <xf numFmtId="170" fontId="1" fillId="16" borderId="0" xfId="193" applyNumberFormat="1" applyFill="1"/>
    <xf numFmtId="9" fontId="0" fillId="16" borderId="0" xfId="101" applyFont="1" applyFill="1"/>
    <xf numFmtId="167" fontId="0" fillId="16" borderId="31" xfId="224" applyNumberFormat="1" applyFont="1" applyFill="1" applyBorder="1"/>
    <xf numFmtId="173" fontId="1" fillId="16" borderId="0" xfId="193" applyNumberFormat="1" applyFill="1"/>
    <xf numFmtId="167" fontId="1" fillId="16" borderId="33" xfId="193" applyNumberFormat="1" applyFill="1" applyBorder="1"/>
    <xf numFmtId="167" fontId="0" fillId="16" borderId="8" xfId="224" applyNumberFormat="1" applyFont="1" applyFill="1" applyBorder="1"/>
    <xf numFmtId="167" fontId="0" fillId="16" borderId="7" xfId="224" applyNumberFormat="1" applyFont="1" applyFill="1" applyBorder="1"/>
    <xf numFmtId="167" fontId="0" fillId="16" borderId="27" xfId="224" applyNumberFormat="1" applyFont="1" applyFill="1" applyBorder="1"/>
    <xf numFmtId="167" fontId="0" fillId="16" borderId="24" xfId="224" applyNumberFormat="1" applyFont="1" applyFill="1" applyBorder="1"/>
    <xf numFmtId="0" fontId="41" fillId="19" borderId="0" xfId="193" applyFont="1" applyFill="1"/>
    <xf numFmtId="0" fontId="43" fillId="20" borderId="0" xfId="187" applyFont="1" applyFill="1"/>
    <xf numFmtId="0" fontId="44" fillId="20" borderId="0" xfId="187" applyFont="1" applyFill="1"/>
    <xf numFmtId="0" fontId="45" fillId="0" borderId="0" xfId="187" applyFont="1"/>
    <xf numFmtId="0" fontId="46" fillId="20" borderId="0" xfId="187" applyFont="1" applyFill="1"/>
    <xf numFmtId="0" fontId="47" fillId="20" borderId="0" xfId="187" applyFont="1" applyFill="1"/>
    <xf numFmtId="0" fontId="48" fillId="0" borderId="0" xfId="187" applyFont="1"/>
    <xf numFmtId="0" fontId="49" fillId="14" borderId="22" xfId="187" applyFont="1" applyFill="1" applyBorder="1" applyAlignment="1">
      <alignment horizontal="left" wrapText="1"/>
    </xf>
    <xf numFmtId="0" fontId="45" fillId="0" borderId="3" xfId="187" applyFont="1" applyBorder="1"/>
    <xf numFmtId="0" fontId="49" fillId="14" borderId="3" xfId="187" applyFont="1" applyFill="1" applyBorder="1" applyAlignment="1">
      <alignment horizontal="center" wrapText="1"/>
    </xf>
    <xf numFmtId="0" fontId="49" fillId="14" borderId="23" xfId="187" applyFont="1" applyFill="1" applyBorder="1" applyAlignment="1">
      <alignment horizontal="center" wrapText="1"/>
    </xf>
    <xf numFmtId="0" fontId="52" fillId="0" borderId="0" xfId="187" applyFont="1" applyFill="1" applyBorder="1" applyAlignment="1">
      <alignment horizontal="left"/>
    </xf>
    <xf numFmtId="0" fontId="50" fillId="0" borderId="0" xfId="187" applyFont="1" applyFill="1" applyBorder="1" applyAlignment="1">
      <alignment horizontal="left"/>
    </xf>
    <xf numFmtId="168" fontId="52" fillId="0" borderId="0" xfId="224" applyNumberFormat="1" applyFont="1" applyFill="1" applyBorder="1" applyAlignment="1">
      <alignment horizontal="right" vertical="center"/>
    </xf>
    <xf numFmtId="168" fontId="52" fillId="0" borderId="0" xfId="187" applyNumberFormat="1" applyFont="1" applyFill="1" applyBorder="1" applyAlignment="1">
      <alignment horizontal="right" vertical="center" wrapText="1"/>
    </xf>
    <xf numFmtId="0" fontId="53" fillId="21" borderId="27" xfId="187" applyFont="1" applyFill="1" applyBorder="1"/>
    <xf numFmtId="0" fontId="53" fillId="21" borderId="5" xfId="187" applyFont="1" applyFill="1" applyBorder="1" applyAlignment="1">
      <alignment horizontal="right"/>
    </xf>
    <xf numFmtId="3" fontId="53" fillId="21" borderId="26" xfId="187" applyNumberFormat="1" applyFont="1" applyFill="1" applyBorder="1" applyAlignment="1">
      <alignment horizontal="right"/>
    </xf>
    <xf numFmtId="0" fontId="45" fillId="0" borderId="34" xfId="187" applyFont="1" applyBorder="1"/>
    <xf numFmtId="0" fontId="45" fillId="0" borderId="37" xfId="187" applyFont="1" applyBorder="1"/>
    <xf numFmtId="0" fontId="54" fillId="0" borderId="22" xfId="187" applyFont="1" applyBorder="1"/>
    <xf numFmtId="0" fontId="55" fillId="0" borderId="0" xfId="187" applyFont="1"/>
    <xf numFmtId="164" fontId="55" fillId="0" borderId="0" xfId="187" applyNumberFormat="1" applyFont="1"/>
    <xf numFmtId="0" fontId="53" fillId="20" borderId="22" xfId="187" applyFont="1" applyFill="1" applyBorder="1"/>
    <xf numFmtId="0" fontId="53" fillId="20" borderId="23" xfId="187" applyFont="1" applyFill="1" applyBorder="1" applyAlignment="1">
      <alignment horizontal="right"/>
    </xf>
    <xf numFmtId="0" fontId="45" fillId="0" borderId="0" xfId="187" applyFont="1" applyAlignment="1">
      <alignment vertical="center" wrapText="1"/>
    </xf>
    <xf numFmtId="0" fontId="45" fillId="0" borderId="34" xfId="187" applyFont="1" applyBorder="1" applyAlignment="1">
      <alignment horizontal="left" vertical="center" wrapText="1"/>
    </xf>
    <xf numFmtId="0" fontId="45" fillId="0" borderId="44" xfId="187" applyFont="1" applyBorder="1" applyAlignment="1">
      <alignment horizontal="left" vertical="center" wrapText="1"/>
    </xf>
    <xf numFmtId="0" fontId="53" fillId="20" borderId="22" xfId="187" applyFont="1" applyFill="1" applyBorder="1" applyAlignment="1">
      <alignment horizontal="left" vertical="center" wrapText="1"/>
    </xf>
    <xf numFmtId="0" fontId="53" fillId="20" borderId="23" xfId="187" applyFont="1" applyFill="1" applyBorder="1" applyAlignment="1">
      <alignment horizontal="center" wrapText="1"/>
    </xf>
    <xf numFmtId="0" fontId="45" fillId="0" borderId="0" xfId="187" applyFont="1" applyAlignment="1">
      <alignment wrapText="1"/>
    </xf>
    <xf numFmtId="166" fontId="45" fillId="0" borderId="43" xfId="187" applyNumberFormat="1" applyFont="1" applyBorder="1" applyAlignment="1">
      <alignment horizontal="center"/>
    </xf>
    <xf numFmtId="166" fontId="45" fillId="0" borderId="32" xfId="187" applyNumberFormat="1" applyFont="1" applyBorder="1" applyAlignment="1">
      <alignment horizontal="center"/>
    </xf>
    <xf numFmtId="0" fontId="45" fillId="0" borderId="0" xfId="187" applyFont="1" applyAlignment="1">
      <alignment vertical="top" wrapText="1"/>
    </xf>
    <xf numFmtId="0" fontId="53" fillId="21" borderId="27" xfId="187" applyFont="1" applyFill="1" applyBorder="1" applyAlignment="1">
      <alignment vertical="top" wrapText="1"/>
    </xf>
    <xf numFmtId="3" fontId="53" fillId="21" borderId="26" xfId="187" applyNumberFormat="1" applyFont="1" applyFill="1" applyBorder="1" applyAlignment="1">
      <alignment horizontal="right" vertical="top" wrapText="1"/>
    </xf>
    <xf numFmtId="0" fontId="45" fillId="0" borderId="45" xfId="187" applyFont="1" applyBorder="1"/>
    <xf numFmtId="0" fontId="45" fillId="0" borderId="48" xfId="187" applyFont="1" applyBorder="1"/>
    <xf numFmtId="180" fontId="45" fillId="0" borderId="41" xfId="187" applyNumberFormat="1" applyFont="1" applyBorder="1" applyAlignment="1">
      <alignment horizontal="right"/>
    </xf>
    <xf numFmtId="0" fontId="53" fillId="20" borderId="3" xfId="187" applyFont="1" applyFill="1" applyBorder="1" applyAlignment="1">
      <alignment horizontal="center"/>
    </xf>
    <xf numFmtId="0" fontId="45" fillId="0" borderId="42" xfId="187" applyFont="1" applyBorder="1" applyAlignment="1">
      <alignment horizontal="left" vertical="center" wrapText="1"/>
    </xf>
    <xf numFmtId="0" fontId="53" fillId="21" borderId="5" xfId="187" applyFont="1" applyFill="1" applyBorder="1" applyAlignment="1">
      <alignment horizontal="right" vertical="top" wrapText="1"/>
    </xf>
    <xf numFmtId="3" fontId="53" fillId="21" borderId="5" xfId="187" applyNumberFormat="1" applyFont="1" applyFill="1" applyBorder="1" applyAlignment="1">
      <alignment horizontal="right" vertical="top" wrapText="1"/>
    </xf>
    <xf numFmtId="0" fontId="45" fillId="0" borderId="50" xfId="187" applyFont="1" applyBorder="1"/>
    <xf numFmtId="180" fontId="45" fillId="0" borderId="52" xfId="187" applyNumberFormat="1" applyFont="1" applyBorder="1" applyAlignment="1">
      <alignment horizontal="right"/>
    </xf>
    <xf numFmtId="0" fontId="45" fillId="16" borderId="39" xfId="187" applyFont="1" applyFill="1" applyBorder="1"/>
    <xf numFmtId="165" fontId="45" fillId="0" borderId="38" xfId="101" applyNumberFormat="1" applyFont="1" applyBorder="1"/>
    <xf numFmtId="165" fontId="45" fillId="0" borderId="35" xfId="101" applyNumberFormat="1" applyFont="1" applyBorder="1"/>
    <xf numFmtId="0" fontId="45" fillId="16" borderId="40" xfId="187" applyFont="1" applyFill="1" applyBorder="1" applyAlignment="1">
      <alignment vertical="center" wrapText="1"/>
    </xf>
    <xf numFmtId="0" fontId="45" fillId="16" borderId="53" xfId="187" applyFont="1" applyFill="1" applyBorder="1" applyAlignment="1">
      <alignment horizontal="center" vertical="center" wrapText="1"/>
    </xf>
    <xf numFmtId="166" fontId="45" fillId="16" borderId="54" xfId="187" applyNumberFormat="1" applyFont="1" applyFill="1" applyBorder="1" applyAlignment="1">
      <alignment horizontal="center" vertical="center" wrapText="1"/>
    </xf>
    <xf numFmtId="0" fontId="45" fillId="16" borderId="37" xfId="187" applyFont="1" applyFill="1" applyBorder="1" applyAlignment="1">
      <alignment vertical="center" wrapText="1"/>
    </xf>
    <xf numFmtId="0" fontId="45" fillId="16" borderId="49" xfId="187" applyFont="1" applyFill="1" applyBorder="1" applyAlignment="1">
      <alignment horizontal="center" vertical="center" wrapText="1"/>
    </xf>
    <xf numFmtId="166" fontId="45" fillId="16" borderId="36" xfId="187" applyNumberFormat="1" applyFont="1" applyFill="1" applyBorder="1" applyAlignment="1">
      <alignment horizontal="center" vertical="center" wrapText="1"/>
    </xf>
    <xf numFmtId="0" fontId="45" fillId="16" borderId="39" xfId="187" applyFont="1" applyFill="1" applyBorder="1" applyAlignment="1">
      <alignment vertical="center" wrapText="1"/>
    </xf>
    <xf numFmtId="0" fontId="45" fillId="16" borderId="55" xfId="187" applyFont="1" applyFill="1" applyBorder="1" applyAlignment="1">
      <alignment horizontal="center" vertical="center" wrapText="1"/>
    </xf>
    <xf numFmtId="166" fontId="45" fillId="16" borderId="56" xfId="187" applyNumberFormat="1" applyFont="1" applyFill="1" applyBorder="1" applyAlignment="1">
      <alignment horizontal="center" vertical="center" wrapText="1"/>
    </xf>
    <xf numFmtId="0" fontId="45" fillId="16" borderId="57" xfId="187" applyFont="1" applyFill="1" applyBorder="1" applyAlignment="1">
      <alignment vertical="center" wrapText="1"/>
    </xf>
    <xf numFmtId="0" fontId="45" fillId="16" borderId="51" xfId="187" applyFont="1" applyFill="1" applyBorder="1" applyAlignment="1">
      <alignment horizontal="center" vertical="center" wrapText="1"/>
    </xf>
    <xf numFmtId="166" fontId="45" fillId="16" borderId="58" xfId="187" applyNumberFormat="1" applyFont="1" applyFill="1" applyBorder="1" applyAlignment="1">
      <alignment horizontal="center" vertical="center" wrapText="1"/>
    </xf>
    <xf numFmtId="180" fontId="45" fillId="0" borderId="46" xfId="187" applyNumberFormat="1" applyFont="1" applyBorder="1" applyAlignment="1">
      <alignment horizontal="right"/>
    </xf>
    <xf numFmtId="180" fontId="45" fillId="0" borderId="49" xfId="187" applyNumberFormat="1" applyFont="1" applyBorder="1" applyAlignment="1">
      <alignment horizontal="right"/>
    </xf>
    <xf numFmtId="180" fontId="45" fillId="0" borderId="51" xfId="187" applyNumberFormat="1" applyFont="1" applyBorder="1" applyAlignment="1">
      <alignment horizontal="right"/>
    </xf>
    <xf numFmtId="167" fontId="50" fillId="4" borderId="2" xfId="187" applyNumberFormat="1" applyFont="1" applyFill="1" applyBorder="1" applyAlignment="1">
      <alignment horizontal="right" vertical="center" wrapText="1"/>
    </xf>
    <xf numFmtId="167" fontId="50" fillId="4" borderId="32" xfId="187" applyNumberFormat="1" applyFont="1" applyFill="1" applyBorder="1" applyAlignment="1">
      <alignment horizontal="right" vertical="center" wrapText="1"/>
    </xf>
    <xf numFmtId="0" fontId="50" fillId="4" borderId="28" xfId="187" applyFont="1" applyFill="1" applyBorder="1" applyAlignment="1">
      <alignment horizontal="left"/>
    </xf>
    <xf numFmtId="0" fontId="50" fillId="4" borderId="0" xfId="187" applyFont="1" applyFill="1" applyBorder="1" applyAlignment="1">
      <alignment horizontal="left"/>
    </xf>
    <xf numFmtId="0" fontId="51" fillId="4" borderId="29" xfId="187" applyFont="1" applyFill="1" applyBorder="1" applyAlignment="1">
      <alignment horizontal="left"/>
    </xf>
    <xf numFmtId="0" fontId="51" fillId="4" borderId="4" xfId="187" applyFont="1" applyFill="1" applyBorder="1" applyAlignment="1">
      <alignment horizontal="left"/>
    </xf>
    <xf numFmtId="166" fontId="0" fillId="4" borderId="6" xfId="0" applyNumberFormat="1" applyFill="1" applyBorder="1" applyAlignment="1">
      <alignment horizontal="right" wrapText="1"/>
    </xf>
    <xf numFmtId="166" fontId="0" fillId="4" borderId="0" xfId="0" applyNumberFormat="1" applyFill="1" applyBorder="1" applyAlignment="1">
      <alignment horizontal="right" wrapText="1"/>
    </xf>
    <xf numFmtId="43" fontId="4" fillId="4" borderId="0" xfId="8" applyFont="1" applyFill="1" applyBorder="1" applyAlignment="1">
      <alignment horizontal="right" vertical="center"/>
    </xf>
    <xf numFmtId="166" fontId="4" fillId="4" borderId="0" xfId="0" applyNumberFormat="1" applyFont="1" applyFill="1" applyBorder="1" applyAlignment="1">
      <alignment horizontal="right" vertical="center" wrapText="1"/>
    </xf>
    <xf numFmtId="167" fontId="4" fillId="17" borderId="0" xfId="8" applyNumberFormat="1" applyFont="1" applyFill="1" applyBorder="1" applyAlignment="1">
      <alignment horizontal="right" vertical="center"/>
    </xf>
    <xf numFmtId="43" fontId="1" fillId="17" borderId="0" xfId="8" applyFont="1" applyFill="1" applyBorder="1" applyAlignment="1">
      <alignment horizontal="center" vertical="center"/>
    </xf>
    <xf numFmtId="10" fontId="1" fillId="17" borderId="31" xfId="8" applyNumberFormat="1" applyFill="1" applyBorder="1"/>
    <xf numFmtId="10" fontId="1" fillId="17" borderId="15" xfId="101" applyNumberFormat="1" applyFill="1" applyBorder="1"/>
    <xf numFmtId="10" fontId="1" fillId="17" borderId="13" xfId="101" applyNumberFormat="1" applyFill="1" applyBorder="1"/>
    <xf numFmtId="43" fontId="15" fillId="17" borderId="15" xfId="0" applyNumberFormat="1" applyFont="1" applyFill="1" applyBorder="1"/>
    <xf numFmtId="10" fontId="37" fillId="17" borderId="9" xfId="101" applyNumberFormat="1" applyFont="1" applyFill="1" applyBorder="1"/>
    <xf numFmtId="43" fontId="15" fillId="17" borderId="0" xfId="0" applyNumberFormat="1" applyFont="1" applyFill="1"/>
    <xf numFmtId="0" fontId="1" fillId="17" borderId="0" xfId="0" applyFont="1" applyFill="1" applyBorder="1"/>
    <xf numFmtId="0" fontId="1" fillId="0" borderId="0" xfId="187"/>
    <xf numFmtId="43" fontId="10" fillId="17" borderId="0" xfId="132" applyFont="1" applyFill="1" applyAlignment="1">
      <alignment horizontal="right"/>
    </xf>
    <xf numFmtId="43" fontId="10" fillId="6" borderId="12" xfId="132" applyFont="1" applyFill="1" applyBorder="1" applyAlignment="1">
      <alignment horizontal="right"/>
    </xf>
    <xf numFmtId="43" fontId="10" fillId="6" borderId="0" xfId="132" applyFont="1" applyFill="1" applyAlignment="1">
      <alignment horizontal="right"/>
    </xf>
    <xf numFmtId="0" fontId="7" fillId="17" borderId="0" xfId="0" applyFont="1" applyFill="1" applyBorder="1" applyAlignment="1">
      <alignment horizontal="left"/>
    </xf>
    <xf numFmtId="0" fontId="2" fillId="0" borderId="0" xfId="187" applyFont="1" applyAlignment="1">
      <alignment wrapText="1"/>
    </xf>
    <xf numFmtId="167" fontId="1" fillId="0" borderId="0" xfId="187" applyNumberFormat="1"/>
    <xf numFmtId="43" fontId="15" fillId="15" borderId="15" xfId="8" applyNumberFormat="1" applyFont="1" applyFill="1" applyBorder="1"/>
    <xf numFmtId="10" fontId="1" fillId="15" borderId="6" xfId="101" applyNumberFormat="1" applyFill="1" applyBorder="1"/>
    <xf numFmtId="169" fontId="1" fillId="15" borderId="0" xfId="8" applyNumberFormat="1" applyFill="1" applyBorder="1"/>
    <xf numFmtId="167" fontId="4" fillId="15" borderId="13" xfId="8" applyNumberFormat="1" applyFont="1" applyFill="1" applyBorder="1" applyAlignment="1">
      <alignment horizontal="right" vertical="center"/>
    </xf>
    <xf numFmtId="167" fontId="4" fillId="15" borderId="14" xfId="8" applyNumberFormat="1" applyFont="1" applyFill="1" applyBorder="1" applyAlignment="1">
      <alignment horizontal="right" vertical="center"/>
    </xf>
    <xf numFmtId="43" fontId="4" fillId="15" borderId="14" xfId="8" applyNumberFormat="1" applyFont="1" applyFill="1" applyBorder="1" applyAlignment="1">
      <alignment horizontal="right" vertical="center"/>
    </xf>
    <xf numFmtId="167" fontId="1" fillId="15" borderId="22" xfId="224" applyNumberFormat="1" applyFill="1" applyBorder="1"/>
    <xf numFmtId="167" fontId="1" fillId="15" borderId="3" xfId="224" applyNumberFormat="1" applyFill="1" applyBorder="1"/>
    <xf numFmtId="167" fontId="1" fillId="15" borderId="23" xfId="224" applyNumberFormat="1" applyFill="1" applyBorder="1"/>
    <xf numFmtId="0" fontId="50" fillId="0" borderId="49" xfId="187" applyFont="1" applyFill="1" applyBorder="1" applyAlignment="1">
      <alignment horizontal="center" vertical="center" wrapText="1"/>
    </xf>
    <xf numFmtId="166" fontId="50" fillId="0" borderId="36" xfId="187" applyNumberFormat="1" applyFont="1" applyFill="1" applyBorder="1" applyAlignment="1">
      <alignment horizontal="center" vertical="center" wrapText="1"/>
    </xf>
    <xf numFmtId="181" fontId="45" fillId="0" borderId="47" xfId="187" applyNumberFormat="1" applyFont="1" applyBorder="1" applyAlignment="1">
      <alignment horizontal="right"/>
    </xf>
    <xf numFmtId="181" fontId="45" fillId="0" borderId="41" xfId="187" applyNumberFormat="1" applyFont="1" applyBorder="1" applyAlignment="1">
      <alignment horizontal="right"/>
    </xf>
    <xf numFmtId="181" fontId="45" fillId="0" borderId="46" xfId="187" applyNumberFormat="1" applyFont="1" applyBorder="1" applyAlignment="1">
      <alignment horizontal="right"/>
    </xf>
    <xf numFmtId="181" fontId="45" fillId="0" borderId="49" xfId="187" applyNumberFormat="1" applyFont="1" applyBorder="1" applyAlignment="1">
      <alignment horizontal="right"/>
    </xf>
    <xf numFmtId="180" fontId="45" fillId="22" borderId="46" xfId="187" applyNumberFormat="1" applyFont="1" applyFill="1" applyBorder="1" applyAlignment="1">
      <alignment horizontal="right"/>
    </xf>
    <xf numFmtId="173" fontId="1" fillId="16" borderId="0" xfId="224" applyNumberFormat="1" applyFill="1"/>
    <xf numFmtId="43" fontId="1" fillId="18" borderId="0" xfId="224" applyNumberFormat="1" applyFill="1"/>
    <xf numFmtId="43" fontId="0" fillId="16" borderId="32" xfId="224" applyNumberFormat="1" applyFont="1" applyFill="1" applyBorder="1"/>
    <xf numFmtId="166" fontId="50" fillId="0" borderId="43" xfId="187" applyNumberFormat="1" applyFont="1" applyFill="1" applyBorder="1" applyAlignment="1">
      <alignment horizontal="center"/>
    </xf>
    <xf numFmtId="166" fontId="50" fillId="22" borderId="43" xfId="187" applyNumberFormat="1" applyFont="1" applyFill="1" applyBorder="1" applyAlignment="1">
      <alignment horizontal="center"/>
    </xf>
    <xf numFmtId="43" fontId="1" fillId="16" borderId="0" xfId="224" applyNumberFormat="1" applyFill="1"/>
    <xf numFmtId="4" fontId="45" fillId="0" borderId="36" xfId="187" applyNumberFormat="1" applyFont="1" applyBorder="1"/>
    <xf numFmtId="4" fontId="45" fillId="22" borderId="36" xfId="187" applyNumberFormat="1" applyFont="1" applyFill="1" applyBorder="1"/>
    <xf numFmtId="173" fontId="1" fillId="18" borderId="0" xfId="224" applyNumberFormat="1" applyFill="1"/>
    <xf numFmtId="173" fontId="1" fillId="16" borderId="28" xfId="224" applyNumberFormat="1" applyFill="1" applyBorder="1"/>
    <xf numFmtId="173" fontId="1" fillId="16" borderId="0" xfId="224" applyNumberFormat="1" applyFill="1" applyBorder="1"/>
    <xf numFmtId="173" fontId="1" fillId="16" borderId="2" xfId="224" applyNumberFormat="1" applyFill="1" applyBorder="1"/>
    <xf numFmtId="173" fontId="1" fillId="18" borderId="28" xfId="193" applyNumberFormat="1" applyFill="1" applyBorder="1"/>
    <xf numFmtId="173" fontId="1" fillId="18" borderId="0" xfId="193" applyNumberFormat="1" applyFill="1"/>
    <xf numFmtId="173" fontId="1" fillId="18" borderId="2" xfId="193" applyNumberFormat="1" applyFill="1" applyBorder="1"/>
    <xf numFmtId="43" fontId="2" fillId="16" borderId="0" xfId="193" applyNumberFormat="1" applyFont="1" applyFill="1"/>
    <xf numFmtId="43" fontId="2" fillId="16" borderId="3" xfId="193" applyNumberFormat="1" applyFont="1" applyFill="1" applyBorder="1"/>
    <xf numFmtId="167" fontId="1" fillId="15" borderId="0" xfId="224" applyNumberFormat="1" applyFill="1"/>
    <xf numFmtId="181" fontId="54" fillId="0" borderId="23" xfId="187" applyNumberFormat="1" applyFont="1" applyBorder="1"/>
    <xf numFmtId="173" fontId="1" fillId="15" borderId="0" xfId="224" applyNumberFormat="1" applyFill="1"/>
    <xf numFmtId="173" fontId="1" fillId="15" borderId="28" xfId="224" applyNumberFormat="1" applyFill="1" applyBorder="1"/>
    <xf numFmtId="173" fontId="1" fillId="15" borderId="0" xfId="224" applyNumberFormat="1" applyFill="1" applyBorder="1"/>
    <xf numFmtId="173" fontId="1" fillId="15" borderId="2" xfId="224" applyNumberFormat="1" applyFill="1" applyBorder="1"/>
    <xf numFmtId="0" fontId="1" fillId="15" borderId="0" xfId="100" applyFont="1" applyFill="1" applyBorder="1"/>
    <xf numFmtId="0" fontId="56" fillId="0" borderId="0" xfId="225"/>
    <xf numFmtId="0" fontId="56" fillId="0" borderId="0" xfId="225" applyBorder="1"/>
    <xf numFmtId="0" fontId="56" fillId="16" borderId="0" xfId="225" applyFill="1" applyBorder="1"/>
    <xf numFmtId="43" fontId="1" fillId="0" borderId="0" xfId="187" applyNumberFormat="1"/>
    <xf numFmtId="43" fontId="2" fillId="0" borderId="0" xfId="187" applyNumberFormat="1" applyFont="1"/>
    <xf numFmtId="43" fontId="1" fillId="23" borderId="0" xfId="187" applyNumberFormat="1" applyFill="1"/>
    <xf numFmtId="173" fontId="1" fillId="23" borderId="0" xfId="187" applyNumberFormat="1" applyFill="1"/>
    <xf numFmtId="173" fontId="2" fillId="0" borderId="0" xfId="187" applyNumberFormat="1" applyFont="1"/>
    <xf numFmtId="173" fontId="50" fillId="4" borderId="0" xfId="224" applyNumberFormat="1" applyFont="1" applyFill="1" applyBorder="1" applyAlignment="1">
      <alignment horizontal="right" vertical="center"/>
    </xf>
    <xf numFmtId="173" fontId="50" fillId="4" borderId="4" xfId="224" applyNumberFormat="1" applyFont="1" applyFill="1" applyBorder="1" applyAlignment="1">
      <alignment horizontal="right" vertical="center"/>
    </xf>
    <xf numFmtId="43" fontId="50" fillId="4" borderId="0" xfId="187" applyNumberFormat="1" applyFont="1" applyFill="1" applyBorder="1" applyAlignment="1">
      <alignment horizontal="right" vertical="center" wrapText="1"/>
    </xf>
    <xf numFmtId="43" fontId="50" fillId="4" borderId="4" xfId="187" applyNumberFormat="1" applyFont="1" applyFill="1" applyBorder="1" applyAlignment="1">
      <alignment horizontal="right" vertical="center" wrapText="1"/>
    </xf>
    <xf numFmtId="0" fontId="4" fillId="4" borderId="9" xfId="0" applyFont="1" applyFill="1" applyBorder="1" applyAlignment="1">
      <alignment horizontal="left" vertical="center"/>
    </xf>
    <xf numFmtId="0" fontId="4" fillId="4" borderId="6" xfId="0" applyFont="1" applyFill="1" applyBorder="1" applyAlignment="1">
      <alignment horizontal="left" vertical="center"/>
    </xf>
    <xf numFmtId="0" fontId="2" fillId="14" borderId="21" xfId="0" applyFont="1" applyFill="1" applyBorder="1" applyAlignment="1">
      <alignment horizontal="center" wrapText="1"/>
    </xf>
    <xf numFmtId="0" fontId="0" fillId="4" borderId="25" xfId="0" applyFill="1" applyBorder="1" applyAlignment="1">
      <alignment horizontal="left"/>
    </xf>
    <xf numFmtId="0" fontId="0" fillId="4" borderId="0" xfId="0" applyFill="1" applyBorder="1" applyAlignment="1">
      <alignment horizontal="left"/>
    </xf>
    <xf numFmtId="0" fontId="4" fillId="4" borderId="25" xfId="0" applyFont="1" applyFill="1" applyBorder="1" applyAlignment="1">
      <alignment horizontal="left"/>
    </xf>
    <xf numFmtId="0" fontId="4" fillId="4" borderId="0" xfId="0" applyFont="1" applyFill="1" applyBorder="1" applyAlignment="1">
      <alignment horizontal="left"/>
    </xf>
    <xf numFmtId="0" fontId="4" fillId="4" borderId="9" xfId="0" applyFont="1" applyFill="1" applyBorder="1" applyAlignment="1">
      <alignment horizontal="left"/>
    </xf>
    <xf numFmtId="0" fontId="0" fillId="4" borderId="6" xfId="0" applyFill="1" applyBorder="1" applyAlignment="1">
      <alignment horizontal="left"/>
    </xf>
    <xf numFmtId="0" fontId="23" fillId="14" borderId="26" xfId="0" applyFont="1" applyFill="1" applyBorder="1" applyAlignment="1">
      <alignment horizontal="center" vertical="center" textRotation="255"/>
    </xf>
    <xf numFmtId="0" fontId="23" fillId="14" borderId="2" xfId="0" applyFont="1" applyFill="1" applyBorder="1" applyAlignment="1">
      <alignment horizontal="center" vertical="center" textRotation="255"/>
    </xf>
    <xf numFmtId="0" fontId="2" fillId="16" borderId="0" xfId="193" applyFont="1" applyFill="1" applyAlignment="1">
      <alignment horizontal="center"/>
    </xf>
    <xf numFmtId="0" fontId="2" fillId="16" borderId="4" xfId="193" applyFont="1" applyFill="1" applyBorder="1" applyAlignment="1">
      <alignment horizontal="center" wrapText="1"/>
    </xf>
    <xf numFmtId="0" fontId="23" fillId="14" borderId="22" xfId="77" applyFont="1" applyFill="1" applyBorder="1" applyAlignment="1">
      <alignment horizontal="center"/>
    </xf>
    <xf numFmtId="0" fontId="23" fillId="14" borderId="23" xfId="77" applyFont="1" applyFill="1" applyBorder="1" applyAlignment="1">
      <alignment horizontal="center"/>
    </xf>
    <xf numFmtId="0" fontId="23" fillId="14" borderId="27" xfId="77" applyFont="1" applyFill="1" applyBorder="1" applyAlignment="1">
      <alignment horizontal="center" vertical="center" textRotation="255"/>
    </xf>
    <xf numFmtId="0" fontId="4" fillId="0" borderId="28" xfId="77" applyBorder="1" applyAlignment="1">
      <alignment horizontal="center"/>
    </xf>
    <xf numFmtId="0" fontId="4" fillId="0" borderId="29" xfId="77" applyBorder="1" applyAlignment="1">
      <alignment horizontal="center"/>
    </xf>
    <xf numFmtId="0" fontId="4" fillId="0" borderId="28" xfId="77" applyBorder="1" applyAlignment="1"/>
    <xf numFmtId="0" fontId="4" fillId="0" borderId="29" xfId="77" applyBorder="1" applyAlignment="1"/>
    <xf numFmtId="0" fontId="23" fillId="14" borderId="24" xfId="77" applyFont="1" applyFill="1" applyBorder="1" applyAlignment="1">
      <alignment horizontal="center" vertical="center" textRotation="255"/>
    </xf>
    <xf numFmtId="0" fontId="4" fillId="0" borderId="7" xfId="77" applyBorder="1" applyAlignment="1">
      <alignment horizontal="center"/>
    </xf>
    <xf numFmtId="0" fontId="4" fillId="0" borderId="8" xfId="77" applyBorder="1" applyAlignment="1">
      <alignment horizontal="center"/>
    </xf>
    <xf numFmtId="0" fontId="29" fillId="14" borderId="22" xfId="77" applyFont="1" applyFill="1" applyBorder="1" applyAlignment="1">
      <alignment horizontal="center"/>
    </xf>
    <xf numFmtId="0" fontId="29" fillId="14" borderId="23" xfId="77" applyFont="1" applyFill="1" applyBorder="1" applyAlignment="1">
      <alignment horizontal="center"/>
    </xf>
    <xf numFmtId="0" fontId="13" fillId="14" borderId="26" xfId="0" applyFont="1" applyFill="1" applyBorder="1" applyAlignment="1">
      <alignment horizontal="center" vertical="center" textRotation="255"/>
    </xf>
    <xf numFmtId="0" fontId="13" fillId="14" borderId="2" xfId="0" applyFont="1" applyFill="1" applyBorder="1" applyAlignment="1">
      <alignment horizontal="center" vertical="center" textRotation="255"/>
    </xf>
  </cellXfs>
  <cellStyles count="226">
    <cellStyle name="Assumption" xfId="1"/>
    <cellStyle name="Assumption 2" xfId="2"/>
    <cellStyle name="Assumption 3" xfId="3"/>
    <cellStyle name="Assumption 4" xfId="4"/>
    <cellStyle name="Assumptions Right Percentage" xfId="5"/>
    <cellStyle name="Blockout" xfId="6"/>
    <cellStyle name="Blockout 2" xfId="128"/>
    <cellStyle name="Calculated cells" xfId="7"/>
    <cellStyle name="Calculated cells 2" xfId="129"/>
    <cellStyle name="Comma" xfId="8" builtinId="3"/>
    <cellStyle name="Comma 2" xfId="9"/>
    <cellStyle name="Comma 2 2" xfId="10"/>
    <cellStyle name="Comma 2 2 2" xfId="132"/>
    <cellStyle name="Comma 2 2 2 2" xfId="224"/>
    <cellStyle name="Comma 2 3" xfId="11"/>
    <cellStyle name="Comma 2 3 2" xfId="133"/>
    <cellStyle name="Comma 2 4" xfId="12"/>
    <cellStyle name="Comma 2 4 2" xfId="134"/>
    <cellStyle name="Comma 2 5" xfId="13"/>
    <cellStyle name="Comma 2 5 2" xfId="135"/>
    <cellStyle name="Comma 2 6" xfId="14"/>
    <cellStyle name="Comma 2 6 2" xfId="136"/>
    <cellStyle name="Comma 2 7" xfId="15"/>
    <cellStyle name="Comma 2 7 2" xfId="137"/>
    <cellStyle name="Comma 2 8" xfId="16"/>
    <cellStyle name="Comma 2 8 2" xfId="138"/>
    <cellStyle name="Comma 2 9" xfId="131"/>
    <cellStyle name="Comma 3" xfId="17"/>
    <cellStyle name="Comma 3 2" xfId="139"/>
    <cellStyle name="Comma 4" xfId="18"/>
    <cellStyle name="Comma 4 2" xfId="140"/>
    <cellStyle name="Comma 5" xfId="19"/>
    <cellStyle name="Comma 5 2" xfId="141"/>
    <cellStyle name="Comma 6" xfId="20"/>
    <cellStyle name="Comma 6 2" xfId="142"/>
    <cellStyle name="Comma 7" xfId="21"/>
    <cellStyle name="Comma 7 2" xfId="143"/>
    <cellStyle name="Comma 8" xfId="130"/>
    <cellStyle name="Currency" xfId="22" builtinId="4"/>
    <cellStyle name="Currency 2" xfId="23"/>
    <cellStyle name="Currency 2 2" xfId="24"/>
    <cellStyle name="Currency 2 2 2" xfId="146"/>
    <cellStyle name="Currency 2 3" xfId="25"/>
    <cellStyle name="Currency 2 3 2" xfId="147"/>
    <cellStyle name="Currency 2 4" xfId="26"/>
    <cellStyle name="Currency 2 4 2" xfId="148"/>
    <cellStyle name="Currency 2 5" xfId="27"/>
    <cellStyle name="Currency 2 5 2" xfId="149"/>
    <cellStyle name="Currency 2 6" xfId="28"/>
    <cellStyle name="Currency 2 6 2" xfId="150"/>
    <cellStyle name="Currency 2 7" xfId="29"/>
    <cellStyle name="Currency 2 7 2" xfId="151"/>
    <cellStyle name="Currency 2 8" xfId="30"/>
    <cellStyle name="Currency 2 8 2" xfId="152"/>
    <cellStyle name="Currency 2 9" xfId="145"/>
    <cellStyle name="Currency 3" xfId="31"/>
    <cellStyle name="Currency 3 2" xfId="153"/>
    <cellStyle name="Currency 4" xfId="32"/>
    <cellStyle name="Currency 4 2" xfId="154"/>
    <cellStyle name="Currency 5" xfId="144"/>
    <cellStyle name="Data input" xfId="33"/>
    <cellStyle name="Data input 2" xfId="155"/>
    <cellStyle name="import" xfId="34"/>
    <cellStyle name="import 2" xfId="35"/>
    <cellStyle name="import 2 2" xfId="156"/>
    <cellStyle name="import 3" xfId="36"/>
    <cellStyle name="import 3 2" xfId="157"/>
    <cellStyle name="import%" xfId="37"/>
    <cellStyle name="import% 2" xfId="38"/>
    <cellStyle name="import% 2 2" xfId="158"/>
    <cellStyle name="import% 3" xfId="39"/>
    <cellStyle name="import% 3 2" xfId="159"/>
    <cellStyle name="import_ICRC Electricity model 1-1  (1 Feb 2003) " xfId="40"/>
    <cellStyle name="Input1" xfId="41"/>
    <cellStyle name="Input1 10" xfId="42"/>
    <cellStyle name="Input1 10 2" xfId="161"/>
    <cellStyle name="Input1 11" xfId="160"/>
    <cellStyle name="Input1 2" xfId="43"/>
    <cellStyle name="Input1 2 2" xfId="162"/>
    <cellStyle name="Input1 3" xfId="44"/>
    <cellStyle name="Input1 3 2" xfId="163"/>
    <cellStyle name="Input1 4" xfId="45"/>
    <cellStyle name="Input1 4 2" xfId="164"/>
    <cellStyle name="Input1 5" xfId="46"/>
    <cellStyle name="Input1 5 2" xfId="165"/>
    <cellStyle name="Input1 6" xfId="47"/>
    <cellStyle name="Input1 6 2" xfId="166"/>
    <cellStyle name="Input1 7" xfId="48"/>
    <cellStyle name="Input1 7 2" xfId="167"/>
    <cellStyle name="Input1 8" xfId="49"/>
    <cellStyle name="Input1 8 2" xfId="168"/>
    <cellStyle name="Input1 9" xfId="50"/>
    <cellStyle name="Input1 9 2" xfId="169"/>
    <cellStyle name="Input1%" xfId="51"/>
    <cellStyle name="Input1% 2" xfId="52"/>
    <cellStyle name="Input1% 2 2" xfId="170"/>
    <cellStyle name="Input1% 3" xfId="53"/>
    <cellStyle name="Input1% 3 2" xfId="171"/>
    <cellStyle name="Input1_ICRC Electricity model 1-1  (1 Feb 2003) " xfId="54"/>
    <cellStyle name="Input1default" xfId="55"/>
    <cellStyle name="Input1default 2" xfId="56"/>
    <cellStyle name="Input1default 2 2" xfId="172"/>
    <cellStyle name="Input1default 3" xfId="57"/>
    <cellStyle name="Input1default 3 2" xfId="173"/>
    <cellStyle name="Input1default%" xfId="58"/>
    <cellStyle name="Input2" xfId="59"/>
    <cellStyle name="Input2 2" xfId="60"/>
    <cellStyle name="Input2 2 2" xfId="174"/>
    <cellStyle name="Input2 3" xfId="61"/>
    <cellStyle name="Input2 3 2" xfId="175"/>
    <cellStyle name="Input3" xfId="62"/>
    <cellStyle name="Input3 10" xfId="63"/>
    <cellStyle name="Input3 10 2" xfId="177"/>
    <cellStyle name="Input3 11" xfId="176"/>
    <cellStyle name="Input3 2" xfId="64"/>
    <cellStyle name="Input3 2 2" xfId="178"/>
    <cellStyle name="Input3 3" xfId="65"/>
    <cellStyle name="Input3 3 2" xfId="179"/>
    <cellStyle name="Input3 4" xfId="66"/>
    <cellStyle name="Input3 4 2" xfId="180"/>
    <cellStyle name="Input3 5" xfId="67"/>
    <cellStyle name="Input3 5 2" xfId="181"/>
    <cellStyle name="Input3 6" xfId="68"/>
    <cellStyle name="Input3 6 2" xfId="182"/>
    <cellStyle name="Input3 7" xfId="69"/>
    <cellStyle name="Input3 7 2" xfId="183"/>
    <cellStyle name="Input3 8" xfId="70"/>
    <cellStyle name="Input3 8 2" xfId="184"/>
    <cellStyle name="Input3 9" xfId="71"/>
    <cellStyle name="Input3 9 2" xfId="185"/>
    <cellStyle name="key result" xfId="72"/>
    <cellStyle name="Local import" xfId="73"/>
    <cellStyle name="Local import %" xfId="74"/>
    <cellStyle name="MRR calculation" xfId="75"/>
    <cellStyle name="MRR-Prices" xfId="76"/>
    <cellStyle name="Normal" xfId="0" builtinId="0"/>
    <cellStyle name="Normal 11 4" xfId="225"/>
    <cellStyle name="Normal 2" xfId="77"/>
    <cellStyle name="Normal 2 10" xfId="78"/>
    <cellStyle name="Normal 2 10 2" xfId="187"/>
    <cellStyle name="Normal 2 11" xfId="79"/>
    <cellStyle name="Normal 2 11 2" xfId="188"/>
    <cellStyle name="Normal 2 12" xfId="80"/>
    <cellStyle name="Normal 2 12 2" xfId="189"/>
    <cellStyle name="Normal 2 13" xfId="81"/>
    <cellStyle name="Normal 2 13 2" xfId="190"/>
    <cellStyle name="Normal 2 14" xfId="82"/>
    <cellStyle name="Normal 2 14 2" xfId="191"/>
    <cellStyle name="Normal 2 15" xfId="83"/>
    <cellStyle name="Normal 2 15 2" xfId="192"/>
    <cellStyle name="Normal 2 16" xfId="186"/>
    <cellStyle name="Normal 2 2" xfId="84"/>
    <cellStyle name="Normal 2 2 2" xfId="193"/>
    <cellStyle name="Normal 2 3" xfId="85"/>
    <cellStyle name="Normal 2 3 2" xfId="194"/>
    <cellStyle name="Normal 2 4" xfId="86"/>
    <cellStyle name="Normal 2 4 2" xfId="195"/>
    <cellStyle name="Normal 2 5" xfId="87"/>
    <cellStyle name="Normal 2 5 2" xfId="196"/>
    <cellStyle name="Normal 2 6" xfId="88"/>
    <cellStyle name="Normal 2 6 2" xfId="197"/>
    <cellStyle name="Normal 2 7" xfId="89"/>
    <cellStyle name="Normal 2 7 2" xfId="198"/>
    <cellStyle name="Normal 2 8" xfId="90"/>
    <cellStyle name="Normal 2 8 2" xfId="199"/>
    <cellStyle name="Normal 2 9" xfId="91"/>
    <cellStyle name="Normal 2 9 2" xfId="200"/>
    <cellStyle name="Normal 2_Input" xfId="92"/>
    <cellStyle name="Normal 3" xfId="93"/>
    <cellStyle name="Normal 3 2" xfId="94"/>
    <cellStyle name="Normal 3 2 2" xfId="202"/>
    <cellStyle name="Normal 3 3" xfId="95"/>
    <cellStyle name="Normal 3 4" xfId="201"/>
    <cellStyle name="Normal 4" xfId="96"/>
    <cellStyle name="Normal 4 2" xfId="97"/>
    <cellStyle name="Normal 4 2 2" xfId="204"/>
    <cellStyle name="Normal 4 3" xfId="203"/>
    <cellStyle name="Normal 5" xfId="127"/>
    <cellStyle name="Normal 5 2" xfId="98"/>
    <cellStyle name="Normal 5 2 2" xfId="205"/>
    <cellStyle name="Normal 6" xfId="99"/>
    <cellStyle name="Normal 6 2" xfId="206"/>
    <cellStyle name="Normal_2005 03 27 RAB model" xfId="100"/>
    <cellStyle name="Percent" xfId="101" builtinId="5"/>
    <cellStyle name="Percent 2" xfId="102"/>
    <cellStyle name="Percent 2 10" xfId="103"/>
    <cellStyle name="Percent 2 10 2" xfId="208"/>
    <cellStyle name="Percent 2 11" xfId="104"/>
    <cellStyle name="Percent 2 11 2" xfId="209"/>
    <cellStyle name="Percent 2 12" xfId="105"/>
    <cellStyle name="Percent 2 12 2" xfId="210"/>
    <cellStyle name="Percent 2 13" xfId="106"/>
    <cellStyle name="Percent 2 13 2" xfId="211"/>
    <cellStyle name="Percent 2 14" xfId="107"/>
    <cellStyle name="Percent 2 14 2" xfId="212"/>
    <cellStyle name="Percent 2 15" xfId="108"/>
    <cellStyle name="Percent 2 15 2" xfId="213"/>
    <cellStyle name="Percent 2 16" xfId="207"/>
    <cellStyle name="Percent 2 2" xfId="109"/>
    <cellStyle name="Percent 2 2 2" xfId="214"/>
    <cellStyle name="Percent 2 3" xfId="110"/>
    <cellStyle name="Percent 2 3 2" xfId="215"/>
    <cellStyle name="Percent 2 4" xfId="111"/>
    <cellStyle name="Percent 2 4 2" xfId="216"/>
    <cellStyle name="Percent 2 5" xfId="112"/>
    <cellStyle name="Percent 2 5 2" xfId="217"/>
    <cellStyle name="Percent 2 6" xfId="113"/>
    <cellStyle name="Percent 2 6 2" xfId="218"/>
    <cellStyle name="Percent 2 7" xfId="114"/>
    <cellStyle name="Percent 2 7 2" xfId="219"/>
    <cellStyle name="Percent 2 8" xfId="115"/>
    <cellStyle name="Percent 2 8 2" xfId="220"/>
    <cellStyle name="Percent 2 9" xfId="116"/>
    <cellStyle name="Percent 2 9 2" xfId="221"/>
    <cellStyle name="Percent 3" xfId="117"/>
    <cellStyle name="Percent 3 2" xfId="222"/>
    <cellStyle name="Percent 4" xfId="118"/>
    <cellStyle name="Percent 4 2" xfId="223"/>
    <cellStyle name="Period" xfId="119"/>
    <cellStyle name="Period 2" xfId="120"/>
    <cellStyle name="Period 3" xfId="121"/>
    <cellStyle name="Period 4" xfId="122"/>
    <cellStyle name="style1" xfId="123"/>
    <cellStyle name="Style2_Assumptions (2)" xfId="124"/>
    <cellStyle name="Style3_Allocation" xfId="125"/>
    <cellStyle name="Style4_Allocation" xfId="1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47</xdr:row>
      <xdr:rowOff>38100</xdr:rowOff>
    </xdr:to>
    <xdr:pic>
      <xdr:nvPicPr>
        <xdr:cNvPr id="2" name="Picture 1" descr="C:\Users\RamanK\AppData\Local\Microsoft\Windows\INetCache\Content.Word\AGN048_Access Arrangement Plan_FA02_Covers_Attachment Cover.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78" t="3480" r="5027" b="3723"/>
        <a:stretch/>
      </xdr:blipFill>
      <xdr:spPr bwMode="auto">
        <a:xfrm>
          <a:off x="0" y="0"/>
          <a:ext cx="6705600" cy="9906000"/>
        </a:xfrm>
        <a:prstGeom prst="rect">
          <a:avLst/>
        </a:prstGeom>
        <a:noFill/>
        <a:ln>
          <a:noFill/>
        </a:ln>
      </xdr:spPr>
    </xdr:pic>
    <xdr:clientData/>
  </xdr:twoCellAnchor>
  <xdr:twoCellAnchor>
    <xdr:from>
      <xdr:col>1</xdr:col>
      <xdr:colOff>324970</xdr:colOff>
      <xdr:row>15</xdr:row>
      <xdr:rowOff>22411</xdr:rowOff>
    </xdr:from>
    <xdr:to>
      <xdr:col>10</xdr:col>
      <xdr:colOff>112059</xdr:colOff>
      <xdr:row>27</xdr:row>
      <xdr:rowOff>100853</xdr:rowOff>
    </xdr:to>
    <xdr:sp macro="" textlink="">
      <xdr:nvSpPr>
        <xdr:cNvPr id="3" name="TextBox 2"/>
        <xdr:cNvSpPr txBox="1"/>
      </xdr:nvSpPr>
      <xdr:spPr>
        <a:xfrm>
          <a:off x="934570" y="2879911"/>
          <a:ext cx="5273489" cy="2364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700" b="1">
              <a:solidFill>
                <a:schemeClr val="bg1"/>
              </a:solidFill>
              <a:effectLst/>
              <a:latin typeface="Tahoma" panose="020B0604030504040204" pitchFamily="34" charset="0"/>
              <a:ea typeface="Tahoma" panose="020B0604030504040204" pitchFamily="34" charset="0"/>
              <a:cs typeface="Tahoma" panose="020B0604030504040204" pitchFamily="34" charset="0"/>
            </a:rPr>
            <a:t>Revised Proposal</a:t>
          </a:r>
          <a:endParaRPr lang="en-AU" sz="27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rPr>
            <a:t>Victoria</a:t>
          </a:r>
          <a:r>
            <a:rPr lang="en-AU" sz="200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Roll Forward Model</a:t>
          </a:r>
          <a:endPar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1200">
              <a:solidFill>
                <a:schemeClr val="bg1"/>
              </a:solidFill>
              <a:effectLst/>
              <a:latin typeface="Tahoma" panose="020B0604030504040204" pitchFamily="34" charset="0"/>
              <a:ea typeface="Tahoma" panose="020B0604030504040204" pitchFamily="34" charset="0"/>
              <a:cs typeface="Tahoma" panose="020B0604030504040204" pitchFamily="34" charset="0"/>
            </a:rPr>
            <a:t>August 2017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2608" name="Group 1"/>
        <xdr:cNvGrpSpPr>
          <a:grpSpLocks/>
        </xdr:cNvGrpSpPr>
      </xdr:nvGrpSpPr>
      <xdr:grpSpPr bwMode="auto">
        <a:xfrm>
          <a:off x="28575" y="2936421"/>
          <a:ext cx="1990725" cy="349704"/>
          <a:chOff x="2" y="144"/>
          <a:chExt cx="209" cy="37"/>
        </a:xfrm>
      </xdr:grpSpPr>
      <xdr:grpSp>
        <xdr:nvGrpSpPr>
          <xdr:cNvPr id="142616" name="Group 2"/>
          <xdr:cNvGrpSpPr>
            <a:grpSpLocks/>
          </xdr:cNvGrpSpPr>
        </xdr:nvGrpSpPr>
        <xdr:grpSpPr bwMode="auto">
          <a:xfrm>
            <a:off x="2" y="152"/>
            <a:ext cx="203" cy="29"/>
            <a:chOff x="2" y="159"/>
            <a:chExt cx="200" cy="27"/>
          </a:xfrm>
        </xdr:grpSpPr>
        <xdr:sp macro="" textlink="">
          <xdr:nvSpPr>
            <xdr:cNvPr id="142619"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20"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42617"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18"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2609"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161925</xdr:rowOff>
    </xdr:from>
    <xdr:to>
      <xdr:col>1</xdr:col>
      <xdr:colOff>304800</xdr:colOff>
      <xdr:row>32</xdr:row>
      <xdr:rowOff>28575</xdr:rowOff>
    </xdr:to>
    <xdr:grpSp>
      <xdr:nvGrpSpPr>
        <xdr:cNvPr id="142610" name="Group 16"/>
        <xdr:cNvGrpSpPr>
          <a:grpSpLocks/>
        </xdr:cNvGrpSpPr>
      </xdr:nvGrpSpPr>
      <xdr:grpSpPr bwMode="auto">
        <a:xfrm>
          <a:off x="57150" y="3604532"/>
          <a:ext cx="397329" cy="4547507"/>
          <a:chOff x="3" y="391"/>
          <a:chExt cx="42" cy="511"/>
        </a:xfrm>
      </xdr:grpSpPr>
      <xdr:sp macro="" textlink="">
        <xdr:nvSpPr>
          <xdr:cNvPr id="14261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4261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4"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7" y="820"/>
            <a:ext cx="151"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2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arawr01\Local%20Settings\Temporary%20Internet%20Files\OLK33\SA%20AA%20Revenue%20&amp;%20Tariff%20Model%20(30%20Sep%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odklo\Local%20Settings\Temporary%20Internet%20Files\OLK2B\2006%20V%20to%20D%20analys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SA%20Block%20Analysis\SA%20Block%20Analysis%202007-08\Tariff%20D\SA%20Demand%20Variance%20Analysis_v3_2008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cainp.ENVESTRA\Local%20Settings\Temporary%20Internet%20Files\OLK174\Qld%20Block%20Analysis%20Deman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joedod\Local%20Settings\Temporary%20Internet%20Files\OLK70\2006%20V%20to%20D%20analysi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aig%20de%20Laine\SA%20AA%2006\Appeal\080504-S-Calc%20of%20AARR-Specified%20Ev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mereditg\LOCALS~1\Temp\3\Temporary%20Directory%201%20for%20Envestra%20QLD%20Models%20(11%20August%202010).zip\Envestra%20QLD%20QCA%20-%20RAB%20Roll%20Forward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ocuments%20and%20Settings\sarawr01\Local%20Settings\Temporary%20Internet%20Files\OLK33\SA%20AA%20Revenue%20&amp;%20Tariff%20Model%20(30%20Sep%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OUGLASG\Local%20Settings\Temporary%20Internet%20Files\OLK18E\ADI%20HAULAGE%20STA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aer.gov.au/content/item.phtml?itemId=741812&amp;nodeId=ca258af7b8922b3fe40ec8774fbbefd8&amp;fn=Appendix%20A%20-%20transmission%20post-tax%20revenue%20model%20-%20version%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707\Month%20End\QLD_Demand_PostF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mereditg\Local%20Settings\Temporary%20Internet%20Files\Content.Outlook\JIG7W8L0\2011%20NIEIR%20Data\100127-Sales%20and%20Demand%20Forecasts-Rev%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Haulage%200708\200806\Month-end\SUG%20Model%20V1_Day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chiemh\Local%20Settings\Temporary%20Internet%20Files\OLKC1\061212-2007%20Vic%20Excluded%20Service%20Rat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ter%20Bucki\VIC%20AA\2013-17\Modelling\Preliminary%20Modelling\Victoria\Scenario%202\111209-%20090310-ESCV%20Revenue%20Model%20Post%20Appeal%20-%20Update%202011%20OPEX%20excluding%20incentive%20fe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6</v>
          </cell>
          <cell r="C16">
            <v>0</v>
          </cell>
          <cell r="D16">
            <v>869</v>
          </cell>
          <cell r="E16">
            <v>546</v>
          </cell>
          <cell r="F16">
            <v>100</v>
          </cell>
        </row>
        <row r="17">
          <cell r="B17">
            <v>5</v>
          </cell>
          <cell r="C17">
            <v>0</v>
          </cell>
          <cell r="D17">
            <v>869</v>
          </cell>
          <cell r="E17">
            <v>546</v>
          </cell>
          <cell r="F17">
            <v>100</v>
          </cell>
        </row>
        <row r="18">
          <cell r="B18">
            <v>7</v>
          </cell>
          <cell r="C18">
            <v>0</v>
          </cell>
          <cell r="D18">
            <v>1012</v>
          </cell>
          <cell r="E18">
            <v>640</v>
          </cell>
          <cell r="F18">
            <v>110</v>
          </cell>
        </row>
        <row r="19">
          <cell r="B19">
            <v>15</v>
          </cell>
          <cell r="C19">
            <v>0</v>
          </cell>
          <cell r="D19">
            <v>0</v>
          </cell>
          <cell r="E19">
            <v>0</v>
          </cell>
          <cell r="F19">
            <v>0</v>
          </cell>
        </row>
        <row r="20">
          <cell r="B20">
            <v>9</v>
          </cell>
          <cell r="C20">
            <v>0</v>
          </cell>
          <cell r="D20">
            <v>1930.7</v>
          </cell>
          <cell r="E20">
            <v>1231.33</v>
          </cell>
          <cell r="F20">
            <v>225.61</v>
          </cell>
        </row>
        <row r="21">
          <cell r="B21">
            <v>8</v>
          </cell>
          <cell r="C21">
            <v>0</v>
          </cell>
          <cell r="D21">
            <v>870</v>
          </cell>
          <cell r="E21">
            <v>551</v>
          </cell>
          <cell r="F21">
            <v>136</v>
          </cell>
        </row>
        <row r="22">
          <cell r="B22">
            <v>50</v>
          </cell>
          <cell r="C22">
            <v>0</v>
          </cell>
          <cell r="D22">
            <v>1451.39</v>
          </cell>
          <cell r="E22">
            <v>922.54</v>
          </cell>
          <cell r="F22">
            <v>168.96</v>
          </cell>
        </row>
        <row r="26">
          <cell r="A26">
            <v>1</v>
          </cell>
          <cell r="B26">
            <v>31</v>
          </cell>
          <cell r="C26">
            <v>4</v>
          </cell>
        </row>
        <row r="27">
          <cell r="A27">
            <v>2</v>
          </cell>
          <cell r="B27">
            <v>28</v>
          </cell>
          <cell r="C27">
            <v>4</v>
          </cell>
        </row>
        <row r="28">
          <cell r="A28">
            <v>3</v>
          </cell>
          <cell r="B28">
            <v>31</v>
          </cell>
          <cell r="C28">
            <v>4</v>
          </cell>
        </row>
        <row r="29">
          <cell r="A29">
            <v>4</v>
          </cell>
          <cell r="B29">
            <v>30</v>
          </cell>
          <cell r="C29">
            <v>4</v>
          </cell>
        </row>
        <row r="30">
          <cell r="A30">
            <v>5</v>
          </cell>
          <cell r="B30">
            <v>31</v>
          </cell>
          <cell r="C30">
            <v>4</v>
          </cell>
        </row>
        <row r="31">
          <cell r="A31">
            <v>6</v>
          </cell>
          <cell r="B31">
            <v>30</v>
          </cell>
          <cell r="C31">
            <v>0</v>
          </cell>
        </row>
        <row r="32">
          <cell r="A32">
            <v>7</v>
          </cell>
          <cell r="B32">
            <v>31</v>
          </cell>
          <cell r="C32">
            <v>0</v>
          </cell>
        </row>
        <row r="33">
          <cell r="A33">
            <v>8</v>
          </cell>
          <cell r="B33">
            <v>31</v>
          </cell>
          <cell r="C33">
            <v>0</v>
          </cell>
        </row>
        <row r="34">
          <cell r="A34">
            <v>9</v>
          </cell>
          <cell r="B34">
            <v>30</v>
          </cell>
          <cell r="C34">
            <v>0</v>
          </cell>
        </row>
        <row r="35">
          <cell r="A35">
            <v>10</v>
          </cell>
          <cell r="B35">
            <v>31</v>
          </cell>
          <cell r="C35">
            <v>4</v>
          </cell>
        </row>
        <row r="36">
          <cell r="A36">
            <v>11</v>
          </cell>
          <cell r="B36">
            <v>30</v>
          </cell>
          <cell r="C36">
            <v>4</v>
          </cell>
        </row>
        <row r="37">
          <cell r="A37">
            <v>12</v>
          </cell>
          <cell r="B37">
            <v>31</v>
          </cell>
          <cell r="C37">
            <v>4</v>
          </cell>
        </row>
      </sheetData>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Revenue"/>
      <sheetName val="NOTES"/>
      <sheetName val="Sheet1"/>
      <sheetName val="Consumption"/>
      <sheetName val="Budget"/>
      <sheetName val="Raw-Retailer Demand Revenue"/>
      <sheetName val="Raw-FRCT Consumption"/>
      <sheetName val="FRCT Consumption Pivot"/>
      <sheetName val="FRCT Consumption Data"/>
    </sheetNames>
    <sheetDataSet>
      <sheetData sheetId="0">
        <row r="5">
          <cell r="C5">
            <v>39600</v>
          </cell>
        </row>
        <row r="21">
          <cell r="O21">
            <v>39569</v>
          </cell>
        </row>
      </sheetData>
      <sheetData sheetId="1"/>
      <sheetData sheetId="2">
        <row r="1">
          <cell r="I1">
            <v>39264</v>
          </cell>
        </row>
      </sheetData>
      <sheetData sheetId="3"/>
      <sheetData sheetId="4"/>
      <sheetData sheetId="5">
        <row r="3">
          <cell r="D3">
            <v>5510067978</v>
          </cell>
        </row>
      </sheetData>
      <sheetData sheetId="6">
        <row r="3">
          <cell r="C3">
            <v>5510540063</v>
          </cell>
        </row>
      </sheetData>
      <sheetData sheetId="7">
        <row r="1">
          <cell r="A1" t="str">
            <v>RETAILER DEMAND ACTUALS</v>
          </cell>
        </row>
      </sheetData>
      <sheetData sheetId="8"/>
      <sheetData sheetId="9"/>
      <sheetData sheetId="10">
        <row r="3">
          <cell r="C3">
            <v>5340013826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lock Summary"/>
      <sheetName val="Steps"/>
      <sheetName val="Database Criteria"/>
      <sheetName val="00-01 Demand Customers"/>
    </sheetNames>
    <sheetDataSet>
      <sheetData sheetId="0" refreshError="1">
        <row r="4">
          <cell r="B4">
            <v>50</v>
          </cell>
        </row>
        <row r="5">
          <cell r="B5">
            <v>75</v>
          </cell>
        </row>
        <row r="6">
          <cell r="B6">
            <v>150</v>
          </cell>
        </row>
        <row r="7">
          <cell r="B7">
            <v>250</v>
          </cell>
        </row>
        <row r="8">
          <cell r="B8">
            <v>500</v>
          </cell>
        </row>
        <row r="13">
          <cell r="B13">
            <v>10000</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sheetData sheetId="1"/>
      <sheetData sheetId="2"/>
      <sheetData sheetId="3"/>
      <sheetData sheetId="4"/>
      <sheetData sheetId="5"/>
      <sheetData sheetId="6"/>
      <sheetData sheetId="7">
        <row r="5">
          <cell r="B5">
            <v>6</v>
          </cell>
          <cell r="C5">
            <v>8.1000000000000003E-2</v>
          </cell>
          <cell r="D5">
            <v>4.7300000000000004</v>
          </cell>
          <cell r="E5">
            <v>3.37</v>
          </cell>
          <cell r="F5">
            <v>2.5</v>
          </cell>
          <cell r="G5">
            <v>0.87</v>
          </cell>
          <cell r="H5">
            <v>4.62</v>
          </cell>
          <cell r="I5">
            <v>3.17</v>
          </cell>
          <cell r="J5">
            <v>2.31</v>
          </cell>
          <cell r="K5">
            <v>0.81200000000000006</v>
          </cell>
        </row>
        <row r="6">
          <cell r="B6">
            <v>5</v>
          </cell>
          <cell r="C6">
            <v>8.1000000000000003E-2</v>
          </cell>
          <cell r="D6">
            <v>4.0999999999999996</v>
          </cell>
          <cell r="E6">
            <v>3.605</v>
          </cell>
          <cell r="F6">
            <v>2</v>
          </cell>
          <cell r="G6">
            <v>0.875</v>
          </cell>
          <cell r="H6">
            <v>3.73</v>
          </cell>
          <cell r="I6">
            <v>3.4</v>
          </cell>
          <cell r="J6">
            <v>1.7130000000000001</v>
          </cell>
          <cell r="K6">
            <v>0.81200000000000006</v>
          </cell>
        </row>
        <row r="7">
          <cell r="B7">
            <v>7</v>
          </cell>
          <cell r="C7">
            <v>0.113</v>
          </cell>
          <cell r="D7">
            <v>3.59</v>
          </cell>
          <cell r="E7">
            <v>3.59</v>
          </cell>
          <cell r="F7">
            <v>2.8</v>
          </cell>
          <cell r="G7">
            <v>1.02</v>
          </cell>
          <cell r="H7">
            <v>3.17</v>
          </cell>
          <cell r="I7">
            <v>3.17</v>
          </cell>
          <cell r="J7">
            <v>2.42</v>
          </cell>
          <cell r="K7">
            <v>0.99</v>
          </cell>
        </row>
        <row r="8">
          <cell r="B8">
            <v>15</v>
          </cell>
          <cell r="C8">
            <v>0.16450000000000001</v>
          </cell>
          <cell r="D8">
            <v>7.4215</v>
          </cell>
          <cell r="E8">
            <v>7.4215</v>
          </cell>
          <cell r="F8">
            <v>7.4215</v>
          </cell>
          <cell r="G8">
            <v>4.9112999999999998</v>
          </cell>
          <cell r="H8">
            <v>7.4215</v>
          </cell>
          <cell r="I8">
            <v>7.4215</v>
          </cell>
          <cell r="J8">
            <v>7.4215</v>
          </cell>
          <cell r="K8">
            <v>4.9112999999999998</v>
          </cell>
        </row>
        <row r="9">
          <cell r="B9">
            <v>9</v>
          </cell>
          <cell r="C9">
            <v>0.2019</v>
          </cell>
          <cell r="D9">
            <v>8.0741999999999994</v>
          </cell>
          <cell r="E9">
            <v>8.0741999999999994</v>
          </cell>
          <cell r="F9">
            <v>6.6018999999999997</v>
          </cell>
          <cell r="G9">
            <v>2.6597</v>
          </cell>
          <cell r="H9">
            <v>7.5279999999999996</v>
          </cell>
          <cell r="I9">
            <v>7.5279999999999996</v>
          </cell>
          <cell r="J9">
            <v>6.1506999999999996</v>
          </cell>
          <cell r="K9">
            <v>2.4935</v>
          </cell>
        </row>
        <row r="10">
          <cell r="B10">
            <v>8</v>
          </cell>
          <cell r="C10">
            <v>0.16800000000000001</v>
          </cell>
          <cell r="D10">
            <v>3.8</v>
          </cell>
          <cell r="E10">
            <v>3.64</v>
          </cell>
          <cell r="F10">
            <v>1.8</v>
          </cell>
          <cell r="G10">
            <v>0.87</v>
          </cell>
          <cell r="H10">
            <v>3.56</v>
          </cell>
          <cell r="I10">
            <v>3.44</v>
          </cell>
          <cell r="J10">
            <v>1.66</v>
          </cell>
          <cell r="K10">
            <v>0.84</v>
          </cell>
        </row>
        <row r="11">
          <cell r="B11">
            <v>50</v>
          </cell>
          <cell r="C11">
            <v>0.1338</v>
          </cell>
          <cell r="D11">
            <v>7.9535999999999998</v>
          </cell>
          <cell r="E11">
            <v>5.6045999999999996</v>
          </cell>
          <cell r="F11">
            <v>4.1417000000000002</v>
          </cell>
          <cell r="G11">
            <v>1.4423999999999999</v>
          </cell>
          <cell r="H11">
            <v>7.9535999999999998</v>
          </cell>
          <cell r="I11">
            <v>5.6045999999999996</v>
          </cell>
          <cell r="J11">
            <v>4.1417000000000002</v>
          </cell>
          <cell r="K11">
            <v>1.4423999999999999</v>
          </cell>
        </row>
      </sheetData>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MODEL ADJUSTMENTS"/>
      <sheetName val="Inflation"/>
      <sheetName val="Opex Data"/>
      <sheetName val="Opex"/>
      <sheetName val="WC"/>
      <sheetName val="WACC"/>
      <sheetName val="BB"/>
      <sheetName val="REFERENCE TARIFFS"/>
      <sheetName val="REFERENCE TARIFFS REVENUE"/>
      <sheetName val="DEMAND FORECASTS - TARIFF BLOCK"/>
      <sheetName val="Negotiated"/>
    </sheetNames>
    <sheetDataSet>
      <sheetData sheetId="0" refreshError="1"/>
      <sheetData sheetId="1" refreshError="1"/>
      <sheetData sheetId="2" refreshError="1"/>
      <sheetData sheetId="3" refreshError="1"/>
      <sheetData sheetId="4" refreshError="1"/>
      <sheetData sheetId="5" refreshError="1"/>
      <sheetData sheetId="6" refreshError="1">
        <row r="34">
          <cell r="I34">
            <v>9.6051539814175135E-2</v>
          </cell>
        </row>
        <row r="40">
          <cell r="I40">
            <v>6.2353510859769923E-2</v>
          </cell>
        </row>
        <row r="45">
          <cell r="I45">
            <v>8.6499999999999994E-2</v>
          </cell>
        </row>
        <row r="50">
          <cell r="I50">
            <v>6.1419741015335871E-2</v>
          </cell>
        </row>
      </sheetData>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uide"/>
      <sheetName val="Results"/>
      <sheetName val="Assumptions"/>
      <sheetName val="Initial Assets"/>
      <sheetName val="Asset Base Summary"/>
      <sheetName val="Capex (02-06) "/>
      <sheetName val="Capex (07-11)"/>
    </sheetNames>
    <sheetDataSet>
      <sheetData sheetId="0" refreshError="1"/>
      <sheetData sheetId="1" refreshError="1"/>
      <sheetData sheetId="2" refreshError="1"/>
      <sheetData sheetId="3">
        <row r="19">
          <cell r="I19" t="str">
            <v>2005-6</v>
          </cell>
          <cell r="J19" t="str">
            <v>2006-7</v>
          </cell>
          <cell r="K19" t="str">
            <v>2007-8</v>
          </cell>
          <cell r="L19" t="str">
            <v>2008-9</v>
          </cell>
          <cell r="M19" t="str">
            <v>2009-10</v>
          </cell>
          <cell r="N19" t="str">
            <v>2010-11</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ADI Matrix ACTUALS"/>
      <sheetName val="Envestra Budget"/>
      <sheetName val="SA Actual V &amp; D"/>
      <sheetName val="CODE"/>
      <sheetName val="QLD Actual V &amp; D"/>
      <sheetName val="NT Actual V &amp; D"/>
      <sheetName val="VIC Actual V"/>
      <sheetName val="VIC Actual D"/>
      <sheetName val="Vic &amp; NSW FRC Rev"/>
      <sheetName val="Wide Bay Actuals"/>
      <sheetName val="Mildura Actuals"/>
      <sheetName val="ADI HAULAGE STATS"/>
    </sheetNames>
    <sheetDataSet>
      <sheetData sheetId="0"/>
      <sheetData sheetId="1" refreshError="1"/>
      <sheetData sheetId="2" refreshError="1"/>
      <sheetData sheetId="3">
        <row r="3">
          <cell r="D3">
            <v>38169</v>
          </cell>
          <cell r="E3">
            <v>38200</v>
          </cell>
          <cell r="F3">
            <v>38231</v>
          </cell>
          <cell r="G3">
            <v>38261</v>
          </cell>
          <cell r="H3">
            <v>38292</v>
          </cell>
          <cell r="I3">
            <v>38322</v>
          </cell>
          <cell r="J3">
            <v>38353</v>
          </cell>
          <cell r="K3">
            <v>38384</v>
          </cell>
          <cell r="L3">
            <v>38412</v>
          </cell>
          <cell r="M3">
            <v>38443</v>
          </cell>
          <cell r="N3">
            <v>38473</v>
          </cell>
          <cell r="O3">
            <v>38504</v>
          </cell>
          <cell r="P3" t="str">
            <v>Total</v>
          </cell>
        </row>
        <row r="7">
          <cell r="D7">
            <v>4890953.1252300991</v>
          </cell>
          <cell r="E7">
            <v>4454495.8270701431</v>
          </cell>
          <cell r="F7">
            <v>3397929.2215523133</v>
          </cell>
          <cell r="G7">
            <v>2571726.1089828904</v>
          </cell>
          <cell r="H7">
            <v>1777921.4077358281</v>
          </cell>
          <cell r="I7">
            <v>1459991.5874577709</v>
          </cell>
          <cell r="J7">
            <v>1305687.717086775</v>
          </cell>
          <cell r="K7">
            <v>1202528.8874456778</v>
          </cell>
          <cell r="L7">
            <v>1601540.4221374649</v>
          </cell>
          <cell r="M7">
            <v>2280765.1422062996</v>
          </cell>
          <cell r="N7">
            <v>3472900.2208513324</v>
          </cell>
          <cell r="O7">
            <v>4384309.7480323939</v>
          </cell>
          <cell r="P7">
            <v>32800749.41578899</v>
          </cell>
        </row>
        <row r="8">
          <cell r="D8">
            <v>2349419.4499899745</v>
          </cell>
          <cell r="E8">
            <v>2454501.1777247107</v>
          </cell>
          <cell r="F8">
            <v>2408037.2061339985</v>
          </cell>
          <cell r="G8">
            <v>2560455.1012506355</v>
          </cell>
          <cell r="H8">
            <v>2137977.2063751454</v>
          </cell>
          <cell r="I8">
            <v>2038171.8345661347</v>
          </cell>
          <cell r="J8">
            <v>2064675.0634495411</v>
          </cell>
          <cell r="K8">
            <v>1990180.785936188</v>
          </cell>
          <cell r="L8">
            <v>2321134.9240861251</v>
          </cell>
          <cell r="M8">
            <v>2099368.5882501365</v>
          </cell>
          <cell r="N8">
            <v>2347084.9586754316</v>
          </cell>
          <cell r="O8">
            <v>2240678.5803849641</v>
          </cell>
          <cell r="P8">
            <v>27011684.876822986</v>
          </cell>
        </row>
        <row r="9">
          <cell r="D9">
            <v>7240372.5752200736</v>
          </cell>
          <cell r="E9">
            <v>6908997.0047948537</v>
          </cell>
          <cell r="F9">
            <v>5805966.4276863113</v>
          </cell>
          <cell r="G9">
            <v>5132181.2102335263</v>
          </cell>
          <cell r="H9">
            <v>3915898.6141109737</v>
          </cell>
          <cell r="I9">
            <v>3498163.4220239054</v>
          </cell>
          <cell r="J9">
            <v>3370362.7805363163</v>
          </cell>
          <cell r="K9">
            <v>3192709.673381866</v>
          </cell>
          <cell r="L9">
            <v>3922675.34622359</v>
          </cell>
          <cell r="M9">
            <v>4380133.7304564361</v>
          </cell>
          <cell r="N9">
            <v>5819985.179526764</v>
          </cell>
          <cell r="O9">
            <v>6624988.328417358</v>
          </cell>
          <cell r="P9">
            <v>59812434.292611971</v>
          </cell>
        </row>
        <row r="13">
          <cell r="D13">
            <v>13746014.967770232</v>
          </cell>
          <cell r="E13">
            <v>12868259.5041954</v>
          </cell>
          <cell r="F13">
            <v>10554597.288143672</v>
          </cell>
          <cell r="G13">
            <v>8442302.7224751841</v>
          </cell>
          <cell r="H13">
            <v>6468850.5121251466</v>
          </cell>
          <cell r="I13">
            <v>5609704.3104953766</v>
          </cell>
          <cell r="J13">
            <v>5215612.2728021117</v>
          </cell>
          <cell r="K13">
            <v>4782332.622363775</v>
          </cell>
          <cell r="L13">
            <v>6112652.6607616628</v>
          </cell>
          <cell r="M13">
            <v>7809839.3400771134</v>
          </cell>
          <cell r="N13">
            <v>10565259.89388746</v>
          </cell>
          <cell r="O13">
            <v>12884868.121380327</v>
          </cell>
          <cell r="P13">
            <v>105060294.21647747</v>
          </cell>
        </row>
        <row r="14">
          <cell r="D14">
            <v>1690710.6872465571</v>
          </cell>
          <cell r="E14">
            <v>1578372.0863859868</v>
          </cell>
          <cell r="F14">
            <v>1274601.1744669692</v>
          </cell>
          <cell r="G14">
            <v>934952.96136986464</v>
          </cell>
          <cell r="H14">
            <v>661305.54046296456</v>
          </cell>
          <cell r="I14">
            <v>535169.29666032502</v>
          </cell>
          <cell r="J14">
            <v>481476.31417448289</v>
          </cell>
          <cell r="K14">
            <v>442901.24390824756</v>
          </cell>
          <cell r="L14">
            <v>600491.68103900854</v>
          </cell>
          <cell r="M14">
            <v>845195.26014498412</v>
          </cell>
          <cell r="N14">
            <v>1218905.7980618221</v>
          </cell>
          <cell r="O14">
            <v>1575363.8488459096</v>
          </cell>
          <cell r="P14">
            <v>11839445.892767124</v>
          </cell>
        </row>
        <row r="15">
          <cell r="D15">
            <v>93360.571471010291</v>
          </cell>
          <cell r="E15">
            <v>84077.018200109116</v>
          </cell>
          <cell r="F15">
            <v>63126.688421843304</v>
          </cell>
          <cell r="G15">
            <v>46781.219912789275</v>
          </cell>
          <cell r="H15">
            <v>29708.752726942043</v>
          </cell>
          <cell r="I15">
            <v>27108.807253844305</v>
          </cell>
          <cell r="J15">
            <v>23912.483762518073</v>
          </cell>
          <cell r="K15">
            <v>22902.117547104535</v>
          </cell>
          <cell r="L15">
            <v>28464.720976838878</v>
          </cell>
          <cell r="M15">
            <v>41002.862712077855</v>
          </cell>
          <cell r="N15">
            <v>62263.080178632306</v>
          </cell>
          <cell r="O15">
            <v>81986.373097223579</v>
          </cell>
          <cell r="P15">
            <v>604694.69626093365</v>
          </cell>
        </row>
        <row r="16">
          <cell r="D16">
            <v>39574.774428238597</v>
          </cell>
          <cell r="E16">
            <v>32999.020719040411</v>
          </cell>
          <cell r="F16">
            <v>28636.221138704503</v>
          </cell>
          <cell r="G16">
            <v>20601.01488001474</v>
          </cell>
          <cell r="H16">
            <v>16028.36603832029</v>
          </cell>
          <cell r="I16">
            <v>13368.760626764702</v>
          </cell>
          <cell r="J16">
            <v>12354.099776838244</v>
          </cell>
          <cell r="K16">
            <v>11769.441755018095</v>
          </cell>
          <cell r="L16">
            <v>13299.252940507569</v>
          </cell>
          <cell r="M16">
            <v>22456.69895074025</v>
          </cell>
          <cell r="N16">
            <v>26727.950431087858</v>
          </cell>
          <cell r="O16">
            <v>37703.757572107155</v>
          </cell>
          <cell r="P16">
            <v>275519.35925738246</v>
          </cell>
        </row>
        <row r="17">
          <cell r="D17">
            <v>537588.36864963651</v>
          </cell>
          <cell r="E17">
            <v>501124.1391914509</v>
          </cell>
          <cell r="F17">
            <v>409912.64716065576</v>
          </cell>
          <cell r="G17">
            <v>299973.48593674501</v>
          </cell>
          <cell r="H17">
            <v>220229.89902583949</v>
          </cell>
          <cell r="I17">
            <v>182531.89373889859</v>
          </cell>
          <cell r="J17">
            <v>168149.25609057545</v>
          </cell>
          <cell r="K17">
            <v>154348.25147683662</v>
          </cell>
          <cell r="L17">
            <v>200505.5590370853</v>
          </cell>
          <cell r="M17">
            <v>275394.55322001025</v>
          </cell>
          <cell r="N17">
            <v>383829.97834825522</v>
          </cell>
          <cell r="O17">
            <v>497730.33130232809</v>
          </cell>
          <cell r="P17">
            <v>3831318.363178317</v>
          </cell>
        </row>
        <row r="18">
          <cell r="D18">
            <v>148739.21213033772</v>
          </cell>
          <cell r="E18">
            <v>135962.42562253968</v>
          </cell>
          <cell r="F18">
            <v>112477.7962571096</v>
          </cell>
          <cell r="G18">
            <v>77055.026505832808</v>
          </cell>
          <cell r="H18">
            <v>61007.286924338507</v>
          </cell>
          <cell r="I18">
            <v>49982.177088194097</v>
          </cell>
          <cell r="J18">
            <v>48336.951616131824</v>
          </cell>
          <cell r="K18">
            <v>43938.578494434441</v>
          </cell>
          <cell r="L18">
            <v>56277.246188333171</v>
          </cell>
          <cell r="M18">
            <v>76106.374929831261</v>
          </cell>
          <cell r="N18">
            <v>104033.56422561592</v>
          </cell>
          <cell r="O18">
            <v>142962.98987605041</v>
          </cell>
          <cell r="P18">
            <v>1056879.6298587495</v>
          </cell>
        </row>
        <row r="19">
          <cell r="D19">
            <v>16255988.581696013</v>
          </cell>
          <cell r="E19">
            <v>15200794.194314526</v>
          </cell>
          <cell r="F19">
            <v>12443351.815588955</v>
          </cell>
          <cell r="G19">
            <v>9821666.4310804307</v>
          </cell>
          <cell r="H19">
            <v>7457130.3573035523</v>
          </cell>
          <cell r="I19">
            <v>6417865.2458634032</v>
          </cell>
          <cell r="J19">
            <v>5949841.3782226583</v>
          </cell>
          <cell r="K19">
            <v>5458192.2555454159</v>
          </cell>
          <cell r="L19">
            <v>7011691.1209434364</v>
          </cell>
          <cell r="M19">
            <v>9069995.0900347549</v>
          </cell>
          <cell r="N19">
            <v>12361020.265132872</v>
          </cell>
          <cell r="O19">
            <v>15220615.422073947</v>
          </cell>
          <cell r="P19">
            <v>122668152.15779996</v>
          </cell>
        </row>
        <row r="22">
          <cell r="D22">
            <v>178702.18998716661</v>
          </cell>
          <cell r="E22">
            <v>178702.18998716661</v>
          </cell>
          <cell r="F22">
            <v>179455.62665383329</v>
          </cell>
          <cell r="G22">
            <v>179455.62665383329</v>
          </cell>
          <cell r="H22">
            <v>180209.06332049996</v>
          </cell>
          <cell r="I22">
            <v>180209.06332049996</v>
          </cell>
          <cell r="J22">
            <v>183676.93748697412</v>
          </cell>
          <cell r="K22">
            <v>183676.93748697412</v>
          </cell>
          <cell r="L22">
            <v>184441.67570364077</v>
          </cell>
          <cell r="M22">
            <v>184441.67570364077</v>
          </cell>
          <cell r="N22">
            <v>185206.41392030744</v>
          </cell>
          <cell r="O22">
            <v>185206.41392030744</v>
          </cell>
          <cell r="P22">
            <v>2183383.8141448447</v>
          </cell>
        </row>
        <row r="23">
          <cell r="D23">
            <v>68751.110066666661</v>
          </cell>
          <cell r="E23">
            <v>68751.110066666661</v>
          </cell>
          <cell r="F23">
            <v>68751.110066666661</v>
          </cell>
          <cell r="G23">
            <v>68751.110066666661</v>
          </cell>
          <cell r="H23">
            <v>68751.110066666661</v>
          </cell>
          <cell r="I23">
            <v>68751.110066666661</v>
          </cell>
          <cell r="J23">
            <v>69782.376717666659</v>
          </cell>
          <cell r="K23">
            <v>69782.376717666659</v>
          </cell>
          <cell r="L23">
            <v>69782.376717666659</v>
          </cell>
          <cell r="M23">
            <v>69782.376717666659</v>
          </cell>
          <cell r="N23">
            <v>69782.376717666659</v>
          </cell>
          <cell r="O23">
            <v>69782.376717666659</v>
          </cell>
          <cell r="P23">
            <v>831200.92070600018</v>
          </cell>
        </row>
        <row r="24">
          <cell r="D24">
            <v>4689.8533333333335</v>
          </cell>
          <cell r="E24">
            <v>4689.8533333333335</v>
          </cell>
          <cell r="F24">
            <v>4689.8533333333335</v>
          </cell>
          <cell r="G24">
            <v>4689.8533333333335</v>
          </cell>
          <cell r="H24">
            <v>4689.8533333333335</v>
          </cell>
          <cell r="I24">
            <v>4689.8533333333335</v>
          </cell>
          <cell r="J24">
            <v>4760.201133333333</v>
          </cell>
          <cell r="K24">
            <v>4760.201133333333</v>
          </cell>
          <cell r="L24">
            <v>4760.201133333333</v>
          </cell>
          <cell r="M24">
            <v>4760.201133333333</v>
          </cell>
          <cell r="N24">
            <v>4760.201133333333</v>
          </cell>
          <cell r="O24">
            <v>4760.201133333333</v>
          </cell>
          <cell r="P24">
            <v>56700.326799999995</v>
          </cell>
        </row>
        <row r="25">
          <cell r="D25">
            <v>0</v>
          </cell>
          <cell r="E25">
            <v>0</v>
          </cell>
          <cell r="F25">
            <v>0</v>
          </cell>
          <cell r="G25">
            <v>0</v>
          </cell>
          <cell r="H25">
            <v>0</v>
          </cell>
          <cell r="I25">
            <v>0</v>
          </cell>
          <cell r="J25">
            <v>0</v>
          </cell>
          <cell r="K25">
            <v>0</v>
          </cell>
          <cell r="L25">
            <v>0</v>
          </cell>
          <cell r="M25">
            <v>0</v>
          </cell>
          <cell r="N25">
            <v>0</v>
          </cell>
          <cell r="O25">
            <v>0</v>
          </cell>
          <cell r="P25">
            <v>0</v>
          </cell>
        </row>
        <row r="26">
          <cell r="D26">
            <v>13191.279041666667</v>
          </cell>
          <cell r="E26">
            <v>13191.279041666667</v>
          </cell>
          <cell r="F26">
            <v>13191.279041666667</v>
          </cell>
          <cell r="G26">
            <v>13191.279041666667</v>
          </cell>
          <cell r="H26">
            <v>13191.279041666667</v>
          </cell>
          <cell r="I26">
            <v>13191.279041666667</v>
          </cell>
          <cell r="J26">
            <v>13389.148227291666</v>
          </cell>
          <cell r="K26">
            <v>13389.148227291666</v>
          </cell>
          <cell r="L26">
            <v>13389.148227291666</v>
          </cell>
          <cell r="M26">
            <v>13389.148227291666</v>
          </cell>
          <cell r="N26">
            <v>13389.148227291666</v>
          </cell>
          <cell r="O26">
            <v>13389.148227291666</v>
          </cell>
          <cell r="P26">
            <v>159482.56361374998</v>
          </cell>
        </row>
        <row r="27">
          <cell r="D27">
            <v>6302.6005945833331</v>
          </cell>
          <cell r="E27">
            <v>6302.6005945833331</v>
          </cell>
          <cell r="F27">
            <v>6302.6005945833331</v>
          </cell>
          <cell r="G27">
            <v>6302.6005945833331</v>
          </cell>
          <cell r="H27">
            <v>6302.6005945833331</v>
          </cell>
          <cell r="I27">
            <v>6302.6005945833331</v>
          </cell>
          <cell r="J27">
            <v>6397.1396035020825</v>
          </cell>
          <cell r="K27">
            <v>6397.1396035020825</v>
          </cell>
          <cell r="L27">
            <v>6397.1396035020825</v>
          </cell>
          <cell r="M27">
            <v>6397.1396035020825</v>
          </cell>
          <cell r="N27">
            <v>6397.1396035020825</v>
          </cell>
          <cell r="O27">
            <v>6397.1396035020825</v>
          </cell>
          <cell r="P27">
            <v>76198.441188512486</v>
          </cell>
        </row>
        <row r="28">
          <cell r="D28">
            <v>271637.03302341659</v>
          </cell>
          <cell r="E28">
            <v>271637.03302341659</v>
          </cell>
          <cell r="F28">
            <v>272390.46969008324</v>
          </cell>
          <cell r="G28">
            <v>272390.46969008324</v>
          </cell>
          <cell r="H28">
            <v>273143.90635674994</v>
          </cell>
          <cell r="I28">
            <v>273143.90635674994</v>
          </cell>
          <cell r="J28">
            <v>278005.80316876783</v>
          </cell>
          <cell r="K28">
            <v>278005.80316876783</v>
          </cell>
          <cell r="L28">
            <v>278770.54138543445</v>
          </cell>
          <cell r="M28">
            <v>278770.54138543445</v>
          </cell>
          <cell r="N28">
            <v>279535.27960210113</v>
          </cell>
          <cell r="O28">
            <v>279535.27960210113</v>
          </cell>
          <cell r="P28">
            <v>3306966.0664531072</v>
          </cell>
        </row>
        <row r="31">
          <cell r="D31">
            <v>16255988.581696009</v>
          </cell>
          <cell r="E31">
            <v>15200794.194314528</v>
          </cell>
          <cell r="F31">
            <v>12443351.815588957</v>
          </cell>
          <cell r="G31">
            <v>9821666.4310804326</v>
          </cell>
          <cell r="H31">
            <v>7457130.3573035533</v>
          </cell>
          <cell r="I31">
            <v>6417865.2458634032</v>
          </cell>
          <cell r="J31">
            <v>5949841.3782226583</v>
          </cell>
          <cell r="K31">
            <v>5458192.2555454168</v>
          </cell>
          <cell r="L31">
            <v>7011691.1209434373</v>
          </cell>
          <cell r="M31">
            <v>9069995.0900347568</v>
          </cell>
          <cell r="N31">
            <v>12361020.265132874</v>
          </cell>
          <cell r="O31">
            <v>15220615.422073945</v>
          </cell>
          <cell r="P31">
            <v>122668152.15779997</v>
          </cell>
        </row>
        <row r="32">
          <cell r="D32">
            <v>271637.03302341665</v>
          </cell>
          <cell r="E32">
            <v>271637.03302341665</v>
          </cell>
          <cell r="F32">
            <v>272390.46969008324</v>
          </cell>
          <cell r="G32">
            <v>272390.46969008324</v>
          </cell>
          <cell r="H32">
            <v>273143.90635674994</v>
          </cell>
          <cell r="I32">
            <v>273143.90635674994</v>
          </cell>
          <cell r="J32">
            <v>278005.80316876783</v>
          </cell>
          <cell r="K32">
            <v>278005.80316876783</v>
          </cell>
          <cell r="L32">
            <v>278770.54138543451</v>
          </cell>
          <cell r="M32">
            <v>278770.54138543451</v>
          </cell>
          <cell r="N32">
            <v>279535.27960210119</v>
          </cell>
          <cell r="O32">
            <v>279535.27960210119</v>
          </cell>
          <cell r="P32">
            <v>3306966.0664531067</v>
          </cell>
        </row>
        <row r="33">
          <cell r="D33">
            <v>16527625.614719426</v>
          </cell>
          <cell r="E33">
            <v>15472431.227337945</v>
          </cell>
          <cell r="F33">
            <v>12715742.285279039</v>
          </cell>
          <cell r="G33">
            <v>10094056.900770515</v>
          </cell>
          <cell r="H33">
            <v>7730274.2636603033</v>
          </cell>
          <cell r="I33">
            <v>6691009.1522201532</v>
          </cell>
          <cell r="J33">
            <v>6227847.1813914264</v>
          </cell>
          <cell r="K33">
            <v>5736198.0587141849</v>
          </cell>
          <cell r="L33">
            <v>7290461.6623288719</v>
          </cell>
          <cell r="M33">
            <v>9348765.6314201914</v>
          </cell>
          <cell r="N33">
            <v>12640555.544734975</v>
          </cell>
          <cell r="O33">
            <v>15500150.701676046</v>
          </cell>
          <cell r="P33">
            <v>125975118.22425309</v>
          </cell>
        </row>
        <row r="35">
          <cell r="D35">
            <v>3.3236852133869577</v>
          </cell>
          <cell r="E35">
            <v>3.4124612042374616</v>
          </cell>
          <cell r="F35">
            <v>3.6620397319236462</v>
          </cell>
          <cell r="G35">
            <v>3.8190950415652432</v>
          </cell>
          <cell r="H35">
            <v>4.1942969609664367</v>
          </cell>
          <cell r="I35">
            <v>4.395823442406674</v>
          </cell>
          <cell r="J35">
            <v>4.5568640191376151</v>
          </cell>
          <cell r="K35">
            <v>4.5389281808766375</v>
          </cell>
          <cell r="L35">
            <v>4.3780918820552905</v>
          </cell>
          <cell r="M35">
            <v>3.9767334751796897</v>
          </cell>
          <cell r="N35">
            <v>3.5592788387403611</v>
          </cell>
          <cell r="O35">
            <v>3.4716104237171446</v>
          </cell>
        </row>
        <row r="37">
          <cell r="D37">
            <v>1155712.2092829593</v>
          </cell>
          <cell r="E37">
            <v>1082473.5696816165</v>
          </cell>
          <cell r="F37">
            <v>893064.33657494886</v>
          </cell>
          <cell r="G37">
            <v>762011.41904628649</v>
          </cell>
          <cell r="H37">
            <v>619386.12307218474</v>
          </cell>
          <cell r="I37">
            <v>577315.71571570868</v>
          </cell>
          <cell r="J37">
            <v>540232.0220237762</v>
          </cell>
          <cell r="K37">
            <v>491552.03017007606</v>
          </cell>
          <cell r="L37">
            <v>589777.91546746122</v>
          </cell>
          <cell r="M37">
            <v>688370.89267739409</v>
          </cell>
          <cell r="N37">
            <v>895827.14130473824</v>
          </cell>
          <cell r="O37">
            <v>1034320.1878338164</v>
          </cell>
          <cell r="P37">
            <v>9330043.5628509652</v>
          </cell>
        </row>
        <row r="38">
          <cell r="D38">
            <v>158985.08275922597</v>
          </cell>
          <cell r="E38">
            <v>148337.90593291819</v>
          </cell>
          <cell r="F38">
            <v>120868.38189450526</v>
          </cell>
          <cell r="G38">
            <v>101239.19432025835</v>
          </cell>
          <cell r="H38">
            <v>80860.372626855431</v>
          </cell>
          <cell r="I38">
            <v>74455.95897994288</v>
          </cell>
          <cell r="J38">
            <v>68874.269916199846</v>
          </cell>
          <cell r="K38">
            <v>62770.037228035988</v>
          </cell>
          <cell r="L38">
            <v>76599.370482373808</v>
          </cell>
          <cell r="M38">
            <v>90902.20494604703</v>
          </cell>
          <cell r="N38">
            <v>120729.82879923642</v>
          </cell>
          <cell r="O38">
            <v>141345.10250542921</v>
          </cell>
          <cell r="P38">
            <v>1245967.7103910283</v>
          </cell>
        </row>
        <row r="39">
          <cell r="D39">
            <v>8650.2023161001325</v>
          </cell>
          <cell r="E39">
            <v>7924.2431752890625</v>
          </cell>
          <cell r="F39">
            <v>6286.6349041532703</v>
          </cell>
          <cell r="G39">
            <v>5587.4263163692158</v>
          </cell>
          <cell r="H39">
            <v>4218.5616444279713</v>
          </cell>
          <cell r="I39">
            <v>4097.1492818619608</v>
          </cell>
          <cell r="J39">
            <v>3789.9965842858132</v>
          </cell>
          <cell r="K39">
            <v>3518.8269347415567</v>
          </cell>
          <cell r="L39">
            <v>4125.3207972505552</v>
          </cell>
          <cell r="M39">
            <v>4978.9739472403717</v>
          </cell>
          <cell r="N39">
            <v>6616.6103123461207</v>
          </cell>
          <cell r="O39">
            <v>7464.4056537860879</v>
          </cell>
          <cell r="P39">
            <v>67258.351867852121</v>
          </cell>
        </row>
        <row r="40">
          <cell r="D40">
            <v>1592.6085744993741</v>
          </cell>
          <cell r="E40">
            <v>1392.9827775998765</v>
          </cell>
          <cell r="F40">
            <v>1248.9366010550727</v>
          </cell>
          <cell r="G40">
            <v>1016.8723446187043</v>
          </cell>
          <cell r="H40">
            <v>866.24462619037763</v>
          </cell>
          <cell r="I40">
            <v>799.24976659683853</v>
          </cell>
          <cell r="J40">
            <v>752.36447150095512</v>
          </cell>
          <cell r="K40">
            <v>699.20395475737382</v>
          </cell>
          <cell r="L40">
            <v>784.05675973290226</v>
          </cell>
          <cell r="M40">
            <v>1038.6757677404985</v>
          </cell>
          <cell r="N40">
            <v>1177.5163671436533</v>
          </cell>
          <cell r="O40">
            <v>1484.6971520501138</v>
          </cell>
          <cell r="P40">
            <v>12853.409163485741</v>
          </cell>
        </row>
        <row r="41">
          <cell r="D41">
            <v>47886.217718724685</v>
          </cell>
          <cell r="E41">
            <v>44325.727966915329</v>
          </cell>
          <cell r="F41">
            <v>35827.058822635023</v>
          </cell>
          <cell r="G41">
            <v>29349.651437647317</v>
          </cell>
          <cell r="H41">
            <v>23098.905049817567</v>
          </cell>
          <cell r="I41">
            <v>20977.401609437504</v>
          </cell>
          <cell r="J41">
            <v>19291.227808462994</v>
          </cell>
          <cell r="K41">
            <v>17627.66695695903</v>
          </cell>
          <cell r="L41">
            <v>21581.392841947261</v>
          </cell>
          <cell r="M41">
            <v>26212.739555628872</v>
          </cell>
          <cell r="N41">
            <v>35246.804647789621</v>
          </cell>
          <cell r="O41">
            <v>41935.009153430299</v>
          </cell>
          <cell r="P41">
            <v>363359.8035693955</v>
          </cell>
        </row>
        <row r="42">
          <cell r="D42">
            <v>6594.3754239110494</v>
          </cell>
          <cell r="E42">
            <v>6112.9060676615709</v>
          </cell>
          <cell r="F42">
            <v>5172.4691223473928</v>
          </cell>
          <cell r="G42">
            <v>4262.8828415788084</v>
          </cell>
          <cell r="H42">
            <v>3616.5780888781901</v>
          </cell>
          <cell r="I42">
            <v>3340.3419444983647</v>
          </cell>
          <cell r="J42">
            <v>3265.0571044878025</v>
          </cell>
          <cell r="K42">
            <v>2974.7292540815961</v>
          </cell>
          <cell r="L42">
            <v>3493.7968766395475</v>
          </cell>
          <cell r="M42">
            <v>4072.2588150766319</v>
          </cell>
          <cell r="N42">
            <v>5122.4648287828641</v>
          </cell>
          <cell r="O42">
            <v>6083.6068650524849</v>
          </cell>
          <cell r="P42">
            <v>54111.467232996307</v>
          </cell>
        </row>
        <row r="47">
          <cell r="D47">
            <v>1419584.2688589268</v>
          </cell>
          <cell r="E47">
            <v>1294828.8018198695</v>
          </cell>
          <cell r="F47">
            <v>1035176.6469849003</v>
          </cell>
          <cell r="G47">
            <v>943060.30219907896</v>
          </cell>
          <cell r="H47">
            <v>744153.54243940499</v>
          </cell>
          <cell r="I47">
            <v>612322.90414451552</v>
          </cell>
          <cell r="J47">
            <v>578962.90494117804</v>
          </cell>
          <cell r="K47">
            <v>537432.53783772269</v>
          </cell>
          <cell r="L47">
            <v>675187.27734829753</v>
          </cell>
          <cell r="M47">
            <v>779878.83567503805</v>
          </cell>
          <cell r="N47">
            <v>1103843.4131499687</v>
          </cell>
          <cell r="O47">
            <v>1352589.3707158836</v>
          </cell>
          <cell r="P47">
            <v>11077020.806114782</v>
          </cell>
        </row>
        <row r="48">
          <cell r="D48">
            <v>2417470.594</v>
          </cell>
          <cell r="E48">
            <v>2492753.2623333335</v>
          </cell>
          <cell r="F48">
            <v>2438433.3043333334</v>
          </cell>
          <cell r="G48">
            <v>2424023.3903333331</v>
          </cell>
          <cell r="H48">
            <v>2182952.1093333326</v>
          </cell>
          <cell r="I48">
            <v>2126151.6536666662</v>
          </cell>
          <cell r="J48">
            <v>1866524.2236666665</v>
          </cell>
          <cell r="K48">
            <v>2041873.1006666662</v>
          </cell>
          <cell r="L48">
            <v>2328815.2481666668</v>
          </cell>
          <cell r="M48">
            <v>2247817.3125000009</v>
          </cell>
          <cell r="N48">
            <v>1808220.7120000003</v>
          </cell>
          <cell r="O48">
            <v>2390252.8039999995</v>
          </cell>
          <cell r="P48">
            <v>26765287.714999996</v>
          </cell>
        </row>
        <row r="49">
          <cell r="D49">
            <v>3837054.8628589269</v>
          </cell>
          <cell r="E49">
            <v>3787582.0641532028</v>
          </cell>
          <cell r="F49">
            <v>3473609.9513182337</v>
          </cell>
          <cell r="G49">
            <v>3367083.6925324118</v>
          </cell>
          <cell r="H49">
            <v>2927105.6517727375</v>
          </cell>
          <cell r="I49">
            <v>2738474.557811182</v>
          </cell>
          <cell r="J49">
            <v>2445487.1286078445</v>
          </cell>
          <cell r="K49">
            <v>2579305.6385043887</v>
          </cell>
          <cell r="L49">
            <v>3004002.5255149645</v>
          </cell>
          <cell r="M49">
            <v>3027696.1481750389</v>
          </cell>
          <cell r="N49">
            <v>2912064.125149969</v>
          </cell>
          <cell r="O49">
            <v>3742842.1747158831</v>
          </cell>
          <cell r="P49">
            <v>37842308.521114781</v>
          </cell>
        </row>
        <row r="52">
          <cell r="D52">
            <v>11005019.362208318</v>
          </cell>
          <cell r="E52">
            <v>10383378.421914127</v>
          </cell>
          <cell r="F52">
            <v>9017024.633418832</v>
          </cell>
          <cell r="G52">
            <v>8872752.4500907846</v>
          </cell>
          <cell r="H52">
            <v>7699482.887651504</v>
          </cell>
          <cell r="I52">
            <v>7049301.7605601354</v>
          </cell>
          <cell r="J52">
            <v>6897554.7929777177</v>
          </cell>
          <cell r="K52">
            <v>6319666.6536482517</v>
          </cell>
          <cell r="L52">
            <v>7429563.4032564238</v>
          </cell>
          <cell r="M52">
            <v>7839188.8642742401</v>
          </cell>
          <cell r="N52">
            <v>9709231.4375374913</v>
          </cell>
          <cell r="O52">
            <v>10769711.425710011</v>
          </cell>
          <cell r="P52">
            <v>102991876.09324782</v>
          </cell>
        </row>
        <row r="53">
          <cell r="D53">
            <v>974817.99614695495</v>
          </cell>
          <cell r="E53">
            <v>976723.49796686496</v>
          </cell>
          <cell r="F53">
            <v>976723.49796686496</v>
          </cell>
          <cell r="G53">
            <v>976723.49796686496</v>
          </cell>
          <cell r="H53">
            <v>980313.138853312</v>
          </cell>
          <cell r="I53">
            <v>982218.64067322202</v>
          </cell>
          <cell r="J53">
            <v>982218.64067322202</v>
          </cell>
          <cell r="K53">
            <v>987730.21186913201</v>
          </cell>
          <cell r="L53">
            <v>987730.21186913201</v>
          </cell>
          <cell r="M53">
            <v>989635.71368904295</v>
          </cell>
          <cell r="N53">
            <v>989635.71368904295</v>
          </cell>
          <cell r="O53">
            <v>989635.71368904295</v>
          </cell>
          <cell r="P53">
            <v>11794106.475052699</v>
          </cell>
        </row>
        <row r="54">
          <cell r="D54">
            <v>51595.873829733297</v>
          </cell>
          <cell r="E54">
            <v>51595.873829733297</v>
          </cell>
          <cell r="F54">
            <v>51595.873829733297</v>
          </cell>
          <cell r="G54">
            <v>51595.873829733297</v>
          </cell>
          <cell r="H54">
            <v>51595.873829733297</v>
          </cell>
          <cell r="I54">
            <v>51595.873829733297</v>
          </cell>
          <cell r="J54">
            <v>51595.873829733297</v>
          </cell>
          <cell r="K54">
            <v>51595.873829733297</v>
          </cell>
          <cell r="L54">
            <v>51595.873829733297</v>
          </cell>
          <cell r="M54">
            <v>51595.873829733297</v>
          </cell>
          <cell r="N54">
            <v>51595.873829733297</v>
          </cell>
          <cell r="O54">
            <v>51595.873829733297</v>
          </cell>
          <cell r="P54">
            <v>619150.48595679994</v>
          </cell>
        </row>
        <row r="55">
          <cell r="D55">
            <v>45179.724031801001</v>
          </cell>
          <cell r="E55">
            <v>45179.724031801001</v>
          </cell>
          <cell r="F55">
            <v>45179.724031801001</v>
          </cell>
          <cell r="G55">
            <v>45179.724031801001</v>
          </cell>
          <cell r="H55">
            <v>32499.724031801001</v>
          </cell>
          <cell r="I55">
            <v>32499.724031801001</v>
          </cell>
          <cell r="J55">
            <v>32499.724031801001</v>
          </cell>
          <cell r="K55">
            <v>25335.481873072335</v>
          </cell>
          <cell r="L55">
            <v>25335.481873072335</v>
          </cell>
          <cell r="M55">
            <v>25335.481873072335</v>
          </cell>
          <cell r="N55">
            <v>25335.481873072335</v>
          </cell>
          <cell r="O55">
            <v>25335.481873072335</v>
          </cell>
          <cell r="P55">
            <v>404895.47758796881</v>
          </cell>
        </row>
        <row r="56">
          <cell r="D56">
            <v>96775.597861534305</v>
          </cell>
          <cell r="E56">
            <v>96775.597861534305</v>
          </cell>
          <cell r="F56">
            <v>96775.597861534305</v>
          </cell>
          <cell r="G56">
            <v>96775.597861534305</v>
          </cell>
          <cell r="H56">
            <v>84095.597861534305</v>
          </cell>
          <cell r="I56">
            <v>84095.597861534305</v>
          </cell>
          <cell r="J56">
            <v>84095.597861534305</v>
          </cell>
          <cell r="K56">
            <v>76931.355702805624</v>
          </cell>
          <cell r="L56">
            <v>76931.355702805624</v>
          </cell>
          <cell r="M56">
            <v>76931.355702805624</v>
          </cell>
          <cell r="N56">
            <v>76931.355702805624</v>
          </cell>
          <cell r="O56">
            <v>76931.355702805624</v>
          </cell>
          <cell r="P56">
            <v>1024045.9635447687</v>
          </cell>
        </row>
        <row r="57">
          <cell r="D57">
            <v>2261.8116633</v>
          </cell>
          <cell r="E57">
            <v>2261.8116633</v>
          </cell>
          <cell r="F57">
            <v>2261.8116633</v>
          </cell>
          <cell r="G57">
            <v>2261.8116633</v>
          </cell>
          <cell r="H57">
            <v>2261.8116633</v>
          </cell>
          <cell r="I57">
            <v>2261.8116633</v>
          </cell>
          <cell r="J57">
            <v>2261.8116633</v>
          </cell>
          <cell r="K57">
            <v>2261.8116633</v>
          </cell>
          <cell r="L57">
            <v>2261.8116633</v>
          </cell>
          <cell r="M57">
            <v>2261.8116633</v>
          </cell>
          <cell r="N57">
            <v>2261.8116633</v>
          </cell>
          <cell r="O57">
            <v>2261.8116633</v>
          </cell>
          <cell r="P57">
            <v>27141.739959599992</v>
          </cell>
        </row>
        <row r="58">
          <cell r="D58">
            <v>12175650.36574164</v>
          </cell>
          <cell r="E58">
            <v>11555914.92726736</v>
          </cell>
          <cell r="F58">
            <v>10189561.138772065</v>
          </cell>
          <cell r="G58">
            <v>10045288.955444017</v>
          </cell>
          <cell r="H58">
            <v>8850249.0338911843</v>
          </cell>
          <cell r="I58">
            <v>8201973.4086197261</v>
          </cell>
          <cell r="J58">
            <v>8050226.4410373084</v>
          </cell>
          <cell r="K58">
            <v>7463521.3885862948</v>
          </cell>
          <cell r="L58">
            <v>8573418.1381944679</v>
          </cell>
          <cell r="M58">
            <v>8984949.1010321956</v>
          </cell>
          <cell r="N58">
            <v>10854991.674295446</v>
          </cell>
          <cell r="O58">
            <v>11915471.662467966</v>
          </cell>
          <cell r="P58">
            <v>116861216.23534966</v>
          </cell>
        </row>
        <row r="60">
          <cell r="D60">
            <v>1073855.4056717888</v>
          </cell>
          <cell r="E60">
            <v>1075760.9074916993</v>
          </cell>
          <cell r="F60">
            <v>1075760.9074916993</v>
          </cell>
          <cell r="G60">
            <v>1075760.9074916993</v>
          </cell>
          <cell r="H60">
            <v>1066670.548378146</v>
          </cell>
          <cell r="I60">
            <v>1068576.0501980563</v>
          </cell>
          <cell r="J60">
            <v>1068576.0501980563</v>
          </cell>
          <cell r="K60">
            <v>1066923.3792352378</v>
          </cell>
          <cell r="L60">
            <v>1066923.3792352378</v>
          </cell>
          <cell r="M60">
            <v>1068828.8810551481</v>
          </cell>
          <cell r="N60">
            <v>1068828.8810551481</v>
          </cell>
          <cell r="O60">
            <v>1068828.8810551481</v>
          </cell>
          <cell r="P60">
            <v>12845294.178557066</v>
          </cell>
        </row>
        <row r="65">
          <cell r="D65">
            <v>190270.40699998671</v>
          </cell>
          <cell r="E65">
            <v>186227.06800003248</v>
          </cell>
          <cell r="F65">
            <v>171189.34200003394</v>
          </cell>
          <cell r="G65">
            <v>164069.12500002072</v>
          </cell>
          <cell r="H65">
            <v>147179.70599999285</v>
          </cell>
          <cell r="I65">
            <v>139511.90200000856</v>
          </cell>
          <cell r="J65">
            <v>129373.4260000217</v>
          </cell>
          <cell r="K65">
            <v>124101.32299999907</v>
          </cell>
          <cell r="L65">
            <v>146293.21399997029</v>
          </cell>
          <cell r="M65">
            <v>146690.44399998346</v>
          </cell>
          <cell r="N65">
            <v>171568.50100002225</v>
          </cell>
          <cell r="O65">
            <v>182863.87100004815</v>
          </cell>
          <cell r="P65">
            <v>1899338.3290001203</v>
          </cell>
        </row>
        <row r="66">
          <cell r="D66">
            <v>1142059.8650000002</v>
          </cell>
          <cell r="E66">
            <v>986792.04299999983</v>
          </cell>
          <cell r="F66">
            <v>1078354.8490000002</v>
          </cell>
          <cell r="G66">
            <v>1105098.74</v>
          </cell>
          <cell r="H66">
            <v>1077092.5189999999</v>
          </cell>
          <cell r="I66">
            <v>1021562.8790000008</v>
          </cell>
          <cell r="J66">
            <v>1051353.1869999999</v>
          </cell>
          <cell r="K66">
            <v>1008523.335</v>
          </cell>
          <cell r="L66">
            <v>900141.03899999999</v>
          </cell>
          <cell r="M66">
            <v>941059.81500000006</v>
          </cell>
          <cell r="N66">
            <v>1048712.263</v>
          </cell>
          <cell r="O66">
            <v>1019544.5690000001</v>
          </cell>
          <cell r="P66">
            <v>12380295.103000002</v>
          </cell>
        </row>
        <row r="67">
          <cell r="D67">
            <v>1332330.2719999868</v>
          </cell>
          <cell r="E67">
            <v>1173019.1110000324</v>
          </cell>
          <cell r="F67">
            <v>1249544.1910000341</v>
          </cell>
          <cell r="G67">
            <v>1269167.8650000207</v>
          </cell>
          <cell r="H67">
            <v>1224272.2249999926</v>
          </cell>
          <cell r="I67">
            <v>1161074.7810000093</v>
          </cell>
          <cell r="J67">
            <v>1180726.6130000215</v>
          </cell>
          <cell r="K67">
            <v>1132624.6579999991</v>
          </cell>
          <cell r="L67">
            <v>1046434.2529999702</v>
          </cell>
          <cell r="M67">
            <v>1087750.2589999835</v>
          </cell>
          <cell r="N67">
            <v>1220280.7640000223</v>
          </cell>
          <cell r="O67">
            <v>1202408.4400000484</v>
          </cell>
          <cell r="P67">
            <v>14279633.432000123</v>
          </cell>
        </row>
        <row r="71">
          <cell r="D71">
            <v>2099348.8887304827</v>
          </cell>
          <cell r="E71">
            <v>2056739.9944016333</v>
          </cell>
          <cell r="F71">
            <v>1915272.8152622494</v>
          </cell>
          <cell r="G71">
            <v>1860060.423869479</v>
          </cell>
          <cell r="H71">
            <v>1687159.7212478947</v>
          </cell>
          <cell r="I71">
            <v>1646320.9025441241</v>
          </cell>
          <cell r="J71">
            <v>1545891.5511480381</v>
          </cell>
          <cell r="K71">
            <v>1444744.5653415807</v>
          </cell>
          <cell r="L71">
            <v>1682499.655316964</v>
          </cell>
          <cell r="M71">
            <v>1682285.7128708665</v>
          </cell>
          <cell r="N71">
            <v>1928084.1148044618</v>
          </cell>
          <cell r="O71">
            <v>2018862.0197776579</v>
          </cell>
          <cell r="P71">
            <v>21567270.365315434</v>
          </cell>
        </row>
        <row r="72">
          <cell r="D72">
            <v>155287.77106727479</v>
          </cell>
          <cell r="E72">
            <v>150647.22663317324</v>
          </cell>
          <cell r="F72">
            <v>137370.146466468</v>
          </cell>
          <cell r="G72">
            <v>128854.20271347376</v>
          </cell>
          <cell r="H72">
            <v>116416.1366723453</v>
          </cell>
          <cell r="I72">
            <v>112098.5625037625</v>
          </cell>
          <cell r="J72">
            <v>111228.72844503784</v>
          </cell>
          <cell r="K72">
            <v>112569.37221466872</v>
          </cell>
          <cell r="L72">
            <v>127636.66685741171</v>
          </cell>
          <cell r="M72">
            <v>127658.81165146564</v>
          </cell>
          <cell r="N72">
            <v>142999.14118361298</v>
          </cell>
          <cell r="O72">
            <v>146495.41502703304</v>
          </cell>
          <cell r="P72">
            <v>1569262.1814357275</v>
          </cell>
        </row>
        <row r="73">
          <cell r="D73">
            <v>2254636.6597977574</v>
          </cell>
          <cell r="E73">
            <v>2207387.2210348067</v>
          </cell>
          <cell r="F73">
            <v>2052642.9617287174</v>
          </cell>
          <cell r="G73">
            <v>1988914.6265829527</v>
          </cell>
          <cell r="H73">
            <v>1803575.8579202399</v>
          </cell>
          <cell r="I73">
            <v>1758419.4650478866</v>
          </cell>
          <cell r="J73">
            <v>1657120.2795930759</v>
          </cell>
          <cell r="K73">
            <v>1557313.9375562493</v>
          </cell>
          <cell r="L73">
            <v>1810136.3221743756</v>
          </cell>
          <cell r="M73">
            <v>1809944.5245223322</v>
          </cell>
          <cell r="N73">
            <v>2071083.2559880749</v>
          </cell>
          <cell r="O73">
            <v>2165357.434804691</v>
          </cell>
          <cell r="P73">
            <v>23136532.54675116</v>
          </cell>
        </row>
        <row r="75">
          <cell r="D75">
            <v>35109.727026408807</v>
          </cell>
          <cell r="E75">
            <v>35784.451601644381</v>
          </cell>
          <cell r="F75">
            <v>33044.324014814265</v>
          </cell>
          <cell r="G75">
            <v>31127.054666061704</v>
          </cell>
          <cell r="H75">
            <v>30325.974386829592</v>
          </cell>
          <cell r="I75">
            <v>29197.682821773822</v>
          </cell>
          <cell r="J75">
            <v>27360.570442174634</v>
          </cell>
          <cell r="K75">
            <v>24993.492058249874</v>
          </cell>
          <cell r="L75">
            <v>30187.228558875526</v>
          </cell>
          <cell r="M75">
            <v>30702.045444891384</v>
          </cell>
          <cell r="N75">
            <v>32764.522046355894</v>
          </cell>
          <cell r="O75">
            <v>33960.332878969981</v>
          </cell>
          <cell r="P75">
            <v>374557.40594704979</v>
          </cell>
        </row>
        <row r="76">
          <cell r="D76">
            <v>168724.55155069963</v>
          </cell>
          <cell r="E76">
            <v>164219.26423095199</v>
          </cell>
          <cell r="F76">
            <v>154675.33308888835</v>
          </cell>
          <cell r="G76">
            <v>150114.63044508995</v>
          </cell>
          <cell r="H76">
            <v>133100.56926968219</v>
          </cell>
          <cell r="I76">
            <v>128761.48204004207</v>
          </cell>
          <cell r="J76">
            <v>120129.85101222606</v>
          </cell>
          <cell r="K76">
            <v>115430.01295643747</v>
          </cell>
          <cell r="L76">
            <v>141463.90253778914</v>
          </cell>
          <cell r="M76">
            <v>137925.3696295156</v>
          </cell>
          <cell r="N76">
            <v>150377.14808825852</v>
          </cell>
          <cell r="O76">
            <v>165634.00347866959</v>
          </cell>
          <cell r="P76">
            <v>1730556.1183282505</v>
          </cell>
        </row>
        <row r="77">
          <cell r="D77">
            <v>203834.27857710843</v>
          </cell>
          <cell r="E77">
            <v>200003.71583259635</v>
          </cell>
          <cell r="F77">
            <v>187719.6571037026</v>
          </cell>
          <cell r="G77">
            <v>181241.68511115166</v>
          </cell>
          <cell r="H77">
            <v>163426.54365651179</v>
          </cell>
          <cell r="I77">
            <v>157959.16486181589</v>
          </cell>
          <cell r="J77">
            <v>147490.4214544007</v>
          </cell>
          <cell r="K77">
            <v>140423.50501468734</v>
          </cell>
          <cell r="L77">
            <v>171651.13109666467</v>
          </cell>
          <cell r="M77">
            <v>168627.41507440698</v>
          </cell>
          <cell r="N77">
            <v>183141.6701346144</v>
          </cell>
          <cell r="O77">
            <v>199594.33635763958</v>
          </cell>
          <cell r="P77">
            <v>2105113.5242753001</v>
          </cell>
        </row>
        <row r="79">
          <cell r="D79">
            <v>2458470.9383748616</v>
          </cell>
          <cell r="E79">
            <v>2407390.9368674024</v>
          </cell>
          <cell r="F79">
            <v>2240362.6188324206</v>
          </cell>
          <cell r="G79">
            <v>2170156.3116941042</v>
          </cell>
          <cell r="H79">
            <v>1967002.4015767509</v>
          </cell>
          <cell r="I79">
            <v>1916378.6299097009</v>
          </cell>
          <cell r="J79">
            <v>1804610.7010474764</v>
          </cell>
          <cell r="K79">
            <v>1697737.4425709373</v>
          </cell>
          <cell r="L79">
            <v>1981787.4532710402</v>
          </cell>
          <cell r="M79">
            <v>1978571.9395967382</v>
          </cell>
          <cell r="N79">
            <v>2254224.9261226933</v>
          </cell>
          <cell r="O79">
            <v>2364951.7711623311</v>
          </cell>
          <cell r="P79">
            <v>25241646.071026459</v>
          </cell>
        </row>
        <row r="82">
          <cell r="D82">
            <v>409566.79679985717</v>
          </cell>
          <cell r="E82">
            <v>414913.79836579954</v>
          </cell>
          <cell r="F82">
            <v>414913.79836579954</v>
          </cell>
          <cell r="G82">
            <v>414913.79836579954</v>
          </cell>
          <cell r="H82">
            <v>414913.79836579954</v>
          </cell>
          <cell r="I82">
            <v>414913.79836579954</v>
          </cell>
          <cell r="J82">
            <v>420260.7999317419</v>
          </cell>
          <cell r="K82">
            <v>420260.7999317419</v>
          </cell>
          <cell r="L82">
            <v>420260.7999317419</v>
          </cell>
          <cell r="M82">
            <v>420260.7999317419</v>
          </cell>
          <cell r="N82">
            <v>420260.7999317419</v>
          </cell>
          <cell r="O82">
            <v>420260.7999317419</v>
          </cell>
          <cell r="P82">
            <v>5005700.5882193064</v>
          </cell>
        </row>
        <row r="83">
          <cell r="D83">
            <v>112792.17039508227</v>
          </cell>
          <cell r="E83">
            <v>112792.17039508227</v>
          </cell>
          <cell r="F83">
            <v>112792.17039508227</v>
          </cell>
          <cell r="G83">
            <v>112792.17039508227</v>
          </cell>
          <cell r="H83">
            <v>112792.17039508227</v>
          </cell>
          <cell r="I83">
            <v>112792.17039508227</v>
          </cell>
          <cell r="J83">
            <v>112792.17039508227</v>
          </cell>
          <cell r="K83">
            <v>112792.17039508227</v>
          </cell>
          <cell r="L83">
            <v>112792.17039508227</v>
          </cell>
          <cell r="M83">
            <v>112792.17039508227</v>
          </cell>
          <cell r="N83">
            <v>112792.17039508227</v>
          </cell>
          <cell r="O83">
            <v>112792.17039508227</v>
          </cell>
          <cell r="P83">
            <v>1353506.0447409877</v>
          </cell>
        </row>
        <row r="84">
          <cell r="D84">
            <v>522358.96719493944</v>
          </cell>
          <cell r="E84">
            <v>527705.96876088181</v>
          </cell>
          <cell r="F84">
            <v>527705.96876088181</v>
          </cell>
          <cell r="G84">
            <v>527705.96876088181</v>
          </cell>
          <cell r="H84">
            <v>527705.96876088181</v>
          </cell>
          <cell r="I84">
            <v>527705.96876088181</v>
          </cell>
          <cell r="J84">
            <v>533052.97032682411</v>
          </cell>
          <cell r="K84">
            <v>533052.97032682411</v>
          </cell>
          <cell r="L84">
            <v>533052.97032682411</v>
          </cell>
          <cell r="M84">
            <v>533052.97032682411</v>
          </cell>
          <cell r="N84">
            <v>533052.97032682411</v>
          </cell>
          <cell r="O84">
            <v>533052.97032682411</v>
          </cell>
          <cell r="P84">
            <v>6359206.6329602944</v>
          </cell>
        </row>
        <row r="86">
          <cell r="D86">
            <v>0</v>
          </cell>
          <cell r="E86">
            <v>0</v>
          </cell>
          <cell r="F86">
            <v>0</v>
          </cell>
          <cell r="G86">
            <v>0</v>
          </cell>
          <cell r="H86">
            <v>0</v>
          </cell>
          <cell r="I86">
            <v>0</v>
          </cell>
          <cell r="J86">
            <v>0</v>
          </cell>
          <cell r="K86">
            <v>0</v>
          </cell>
          <cell r="L86">
            <v>0</v>
          </cell>
          <cell r="M86">
            <v>0</v>
          </cell>
          <cell r="N86">
            <v>0</v>
          </cell>
          <cell r="O86">
            <v>7609.138875033259</v>
          </cell>
          <cell r="P86">
            <v>7609.138875033259</v>
          </cell>
        </row>
        <row r="87">
          <cell r="D87">
            <v>32871.362356037251</v>
          </cell>
          <cell r="E87">
            <v>32871.362356037251</v>
          </cell>
          <cell r="F87">
            <v>32871.362356037251</v>
          </cell>
          <cell r="G87">
            <v>32871.362356037251</v>
          </cell>
          <cell r="H87">
            <v>32871.362356037251</v>
          </cell>
          <cell r="I87">
            <v>32871.362356037251</v>
          </cell>
          <cell r="J87">
            <v>32871.362356037251</v>
          </cell>
          <cell r="K87">
            <v>32871.362356037251</v>
          </cell>
          <cell r="L87">
            <v>32871.362356037251</v>
          </cell>
          <cell r="M87">
            <v>32871.362356037251</v>
          </cell>
          <cell r="N87">
            <v>32871.362356037251</v>
          </cell>
          <cell r="O87">
            <v>26135.963841092682</v>
          </cell>
          <cell r="P87">
            <v>387720.94975750241</v>
          </cell>
        </row>
        <row r="88">
          <cell r="D88">
            <v>32871.362356037251</v>
          </cell>
          <cell r="E88">
            <v>32871.362356037251</v>
          </cell>
          <cell r="F88">
            <v>32871.362356037251</v>
          </cell>
          <cell r="G88">
            <v>32871.362356037251</v>
          </cell>
          <cell r="H88">
            <v>32871.362356037251</v>
          </cell>
          <cell r="I88">
            <v>32871.362356037251</v>
          </cell>
          <cell r="J88">
            <v>32871.362356037251</v>
          </cell>
          <cell r="K88">
            <v>32871.362356037251</v>
          </cell>
          <cell r="L88">
            <v>32871.362356037251</v>
          </cell>
          <cell r="M88">
            <v>32871.362356037251</v>
          </cell>
          <cell r="N88">
            <v>32871.362356037251</v>
          </cell>
          <cell r="O88">
            <v>33745.102716125941</v>
          </cell>
          <cell r="P88">
            <v>395330.08863253566</v>
          </cell>
        </row>
        <row r="91">
          <cell r="D91">
            <v>69564.569466488334</v>
          </cell>
          <cell r="E91">
            <v>69564.569466488334</v>
          </cell>
          <cell r="F91">
            <v>69564.569466488334</v>
          </cell>
          <cell r="G91">
            <v>69564.569466488334</v>
          </cell>
          <cell r="H91">
            <v>69564.569466488334</v>
          </cell>
          <cell r="I91">
            <v>69564.569466488334</v>
          </cell>
          <cell r="J91">
            <v>69564.569466488334</v>
          </cell>
          <cell r="K91">
            <v>69564.569466488334</v>
          </cell>
          <cell r="L91">
            <v>69564.569466488334</v>
          </cell>
          <cell r="M91">
            <v>69564.569466488334</v>
          </cell>
          <cell r="N91">
            <v>69564.569466488334</v>
          </cell>
          <cell r="O91">
            <v>69564.569466488334</v>
          </cell>
          <cell r="P91">
            <v>834774.83359785995</v>
          </cell>
        </row>
        <row r="92">
          <cell r="D92">
            <v>69564.569466488334</v>
          </cell>
          <cell r="E92">
            <v>69564.569466488334</v>
          </cell>
          <cell r="F92">
            <v>69564.569466488334</v>
          </cell>
          <cell r="G92">
            <v>69564.569466488334</v>
          </cell>
          <cell r="H92">
            <v>69564.569466488334</v>
          </cell>
          <cell r="I92">
            <v>69564.569466488334</v>
          </cell>
          <cell r="J92">
            <v>69564.569466488334</v>
          </cell>
          <cell r="K92">
            <v>69564.569466488334</v>
          </cell>
          <cell r="L92">
            <v>69564.569466488334</v>
          </cell>
          <cell r="M92">
            <v>69564.569466488334</v>
          </cell>
          <cell r="N92">
            <v>69564.569466488334</v>
          </cell>
          <cell r="O92">
            <v>69564.569466488334</v>
          </cell>
          <cell r="P92">
            <v>834774.83359785995</v>
          </cell>
        </row>
        <row r="95">
          <cell r="D95">
            <v>48828.720938898332</v>
          </cell>
          <cell r="E95">
            <v>48828.720938898332</v>
          </cell>
          <cell r="F95">
            <v>48828.720938898332</v>
          </cell>
          <cell r="G95">
            <v>48828.720938898332</v>
          </cell>
          <cell r="H95">
            <v>48828.720938898332</v>
          </cell>
          <cell r="I95">
            <v>48828.720938898332</v>
          </cell>
          <cell r="J95">
            <v>48828.720938898332</v>
          </cell>
          <cell r="K95">
            <v>48828.720938898332</v>
          </cell>
          <cell r="L95">
            <v>48828.720938898332</v>
          </cell>
          <cell r="M95">
            <v>48828.720938898332</v>
          </cell>
          <cell r="N95">
            <v>48828.720938898332</v>
          </cell>
          <cell r="O95">
            <v>44811.348841728337</v>
          </cell>
          <cell r="P95">
            <v>581927.27916961</v>
          </cell>
        </row>
        <row r="96">
          <cell r="D96">
            <v>44811.34884172833</v>
          </cell>
          <cell r="E96">
            <v>44811.34884172833</v>
          </cell>
          <cell r="F96">
            <v>44811.34884172833</v>
          </cell>
          <cell r="G96">
            <v>44811.34884172833</v>
          </cell>
          <cell r="H96">
            <v>44811.34884172833</v>
          </cell>
          <cell r="I96">
            <v>44811.34884172833</v>
          </cell>
          <cell r="J96">
            <v>44811.34884172833</v>
          </cell>
          <cell r="K96">
            <v>44811.34884172833</v>
          </cell>
          <cell r="L96">
            <v>44811.34884172833</v>
          </cell>
          <cell r="M96">
            <v>44811.34884172833</v>
          </cell>
          <cell r="N96">
            <v>44811.34884172833</v>
          </cell>
          <cell r="O96">
            <v>44811.348841728337</v>
          </cell>
          <cell r="P96">
            <v>581927.27916961</v>
          </cell>
        </row>
        <row r="97">
          <cell r="D97">
            <v>4017.37209717</v>
          </cell>
          <cell r="E97">
            <v>4017.37209717</v>
          </cell>
          <cell r="F97">
            <v>4017.37209717</v>
          </cell>
          <cell r="G97">
            <v>4017.37209717</v>
          </cell>
          <cell r="H97">
            <v>4017.37209717</v>
          </cell>
          <cell r="I97">
            <v>4017.37209717</v>
          </cell>
          <cell r="J97">
            <v>4017.37209717</v>
          </cell>
          <cell r="K97">
            <v>4017.37209717</v>
          </cell>
          <cell r="L97">
            <v>4017.37209717</v>
          </cell>
          <cell r="M97">
            <v>4017.37209717</v>
          </cell>
          <cell r="N97">
            <v>4017.37209717</v>
          </cell>
          <cell r="O97">
            <v>0</v>
          </cell>
        </row>
        <row r="99">
          <cell r="D99">
            <v>673623.61995636323</v>
          </cell>
          <cell r="E99">
            <v>678970.62152230542</v>
          </cell>
          <cell r="F99">
            <v>678970.62152230542</v>
          </cell>
          <cell r="G99">
            <v>678970.62152230542</v>
          </cell>
          <cell r="H99">
            <v>678970.62152230542</v>
          </cell>
          <cell r="I99">
            <v>678970.62152230542</v>
          </cell>
          <cell r="J99">
            <v>684317.62308824784</v>
          </cell>
          <cell r="K99">
            <v>684317.62308824784</v>
          </cell>
          <cell r="L99">
            <v>684317.62308824784</v>
          </cell>
          <cell r="M99">
            <v>684317.62308824784</v>
          </cell>
          <cell r="N99">
            <v>684317.62308824784</v>
          </cell>
          <cell r="O99">
            <v>681173.99135116651</v>
          </cell>
          <cell r="P99">
            <v>8171238.8343602978</v>
          </cell>
        </row>
        <row r="102">
          <cell r="D102">
            <v>2458470.9383748616</v>
          </cell>
          <cell r="E102">
            <v>2407390.9368674024</v>
          </cell>
          <cell r="F102">
            <v>2240362.6188324206</v>
          </cell>
          <cell r="G102">
            <v>2170156.3116941042</v>
          </cell>
          <cell r="H102">
            <v>1967002.4015767509</v>
          </cell>
          <cell r="I102">
            <v>1916378.6299097009</v>
          </cell>
          <cell r="J102">
            <v>1804610.7010474764</v>
          </cell>
          <cell r="K102">
            <v>1697737.4425709373</v>
          </cell>
          <cell r="L102">
            <v>1981787.4532710402</v>
          </cell>
          <cell r="M102">
            <v>1978571.9395967382</v>
          </cell>
          <cell r="N102">
            <v>2254224.9261226933</v>
          </cell>
          <cell r="O102">
            <v>2364951.7711623311</v>
          </cell>
          <cell r="P102">
            <v>25241646.071026459</v>
          </cell>
        </row>
        <row r="103">
          <cell r="D103">
            <v>673623.61995636323</v>
          </cell>
          <cell r="E103">
            <v>678970.62152230542</v>
          </cell>
          <cell r="F103">
            <v>678970.62152230542</v>
          </cell>
          <cell r="G103">
            <v>678970.62152230542</v>
          </cell>
          <cell r="H103">
            <v>678970.62152230542</v>
          </cell>
          <cell r="I103">
            <v>678970.62152230542</v>
          </cell>
          <cell r="J103">
            <v>684317.62308824784</v>
          </cell>
          <cell r="K103">
            <v>684317.62308824784</v>
          </cell>
          <cell r="L103">
            <v>684317.62308824784</v>
          </cell>
          <cell r="M103">
            <v>684317.62308824784</v>
          </cell>
          <cell r="N103">
            <v>684317.62308824784</v>
          </cell>
          <cell r="O103">
            <v>681173.99135116651</v>
          </cell>
          <cell r="P103">
            <v>8171238.8343602978</v>
          </cell>
        </row>
        <row r="104">
          <cell r="D104">
            <v>3132094.5583312251</v>
          </cell>
          <cell r="E104">
            <v>3086361.5583897079</v>
          </cell>
          <cell r="F104">
            <v>2919333.2403547261</v>
          </cell>
          <cell r="G104">
            <v>2849126.9332164098</v>
          </cell>
          <cell r="H104">
            <v>2645973.0230990564</v>
          </cell>
          <cell r="I104">
            <v>2595349.2514320062</v>
          </cell>
          <cell r="J104">
            <v>2488928.3241357245</v>
          </cell>
          <cell r="K104">
            <v>2382055.0656591849</v>
          </cell>
          <cell r="L104">
            <v>2666105.0763592878</v>
          </cell>
          <cell r="M104">
            <v>2662889.5626849858</v>
          </cell>
          <cell r="N104">
            <v>2938542.5492109414</v>
          </cell>
          <cell r="O104">
            <v>3046125.7625134978</v>
          </cell>
          <cell r="P104">
            <v>33412884.905386757</v>
          </cell>
        </row>
        <row r="108">
          <cell r="D108">
            <v>7421.7787705362089</v>
          </cell>
          <cell r="E108">
            <v>8456.1945144180463</v>
          </cell>
          <cell r="F108">
            <v>6080.1688108366725</v>
          </cell>
          <cell r="G108">
            <v>4947.4669408501923</v>
          </cell>
          <cell r="H108">
            <v>4063.0381161307623</v>
          </cell>
          <cell r="I108">
            <v>4334.5817999584888</v>
          </cell>
          <cell r="J108">
            <v>3429.1065265979428</v>
          </cell>
          <cell r="K108">
            <v>3752.1060369578936</v>
          </cell>
          <cell r="L108">
            <v>4802.2986142171585</v>
          </cell>
          <cell r="M108">
            <v>5060.8820781670274</v>
          </cell>
          <cell r="N108">
            <v>6763.2402369722113</v>
          </cell>
          <cell r="O108">
            <v>7978.0774573904728</v>
          </cell>
          <cell r="P108">
            <v>67088.939903033082</v>
          </cell>
        </row>
        <row r="109">
          <cell r="D109">
            <v>3527.5309999999999</v>
          </cell>
          <cell r="E109">
            <v>3299.8119999999999</v>
          </cell>
          <cell r="F109">
            <v>3248.8220000000001</v>
          </cell>
          <cell r="G109">
            <v>3142.8090000000002</v>
          </cell>
          <cell r="H109">
            <v>2721.0140000000001</v>
          </cell>
          <cell r="I109">
            <v>2721.0140000000001</v>
          </cell>
          <cell r="J109">
            <v>2706.7740000000003</v>
          </cell>
          <cell r="K109">
            <v>2382.2379999999998</v>
          </cell>
          <cell r="L109">
            <v>2667</v>
          </cell>
          <cell r="M109">
            <v>2667</v>
          </cell>
          <cell r="N109">
            <v>2667</v>
          </cell>
          <cell r="O109">
            <v>2667</v>
          </cell>
          <cell r="P109">
            <v>34418.014000000003</v>
          </cell>
        </row>
        <row r="110">
          <cell r="D110">
            <v>10949.309770536209</v>
          </cell>
          <cell r="E110">
            <v>11756.006514418046</v>
          </cell>
          <cell r="F110">
            <v>9328.9908108366726</v>
          </cell>
          <cell r="G110">
            <v>8090.2759408501925</v>
          </cell>
          <cell r="H110">
            <v>6784.0521161307624</v>
          </cell>
          <cell r="I110">
            <v>7055.5957999584889</v>
          </cell>
          <cell r="J110">
            <v>6135.8805265979427</v>
          </cell>
          <cell r="K110">
            <v>6134.344036957893</v>
          </cell>
          <cell r="L110">
            <v>7469.2986142171585</v>
          </cell>
          <cell r="M110">
            <v>7727.8820781670274</v>
          </cell>
          <cell r="N110">
            <v>9430.2402369722113</v>
          </cell>
          <cell r="O110">
            <v>10645.077457390473</v>
          </cell>
          <cell r="P110">
            <v>101506.95390303308</v>
          </cell>
        </row>
        <row r="113">
          <cell r="D113">
            <v>42727.163247405646</v>
          </cell>
          <cell r="E113">
            <v>45876.730545690269</v>
          </cell>
          <cell r="F113">
            <v>36472.564575377481</v>
          </cell>
          <cell r="G113">
            <v>31065.079813471602</v>
          </cell>
          <cell r="H113">
            <v>27378.669869640969</v>
          </cell>
          <cell r="I113">
            <v>28522.494553613149</v>
          </cell>
          <cell r="J113">
            <v>24757.769602817229</v>
          </cell>
          <cell r="K113">
            <v>24672.243719936891</v>
          </cell>
          <cell r="L113">
            <v>30305.565909948447</v>
          </cell>
          <cell r="M113">
            <v>33046.201923462839</v>
          </cell>
          <cell r="N113">
            <v>39496.18115565068</v>
          </cell>
          <cell r="O113">
            <v>43561.773048584851</v>
          </cell>
          <cell r="P113">
            <v>407882.43796560011</v>
          </cell>
        </row>
        <row r="114">
          <cell r="D114">
            <v>4145.7758998101608</v>
          </cell>
          <cell r="E114">
            <v>4145.7758998101608</v>
          </cell>
          <cell r="F114">
            <v>4145.7758998101608</v>
          </cell>
          <cell r="G114">
            <v>4145.7758998101608</v>
          </cell>
          <cell r="H114">
            <v>4145.7758998101608</v>
          </cell>
          <cell r="I114">
            <v>4145.7758998101608</v>
          </cell>
          <cell r="J114">
            <v>4145.7758998101608</v>
          </cell>
          <cell r="K114">
            <v>4145.7758998101608</v>
          </cell>
          <cell r="L114">
            <v>4145.7758998101608</v>
          </cell>
          <cell r="M114">
            <v>4145.7758998101608</v>
          </cell>
          <cell r="N114">
            <v>4145.7758998101608</v>
          </cell>
          <cell r="O114">
            <v>4145.7758998101608</v>
          </cell>
          <cell r="P114">
            <v>49749.310797721941</v>
          </cell>
        </row>
        <row r="115">
          <cell r="D115">
            <v>46872.939147215809</v>
          </cell>
          <cell r="E115">
            <v>50022.506445500432</v>
          </cell>
          <cell r="F115">
            <v>40618.340475187644</v>
          </cell>
          <cell r="G115">
            <v>35210.855713281766</v>
          </cell>
          <cell r="H115">
            <v>31524.445769451129</v>
          </cell>
          <cell r="I115">
            <v>32668.270453423309</v>
          </cell>
          <cell r="J115">
            <v>28903.545502627388</v>
          </cell>
          <cell r="K115">
            <v>28818.01961974705</v>
          </cell>
          <cell r="L115">
            <v>34451.341809758611</v>
          </cell>
          <cell r="M115">
            <v>37191.977823273002</v>
          </cell>
          <cell r="N115">
            <v>43641.957055460844</v>
          </cell>
          <cell r="O115">
            <v>47707.548948395015</v>
          </cell>
          <cell r="P115">
            <v>457631.74876332207</v>
          </cell>
        </row>
        <row r="119">
          <cell r="D119">
            <v>19631.355800000154</v>
          </cell>
          <cell r="E119">
            <v>18009.074000000026</v>
          </cell>
          <cell r="F119">
            <v>11465.024599999892</v>
          </cell>
          <cell r="G119">
            <v>11143.069700000049</v>
          </cell>
          <cell r="H119">
            <v>9378.1988000000274</v>
          </cell>
          <cell r="I119">
            <v>7342.1146000000108</v>
          </cell>
          <cell r="J119">
            <v>6940.5710000000045</v>
          </cell>
          <cell r="K119">
            <v>6328.4090000000197</v>
          </cell>
          <cell r="L119">
            <v>9564.0237000000561</v>
          </cell>
          <cell r="M119">
            <v>10364.189100000018</v>
          </cell>
          <cell r="N119">
            <v>13357.341600000032</v>
          </cell>
          <cell r="O119">
            <v>21399.409799999798</v>
          </cell>
          <cell r="P119">
            <v>144922.78170000011</v>
          </cell>
        </row>
        <row r="120">
          <cell r="D120">
            <v>13639.564999999999</v>
          </cell>
          <cell r="E120">
            <v>12031.723</v>
          </cell>
          <cell r="F120">
            <v>12443.513000000001</v>
          </cell>
          <cell r="G120">
            <v>15112.380000000001</v>
          </cell>
          <cell r="H120">
            <v>14026.759</v>
          </cell>
          <cell r="I120">
            <v>11748.550000000001</v>
          </cell>
          <cell r="J120">
            <v>13166.914000000001</v>
          </cell>
          <cell r="K120">
            <v>14211.761999999999</v>
          </cell>
          <cell r="L120">
            <v>16337.467000000001</v>
          </cell>
          <cell r="M120">
            <v>12759.945</v>
          </cell>
          <cell r="N120">
            <v>11837.969000000001</v>
          </cell>
          <cell r="O120">
            <v>12762.271000000001</v>
          </cell>
          <cell r="P120">
            <v>160078.81800000003</v>
          </cell>
        </row>
        <row r="121">
          <cell r="D121">
            <v>33270.920800000153</v>
          </cell>
          <cell r="E121">
            <v>30040.797000000028</v>
          </cell>
          <cell r="F121">
            <v>23908.537599999894</v>
          </cell>
          <cell r="G121">
            <v>26255.449700000048</v>
          </cell>
          <cell r="H121">
            <v>23404.957800000026</v>
          </cell>
          <cell r="I121">
            <v>19090.664600000011</v>
          </cell>
          <cell r="J121">
            <v>20107.485000000004</v>
          </cell>
          <cell r="K121">
            <v>20540.171000000017</v>
          </cell>
          <cell r="L121">
            <v>25901.490700000057</v>
          </cell>
          <cell r="M121">
            <v>23124.134100000017</v>
          </cell>
          <cell r="N121">
            <v>25195.310600000033</v>
          </cell>
          <cell r="O121">
            <v>34161.680799999798</v>
          </cell>
          <cell r="P121">
            <v>305001.59970000014</v>
          </cell>
        </row>
        <row r="124">
          <cell r="D124">
            <v>61781.220584863469</v>
          </cell>
          <cell r="E124">
            <v>58531.758443858831</v>
          </cell>
          <cell r="F124">
            <v>44398.70958810451</v>
          </cell>
          <cell r="G124">
            <v>45980.961223518367</v>
          </cell>
          <cell r="H124">
            <v>41766.736069739636</v>
          </cell>
          <cell r="I124">
            <v>30973.258156515312</v>
          </cell>
          <cell r="J124">
            <v>30182.726171422994</v>
          </cell>
          <cell r="K124">
            <v>28418.958596982418</v>
          </cell>
          <cell r="L124">
            <v>41668.825850338668</v>
          </cell>
          <cell r="M124">
            <v>42654.830565579425</v>
          </cell>
          <cell r="N124">
            <v>50784.42793290563</v>
          </cell>
          <cell r="O124">
            <v>69976.65245941552</v>
          </cell>
          <cell r="P124">
            <v>547119.06564324477</v>
          </cell>
        </row>
        <row r="125">
          <cell r="D125">
            <v>9291.7775421867209</v>
          </cell>
          <cell r="E125">
            <v>8196.4559401426231</v>
          </cell>
          <cell r="F125">
            <v>8476.982560610144</v>
          </cell>
          <cell r="G125">
            <v>10295.113743949441</v>
          </cell>
          <cell r="H125">
            <v>9555.548455237793</v>
          </cell>
          <cell r="I125">
            <v>8003.5479902224015</v>
          </cell>
          <cell r="J125">
            <v>8969.7901513064335</v>
          </cell>
          <cell r="K125">
            <v>9681.579360229056</v>
          </cell>
          <cell r="L125">
            <v>11129.688444376097</v>
          </cell>
          <cell r="M125">
            <v>8692.5477748401609</v>
          </cell>
          <cell r="N125">
            <v>8064.463529394272</v>
          </cell>
          <cell r="O125">
            <v>8694.1323323068482</v>
          </cell>
          <cell r="P125">
            <v>109051.627824802</v>
          </cell>
        </row>
        <row r="126">
          <cell r="D126">
            <v>71072.998127050188</v>
          </cell>
          <cell r="E126">
            <v>66728.214384001447</v>
          </cell>
          <cell r="F126">
            <v>52875.692148714654</v>
          </cell>
          <cell r="G126">
            <v>56276.074967467808</v>
          </cell>
          <cell r="H126">
            <v>51322.284524977425</v>
          </cell>
          <cell r="I126">
            <v>38976.806146737712</v>
          </cell>
          <cell r="J126">
            <v>39152.516322729425</v>
          </cell>
          <cell r="K126">
            <v>38100.537957211476</v>
          </cell>
          <cell r="L126">
            <v>52798.514294714769</v>
          </cell>
          <cell r="M126">
            <v>51347.378340419586</v>
          </cell>
          <cell r="N126">
            <v>58848.8914622999</v>
          </cell>
          <cell r="O126">
            <v>78670.78479172237</v>
          </cell>
          <cell r="P126">
            <v>656170.69346804672</v>
          </cell>
        </row>
        <row r="129">
          <cell r="D129">
            <v>66282.334888322628</v>
          </cell>
          <cell r="E129">
            <v>62790.949592121367</v>
          </cell>
          <cell r="F129">
            <v>50934.109392403778</v>
          </cell>
          <cell r="G129">
            <v>51551.229425285012</v>
          </cell>
          <cell r="H129">
            <v>45944.657926188367</v>
          </cell>
          <cell r="I129">
            <v>38238.661646352179</v>
          </cell>
          <cell r="J129">
            <v>36402.986281702411</v>
          </cell>
          <cell r="K129">
            <v>33318.490050670138</v>
          </cell>
          <cell r="L129">
            <v>46428.100361575249</v>
          </cell>
          <cell r="M129">
            <v>48966.459754146214</v>
          </cell>
          <cell r="N129">
            <v>58195.150358476734</v>
          </cell>
          <cell r="O129">
            <v>72752.565629523102</v>
          </cell>
          <cell r="P129">
            <v>611805.69530676724</v>
          </cell>
        </row>
        <row r="130">
          <cell r="D130">
            <v>46472.79755755364</v>
          </cell>
          <cell r="E130">
            <v>40994.549844336092</v>
          </cell>
          <cell r="F130">
            <v>42397.602896704338</v>
          </cell>
          <cell r="G130">
            <v>51490.980566669292</v>
          </cell>
          <cell r="H130">
            <v>47792.046989445313</v>
          </cell>
          <cell r="I130">
            <v>40029.721310378802</v>
          </cell>
          <cell r="J130">
            <v>44862.378586099992</v>
          </cell>
          <cell r="K130">
            <v>48422.390183421085</v>
          </cell>
          <cell r="L130">
            <v>55665.103432126562</v>
          </cell>
          <cell r="M130">
            <v>43475.751670270925</v>
          </cell>
          <cell r="N130">
            <v>40334.39019716507</v>
          </cell>
          <cell r="O130">
            <v>43483.676829696378</v>
          </cell>
          <cell r="P130">
            <v>545421.39006386755</v>
          </cell>
        </row>
        <row r="131">
          <cell r="D131">
            <v>112755.13244587627</v>
          </cell>
          <cell r="E131">
            <v>103785.49943645747</v>
          </cell>
          <cell r="F131">
            <v>93331.712289108109</v>
          </cell>
          <cell r="G131">
            <v>103042.2099919543</v>
          </cell>
          <cell r="H131">
            <v>93736.704915633687</v>
          </cell>
          <cell r="I131">
            <v>78268.382956730988</v>
          </cell>
          <cell r="J131">
            <v>81265.364867802404</v>
          </cell>
          <cell r="K131">
            <v>81740.880234091223</v>
          </cell>
          <cell r="L131">
            <v>102093.2037937018</v>
          </cell>
          <cell r="M131">
            <v>92442.211424417139</v>
          </cell>
          <cell r="N131">
            <v>98529.540555641812</v>
          </cell>
          <cell r="O131">
            <v>116236.24245921947</v>
          </cell>
          <cell r="P131">
            <v>1157227.0853706347</v>
          </cell>
        </row>
        <row r="133">
          <cell r="D133">
            <v>71072.998127050188</v>
          </cell>
          <cell r="E133">
            <v>66728.214384001447</v>
          </cell>
          <cell r="F133">
            <v>52875.692148714654</v>
          </cell>
          <cell r="G133">
            <v>56276.074967467808</v>
          </cell>
          <cell r="H133">
            <v>51322.284524977425</v>
          </cell>
          <cell r="I133">
            <v>38976.806146737712</v>
          </cell>
          <cell r="J133">
            <v>39152.516322729425</v>
          </cell>
          <cell r="K133">
            <v>38100.537957211476</v>
          </cell>
          <cell r="L133">
            <v>52798.514294714769</v>
          </cell>
          <cell r="M133">
            <v>51347.378340419586</v>
          </cell>
          <cell r="N133">
            <v>58848.8914622999</v>
          </cell>
          <cell r="O133">
            <v>78670.78479172237</v>
          </cell>
          <cell r="P133">
            <v>656170.69346804672</v>
          </cell>
        </row>
        <row r="134">
          <cell r="D134">
            <v>12876.196816000001</v>
          </cell>
          <cell r="E134">
            <v>12876.196816000001</v>
          </cell>
          <cell r="F134">
            <v>12876.196816000001</v>
          </cell>
          <cell r="G134">
            <v>12876.196816000001</v>
          </cell>
          <cell r="H134">
            <v>12876.196816000001</v>
          </cell>
          <cell r="I134">
            <v>12876.196816000001</v>
          </cell>
          <cell r="J134">
            <v>12876.196816000001</v>
          </cell>
          <cell r="K134">
            <v>12876.196816000001</v>
          </cell>
          <cell r="L134">
            <v>12876.196816000001</v>
          </cell>
          <cell r="M134">
            <v>12876.196816000001</v>
          </cell>
          <cell r="N134">
            <v>12876.196816000001</v>
          </cell>
          <cell r="O134">
            <v>12876.196816000001</v>
          </cell>
          <cell r="P134">
            <v>154514.36179200001</v>
          </cell>
        </row>
        <row r="135">
          <cell r="D135">
            <v>112755.13244587627</v>
          </cell>
          <cell r="E135">
            <v>103785.49943645747</v>
          </cell>
          <cell r="F135">
            <v>93331.712289108109</v>
          </cell>
          <cell r="G135">
            <v>103042.2099919543</v>
          </cell>
          <cell r="H135">
            <v>93736.704915633687</v>
          </cell>
          <cell r="I135">
            <v>78268.382956730988</v>
          </cell>
          <cell r="J135">
            <v>81265.364867802404</v>
          </cell>
          <cell r="K135">
            <v>81740.880234091223</v>
          </cell>
          <cell r="L135">
            <v>102093.2037937018</v>
          </cell>
          <cell r="M135">
            <v>92442.211424417139</v>
          </cell>
          <cell r="N135">
            <v>98529.540555641812</v>
          </cell>
          <cell r="O135">
            <v>116236.24245921947</v>
          </cell>
          <cell r="P135">
            <v>1157227.0853706347</v>
          </cell>
        </row>
        <row r="137">
          <cell r="D137">
            <v>196704.32738892647</v>
          </cell>
          <cell r="E137">
            <v>183389.91063645892</v>
          </cell>
          <cell r="F137">
            <v>159083.60125382277</v>
          </cell>
          <cell r="G137">
            <v>172194.48177542211</v>
          </cell>
          <cell r="H137">
            <v>157935.18625661111</v>
          </cell>
          <cell r="I137">
            <v>130121.38591946871</v>
          </cell>
          <cell r="J137">
            <v>133294.07800653184</v>
          </cell>
          <cell r="K137">
            <v>132717.61500730269</v>
          </cell>
          <cell r="L137">
            <v>167767.91490441657</v>
          </cell>
          <cell r="M137">
            <v>156665.78658083672</v>
          </cell>
          <cell r="N137">
            <v>170254.62883394171</v>
          </cell>
          <cell r="O137">
            <v>207783.22406694185</v>
          </cell>
          <cell r="P137">
            <v>1967912.1406306813</v>
          </cell>
        </row>
      </sheetData>
      <sheetData sheetId="4"/>
      <sheetData sheetId="5" refreshError="1"/>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row r="4">
          <cell r="L4" t="str">
            <v>Version: 2.0</v>
          </cell>
        </row>
      </sheetData>
      <sheetData sheetId="1">
        <row r="7">
          <cell r="G7" t="str">
            <v>Transmission lines</v>
          </cell>
          <cell r="K7">
            <v>2287.7977300304001</v>
          </cell>
        </row>
        <row r="8">
          <cell r="K8">
            <v>1328.0699039553751</v>
          </cell>
        </row>
        <row r="9">
          <cell r="K9">
            <v>693.71075282694733</v>
          </cell>
        </row>
        <row r="267">
          <cell r="G267">
            <v>0.7</v>
          </cell>
        </row>
      </sheetData>
      <sheetData sheetId="2">
        <row r="9">
          <cell r="F9">
            <v>2.5000000000000001E-2</v>
          </cell>
        </row>
      </sheetData>
      <sheetData sheetId="3">
        <row r="4">
          <cell r="B4" t="str">
            <v>Year</v>
          </cell>
        </row>
      </sheetData>
      <sheetData sheetId="4">
        <row r="26">
          <cell r="L26">
            <v>50.794983769236154</v>
          </cell>
        </row>
      </sheetData>
      <sheetData sheetId="5">
        <row r="11">
          <cell r="E11">
            <v>-8.2423642351175663E-3</v>
          </cell>
        </row>
      </sheetData>
      <sheetData sheetId="6">
        <row r="21">
          <cell r="L21">
            <v>0</v>
          </cell>
        </row>
      </sheetData>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cell r="J9">
            <v>82298.181840000005</v>
          </cell>
          <cell r="L9">
            <v>71181.818159999995</v>
          </cell>
        </row>
        <row r="10">
          <cell r="D10">
            <v>125</v>
          </cell>
          <cell r="H10">
            <v>758.18183999999997</v>
          </cell>
          <cell r="J10">
            <v>832.58184000000006</v>
          </cell>
          <cell r="L10">
            <v>79.963679999999997</v>
          </cell>
        </row>
        <row r="11">
          <cell r="D11">
            <v>275</v>
          </cell>
          <cell r="H11">
            <v>437.78183999999999</v>
          </cell>
          <cell r="J11">
            <v>474.98184000000003</v>
          </cell>
          <cell r="L11">
            <v>79.963679999999997</v>
          </cell>
        </row>
        <row r="12">
          <cell r="D12">
            <v>525</v>
          </cell>
          <cell r="H12">
            <v>189.60000000000002</v>
          </cell>
          <cell r="J12">
            <v>204</v>
          </cell>
          <cell r="L12">
            <v>79.963679999999997</v>
          </cell>
        </row>
        <row r="13">
          <cell r="D13">
            <v>1025</v>
          </cell>
          <cell r="H13">
            <v>87.054599999999994</v>
          </cell>
          <cell r="J13">
            <v>92.4</v>
          </cell>
          <cell r="L13">
            <v>79.963636363636354</v>
          </cell>
        </row>
        <row r="14">
          <cell r="H14">
            <v>44.400000000000006</v>
          </cell>
          <cell r="J14">
            <v>48</v>
          </cell>
          <cell r="L14">
            <v>79.963679999999997</v>
          </cell>
        </row>
      </sheetData>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sheetName val="Qld"/>
      <sheetName val="Vic"/>
      <sheetName val="VicV2008"/>
      <sheetName val="VicD2008"/>
      <sheetName val="VicD2007"/>
      <sheetName val="VicV2007"/>
      <sheetName val="QLDV200607"/>
      <sheetName val="QLDV200708"/>
      <sheetName val="QLDV200809"/>
      <sheetName val="QLDD200607"/>
      <sheetName val="QLDD200708"/>
      <sheetName val="QLDD200809"/>
      <sheetName val="SAV200506"/>
      <sheetName val="SAV200607"/>
      <sheetName val="SAV200708"/>
      <sheetName val="SAV200809"/>
      <sheetName val="SAD200506"/>
      <sheetName val="SAD200607"/>
      <sheetName val="SAD200708"/>
      <sheetName val="SAD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ow r="5">
          <cell r="C5">
            <v>0.21229999999999999</v>
          </cell>
          <cell r="E5">
            <v>0.46700000000000003</v>
          </cell>
          <cell r="G5">
            <v>0.46700000000000003</v>
          </cell>
        </row>
        <row r="6">
          <cell r="C6">
            <v>9.9770000000000003</v>
          </cell>
          <cell r="E6">
            <v>7.359</v>
          </cell>
          <cell r="G6">
            <v>7.359</v>
          </cell>
        </row>
        <row r="7">
          <cell r="E7">
            <v>4.2270000000000003</v>
          </cell>
          <cell r="G7">
            <v>4.2270000000000003</v>
          </cell>
        </row>
        <row r="8">
          <cell r="E8">
            <v>1.85</v>
          </cell>
          <cell r="G8">
            <v>1.85</v>
          </cell>
        </row>
        <row r="9">
          <cell r="G9">
            <v>0</v>
          </cell>
        </row>
        <row r="10">
          <cell r="E10">
            <v>0</v>
          </cell>
          <cell r="G10">
            <v>0</v>
          </cell>
        </row>
        <row r="15">
          <cell r="C15">
            <v>4.758</v>
          </cell>
          <cell r="E15">
            <v>0.78800000000000003</v>
          </cell>
          <cell r="G15">
            <v>0.78800000000000003</v>
          </cell>
        </row>
      </sheetData>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sheetData sheetId="1"/>
      <sheetData sheetId="2"/>
      <sheetData sheetId="3">
        <row r="1">
          <cell r="C1" t="str">
            <v>sug-2007.xls</v>
          </cell>
        </row>
        <row r="37">
          <cell r="AL37" t="str">
            <v>Sendout-city</v>
          </cell>
        </row>
        <row r="50">
          <cell r="AL50" t="str">
            <v>W-T data</v>
          </cell>
        </row>
        <row r="60">
          <cell r="AL60" t="str">
            <v>other retailers</v>
          </cell>
        </row>
        <row r="76">
          <cell r="AL76" t="str">
            <v>Med Vol Data</v>
          </cell>
        </row>
      </sheetData>
      <sheetData sheetId="4"/>
      <sheetData sheetId="5"/>
      <sheetData sheetId="6">
        <row r="1">
          <cell r="EV1">
            <v>31</v>
          </cell>
        </row>
      </sheetData>
      <sheetData sheetId="7">
        <row r="2">
          <cell r="Z2">
            <v>35582</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
      <sheetName val="CPI"/>
    </sheetNames>
    <sheetDataSet>
      <sheetData sheetId="0"/>
      <sheetData sheetId="1" refreshError="1">
        <row r="1">
          <cell r="B1">
            <v>1.0393858477970626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Factor Calc"/>
      <sheetName val="Revenue Requirement"/>
      <sheetName val="WACC"/>
      <sheetName val="O &amp; M"/>
      <sheetName val="Carry-Over"/>
      <sheetName val="Tax Calc"/>
      <sheetName val="Regulatory Asset Base"/>
      <sheetName val="Tax Depn"/>
      <sheetName val="Start Date Price Adj 2009"/>
      <sheetName val="2009 Prices Adj"/>
      <sheetName val="Start Date Price Adj 2008"/>
      <sheetName val="Tariff Revenue"/>
      <sheetName val="Prices"/>
      <sheetName val="Data Inputs"/>
      <sheetName val="Sheet1"/>
    </sheetNames>
    <sheetDataSet>
      <sheetData sheetId="0"/>
      <sheetData sheetId="1"/>
      <sheetData sheetId="2"/>
      <sheetData sheetId="3"/>
      <sheetData sheetId="4"/>
      <sheetData sheetId="5">
        <row r="7">
          <cell r="G7">
            <v>1.2067807788469631</v>
          </cell>
        </row>
      </sheetData>
      <sheetData sheetId="6"/>
      <sheetData sheetId="7"/>
      <sheetData sheetId="8"/>
      <sheetData sheetId="9"/>
      <sheetData sheetId="10"/>
      <sheetData sheetId="11"/>
      <sheetData sheetId="12"/>
      <sheetData sheetId="13">
        <row r="1">
          <cell r="A1" t="str">
            <v>Envestra Vic</v>
          </cell>
        </row>
      </sheetData>
      <sheetData sheetId="14">
        <row r="2">
          <cell r="B2" t="str">
            <v>F</v>
          </cell>
        </row>
        <row r="3">
          <cell r="B3" t="str">
            <v>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3"/>
  <sheetViews>
    <sheetView tabSelected="1" zoomScale="85" zoomScaleNormal="85" workbookViewId="0"/>
  </sheetViews>
  <sheetFormatPr defaultColWidth="0" defaultRowHeight="15" customHeight="1" zeroHeight="1"/>
  <cols>
    <col min="1" max="11" width="9.140625" style="634" customWidth="1"/>
    <col min="12" max="16384" width="9.140625" style="634"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11"/>
    <row r="34" spans="1:11"/>
    <row r="35" spans="1:11"/>
    <row r="36" spans="1:11">
      <c r="A36" s="635"/>
      <c r="B36" s="635"/>
      <c r="C36" s="635"/>
      <c r="D36" s="635"/>
      <c r="E36" s="635"/>
      <c r="F36" s="635"/>
      <c r="G36" s="635"/>
      <c r="H36" s="635"/>
      <c r="I36" s="635"/>
      <c r="J36" s="635"/>
      <c r="K36" s="635"/>
    </row>
    <row r="37" spans="1:11">
      <c r="A37" s="635"/>
      <c r="B37" s="635"/>
      <c r="C37" s="635"/>
      <c r="D37" s="635"/>
      <c r="E37" s="635"/>
      <c r="F37" s="635"/>
      <c r="G37" s="635"/>
      <c r="H37" s="635"/>
      <c r="I37" s="635"/>
      <c r="J37" s="635"/>
      <c r="K37" s="635"/>
    </row>
    <row r="38" spans="1:11">
      <c r="A38" s="635"/>
      <c r="B38" s="635"/>
      <c r="C38" s="635"/>
      <c r="D38" s="635"/>
      <c r="E38" s="635"/>
      <c r="F38" s="635"/>
      <c r="G38" s="635"/>
      <c r="H38" s="635"/>
      <c r="I38" s="635"/>
      <c r="J38" s="635"/>
      <c r="K38" s="635"/>
    </row>
    <row r="39" spans="1:11">
      <c r="A39" s="635"/>
      <c r="B39" s="635"/>
      <c r="C39" s="635"/>
      <c r="D39" s="635"/>
      <c r="E39" s="635"/>
      <c r="F39" s="635"/>
      <c r="G39" s="635"/>
      <c r="H39" s="635"/>
      <c r="I39" s="635"/>
      <c r="J39" s="635"/>
      <c r="K39" s="635"/>
    </row>
    <row r="40" spans="1:11">
      <c r="A40" s="635"/>
      <c r="B40" s="635"/>
      <c r="C40" s="635"/>
      <c r="D40" s="635"/>
      <c r="E40" s="635"/>
      <c r="F40" s="635"/>
      <c r="G40" s="635"/>
      <c r="H40" s="635"/>
      <c r="I40" s="635"/>
      <c r="J40" s="635"/>
      <c r="K40" s="635"/>
    </row>
    <row r="41" spans="1:11">
      <c r="A41" s="635"/>
      <c r="B41" s="635"/>
      <c r="C41" s="635"/>
      <c r="D41" s="635"/>
      <c r="E41" s="635"/>
      <c r="F41" s="635"/>
      <c r="G41" s="635"/>
      <c r="H41" s="635"/>
      <c r="I41" s="635"/>
      <c r="J41" s="635"/>
      <c r="K41" s="635"/>
    </row>
    <row r="42" spans="1:11">
      <c r="A42" s="636"/>
      <c r="B42" s="636"/>
      <c r="C42" s="636"/>
      <c r="D42" s="636"/>
      <c r="E42" s="636"/>
      <c r="F42" s="636"/>
      <c r="G42" s="636"/>
      <c r="H42" s="636"/>
      <c r="I42" s="636"/>
      <c r="J42" s="636"/>
      <c r="K42" s="636"/>
    </row>
    <row r="43" spans="1:11">
      <c r="A43" s="636"/>
      <c r="B43" s="636"/>
      <c r="C43" s="636"/>
      <c r="D43" s="636"/>
      <c r="E43" s="636"/>
      <c r="F43" s="636"/>
      <c r="G43" s="636"/>
      <c r="H43" s="636"/>
      <c r="I43" s="636"/>
      <c r="J43" s="636"/>
      <c r="K43" s="636"/>
    </row>
    <row r="44" spans="1:11">
      <c r="A44" s="636"/>
      <c r="B44" s="636"/>
      <c r="C44" s="636"/>
      <c r="D44" s="636"/>
      <c r="E44" s="636"/>
      <c r="F44" s="636"/>
      <c r="G44" s="636"/>
      <c r="H44" s="636"/>
      <c r="I44" s="636"/>
      <c r="J44" s="636"/>
      <c r="K44" s="636"/>
    </row>
    <row r="45" spans="1:11">
      <c r="A45" s="636"/>
      <c r="B45" s="636"/>
      <c r="C45" s="636"/>
      <c r="D45" s="636"/>
      <c r="E45" s="636"/>
      <c r="F45" s="636"/>
      <c r="G45" s="636"/>
      <c r="H45" s="636"/>
      <c r="I45" s="636"/>
      <c r="J45" s="636"/>
      <c r="K45" s="636"/>
    </row>
    <row r="46" spans="1:11">
      <c r="A46" s="636"/>
      <c r="B46" s="636"/>
      <c r="C46" s="636"/>
      <c r="D46" s="636"/>
      <c r="E46" s="636"/>
      <c r="F46" s="636"/>
      <c r="G46" s="636"/>
      <c r="H46" s="636"/>
      <c r="I46" s="636"/>
      <c r="J46" s="636"/>
      <c r="K46" s="636"/>
    </row>
    <row r="47" spans="1:11">
      <c r="A47" s="636"/>
      <c r="B47" s="636"/>
      <c r="C47" s="636"/>
      <c r="D47" s="636"/>
      <c r="E47" s="636"/>
      <c r="F47" s="636"/>
      <c r="G47" s="636"/>
      <c r="H47" s="636"/>
      <c r="I47" s="636"/>
      <c r="J47" s="636"/>
      <c r="K47" s="636"/>
    </row>
    <row r="48" spans="1:11">
      <c r="A48" s="636"/>
      <c r="B48" s="636"/>
      <c r="C48" s="636"/>
      <c r="D48" s="636"/>
      <c r="E48" s="636"/>
      <c r="F48" s="636"/>
      <c r="G48" s="636"/>
      <c r="H48" s="636"/>
      <c r="I48" s="636"/>
      <c r="J48" s="636"/>
      <c r="K48" s="636"/>
    </row>
    <row r="49" spans="1:11">
      <c r="A49" s="636"/>
      <c r="B49" s="636"/>
      <c r="C49" s="636"/>
      <c r="D49" s="636"/>
      <c r="E49" s="636"/>
      <c r="F49" s="636"/>
      <c r="G49" s="636"/>
      <c r="H49" s="636"/>
      <c r="I49" s="636"/>
      <c r="J49" s="636"/>
      <c r="K49" s="636"/>
    </row>
    <row r="50" spans="1:11">
      <c r="A50" s="636"/>
      <c r="B50" s="636"/>
      <c r="C50" s="636"/>
      <c r="D50" s="636"/>
      <c r="E50" s="636"/>
      <c r="F50" s="636"/>
      <c r="G50" s="636"/>
      <c r="H50" s="636"/>
      <c r="I50" s="636"/>
      <c r="J50" s="636"/>
      <c r="K50" s="636"/>
    </row>
    <row r="51" spans="1:11">
      <c r="A51" s="636"/>
      <c r="B51" s="636"/>
      <c r="C51" s="636"/>
      <c r="D51" s="636"/>
      <c r="E51" s="636"/>
      <c r="F51" s="636"/>
      <c r="G51" s="636"/>
      <c r="H51" s="636"/>
      <c r="I51" s="636"/>
      <c r="J51" s="636"/>
      <c r="K51" s="636"/>
    </row>
    <row r="52" spans="1:11">
      <c r="A52" s="636"/>
      <c r="B52" s="636"/>
      <c r="C52" s="636"/>
      <c r="D52" s="636"/>
      <c r="E52" s="636"/>
      <c r="F52" s="636"/>
      <c r="G52" s="636"/>
      <c r="H52" s="636"/>
      <c r="I52" s="636"/>
      <c r="J52" s="636"/>
      <c r="K52" s="636"/>
    </row>
    <row r="53" spans="1:11" hidden="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187"/>
      <c r="BK1" s="187"/>
      <c r="BL1" s="187"/>
      <c r="BM1" s="187"/>
      <c r="BN1" s="187"/>
      <c r="BO1" s="187"/>
    </row>
    <row r="2" spans="1:256" ht="15.75">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1" customFormat="1">
      <c r="A3" s="57"/>
      <c r="B3" s="58"/>
      <c r="C3" s="57"/>
      <c r="D3" s="57"/>
      <c r="E3" s="57"/>
      <c r="F3" s="59">
        <v>0</v>
      </c>
      <c r="G3" s="59">
        <f t="shared" ref="G3:R3" si="0">F3+1</f>
        <v>1</v>
      </c>
      <c r="H3" s="59">
        <f t="shared" si="0"/>
        <v>2</v>
      </c>
      <c r="I3" s="59">
        <f t="shared" si="0"/>
        <v>3</v>
      </c>
      <c r="J3" s="59">
        <f t="shared" si="0"/>
        <v>4</v>
      </c>
      <c r="K3" s="59">
        <f t="shared" si="0"/>
        <v>5</v>
      </c>
      <c r="L3" s="59">
        <f t="shared" si="0"/>
        <v>6</v>
      </c>
      <c r="M3" s="59">
        <f t="shared" si="0"/>
        <v>7</v>
      </c>
      <c r="N3" s="59">
        <f t="shared" si="0"/>
        <v>8</v>
      </c>
      <c r="O3" s="59">
        <f t="shared" si="0"/>
        <v>9</v>
      </c>
      <c r="P3" s="59">
        <f t="shared" si="0"/>
        <v>10</v>
      </c>
      <c r="Q3" s="59">
        <f t="shared" si="0"/>
        <v>11</v>
      </c>
      <c r="R3" s="59">
        <f t="shared" si="0"/>
        <v>12</v>
      </c>
      <c r="S3" s="51"/>
      <c r="T3" s="51"/>
      <c r="U3" s="51"/>
      <c r="V3" s="51"/>
      <c r="W3" s="51"/>
      <c r="X3" s="51"/>
      <c r="Y3" s="51"/>
      <c r="Z3" s="51"/>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1"/>
      <c r="BK3" s="211"/>
      <c r="BL3" s="211"/>
      <c r="BM3" s="211"/>
      <c r="BN3" s="211"/>
      <c r="BO3" s="211"/>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80" t="s">
        <v>70</v>
      </c>
      <c r="C5" s="73"/>
      <c r="D5" s="73"/>
      <c r="E5" s="73"/>
      <c r="F5" s="83"/>
      <c r="G5" s="84"/>
      <c r="H5" s="84"/>
      <c r="I5" s="84"/>
      <c r="J5" s="84"/>
      <c r="K5" s="84"/>
      <c r="L5" s="84"/>
      <c r="M5" s="84"/>
      <c r="N5" s="84"/>
      <c r="O5" s="84"/>
      <c r="P5" s="84"/>
      <c r="Q5" s="84"/>
      <c r="R5" s="84"/>
      <c r="S5" s="84"/>
      <c r="T5" s="106"/>
      <c r="U5" s="106"/>
      <c r="V5" s="106"/>
      <c r="W5" s="106"/>
      <c r="X5" s="106"/>
      <c r="Y5" s="106"/>
      <c r="Z5" s="10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row>
    <row r="6" spans="1:256" s="187" customFormat="1">
      <c r="A6" s="12"/>
      <c r="B6" s="17"/>
      <c r="C6" s="12"/>
      <c r="D6" s="12"/>
      <c r="E6" s="12"/>
      <c r="F6" s="115"/>
      <c r="G6" s="106"/>
      <c r="H6" s="106"/>
      <c r="I6" s="106"/>
      <c r="J6" s="106"/>
      <c r="K6" s="106"/>
      <c r="L6" s="106"/>
      <c r="M6" s="106"/>
      <c r="N6" s="106"/>
      <c r="O6" s="106"/>
      <c r="P6" s="106"/>
      <c r="Q6" s="106"/>
      <c r="R6" s="106"/>
      <c r="S6" s="106"/>
      <c r="T6" s="106"/>
      <c r="U6" s="106"/>
      <c r="V6" s="106"/>
      <c r="W6" s="106"/>
      <c r="X6" s="106"/>
      <c r="Y6" s="106"/>
      <c r="Z6" s="106"/>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row>
    <row r="7" spans="1:256" s="187" customFormat="1">
      <c r="A7" s="9"/>
      <c r="B7" s="46" t="s">
        <v>69</v>
      </c>
      <c r="C7" s="9"/>
      <c r="D7" s="9"/>
      <c r="E7" s="9"/>
      <c r="G7" s="200">
        <f>SUM(G8:G37)</f>
        <v>0</v>
      </c>
      <c r="H7" s="116">
        <f>SUM(H8:H37)</f>
        <v>102.01499999999999</v>
      </c>
      <c r="I7" s="116">
        <f t="shared" ref="I7:R7" si="2">SUM(I8:I37)</f>
        <v>197.37841662</v>
      </c>
      <c r="J7" s="116">
        <f t="shared" si="2"/>
        <v>295.10936720170116</v>
      </c>
      <c r="K7" s="116">
        <f t="shared" si="2"/>
        <v>398.85648510601754</v>
      </c>
      <c r="L7" s="116">
        <f t="shared" si="2"/>
        <v>448.51575392117934</v>
      </c>
      <c r="M7" s="116">
        <f t="shared" si="2"/>
        <v>524.64566176052483</v>
      </c>
      <c r="N7" s="116">
        <f t="shared" si="2"/>
        <v>0</v>
      </c>
      <c r="O7" s="116">
        <f t="shared" si="2"/>
        <v>0</v>
      </c>
      <c r="P7" s="116">
        <f t="shared" si="2"/>
        <v>0</v>
      </c>
      <c r="Q7" s="116">
        <f t="shared" si="2"/>
        <v>0</v>
      </c>
      <c r="R7" s="116">
        <f t="shared" si="2"/>
        <v>0</v>
      </c>
      <c r="S7" s="106"/>
      <c r="T7" s="106"/>
      <c r="U7" s="106"/>
      <c r="V7" s="106"/>
      <c r="W7" s="106"/>
      <c r="X7" s="106"/>
      <c r="Y7" s="106"/>
      <c r="Z7" s="106"/>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row>
    <row r="8" spans="1:256" s="187" customFormat="1" outlineLevel="1">
      <c r="A8" s="9"/>
      <c r="B8" s="9"/>
      <c r="C8" s="129" t="str">
        <f>Asset1</f>
        <v>Mains &amp; Services</v>
      </c>
      <c r="D8" s="9"/>
      <c r="E8" s="9"/>
      <c r="F8" s="9"/>
      <c r="G8" s="193">
        <f>A1taxvalue</f>
        <v>0</v>
      </c>
      <c r="H8" s="111">
        <f t="shared" ref="H8:M8" si="3">G8+G40+G85</f>
        <v>75.370999999999995</v>
      </c>
      <c r="I8" s="111">
        <f t="shared" si="3"/>
        <v>161.94743050512375</v>
      </c>
      <c r="J8" s="111">
        <f t="shared" si="3"/>
        <v>251.98206000698227</v>
      </c>
      <c r="K8" s="111">
        <f t="shared" si="3"/>
        <v>342.53419903590623</v>
      </c>
      <c r="L8" s="111">
        <f t="shared" si="3"/>
        <v>401.80816740411643</v>
      </c>
      <c r="M8" s="111">
        <f t="shared" si="3"/>
        <v>463.08547463878529</v>
      </c>
      <c r="N8" s="111">
        <f>IF(Input!M$173&gt;0, M8+M40+M85, 0)</f>
        <v>0</v>
      </c>
      <c r="O8" s="111">
        <f>IF(Input!N$173&gt;0, N8+N40+N85, 0)</f>
        <v>0</v>
      </c>
      <c r="P8" s="111">
        <f>IF(Input!O$173&gt;0, O8+O40+O85, 0)</f>
        <v>0</v>
      </c>
      <c r="Q8" s="111">
        <f>IF(Input!P$173&gt;0, P8+P40+P85, 0)</f>
        <v>0</v>
      </c>
      <c r="R8" s="111">
        <f>IF(Input!Q$173&gt;0, Q8+Q40+Q85, 0)</f>
        <v>0</v>
      </c>
      <c r="S8" s="106"/>
      <c r="T8" s="106"/>
      <c r="U8" s="106"/>
      <c r="V8" s="106"/>
      <c r="W8" s="106"/>
      <c r="X8" s="106"/>
      <c r="Y8" s="106"/>
      <c r="Z8" s="106"/>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row>
    <row r="9" spans="1:256" s="187" customFormat="1" outlineLevel="1">
      <c r="A9" s="9"/>
      <c r="B9" s="46"/>
      <c r="C9" s="129" t="str">
        <f>Asset2</f>
        <v>Meters</v>
      </c>
      <c r="D9" s="9"/>
      <c r="E9" s="9"/>
      <c r="F9" s="9"/>
      <c r="G9" s="193">
        <f>A2taxvalue</f>
        <v>0</v>
      </c>
      <c r="H9" s="111">
        <f t="shared" ref="H9:M9" si="4">G9+G41+G99</f>
        <v>8.7110000000000003</v>
      </c>
      <c r="I9" s="111">
        <f t="shared" si="4"/>
        <v>15.048417912219552</v>
      </c>
      <c r="J9" s="111">
        <f t="shared" si="4"/>
        <v>21.251335058529037</v>
      </c>
      <c r="K9" s="111">
        <f t="shared" si="4"/>
        <v>23.927314288218192</v>
      </c>
      <c r="L9" s="111">
        <f t="shared" si="4"/>
        <v>25.902052239050747</v>
      </c>
      <c r="M9" s="111">
        <f t="shared" si="4"/>
        <v>31.205644930899155</v>
      </c>
      <c r="N9" s="111">
        <f>IF(Input!M$173&gt;0, M9+M41+M99, 0)</f>
        <v>0</v>
      </c>
      <c r="O9" s="111">
        <f>IF(Input!N$173&gt;0, N9+N41+N99, 0)</f>
        <v>0</v>
      </c>
      <c r="P9" s="111">
        <f>IF(Input!O$173&gt;0, O9+O41+O99, 0)</f>
        <v>0</v>
      </c>
      <c r="Q9" s="111">
        <f>IF(Input!P$173&gt;0, P9+P41+P99, 0)</f>
        <v>0</v>
      </c>
      <c r="R9" s="111">
        <f>IF(Input!Q$173&gt;0, Q9+Q41+Q99, 0)</f>
        <v>0</v>
      </c>
      <c r="S9" s="106"/>
      <c r="T9" s="106"/>
      <c r="U9" s="106"/>
      <c r="V9" s="106"/>
      <c r="W9" s="106"/>
      <c r="X9" s="106"/>
      <c r="Y9" s="106"/>
      <c r="Z9" s="106"/>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row>
    <row r="10" spans="1:256" s="187" customFormat="1" outlineLevel="1">
      <c r="A10" s="9"/>
      <c r="B10" s="46"/>
      <c r="C10" s="129" t="str">
        <f>Asset3</f>
        <v>Buildings</v>
      </c>
      <c r="D10" s="9"/>
      <c r="E10" s="9"/>
      <c r="F10" s="9"/>
      <c r="G10" s="193">
        <f>A3taxvalue</f>
        <v>0</v>
      </c>
      <c r="H10" s="111">
        <f t="shared" ref="H10:M10" si="5">G10+G42+G113</f>
        <v>0</v>
      </c>
      <c r="I10" s="111">
        <f t="shared" si="5"/>
        <v>-0.75918233999999996</v>
      </c>
      <c r="J10" s="111">
        <f t="shared" si="5"/>
        <v>-0.74020278149999996</v>
      </c>
      <c r="K10" s="111">
        <f t="shared" si="5"/>
        <v>-0.72122322299999997</v>
      </c>
      <c r="L10" s="111">
        <f t="shared" si="5"/>
        <v>-0.70224366449999998</v>
      </c>
      <c r="M10" s="111">
        <f t="shared" si="5"/>
        <v>-0.68326410599999998</v>
      </c>
      <c r="N10" s="111">
        <f>IF(Input!M$173&gt;0, M10+M42+M113, 0)</f>
        <v>0</v>
      </c>
      <c r="O10" s="111">
        <f>IF(Input!N$173&gt;0, N10+N42+N113, 0)</f>
        <v>0</v>
      </c>
      <c r="P10" s="111">
        <f>IF(Input!O$173&gt;0, O10+O42+O113, 0)</f>
        <v>0</v>
      </c>
      <c r="Q10" s="111">
        <f>IF(Input!P$173&gt;0, P10+P42+P113, 0)</f>
        <v>0</v>
      </c>
      <c r="R10" s="111">
        <f>IF(Input!Q$173&gt;0, Q10+Q42+Q113, 0)</f>
        <v>0</v>
      </c>
      <c r="S10" s="106"/>
      <c r="T10" s="106"/>
      <c r="U10" s="106"/>
      <c r="V10" s="106"/>
      <c r="W10" s="106"/>
      <c r="X10" s="106"/>
      <c r="Y10" s="106"/>
      <c r="Z10" s="106"/>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row>
    <row r="11" spans="1:256" s="187" customFormat="1" outlineLevel="1">
      <c r="A11" s="9"/>
      <c r="B11" s="46"/>
      <c r="C11" s="129" t="str">
        <f>Asset4</f>
        <v>SCADA</v>
      </c>
      <c r="D11" s="9"/>
      <c r="E11" s="9"/>
      <c r="F11" s="9"/>
      <c r="G11" s="193">
        <f>A4taxvalue</f>
        <v>0</v>
      </c>
      <c r="H11" s="111">
        <f t="shared" ref="H11:M11" si="6">G11+G43+G127</f>
        <v>0.16700000000000001</v>
      </c>
      <c r="I11" s="111">
        <f t="shared" si="6"/>
        <v>0.15042731149188029</v>
      </c>
      <c r="J11" s="111">
        <f t="shared" si="6"/>
        <v>0.39470883272000595</v>
      </c>
      <c r="K11" s="111">
        <f t="shared" si="6"/>
        <v>0.40925550440670461</v>
      </c>
      <c r="L11" s="111">
        <f t="shared" si="6"/>
        <v>0.2380900397714914</v>
      </c>
      <c r="M11" s="111">
        <f t="shared" si="6"/>
        <v>0.51</v>
      </c>
      <c r="N11" s="111">
        <f>IF(Input!M$173&gt;0, M11+M43+M127, 0)</f>
        <v>0</v>
      </c>
      <c r="O11" s="111">
        <f>IF(Input!N$173&gt;0, N11+N43+N127, 0)</f>
        <v>0</v>
      </c>
      <c r="P11" s="111">
        <f>IF(Input!O$173&gt;0, O11+O43+O127, 0)</f>
        <v>0</v>
      </c>
      <c r="Q11" s="111">
        <f>IF(Input!P$173&gt;0, P11+P43+P127, 0)</f>
        <v>0</v>
      </c>
      <c r="R11" s="111">
        <f>IF(Input!Q$173&gt;0, Q11+Q43+Q127, 0)</f>
        <v>0</v>
      </c>
      <c r="S11" s="106"/>
      <c r="T11" s="106"/>
      <c r="U11" s="106"/>
      <c r="V11" s="106"/>
      <c r="W11" s="106"/>
      <c r="X11" s="106"/>
      <c r="Y11" s="106"/>
      <c r="Z11" s="106"/>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row>
    <row r="12" spans="1:256" s="187" customFormat="1" outlineLevel="1">
      <c r="A12" s="9"/>
      <c r="B12" s="46"/>
      <c r="C12" s="129" t="str">
        <f>Asset5</f>
        <v>Computer Equipment</v>
      </c>
      <c r="D12" s="9"/>
      <c r="E12" s="9"/>
      <c r="F12" s="9"/>
      <c r="G12" s="193">
        <f>A5taxvalue</f>
        <v>0</v>
      </c>
      <c r="H12" s="111">
        <f t="shared" ref="H12:M12" si="7">G12+G44+G141</f>
        <v>0.05</v>
      </c>
      <c r="I12" s="111">
        <f t="shared" si="7"/>
        <v>0.87310144948076329</v>
      </c>
      <c r="J12" s="111">
        <f t="shared" si="7"/>
        <v>0.40761449155181106</v>
      </c>
      <c r="K12" s="111">
        <f t="shared" si="7"/>
        <v>11.286109046466432</v>
      </c>
      <c r="L12" s="111">
        <f t="shared" si="7"/>
        <v>0.5239130000000003</v>
      </c>
      <c r="M12" s="111">
        <f t="shared" si="7"/>
        <v>8.6300000000000008</v>
      </c>
      <c r="N12" s="111">
        <f>IF(Input!M$173&gt;0, M12+M44+M141, 0)</f>
        <v>0</v>
      </c>
      <c r="O12" s="111">
        <f>IF(Input!N$173&gt;0, N12+N44+N141, 0)</f>
        <v>0</v>
      </c>
      <c r="P12" s="111">
        <f>IF(Input!O$173&gt;0, O12+O44+O141, 0)</f>
        <v>0</v>
      </c>
      <c r="Q12" s="111">
        <f>IF(Input!P$173&gt;0, P12+P44+P141, 0)</f>
        <v>0</v>
      </c>
      <c r="R12" s="111">
        <f>IF(Input!Q$173&gt;0, Q12+Q44+Q141, 0)</f>
        <v>0</v>
      </c>
      <c r="S12" s="106"/>
      <c r="T12" s="106"/>
      <c r="U12" s="106"/>
      <c r="V12" s="106"/>
      <c r="W12" s="106"/>
      <c r="X12" s="106"/>
      <c r="Y12" s="106"/>
      <c r="Z12" s="106"/>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row>
    <row r="13" spans="1:256" s="187" customFormat="1" outlineLevel="1">
      <c r="A13" s="9"/>
      <c r="B13" s="46"/>
      <c r="C13" s="129" t="str">
        <f>Asset6</f>
        <v>Other Assets</v>
      </c>
      <c r="D13" s="9"/>
      <c r="E13" s="9"/>
      <c r="F13" s="9"/>
      <c r="G13" s="193">
        <f>A6taxvalue</f>
        <v>0</v>
      </c>
      <c r="H13" s="111">
        <f t="shared" ref="H13:M13" si="8">G13+G45+G155</f>
        <v>17.716000000000001</v>
      </c>
      <c r="I13" s="111">
        <f t="shared" si="8"/>
        <v>20.118221781684049</v>
      </c>
      <c r="J13" s="111">
        <f t="shared" si="8"/>
        <v>21.813851593418004</v>
      </c>
      <c r="K13" s="111">
        <f t="shared" si="8"/>
        <v>21.420830454019921</v>
      </c>
      <c r="L13" s="111">
        <f t="shared" si="8"/>
        <v>20.745774902740692</v>
      </c>
      <c r="M13" s="111">
        <f t="shared" si="8"/>
        <v>21.89780629684045</v>
      </c>
      <c r="N13" s="111">
        <f>IF(Input!M$173&gt;0, M13+M45+M155, 0)</f>
        <v>0</v>
      </c>
      <c r="O13" s="111">
        <f>IF(Input!N$173&gt;0, N13+N45+N155, 0)</f>
        <v>0</v>
      </c>
      <c r="P13" s="111">
        <f>IF(Input!O$173&gt;0, O13+O45+O155, 0)</f>
        <v>0</v>
      </c>
      <c r="Q13" s="111">
        <f>IF(Input!P$173&gt;0, P13+P45+P155, 0)</f>
        <v>0</v>
      </c>
      <c r="R13" s="111">
        <f>IF(Input!Q$173&gt;0, Q13+Q45+Q155, 0)</f>
        <v>0</v>
      </c>
      <c r="S13" s="106"/>
      <c r="T13" s="106"/>
      <c r="U13" s="106"/>
      <c r="V13" s="106"/>
      <c r="W13" s="106"/>
      <c r="X13" s="106"/>
      <c r="Y13" s="106"/>
      <c r="Z13" s="106"/>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row>
    <row r="14" spans="1:256" s="187" customFormat="1" outlineLevel="1">
      <c r="A14" s="9"/>
      <c r="B14" s="46"/>
      <c r="C14" s="129" t="str">
        <f>Asset7</f>
        <v>Equity Raising Costs</v>
      </c>
      <c r="D14" s="9"/>
      <c r="E14" s="9"/>
      <c r="F14" s="9"/>
      <c r="G14" s="193">
        <f>A7taxvalue</f>
        <v>0</v>
      </c>
      <c r="H14" s="111">
        <f t="shared" ref="H14:M14" si="9">G14+G46+G169</f>
        <v>0</v>
      </c>
      <c r="I14" s="111">
        <f t="shared" si="9"/>
        <v>0</v>
      </c>
      <c r="J14" s="111">
        <f t="shared" si="9"/>
        <v>0</v>
      </c>
      <c r="K14" s="111">
        <f t="shared" si="9"/>
        <v>0</v>
      </c>
      <c r="L14" s="111">
        <f t="shared" si="9"/>
        <v>0</v>
      </c>
      <c r="M14" s="111">
        <f t="shared" si="9"/>
        <v>0</v>
      </c>
      <c r="N14" s="111">
        <f>IF(Input!M$173&gt;0, M14+M46+M169, 0)</f>
        <v>0</v>
      </c>
      <c r="O14" s="111">
        <f>IF(Input!N$173&gt;0, N14+N46+N169, 0)</f>
        <v>0</v>
      </c>
      <c r="P14" s="111">
        <f>IF(Input!O$173&gt;0, O14+O46+O169, 0)</f>
        <v>0</v>
      </c>
      <c r="Q14" s="111">
        <f>IF(Input!P$173&gt;0, P14+P46+P169, 0)</f>
        <v>0</v>
      </c>
      <c r="R14" s="111">
        <f>IF(Input!Q$173&gt;0, Q14+Q46+Q169, 0)</f>
        <v>0</v>
      </c>
      <c r="S14" s="106"/>
      <c r="T14" s="106"/>
      <c r="U14" s="106"/>
      <c r="V14" s="106"/>
      <c r="W14" s="106"/>
      <c r="X14" s="106"/>
      <c r="Y14" s="106"/>
      <c r="Z14" s="106"/>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row>
    <row r="15" spans="1:256" s="187" customFormat="1" outlineLevel="1">
      <c r="A15" s="9"/>
      <c r="B15" s="46"/>
      <c r="C15" s="129" t="str">
        <f>Asset8</f>
        <v>Land</v>
      </c>
      <c r="D15" s="9"/>
      <c r="E15" s="9"/>
      <c r="F15" s="9"/>
      <c r="G15" s="193">
        <f>A8taxvalue</f>
        <v>0</v>
      </c>
      <c r="H15" s="111">
        <f t="shared" ref="H15:M15" si="10">G15+G47+G183</f>
        <v>0</v>
      </c>
      <c r="I15" s="111">
        <f t="shared" si="10"/>
        <v>0</v>
      </c>
      <c r="J15" s="111">
        <f t="shared" si="10"/>
        <v>0</v>
      </c>
      <c r="K15" s="111">
        <f t="shared" si="10"/>
        <v>0</v>
      </c>
      <c r="L15" s="111">
        <f t="shared" si="10"/>
        <v>0</v>
      </c>
      <c r="M15" s="111">
        <f t="shared" si="10"/>
        <v>0</v>
      </c>
      <c r="N15" s="111">
        <f>IF(Input!M$173&gt;0, M15+M47+M183, 0)</f>
        <v>0</v>
      </c>
      <c r="O15" s="111">
        <f>IF(Input!N$173&gt;0, N15+N47+N183, 0)</f>
        <v>0</v>
      </c>
      <c r="P15" s="111">
        <f>IF(Input!O$173&gt;0, O15+O47+O183, 0)</f>
        <v>0</v>
      </c>
      <c r="Q15" s="111">
        <f>IF(Input!P$173&gt;0, P15+P47+P183, 0)</f>
        <v>0</v>
      </c>
      <c r="R15" s="111">
        <f>IF(Input!Q$173&gt;0, Q15+Q47+Q183, 0)</f>
        <v>0</v>
      </c>
      <c r="S15" s="106"/>
      <c r="T15" s="106"/>
      <c r="U15" s="106"/>
      <c r="V15" s="106"/>
      <c r="W15" s="106"/>
      <c r="X15" s="106"/>
      <c r="Y15" s="106"/>
      <c r="Z15" s="106"/>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row>
    <row r="16" spans="1:256" s="187" customFormat="1" outlineLevel="1">
      <c r="A16" s="9"/>
      <c r="B16" s="46"/>
      <c r="C16" s="129">
        <f>Asset9</f>
        <v>0</v>
      </c>
      <c r="D16" s="9"/>
      <c r="E16" s="9"/>
      <c r="F16" s="9"/>
      <c r="G16" s="193">
        <f>A9taxvalue</f>
        <v>0</v>
      </c>
      <c r="H16" s="111">
        <f t="shared" ref="H16:M16" si="11">G16+G48+G197</f>
        <v>0</v>
      </c>
      <c r="I16" s="111">
        <f t="shared" si="11"/>
        <v>0</v>
      </c>
      <c r="J16" s="111">
        <f t="shared" si="11"/>
        <v>0</v>
      </c>
      <c r="K16" s="111">
        <f t="shared" si="11"/>
        <v>0</v>
      </c>
      <c r="L16" s="111">
        <f t="shared" si="11"/>
        <v>0</v>
      </c>
      <c r="M16" s="111">
        <f t="shared" si="11"/>
        <v>0</v>
      </c>
      <c r="N16" s="111">
        <f>IF(Input!M$173&gt;0, M16+M48+M197, 0)</f>
        <v>0</v>
      </c>
      <c r="O16" s="111">
        <f>IF(Input!N$173&gt;0, N16+N48+N197, 0)</f>
        <v>0</v>
      </c>
      <c r="P16" s="111">
        <f>IF(Input!O$173&gt;0, O16+O48+O197, 0)</f>
        <v>0</v>
      </c>
      <c r="Q16" s="111">
        <f>IF(Input!P$173&gt;0, P16+P48+P197, 0)</f>
        <v>0</v>
      </c>
      <c r="R16" s="111">
        <f>IF(Input!Q$173&gt;0, Q16+Q48+Q197, 0)</f>
        <v>0</v>
      </c>
      <c r="S16" s="106"/>
      <c r="T16" s="106"/>
      <c r="U16" s="106"/>
      <c r="V16" s="106"/>
      <c r="W16" s="106"/>
      <c r="X16" s="106"/>
      <c r="Y16" s="106"/>
      <c r="Z16" s="106"/>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row>
    <row r="17" spans="1:61" s="187" customFormat="1" outlineLevel="1">
      <c r="A17" s="9"/>
      <c r="B17" s="46"/>
      <c r="C17" s="129">
        <f>Asset10</f>
        <v>0</v>
      </c>
      <c r="D17" s="9"/>
      <c r="E17" s="9"/>
      <c r="F17" s="9"/>
      <c r="G17" s="193">
        <f>A10taxvalue</f>
        <v>0</v>
      </c>
      <c r="H17" s="111">
        <f t="shared" ref="H17:M17" si="12">G17+G49+G211</f>
        <v>0</v>
      </c>
      <c r="I17" s="111">
        <f t="shared" si="12"/>
        <v>0</v>
      </c>
      <c r="J17" s="111">
        <f t="shared" si="12"/>
        <v>0</v>
      </c>
      <c r="K17" s="111">
        <f t="shared" si="12"/>
        <v>0</v>
      </c>
      <c r="L17" s="111">
        <f t="shared" si="12"/>
        <v>0</v>
      </c>
      <c r="M17" s="111">
        <f t="shared" si="12"/>
        <v>0</v>
      </c>
      <c r="N17" s="111">
        <f>IF(Input!M$173&gt;0, M17+M49+M211, 0)</f>
        <v>0</v>
      </c>
      <c r="O17" s="111">
        <f>IF(Input!N$173&gt;0, N17+N49+N211, 0)</f>
        <v>0</v>
      </c>
      <c r="P17" s="111">
        <f>IF(Input!O$173&gt;0, O17+O49+O211, 0)</f>
        <v>0</v>
      </c>
      <c r="Q17" s="111">
        <f>IF(Input!P$173&gt;0, P17+P49+P211, 0)</f>
        <v>0</v>
      </c>
      <c r="R17" s="111">
        <f>IF(Input!Q$173&gt;0, Q17+Q49+Q211, 0)</f>
        <v>0</v>
      </c>
      <c r="S17" s="106"/>
      <c r="T17" s="106"/>
      <c r="U17" s="106"/>
      <c r="V17" s="106"/>
      <c r="W17" s="106"/>
      <c r="X17" s="106"/>
      <c r="Y17" s="106"/>
      <c r="Z17" s="106"/>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row>
    <row r="18" spans="1:61" s="187" customFormat="1" outlineLevel="1">
      <c r="A18" s="9"/>
      <c r="B18" s="46"/>
      <c r="C18" s="129">
        <f>Asset11</f>
        <v>0</v>
      </c>
      <c r="D18" s="9"/>
      <c r="E18" s="9"/>
      <c r="F18" s="9"/>
      <c r="G18" s="193">
        <f>A11taxvalue</f>
        <v>0</v>
      </c>
      <c r="H18" s="111">
        <f t="shared" ref="H18:M18" si="13">G18+G50+G225</f>
        <v>0</v>
      </c>
      <c r="I18" s="111">
        <f t="shared" si="13"/>
        <v>0</v>
      </c>
      <c r="J18" s="111">
        <f t="shared" si="13"/>
        <v>0</v>
      </c>
      <c r="K18" s="111">
        <f t="shared" si="13"/>
        <v>0</v>
      </c>
      <c r="L18" s="111">
        <f t="shared" si="13"/>
        <v>0</v>
      </c>
      <c r="M18" s="111">
        <f t="shared" si="13"/>
        <v>0</v>
      </c>
      <c r="N18" s="111">
        <f>IF(Input!M$173&gt;0, M18+M50+M225, 0)</f>
        <v>0</v>
      </c>
      <c r="O18" s="111">
        <f>IF(Input!N$173&gt;0, N18+N50+N225, 0)</f>
        <v>0</v>
      </c>
      <c r="P18" s="111">
        <f>IF(Input!O$173&gt;0, O18+O50+O225, 0)</f>
        <v>0</v>
      </c>
      <c r="Q18" s="111">
        <f>IF(Input!P$173&gt;0, P18+P50+P225, 0)</f>
        <v>0</v>
      </c>
      <c r="R18" s="111">
        <f>IF(Input!Q$173&gt;0, Q18+Q50+Q225, 0)</f>
        <v>0</v>
      </c>
      <c r="S18" s="106"/>
      <c r="T18" s="106"/>
      <c r="U18" s="106"/>
      <c r="V18" s="106"/>
      <c r="W18" s="106"/>
      <c r="X18" s="106"/>
      <c r="Y18" s="106"/>
      <c r="Z18" s="106"/>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row>
    <row r="19" spans="1:61" s="187" customFormat="1" outlineLevel="1">
      <c r="A19" s="9"/>
      <c r="B19" s="46"/>
      <c r="C19" s="129">
        <f>Asset12</f>
        <v>0</v>
      </c>
      <c r="D19" s="9"/>
      <c r="E19" s="9"/>
      <c r="F19" s="9"/>
      <c r="G19" s="193">
        <f>A12taxvalue</f>
        <v>0</v>
      </c>
      <c r="H19" s="111">
        <f t="shared" ref="H19:M19" si="14">G19+G51+G239</f>
        <v>0</v>
      </c>
      <c r="I19" s="111">
        <f t="shared" si="14"/>
        <v>0</v>
      </c>
      <c r="J19" s="111">
        <f t="shared" si="14"/>
        <v>0</v>
      </c>
      <c r="K19" s="111">
        <f t="shared" si="14"/>
        <v>0</v>
      </c>
      <c r="L19" s="111">
        <f t="shared" si="14"/>
        <v>0</v>
      </c>
      <c r="M19" s="111">
        <f t="shared" si="14"/>
        <v>0</v>
      </c>
      <c r="N19" s="111">
        <f>IF(Input!M$173&gt;0, M19+M51+M239, 0)</f>
        <v>0</v>
      </c>
      <c r="O19" s="111">
        <f>IF(Input!N$173&gt;0, N19+N51+N239, 0)</f>
        <v>0</v>
      </c>
      <c r="P19" s="111">
        <f>IF(Input!O$173&gt;0, O19+O51+O239, 0)</f>
        <v>0</v>
      </c>
      <c r="Q19" s="111">
        <f>IF(Input!P$173&gt;0, P19+P51+P239, 0)</f>
        <v>0</v>
      </c>
      <c r="R19" s="111">
        <f>IF(Input!Q$173&gt;0, Q19+Q51+Q239, 0)</f>
        <v>0</v>
      </c>
      <c r="S19" s="106"/>
      <c r="T19" s="106"/>
      <c r="U19" s="106"/>
      <c r="V19" s="106"/>
      <c r="W19" s="106"/>
      <c r="X19" s="106"/>
      <c r="Y19" s="106"/>
      <c r="Z19" s="106"/>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row>
    <row r="20" spans="1:61" s="187" customFormat="1" outlineLevel="1">
      <c r="A20" s="9"/>
      <c r="B20" s="46"/>
      <c r="C20" s="129">
        <f>Asset13</f>
        <v>0</v>
      </c>
      <c r="D20" s="9"/>
      <c r="E20" s="9"/>
      <c r="F20" s="9"/>
      <c r="G20" s="193">
        <f>A13taxvalue</f>
        <v>0</v>
      </c>
      <c r="H20" s="111">
        <f t="shared" ref="H20:M20" si="15">G20+G52+G253</f>
        <v>0</v>
      </c>
      <c r="I20" s="111">
        <f t="shared" si="15"/>
        <v>0</v>
      </c>
      <c r="J20" s="111">
        <f t="shared" si="15"/>
        <v>0</v>
      </c>
      <c r="K20" s="111">
        <f t="shared" si="15"/>
        <v>0</v>
      </c>
      <c r="L20" s="111">
        <f t="shared" si="15"/>
        <v>0</v>
      </c>
      <c r="M20" s="111">
        <f t="shared" si="15"/>
        <v>0</v>
      </c>
      <c r="N20" s="111">
        <f>IF(Input!M$173&gt;0, M20+M52+M253, 0)</f>
        <v>0</v>
      </c>
      <c r="O20" s="111">
        <f>IF(Input!N$173&gt;0, N20+N52+N253, 0)</f>
        <v>0</v>
      </c>
      <c r="P20" s="111">
        <f>IF(Input!O$173&gt;0, O20+O52+O253, 0)</f>
        <v>0</v>
      </c>
      <c r="Q20" s="111">
        <f>IF(Input!P$173&gt;0, P20+P52+P253, 0)</f>
        <v>0</v>
      </c>
      <c r="R20" s="111">
        <f>IF(Input!Q$173&gt;0, Q20+Q52+Q253, 0)</f>
        <v>0</v>
      </c>
      <c r="S20" s="106"/>
      <c r="T20" s="106"/>
      <c r="U20" s="106"/>
      <c r="V20" s="106"/>
      <c r="W20" s="106"/>
      <c r="X20" s="106"/>
      <c r="Y20" s="106"/>
      <c r="Z20" s="106"/>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row>
    <row r="21" spans="1:61" s="187" customFormat="1" outlineLevel="1">
      <c r="A21" s="9"/>
      <c r="B21" s="46"/>
      <c r="C21" s="129">
        <f>Asset14</f>
        <v>0</v>
      </c>
      <c r="D21" s="9"/>
      <c r="E21" s="9"/>
      <c r="F21" s="9"/>
      <c r="G21" s="193">
        <f>A14taxvalue</f>
        <v>0</v>
      </c>
      <c r="H21" s="111">
        <f t="shared" ref="H21:M21" si="16">G21+G53+G267</f>
        <v>0</v>
      </c>
      <c r="I21" s="111">
        <f t="shared" si="16"/>
        <v>0</v>
      </c>
      <c r="J21" s="111">
        <f t="shared" si="16"/>
        <v>0</v>
      </c>
      <c r="K21" s="111">
        <f t="shared" si="16"/>
        <v>0</v>
      </c>
      <c r="L21" s="111">
        <f t="shared" si="16"/>
        <v>0</v>
      </c>
      <c r="M21" s="111">
        <f t="shared" si="16"/>
        <v>0</v>
      </c>
      <c r="N21" s="111">
        <f>IF(Input!M$173&gt;0, M21+M53+M267, 0)</f>
        <v>0</v>
      </c>
      <c r="O21" s="111">
        <f>IF(Input!N$173&gt;0, N21+N53+N267, 0)</f>
        <v>0</v>
      </c>
      <c r="P21" s="111">
        <f>IF(Input!O$173&gt;0, O21+O53+O267, 0)</f>
        <v>0</v>
      </c>
      <c r="Q21" s="111">
        <f>IF(Input!P$173&gt;0, P21+P53+P267, 0)</f>
        <v>0</v>
      </c>
      <c r="R21" s="111">
        <f>IF(Input!Q$173&gt;0, Q21+Q53+Q267, 0)</f>
        <v>0</v>
      </c>
      <c r="S21" s="106"/>
      <c r="T21" s="106"/>
      <c r="U21" s="106"/>
      <c r="V21" s="106"/>
      <c r="W21" s="106"/>
      <c r="X21" s="106"/>
      <c r="Y21" s="106"/>
      <c r="Z21" s="106"/>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row>
    <row r="22" spans="1:61" s="187" customFormat="1" outlineLevel="1">
      <c r="A22" s="9"/>
      <c r="B22" s="46"/>
      <c r="C22" s="129">
        <f>Asset15</f>
        <v>0</v>
      </c>
      <c r="D22" s="9"/>
      <c r="E22" s="9"/>
      <c r="F22" s="9"/>
      <c r="G22" s="193">
        <f>A15taxvalue</f>
        <v>0</v>
      </c>
      <c r="H22" s="111">
        <f t="shared" ref="H22:M22" si="17">G22+G54+G281</f>
        <v>0</v>
      </c>
      <c r="I22" s="111">
        <f t="shared" si="17"/>
        <v>0</v>
      </c>
      <c r="J22" s="111">
        <f t="shared" si="17"/>
        <v>0</v>
      </c>
      <c r="K22" s="111">
        <f t="shared" si="17"/>
        <v>0</v>
      </c>
      <c r="L22" s="111">
        <f t="shared" si="17"/>
        <v>0</v>
      </c>
      <c r="M22" s="111">
        <f t="shared" si="17"/>
        <v>0</v>
      </c>
      <c r="N22" s="111">
        <f>IF(Input!M$173&gt;0, M22+M54+M281, 0)</f>
        <v>0</v>
      </c>
      <c r="O22" s="111">
        <f>IF(Input!N$173&gt;0, N22+N54+N281, 0)</f>
        <v>0</v>
      </c>
      <c r="P22" s="111">
        <f>IF(Input!O$173&gt;0, O22+O54+O281, 0)</f>
        <v>0</v>
      </c>
      <c r="Q22" s="111">
        <f>IF(Input!P$173&gt;0, P22+P54+P281, 0)</f>
        <v>0</v>
      </c>
      <c r="R22" s="111">
        <f>IF(Input!Q$173&gt;0, Q22+Q54+Q281, 0)</f>
        <v>0</v>
      </c>
      <c r="S22" s="106"/>
      <c r="T22" s="106"/>
      <c r="U22" s="106"/>
      <c r="V22" s="106"/>
      <c r="W22" s="106"/>
      <c r="X22" s="106"/>
      <c r="Y22" s="106"/>
      <c r="Z22" s="106"/>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row>
    <row r="23" spans="1:61" s="187" customFormat="1" outlineLevel="1">
      <c r="A23" s="9"/>
      <c r="B23" s="46"/>
      <c r="C23" s="129">
        <f>Asset16</f>
        <v>0</v>
      </c>
      <c r="D23" s="9"/>
      <c r="E23" s="9"/>
      <c r="F23" s="9"/>
      <c r="G23" s="193">
        <f>A16taxvalue</f>
        <v>0</v>
      </c>
      <c r="H23" s="111">
        <f t="shared" ref="H23:M23" si="18">G23+G55+G295</f>
        <v>0</v>
      </c>
      <c r="I23" s="111">
        <f t="shared" si="18"/>
        <v>0</v>
      </c>
      <c r="J23" s="111">
        <f t="shared" si="18"/>
        <v>0</v>
      </c>
      <c r="K23" s="111">
        <f t="shared" si="18"/>
        <v>0</v>
      </c>
      <c r="L23" s="111">
        <f t="shared" si="18"/>
        <v>0</v>
      </c>
      <c r="M23" s="111">
        <f t="shared" si="18"/>
        <v>0</v>
      </c>
      <c r="N23" s="111">
        <f>IF(Input!M$173&gt;0, M23+M55+M295, 0)</f>
        <v>0</v>
      </c>
      <c r="O23" s="111">
        <f>IF(Input!N$173&gt;0, N23+N55+N295, 0)</f>
        <v>0</v>
      </c>
      <c r="P23" s="111">
        <f>IF(Input!O$173&gt;0, O23+O55+O295, 0)</f>
        <v>0</v>
      </c>
      <c r="Q23" s="111">
        <f>IF(Input!P$173&gt;0, P23+P55+P295, 0)</f>
        <v>0</v>
      </c>
      <c r="R23" s="111">
        <f>IF(Input!Q$173&gt;0, Q23+Q55+Q295, 0)</f>
        <v>0</v>
      </c>
      <c r="S23" s="106"/>
      <c r="T23" s="106"/>
      <c r="U23" s="106"/>
      <c r="V23" s="106"/>
      <c r="W23" s="106"/>
      <c r="X23" s="106"/>
      <c r="Y23" s="106"/>
      <c r="Z23" s="106"/>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row>
    <row r="24" spans="1:61" s="187" customFormat="1" outlineLevel="1">
      <c r="A24" s="9"/>
      <c r="B24" s="46"/>
      <c r="C24" s="129">
        <f>Asset17</f>
        <v>0</v>
      </c>
      <c r="D24" s="9"/>
      <c r="E24" s="9"/>
      <c r="F24" s="9"/>
      <c r="G24" s="193">
        <f>A17taxvalue</f>
        <v>0</v>
      </c>
      <c r="H24" s="111">
        <f t="shared" ref="H24:M24" si="19">G24+G56+G309</f>
        <v>0</v>
      </c>
      <c r="I24" s="111">
        <f t="shared" si="19"/>
        <v>0</v>
      </c>
      <c r="J24" s="111">
        <f t="shared" si="19"/>
        <v>0</v>
      </c>
      <c r="K24" s="111">
        <f t="shared" si="19"/>
        <v>0</v>
      </c>
      <c r="L24" s="111">
        <f t="shared" si="19"/>
        <v>0</v>
      </c>
      <c r="M24" s="111">
        <f t="shared" si="19"/>
        <v>0</v>
      </c>
      <c r="N24" s="111">
        <f>IF(Input!M$173&gt;0, M24+M56+M309, 0)</f>
        <v>0</v>
      </c>
      <c r="O24" s="111">
        <f>IF(Input!N$173&gt;0, N24+N56+N309, 0)</f>
        <v>0</v>
      </c>
      <c r="P24" s="111">
        <f>IF(Input!O$173&gt;0, O24+O56+O309, 0)</f>
        <v>0</v>
      </c>
      <c r="Q24" s="111">
        <f>IF(Input!P$173&gt;0, P24+P56+P309, 0)</f>
        <v>0</v>
      </c>
      <c r="R24" s="111">
        <f>IF(Input!Q$173&gt;0, Q24+Q56+Q309, 0)</f>
        <v>0</v>
      </c>
      <c r="S24" s="106"/>
      <c r="T24" s="106"/>
      <c r="U24" s="106"/>
      <c r="V24" s="106"/>
      <c r="W24" s="106"/>
      <c r="X24" s="106"/>
      <c r="Y24" s="106"/>
      <c r="Z24" s="106"/>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row>
    <row r="25" spans="1:61" s="187" customFormat="1" outlineLevel="1">
      <c r="A25" s="9"/>
      <c r="B25" s="46"/>
      <c r="C25" s="129">
        <f>Asset18</f>
        <v>0</v>
      </c>
      <c r="D25" s="9"/>
      <c r="E25" s="9"/>
      <c r="F25" s="9"/>
      <c r="G25" s="193">
        <f>A18taxvalue</f>
        <v>0</v>
      </c>
      <c r="H25" s="111">
        <f t="shared" ref="H25:M25" si="20">G25+G57+G323</f>
        <v>0</v>
      </c>
      <c r="I25" s="111">
        <f t="shared" si="20"/>
        <v>0</v>
      </c>
      <c r="J25" s="111">
        <f t="shared" si="20"/>
        <v>0</v>
      </c>
      <c r="K25" s="111">
        <f t="shared" si="20"/>
        <v>0</v>
      </c>
      <c r="L25" s="111">
        <f t="shared" si="20"/>
        <v>0</v>
      </c>
      <c r="M25" s="111">
        <f t="shared" si="20"/>
        <v>0</v>
      </c>
      <c r="N25" s="111">
        <f>IF(Input!M$173&gt;0, M25+M57+M323, 0)</f>
        <v>0</v>
      </c>
      <c r="O25" s="111">
        <f>IF(Input!N$173&gt;0, N25+N57+N323, 0)</f>
        <v>0</v>
      </c>
      <c r="P25" s="111">
        <f>IF(Input!O$173&gt;0, O25+O57+O323, 0)</f>
        <v>0</v>
      </c>
      <c r="Q25" s="111">
        <f>IF(Input!P$173&gt;0, P25+P57+P323, 0)</f>
        <v>0</v>
      </c>
      <c r="R25" s="111">
        <f>IF(Input!Q$173&gt;0, Q25+Q57+Q323, 0)</f>
        <v>0</v>
      </c>
      <c r="S25" s="106"/>
      <c r="T25" s="106"/>
      <c r="U25" s="106"/>
      <c r="V25" s="106"/>
      <c r="W25" s="106"/>
      <c r="X25" s="106"/>
      <c r="Y25" s="106"/>
      <c r="Z25" s="106"/>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row>
    <row r="26" spans="1:61" s="187" customFormat="1" outlineLevel="1">
      <c r="A26" s="9"/>
      <c r="B26" s="46"/>
      <c r="C26" s="129">
        <f>Asset19</f>
        <v>0</v>
      </c>
      <c r="D26" s="9"/>
      <c r="E26" s="9"/>
      <c r="F26" s="9"/>
      <c r="G26" s="193">
        <f>A19taxvalue</f>
        <v>0</v>
      </c>
      <c r="H26" s="111">
        <f t="shared" ref="H26:M26" si="21">G26+G58+G337</f>
        <v>0</v>
      </c>
      <c r="I26" s="111">
        <f t="shared" si="21"/>
        <v>0</v>
      </c>
      <c r="J26" s="111">
        <f t="shared" si="21"/>
        <v>0</v>
      </c>
      <c r="K26" s="111">
        <f t="shared" si="21"/>
        <v>0</v>
      </c>
      <c r="L26" s="111">
        <f t="shared" si="21"/>
        <v>0</v>
      </c>
      <c r="M26" s="111">
        <f t="shared" si="21"/>
        <v>0</v>
      </c>
      <c r="N26" s="111">
        <f>IF(Input!M$173&gt;0, M26+M58+M337, 0)</f>
        <v>0</v>
      </c>
      <c r="O26" s="111">
        <f>IF(Input!N$173&gt;0, N26+N58+N337, 0)</f>
        <v>0</v>
      </c>
      <c r="P26" s="111">
        <f>IF(Input!O$173&gt;0, O26+O58+O337, 0)</f>
        <v>0</v>
      </c>
      <c r="Q26" s="111">
        <f>IF(Input!P$173&gt;0, P26+P58+P337, 0)</f>
        <v>0</v>
      </c>
      <c r="R26" s="111">
        <f>IF(Input!Q$173&gt;0, Q26+Q58+Q337, 0)</f>
        <v>0</v>
      </c>
      <c r="S26" s="106"/>
      <c r="T26" s="106"/>
      <c r="U26" s="106"/>
      <c r="V26" s="106"/>
      <c r="W26" s="106"/>
      <c r="X26" s="106"/>
      <c r="Y26" s="106"/>
      <c r="Z26" s="106"/>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row>
    <row r="27" spans="1:61" s="187" customFormat="1" outlineLevel="1">
      <c r="A27" s="9"/>
      <c r="B27" s="46"/>
      <c r="C27" s="129">
        <f>Asset20</f>
        <v>0</v>
      </c>
      <c r="D27" s="9"/>
      <c r="E27" s="9"/>
      <c r="F27" s="9"/>
      <c r="G27" s="193">
        <f>A20taxvalue</f>
        <v>0</v>
      </c>
      <c r="H27" s="111">
        <f t="shared" ref="H27:M27" si="22">G27+G59+G351</f>
        <v>0</v>
      </c>
      <c r="I27" s="111">
        <f t="shared" si="22"/>
        <v>0</v>
      </c>
      <c r="J27" s="111">
        <f t="shared" si="22"/>
        <v>0</v>
      </c>
      <c r="K27" s="111">
        <f t="shared" si="22"/>
        <v>0</v>
      </c>
      <c r="L27" s="111">
        <f t="shared" si="22"/>
        <v>0</v>
      </c>
      <c r="M27" s="111">
        <f t="shared" si="22"/>
        <v>0</v>
      </c>
      <c r="N27" s="111">
        <f>IF(Input!M$173&gt;0, M27+M59+M351, 0)</f>
        <v>0</v>
      </c>
      <c r="O27" s="111">
        <f>IF(Input!N$173&gt;0, N27+N59+N351, 0)</f>
        <v>0</v>
      </c>
      <c r="P27" s="111">
        <f>IF(Input!O$173&gt;0, O27+O59+O351, 0)</f>
        <v>0</v>
      </c>
      <c r="Q27" s="111">
        <f>IF(Input!P$173&gt;0, P27+P59+P351, 0)</f>
        <v>0</v>
      </c>
      <c r="R27" s="111">
        <f>IF(Input!Q$173&gt;0, Q27+Q59+Q351, 0)</f>
        <v>0</v>
      </c>
      <c r="S27" s="106"/>
      <c r="T27" s="106"/>
      <c r="U27" s="106"/>
      <c r="V27" s="106"/>
      <c r="W27" s="106"/>
      <c r="X27" s="106"/>
      <c r="Y27" s="106"/>
      <c r="Z27" s="106"/>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row>
    <row r="28" spans="1:61" s="187" customFormat="1" outlineLevel="1">
      <c r="A28" s="9"/>
      <c r="B28" s="46"/>
      <c r="C28" s="129">
        <f>Asset21</f>
        <v>0</v>
      </c>
      <c r="D28" s="9"/>
      <c r="E28" s="9"/>
      <c r="F28" s="9"/>
      <c r="G28" s="193">
        <f>A21taxvalue</f>
        <v>0</v>
      </c>
      <c r="H28" s="111">
        <f t="shared" ref="H28:M28" si="23">G28+G60+G365</f>
        <v>0</v>
      </c>
      <c r="I28" s="111">
        <f t="shared" si="23"/>
        <v>0</v>
      </c>
      <c r="J28" s="111">
        <f t="shared" si="23"/>
        <v>0</v>
      </c>
      <c r="K28" s="111">
        <f t="shared" si="23"/>
        <v>0</v>
      </c>
      <c r="L28" s="111">
        <f t="shared" si="23"/>
        <v>0</v>
      </c>
      <c r="M28" s="111">
        <f t="shared" si="23"/>
        <v>0</v>
      </c>
      <c r="N28" s="111">
        <f>IF(Input!M$173&gt;0, M28+M60+M352, 0)</f>
        <v>0</v>
      </c>
      <c r="O28" s="111">
        <f>IF(Input!N$173&gt;0, N28+N60+N365, 0)</f>
        <v>0</v>
      </c>
      <c r="P28" s="111">
        <f>IF(Input!O$173&gt;0, O28+O60+O365, 0)</f>
        <v>0</v>
      </c>
      <c r="Q28" s="111">
        <f>IF(Input!P$173&gt;0, P28+P60+P365, 0)</f>
        <v>0</v>
      </c>
      <c r="R28" s="111">
        <f>IF(Input!Q$173&gt;0, Q28+Q60+Q365, 0)</f>
        <v>0</v>
      </c>
      <c r="S28" s="106"/>
      <c r="T28" s="106"/>
      <c r="U28" s="106"/>
      <c r="V28" s="106"/>
      <c r="W28" s="106"/>
      <c r="X28" s="106"/>
      <c r="Y28" s="106"/>
      <c r="Z28" s="106"/>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row>
    <row r="29" spans="1:61" s="187" customFormat="1" outlineLevel="1">
      <c r="A29" s="9"/>
      <c r="B29" s="46"/>
      <c r="C29" s="129">
        <f>Asset22</f>
        <v>0</v>
      </c>
      <c r="D29" s="9"/>
      <c r="E29" s="9"/>
      <c r="F29" s="9"/>
      <c r="G29" s="193">
        <f>A22taxvalue</f>
        <v>0</v>
      </c>
      <c r="H29" s="111">
        <f t="shared" ref="H29:M29" si="24">G29+G61+G379</f>
        <v>0</v>
      </c>
      <c r="I29" s="111">
        <f t="shared" si="24"/>
        <v>0</v>
      </c>
      <c r="J29" s="111">
        <f t="shared" si="24"/>
        <v>0</v>
      </c>
      <c r="K29" s="111">
        <f t="shared" si="24"/>
        <v>0</v>
      </c>
      <c r="L29" s="111">
        <f t="shared" si="24"/>
        <v>0</v>
      </c>
      <c r="M29" s="111">
        <f t="shared" si="24"/>
        <v>0</v>
      </c>
      <c r="N29" s="111">
        <f>IF(Input!M$173&gt;0, M29+M61+M353, 0)</f>
        <v>0</v>
      </c>
      <c r="O29" s="111">
        <f>IF(Input!N$173&gt;0, N29+N61+N379, 0)</f>
        <v>0</v>
      </c>
      <c r="P29" s="111">
        <f>IF(Input!O$173&gt;0, O29+O61+O379, 0)</f>
        <v>0</v>
      </c>
      <c r="Q29" s="111">
        <f>IF(Input!P$173&gt;0, P29+P61+P379, 0)</f>
        <v>0</v>
      </c>
      <c r="R29" s="111">
        <f>IF(Input!Q$173&gt;0, Q29+Q61+Q379, 0)</f>
        <v>0</v>
      </c>
      <c r="S29" s="106"/>
      <c r="T29" s="106"/>
      <c r="U29" s="106"/>
      <c r="V29" s="106"/>
      <c r="W29" s="106"/>
      <c r="X29" s="106"/>
      <c r="Y29" s="106"/>
      <c r="Z29" s="106"/>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row>
    <row r="30" spans="1:61" s="187" customFormat="1" outlineLevel="1">
      <c r="A30" s="9"/>
      <c r="B30" s="46"/>
      <c r="C30" s="129">
        <f>Asset23</f>
        <v>0</v>
      </c>
      <c r="D30" s="9"/>
      <c r="E30" s="9"/>
      <c r="F30" s="9"/>
      <c r="G30" s="193">
        <f>A23taxvalue</f>
        <v>0</v>
      </c>
      <c r="H30" s="111">
        <f t="shared" ref="H30:M30" si="25">G30+G62+G393</f>
        <v>0</v>
      </c>
      <c r="I30" s="111">
        <f t="shared" si="25"/>
        <v>0</v>
      </c>
      <c r="J30" s="111">
        <f t="shared" si="25"/>
        <v>0</v>
      </c>
      <c r="K30" s="111">
        <f t="shared" si="25"/>
        <v>0</v>
      </c>
      <c r="L30" s="111">
        <f t="shared" si="25"/>
        <v>0</v>
      </c>
      <c r="M30" s="111">
        <f t="shared" si="25"/>
        <v>0</v>
      </c>
      <c r="N30" s="111">
        <f>IF(Input!M$173&gt;0, M30+M62+M354, 0)</f>
        <v>0</v>
      </c>
      <c r="O30" s="111">
        <f>IF(Input!N$173&gt;0, N30+N62+N393, 0)</f>
        <v>0</v>
      </c>
      <c r="P30" s="111">
        <f>IF(Input!O$173&gt;0, O30+O62+O393, 0)</f>
        <v>0</v>
      </c>
      <c r="Q30" s="111">
        <f>IF(Input!P$173&gt;0, P30+P62+P393, 0)</f>
        <v>0</v>
      </c>
      <c r="R30" s="111">
        <f>IF(Input!Q$173&gt;0, Q30+Q62+Q393, 0)</f>
        <v>0</v>
      </c>
      <c r="S30" s="106"/>
      <c r="T30" s="106"/>
      <c r="U30" s="106"/>
      <c r="V30" s="106"/>
      <c r="W30" s="106"/>
      <c r="X30" s="106"/>
      <c r="Y30" s="106"/>
      <c r="Z30" s="106"/>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row>
    <row r="31" spans="1:61" s="187" customFormat="1" outlineLevel="1">
      <c r="A31" s="9"/>
      <c r="B31" s="46"/>
      <c r="C31" s="129">
        <f>Asset24</f>
        <v>0</v>
      </c>
      <c r="D31" s="9"/>
      <c r="E31" s="9"/>
      <c r="F31" s="9"/>
      <c r="G31" s="193">
        <f>A24taxvalue</f>
        <v>0</v>
      </c>
      <c r="H31" s="111">
        <f t="shared" ref="H31:M31" si="26">G31+G63+G407</f>
        <v>0</v>
      </c>
      <c r="I31" s="111">
        <f t="shared" si="26"/>
        <v>0</v>
      </c>
      <c r="J31" s="111">
        <f t="shared" si="26"/>
        <v>0</v>
      </c>
      <c r="K31" s="111">
        <f t="shared" si="26"/>
        <v>0</v>
      </c>
      <c r="L31" s="111">
        <f t="shared" si="26"/>
        <v>0</v>
      </c>
      <c r="M31" s="111">
        <f t="shared" si="26"/>
        <v>0</v>
      </c>
      <c r="N31" s="111">
        <f>IF(Input!M$173&gt;0, M31+M63+M355, 0)</f>
        <v>0</v>
      </c>
      <c r="O31" s="111">
        <f>IF(Input!N$173&gt;0, N31+N63+N407, 0)</f>
        <v>0</v>
      </c>
      <c r="P31" s="111">
        <f>IF(Input!O$173&gt;0, O31+O63+O407, 0)</f>
        <v>0</v>
      </c>
      <c r="Q31" s="111">
        <f>IF(Input!P$173&gt;0, P31+P63+P407, 0)</f>
        <v>0</v>
      </c>
      <c r="R31" s="111">
        <f>IF(Input!Q$173&gt;0, Q31+Q63+Q407, 0)</f>
        <v>0</v>
      </c>
      <c r="S31" s="106"/>
      <c r="T31" s="106"/>
      <c r="U31" s="106"/>
      <c r="V31" s="106"/>
      <c r="W31" s="106"/>
      <c r="X31" s="106"/>
      <c r="Y31" s="106"/>
      <c r="Z31" s="106"/>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row>
    <row r="32" spans="1:61" s="187" customFormat="1" outlineLevel="1">
      <c r="A32" s="9"/>
      <c r="B32" s="46"/>
      <c r="C32" s="129">
        <f>Asset25</f>
        <v>0</v>
      </c>
      <c r="D32" s="9"/>
      <c r="E32" s="9"/>
      <c r="F32" s="9"/>
      <c r="G32" s="193">
        <f>A25taxvalue</f>
        <v>0</v>
      </c>
      <c r="H32" s="111">
        <f t="shared" ref="H32:M32" si="27">G32+G64+G421</f>
        <v>0</v>
      </c>
      <c r="I32" s="111">
        <f t="shared" si="27"/>
        <v>0</v>
      </c>
      <c r="J32" s="111">
        <f t="shared" si="27"/>
        <v>0</v>
      </c>
      <c r="K32" s="111">
        <f t="shared" si="27"/>
        <v>0</v>
      </c>
      <c r="L32" s="111">
        <f t="shared" si="27"/>
        <v>0</v>
      </c>
      <c r="M32" s="111">
        <f t="shared" si="27"/>
        <v>0</v>
      </c>
      <c r="N32" s="111">
        <f>IF(Input!M$173&gt;0, M32+M64+M356, 0)</f>
        <v>0</v>
      </c>
      <c r="O32" s="111">
        <f>IF(Input!N$173&gt;0, N32+N64+N421, 0)</f>
        <v>0</v>
      </c>
      <c r="P32" s="111">
        <f>IF(Input!O$173&gt;0, O32+O64+O421, 0)</f>
        <v>0</v>
      </c>
      <c r="Q32" s="111">
        <f>IF(Input!P$173&gt;0, P32+P64+P421, 0)</f>
        <v>0</v>
      </c>
      <c r="R32" s="111">
        <f>IF(Input!Q$173&gt;0, Q32+Q64+Q421, 0)</f>
        <v>0</v>
      </c>
      <c r="S32" s="106"/>
      <c r="T32" s="106"/>
      <c r="U32" s="106"/>
      <c r="V32" s="106"/>
      <c r="W32" s="106"/>
      <c r="X32" s="106"/>
      <c r="Y32" s="106"/>
      <c r="Z32" s="106"/>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row>
    <row r="33" spans="1:61" s="187" customFormat="1" outlineLevel="1">
      <c r="A33" s="9"/>
      <c r="B33" s="46"/>
      <c r="C33" s="129">
        <f>Asset26</f>
        <v>0</v>
      </c>
      <c r="D33" s="9"/>
      <c r="E33" s="9"/>
      <c r="F33" s="9"/>
      <c r="G33" s="193">
        <f>A26taxvalue</f>
        <v>0</v>
      </c>
      <c r="H33" s="111">
        <f t="shared" ref="H33:M33" si="28">G33+G65+G435</f>
        <v>0</v>
      </c>
      <c r="I33" s="111">
        <f t="shared" si="28"/>
        <v>0</v>
      </c>
      <c r="J33" s="111">
        <f t="shared" si="28"/>
        <v>0</v>
      </c>
      <c r="K33" s="111">
        <f t="shared" si="28"/>
        <v>0</v>
      </c>
      <c r="L33" s="111">
        <f t="shared" si="28"/>
        <v>0</v>
      </c>
      <c r="M33" s="111">
        <f t="shared" si="28"/>
        <v>0</v>
      </c>
      <c r="N33" s="111">
        <f>IF(Input!M$173&gt;0, M33+M65+M357, 0)</f>
        <v>0</v>
      </c>
      <c r="O33" s="111">
        <f>IF(Input!N$173&gt;0, N33+N65+N435, 0)</f>
        <v>0</v>
      </c>
      <c r="P33" s="111">
        <f>IF(Input!O$173&gt;0, O33+O65+O435, 0)</f>
        <v>0</v>
      </c>
      <c r="Q33" s="111">
        <f>IF(Input!P$173&gt;0, P33+P65+P435, 0)</f>
        <v>0</v>
      </c>
      <c r="R33" s="111">
        <f>IF(Input!Q$173&gt;0, Q33+Q65+Q435, 0)</f>
        <v>0</v>
      </c>
      <c r="S33" s="106"/>
      <c r="T33" s="106"/>
      <c r="U33" s="106"/>
      <c r="V33" s="106"/>
      <c r="W33" s="106"/>
      <c r="X33" s="106"/>
      <c r="Y33" s="106"/>
      <c r="Z33" s="106"/>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row>
    <row r="34" spans="1:61" s="187" customFormat="1" outlineLevel="1">
      <c r="A34" s="9"/>
      <c r="B34" s="46"/>
      <c r="C34" s="129">
        <f>Asset27</f>
        <v>0</v>
      </c>
      <c r="D34" s="9"/>
      <c r="E34" s="9"/>
      <c r="F34" s="9"/>
      <c r="G34" s="193">
        <f>A27taxvalue</f>
        <v>0</v>
      </c>
      <c r="H34" s="111">
        <f t="shared" ref="H34:M34" si="29">G34+G66+G449</f>
        <v>0</v>
      </c>
      <c r="I34" s="111">
        <f t="shared" si="29"/>
        <v>0</v>
      </c>
      <c r="J34" s="111">
        <f t="shared" si="29"/>
        <v>0</v>
      </c>
      <c r="K34" s="111">
        <f t="shared" si="29"/>
        <v>0</v>
      </c>
      <c r="L34" s="111">
        <f t="shared" si="29"/>
        <v>0</v>
      </c>
      <c r="M34" s="111">
        <f t="shared" si="29"/>
        <v>0</v>
      </c>
      <c r="N34" s="111">
        <f>IF(Input!M$173&gt;0, M34+M66+M358, 0)</f>
        <v>0</v>
      </c>
      <c r="O34" s="111">
        <f>IF(Input!N$173&gt;0, N34+N66+N449, 0)</f>
        <v>0</v>
      </c>
      <c r="P34" s="111">
        <f>IF(Input!O$173&gt;0, O34+O66+O449, 0)</f>
        <v>0</v>
      </c>
      <c r="Q34" s="111">
        <f>IF(Input!P$173&gt;0, P34+P66+P449, 0)</f>
        <v>0</v>
      </c>
      <c r="R34" s="111">
        <f>IF(Input!Q$173&gt;0, Q34+Q66+Q449, 0)</f>
        <v>0</v>
      </c>
      <c r="S34" s="106"/>
      <c r="T34" s="106"/>
      <c r="U34" s="106"/>
      <c r="V34" s="106"/>
      <c r="W34" s="106"/>
      <c r="X34" s="106"/>
      <c r="Y34" s="106"/>
      <c r="Z34" s="106"/>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row>
    <row r="35" spans="1:61" s="187" customFormat="1" outlineLevel="1">
      <c r="A35" s="9"/>
      <c r="B35" s="46"/>
      <c r="C35" s="129">
        <f>Asset28</f>
        <v>0</v>
      </c>
      <c r="D35" s="9"/>
      <c r="E35" s="9"/>
      <c r="F35" s="9"/>
      <c r="G35" s="193">
        <f>A28taxvalue</f>
        <v>0</v>
      </c>
      <c r="H35" s="111">
        <f t="shared" ref="H35:M35" si="30">G35+G67+G463</f>
        <v>0</v>
      </c>
      <c r="I35" s="111">
        <f t="shared" si="30"/>
        <v>0</v>
      </c>
      <c r="J35" s="111">
        <f t="shared" si="30"/>
        <v>0</v>
      </c>
      <c r="K35" s="111">
        <f t="shared" si="30"/>
        <v>0</v>
      </c>
      <c r="L35" s="111">
        <f t="shared" si="30"/>
        <v>0</v>
      </c>
      <c r="M35" s="111">
        <f t="shared" si="30"/>
        <v>0</v>
      </c>
      <c r="N35" s="111">
        <f>IF(Input!M$173&gt;0, M35+M67+M359, 0)</f>
        <v>0</v>
      </c>
      <c r="O35" s="111">
        <f>IF(Input!N$173&gt;0, N35+N67+N463, 0)</f>
        <v>0</v>
      </c>
      <c r="P35" s="111">
        <f>IF(Input!O$173&gt;0, O35+O67+O463, 0)</f>
        <v>0</v>
      </c>
      <c r="Q35" s="111">
        <f>IF(Input!P$173&gt;0, P35+P67+P463, 0)</f>
        <v>0</v>
      </c>
      <c r="R35" s="111">
        <f>IF(Input!Q$173&gt;0, Q35+Q67+Q463, 0)</f>
        <v>0</v>
      </c>
      <c r="S35" s="106"/>
      <c r="T35" s="106"/>
      <c r="U35" s="106"/>
      <c r="V35" s="106"/>
      <c r="W35" s="106"/>
      <c r="X35" s="106"/>
      <c r="Y35" s="106"/>
      <c r="Z35" s="106"/>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row>
    <row r="36" spans="1:61" s="187" customFormat="1" outlineLevel="1">
      <c r="A36" s="9"/>
      <c r="B36" s="46"/>
      <c r="C36" s="129">
        <f>Asset29</f>
        <v>0</v>
      </c>
      <c r="D36" s="9"/>
      <c r="E36" s="9"/>
      <c r="F36" s="9"/>
      <c r="G36" s="193">
        <f>A29taxvalue</f>
        <v>0</v>
      </c>
      <c r="H36" s="111">
        <f t="shared" ref="H36:M36" si="31">G36+G68+G477</f>
        <v>0</v>
      </c>
      <c r="I36" s="111">
        <f t="shared" si="31"/>
        <v>0</v>
      </c>
      <c r="J36" s="111">
        <f t="shared" si="31"/>
        <v>0</v>
      </c>
      <c r="K36" s="111">
        <f t="shared" si="31"/>
        <v>0</v>
      </c>
      <c r="L36" s="111">
        <f t="shared" si="31"/>
        <v>0</v>
      </c>
      <c r="M36" s="111">
        <f t="shared" si="31"/>
        <v>0</v>
      </c>
      <c r="N36" s="111">
        <f>IF(Input!M$173&gt;0, M36+M68+M360, 0)</f>
        <v>0</v>
      </c>
      <c r="O36" s="111">
        <f>IF(Input!N$173&gt;0, N36+N68+N477, 0)</f>
        <v>0</v>
      </c>
      <c r="P36" s="111">
        <f>IF(Input!O$173&gt;0, O36+O68+O477, 0)</f>
        <v>0</v>
      </c>
      <c r="Q36" s="111">
        <f>IF(Input!P$173&gt;0, P36+P68+P477, 0)</f>
        <v>0</v>
      </c>
      <c r="R36" s="111">
        <f>IF(Input!Q$173&gt;0, Q36+Q68+Q477, 0)</f>
        <v>0</v>
      </c>
      <c r="S36" s="106"/>
      <c r="T36" s="106"/>
      <c r="U36" s="106"/>
      <c r="V36" s="106"/>
      <c r="W36" s="106"/>
      <c r="X36" s="106"/>
      <c r="Y36" s="106"/>
      <c r="Z36" s="106"/>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row>
    <row r="37" spans="1:61" s="187" customFormat="1" outlineLevel="1">
      <c r="A37" s="9"/>
      <c r="B37" s="46"/>
      <c r="C37" s="129">
        <f>Asset30</f>
        <v>0</v>
      </c>
      <c r="D37" s="9"/>
      <c r="E37" s="9"/>
      <c r="F37" s="9"/>
      <c r="G37" s="193">
        <f>A30taxvalue</f>
        <v>0</v>
      </c>
      <c r="H37" s="111">
        <f t="shared" ref="H37:M37" si="32">G37+G69+G491</f>
        <v>0</v>
      </c>
      <c r="I37" s="111">
        <f t="shared" si="32"/>
        <v>0</v>
      </c>
      <c r="J37" s="111">
        <f t="shared" si="32"/>
        <v>0</v>
      </c>
      <c r="K37" s="111">
        <f t="shared" si="32"/>
        <v>0</v>
      </c>
      <c r="L37" s="111">
        <f t="shared" si="32"/>
        <v>0</v>
      </c>
      <c r="M37" s="111">
        <f t="shared" si="32"/>
        <v>0</v>
      </c>
      <c r="N37" s="111">
        <f>IF(Input!M$173&gt;0, M37+M69+M361, 0)</f>
        <v>0</v>
      </c>
      <c r="O37" s="111">
        <f>IF(Input!N$173&gt;0, N37+N69+N491, 0)</f>
        <v>0</v>
      </c>
      <c r="P37" s="111">
        <f>IF(Input!O$173&gt;0, O37+O69+O491, 0)</f>
        <v>0</v>
      </c>
      <c r="Q37" s="111">
        <f>IF(Input!P$173&gt;0, P37+P69+P491, 0)</f>
        <v>0</v>
      </c>
      <c r="R37" s="111">
        <f>IF(Input!Q$173&gt;0, Q37+Q69+Q491, 0)</f>
        <v>0</v>
      </c>
      <c r="S37" s="106"/>
      <c r="T37" s="106"/>
      <c r="U37" s="106"/>
      <c r="V37" s="106"/>
      <c r="W37" s="106"/>
      <c r="X37" s="106"/>
      <c r="Y37" s="106"/>
      <c r="Z37" s="106"/>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row>
    <row r="38" spans="1:61" s="187" customFormat="1">
      <c r="A38" s="12"/>
      <c r="B38" s="17"/>
      <c r="C38" s="12"/>
      <c r="D38" s="12"/>
      <c r="E38" s="12"/>
      <c r="F38" s="115"/>
      <c r="G38" s="204"/>
      <c r="H38" s="106"/>
      <c r="I38" s="106"/>
      <c r="J38" s="106"/>
      <c r="K38" s="106"/>
      <c r="L38" s="106"/>
      <c r="M38" s="106"/>
      <c r="N38" s="106"/>
      <c r="O38" s="106"/>
      <c r="P38" s="106"/>
      <c r="Q38" s="106"/>
      <c r="R38" s="106"/>
      <c r="S38" s="106"/>
      <c r="T38" s="106"/>
      <c r="U38" s="106"/>
      <c r="V38" s="106"/>
      <c r="W38" s="106"/>
      <c r="X38" s="106"/>
      <c r="Y38" s="106"/>
      <c r="Z38" s="106"/>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row>
    <row r="39" spans="1:61" s="187" customFormat="1">
      <c r="A39" s="12"/>
      <c r="B39" s="46" t="s">
        <v>68</v>
      </c>
      <c r="C39" s="9"/>
      <c r="D39" s="12"/>
      <c r="E39" s="12"/>
      <c r="F39" s="115"/>
      <c r="G39" s="204">
        <f>SUM(G40:G69)</f>
        <v>102.01499999999999</v>
      </c>
      <c r="H39" s="106">
        <f>SUM(H40:H69)</f>
        <v>103.29831662000001</v>
      </c>
      <c r="I39" s="106">
        <f t="shared" ref="I39:Q39" si="33">SUM(I40:I69)</f>
        <v>113.51682296565326</v>
      </c>
      <c r="J39" s="106">
        <f t="shared" si="33"/>
        <v>127.24363225800472</v>
      </c>
      <c r="K39" s="106">
        <f t="shared" si="33"/>
        <v>91.857436090463182</v>
      </c>
      <c r="L39" s="106">
        <f t="shared" si="33"/>
        <v>112.14</v>
      </c>
      <c r="M39" s="106">
        <f t="shared" si="33"/>
        <v>0</v>
      </c>
      <c r="N39" s="106">
        <f t="shared" si="33"/>
        <v>0</v>
      </c>
      <c r="O39" s="106">
        <f t="shared" si="33"/>
        <v>0</v>
      </c>
      <c r="P39" s="106">
        <f t="shared" si="33"/>
        <v>0</v>
      </c>
      <c r="Q39" s="106">
        <f t="shared" si="33"/>
        <v>0</v>
      </c>
      <c r="R39" s="106"/>
      <c r="S39" s="106"/>
      <c r="T39" s="106"/>
      <c r="U39" s="106"/>
      <c r="V39" s="106"/>
      <c r="W39" s="106"/>
      <c r="X39" s="106"/>
      <c r="Y39" s="106"/>
      <c r="Z39" s="106"/>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row>
    <row r="40" spans="1:61" s="187" customFormat="1" outlineLevel="1">
      <c r="A40" s="12"/>
      <c r="B40" s="9"/>
      <c r="C40" s="129" t="str">
        <f>Asset1</f>
        <v>Mains &amp; Services</v>
      </c>
      <c r="D40" s="12"/>
      <c r="E40" s="12"/>
      <c r="F40" s="115"/>
      <c r="G40" s="204">
        <f>Input!G41-Input!G75</f>
        <v>75.370999999999995</v>
      </c>
      <c r="H40" s="106">
        <f>Input!H41-Input!H75</f>
        <v>90.344980505123758</v>
      </c>
      <c r="I40" s="106">
        <f>Input!I41-Input!I75</f>
        <v>98.320428527114714</v>
      </c>
      <c r="J40" s="106">
        <f>Input!J41-Input!J75</f>
        <v>103.7539594805359</v>
      </c>
      <c r="K40" s="106">
        <f>Input!K41-Input!K75</f>
        <v>77.663486793848918</v>
      </c>
      <c r="L40" s="106">
        <f>Input!L41-Input!L75</f>
        <v>83.55</v>
      </c>
      <c r="M40" s="106">
        <f>Input!M41-Input!M75</f>
        <v>0</v>
      </c>
      <c r="N40" s="106">
        <f>Input!N41-Input!N75</f>
        <v>0</v>
      </c>
      <c r="O40" s="106">
        <f>Input!O41-Input!O75</f>
        <v>0</v>
      </c>
      <c r="P40" s="106">
        <f>Input!P41-Input!P75</f>
        <v>0</v>
      </c>
      <c r="Q40" s="106">
        <f>Input!Q41-Input!Q75</f>
        <v>0</v>
      </c>
      <c r="R40" s="106"/>
      <c r="S40" s="106"/>
      <c r="T40" s="106"/>
      <c r="U40" s="106"/>
      <c r="V40" s="106"/>
      <c r="W40" s="106"/>
      <c r="X40" s="106"/>
      <c r="Y40" s="106"/>
      <c r="Z40" s="106"/>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row>
    <row r="41" spans="1:61" s="187" customFormat="1" outlineLevel="1">
      <c r="A41" s="12"/>
      <c r="B41" s="46"/>
      <c r="C41" s="129" t="str">
        <f>Asset2</f>
        <v>Meters</v>
      </c>
      <c r="D41" s="12"/>
      <c r="E41" s="12"/>
      <c r="F41" s="115"/>
      <c r="G41" s="204">
        <f>Input!G42-Input!G76</f>
        <v>8.7110000000000003</v>
      </c>
      <c r="H41" s="106">
        <f>Input!H42-Input!H76</f>
        <v>8.5151679122195496</v>
      </c>
      <c r="I41" s="106">
        <f>Input!I42-Input!I76</f>
        <v>10.509459124364371</v>
      </c>
      <c r="J41" s="106">
        <f>Input!J42-Input!J76</f>
        <v>9.6098859888351349</v>
      </c>
      <c r="K41" s="106">
        <f>Input!K42-Input!K76</f>
        <v>11.311116207187315</v>
      </c>
      <c r="L41" s="106">
        <f>Input!L42-Input!L76</f>
        <v>15.29</v>
      </c>
      <c r="M41" s="106">
        <f>Input!M42-Input!M76</f>
        <v>0</v>
      </c>
      <c r="N41" s="106">
        <f>Input!N42-Input!N76</f>
        <v>0</v>
      </c>
      <c r="O41" s="106">
        <f>Input!O42-Input!O76</f>
        <v>0</v>
      </c>
      <c r="P41" s="106">
        <f>Input!P42-Input!P76</f>
        <v>0</v>
      </c>
      <c r="Q41" s="106">
        <f>Input!Q42-Input!Q76</f>
        <v>0</v>
      </c>
      <c r="R41" s="106"/>
      <c r="S41" s="106"/>
      <c r="T41" s="106"/>
      <c r="U41" s="106"/>
      <c r="V41" s="106"/>
      <c r="W41" s="106"/>
      <c r="X41" s="106"/>
      <c r="Y41" s="106"/>
      <c r="Z41" s="106"/>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row>
    <row r="42" spans="1:61" s="187" customFormat="1" outlineLevel="1">
      <c r="A42" s="12"/>
      <c r="B42" s="46"/>
      <c r="C42" s="129" t="str">
        <f>Asset3</f>
        <v>Buildings</v>
      </c>
      <c r="D42" s="12"/>
      <c r="E42" s="12"/>
      <c r="F42" s="115"/>
      <c r="G42" s="204">
        <f>Input!G43-Input!G77</f>
        <v>0</v>
      </c>
      <c r="H42" s="106">
        <f>Input!H43-Input!H77</f>
        <v>-0.75918233999999996</v>
      </c>
      <c r="I42" s="106">
        <f>Input!I43-Input!I77</f>
        <v>0</v>
      </c>
      <c r="J42" s="106">
        <f>Input!J43-Input!J77</f>
        <v>0</v>
      </c>
      <c r="K42" s="106">
        <f>Input!K43-Input!K77</f>
        <v>0</v>
      </c>
      <c r="L42" s="106">
        <f>Input!L43-Input!L77</f>
        <v>0</v>
      </c>
      <c r="M42" s="106">
        <f>Input!M43-Input!M77</f>
        <v>0</v>
      </c>
      <c r="N42" s="106">
        <f>Input!N43-Input!N77</f>
        <v>0</v>
      </c>
      <c r="O42" s="106">
        <f>Input!O43-Input!O77</f>
        <v>0</v>
      </c>
      <c r="P42" s="106">
        <f>Input!P43-Input!P77</f>
        <v>0</v>
      </c>
      <c r="Q42" s="106">
        <f>Input!Q43-Input!Q77</f>
        <v>0</v>
      </c>
      <c r="R42" s="106"/>
      <c r="S42" s="106"/>
      <c r="T42" s="106"/>
      <c r="U42" s="106"/>
      <c r="V42" s="106"/>
      <c r="W42" s="106"/>
      <c r="X42" s="106"/>
      <c r="Y42" s="106"/>
      <c r="Z42" s="106"/>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row>
    <row r="43" spans="1:61" s="187" customFormat="1" outlineLevel="1">
      <c r="A43" s="12"/>
      <c r="B43" s="46"/>
      <c r="C43" s="129" t="str">
        <f>Asset4</f>
        <v>SCADA</v>
      </c>
      <c r="D43" s="12"/>
      <c r="E43" s="12"/>
      <c r="F43" s="115"/>
      <c r="G43" s="204">
        <f>Input!G44-Input!G78</f>
        <v>0.16700000000000001</v>
      </c>
      <c r="H43" s="106">
        <f>Input!H44-Input!H78</f>
        <v>0.15042731149188032</v>
      </c>
      <c r="I43" s="106">
        <f>Input!I44-Input!I78</f>
        <v>0.39470883272000595</v>
      </c>
      <c r="J43" s="106">
        <f>Input!J44-Input!J78</f>
        <v>0.40925550440670461</v>
      </c>
      <c r="K43" s="106">
        <f>Input!K44-Input!K78</f>
        <v>0.2380900397714914</v>
      </c>
      <c r="L43" s="106">
        <f>Input!L44-Input!L78</f>
        <v>0.51</v>
      </c>
      <c r="M43" s="106">
        <f>Input!M44-Input!M78</f>
        <v>0</v>
      </c>
      <c r="N43" s="106">
        <f>Input!N44-Input!N78</f>
        <v>0</v>
      </c>
      <c r="O43" s="106">
        <f>Input!O44-Input!O78</f>
        <v>0</v>
      </c>
      <c r="P43" s="106">
        <f>Input!P44-Input!P78</f>
        <v>0</v>
      </c>
      <c r="Q43" s="106">
        <f>Input!Q44-Input!Q78</f>
        <v>0</v>
      </c>
      <c r="R43" s="106"/>
      <c r="S43" s="106"/>
      <c r="T43" s="106"/>
      <c r="U43" s="106"/>
      <c r="V43" s="106"/>
      <c r="W43" s="106"/>
      <c r="X43" s="106"/>
      <c r="Y43" s="106"/>
      <c r="Z43" s="106"/>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row>
    <row r="44" spans="1:61" s="187" customFormat="1" outlineLevel="1">
      <c r="A44" s="12"/>
      <c r="B44" s="46"/>
      <c r="C44" s="129" t="str">
        <f>Asset5</f>
        <v>Computer Equipment</v>
      </c>
      <c r="D44" s="12"/>
      <c r="E44" s="12"/>
      <c r="F44" s="115"/>
      <c r="G44" s="204">
        <f>Input!G45-Input!G79</f>
        <v>0.05</v>
      </c>
      <c r="H44" s="106">
        <f>Input!H45-Input!H79</f>
        <v>0.87310144948076329</v>
      </c>
      <c r="I44" s="106">
        <f>Input!I45-Input!I79</f>
        <v>0.40761449155181118</v>
      </c>
      <c r="J44" s="106">
        <f>Input!J45-Input!J79</f>
        <v>11.286109046466432</v>
      </c>
      <c r="K44" s="106">
        <f>Input!K45-Input!K79</f>
        <v>0.52391299999999996</v>
      </c>
      <c r="L44" s="106">
        <f>Input!L45-Input!L79</f>
        <v>8.6300000000000008</v>
      </c>
      <c r="M44" s="106">
        <f>Input!M45-Input!M79</f>
        <v>0</v>
      </c>
      <c r="N44" s="106">
        <f>Input!N45-Input!N79</f>
        <v>0</v>
      </c>
      <c r="O44" s="106">
        <f>Input!O45-Input!O79</f>
        <v>0</v>
      </c>
      <c r="P44" s="106">
        <f>Input!P45-Input!P79</f>
        <v>0</v>
      </c>
      <c r="Q44" s="106">
        <f>Input!Q45-Input!Q79</f>
        <v>0</v>
      </c>
      <c r="R44" s="106"/>
      <c r="S44" s="106"/>
      <c r="T44" s="106"/>
      <c r="U44" s="106"/>
      <c r="V44" s="106"/>
      <c r="W44" s="106"/>
      <c r="X44" s="106"/>
      <c r="Y44" s="106"/>
      <c r="Z44" s="106"/>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row>
    <row r="45" spans="1:61" s="187" customFormat="1" outlineLevel="1">
      <c r="A45" s="12"/>
      <c r="B45" s="46"/>
      <c r="C45" s="129" t="str">
        <f>Asset6</f>
        <v>Other Assets</v>
      </c>
      <c r="D45" s="12"/>
      <c r="E45" s="12"/>
      <c r="F45" s="115"/>
      <c r="G45" s="204">
        <f>Input!G46-Input!G80</f>
        <v>17.716000000000001</v>
      </c>
      <c r="H45" s="106">
        <f>Input!H46-Input!H80</f>
        <v>4.1738217816840493</v>
      </c>
      <c r="I45" s="106">
        <f>Input!I46-Input!I80</f>
        <v>3.8846119899023606</v>
      </c>
      <c r="J45" s="106">
        <f>Input!J46-Input!J80</f>
        <v>2.184422237760558</v>
      </c>
      <c r="K45" s="106">
        <f>Input!K46-Input!K80</f>
        <v>2.1208300496554657</v>
      </c>
      <c r="L45" s="106">
        <f>Input!L46-Input!L80</f>
        <v>4.16</v>
      </c>
      <c r="M45" s="106">
        <f>Input!M46-Input!M80</f>
        <v>0</v>
      </c>
      <c r="N45" s="106">
        <f>Input!N46-Input!N80</f>
        <v>0</v>
      </c>
      <c r="O45" s="106">
        <f>Input!O46-Input!O80</f>
        <v>0</v>
      </c>
      <c r="P45" s="106">
        <f>Input!P46-Input!P80</f>
        <v>0</v>
      </c>
      <c r="Q45" s="106">
        <f>Input!Q46-Input!Q80</f>
        <v>0</v>
      </c>
      <c r="R45" s="106"/>
      <c r="S45" s="106"/>
      <c r="T45" s="106"/>
      <c r="U45" s="106"/>
      <c r="V45" s="106"/>
      <c r="W45" s="106"/>
      <c r="X45" s="106"/>
      <c r="Y45" s="106"/>
      <c r="Z45" s="106"/>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row>
    <row r="46" spans="1:61" s="187" customFormat="1" outlineLevel="1">
      <c r="A46" s="12"/>
      <c r="B46" s="46"/>
      <c r="C46" s="129" t="str">
        <f>Asset7</f>
        <v>Equity Raising Costs</v>
      </c>
      <c r="D46" s="12"/>
      <c r="E46" s="12"/>
      <c r="F46" s="115"/>
      <c r="G46" s="204">
        <f>Input!G47-Input!G81</f>
        <v>0</v>
      </c>
      <c r="H46" s="106">
        <f>Input!H47-Input!H81</f>
        <v>0</v>
      </c>
      <c r="I46" s="106">
        <f>Input!I47-Input!I81</f>
        <v>0</v>
      </c>
      <c r="J46" s="106">
        <f>Input!J47-Input!J81</f>
        <v>0</v>
      </c>
      <c r="K46" s="106">
        <f>Input!K47-Input!K81</f>
        <v>0</v>
      </c>
      <c r="L46" s="106">
        <f>Input!L47-Input!L81</f>
        <v>0</v>
      </c>
      <c r="M46" s="106">
        <f>Input!M47-Input!M81</f>
        <v>0</v>
      </c>
      <c r="N46" s="106">
        <f>Input!N47-Input!N81</f>
        <v>0</v>
      </c>
      <c r="O46" s="106">
        <f>Input!O47-Input!O81</f>
        <v>0</v>
      </c>
      <c r="P46" s="106">
        <f>Input!P47-Input!P81</f>
        <v>0</v>
      </c>
      <c r="Q46" s="106">
        <f>Input!Q47-Input!Q81</f>
        <v>0</v>
      </c>
      <c r="R46" s="106"/>
      <c r="S46" s="106"/>
      <c r="T46" s="106"/>
      <c r="U46" s="106"/>
      <c r="V46" s="106"/>
      <c r="W46" s="106"/>
      <c r="X46" s="106"/>
      <c r="Y46" s="106"/>
      <c r="Z46" s="106"/>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row>
    <row r="47" spans="1:61" s="187" customFormat="1" outlineLevel="1">
      <c r="A47" s="12"/>
      <c r="B47" s="46"/>
      <c r="C47" s="129" t="str">
        <f>Asset8</f>
        <v>Land</v>
      </c>
      <c r="D47" s="12"/>
      <c r="E47" s="12"/>
      <c r="F47" s="115"/>
      <c r="G47" s="204">
        <f>Input!G48-Input!G82</f>
        <v>0</v>
      </c>
      <c r="H47" s="106">
        <f>Input!H48-Input!H82</f>
        <v>0</v>
      </c>
      <c r="I47" s="106">
        <f>Input!I48-Input!I82</f>
        <v>0</v>
      </c>
      <c r="J47" s="106">
        <f>Input!J48-Input!J82</f>
        <v>0</v>
      </c>
      <c r="K47" s="106">
        <f>Input!K48-Input!K82</f>
        <v>0</v>
      </c>
      <c r="L47" s="106">
        <f>Input!L48-Input!L82</f>
        <v>0</v>
      </c>
      <c r="M47" s="106">
        <f>Input!M48-Input!M82</f>
        <v>0</v>
      </c>
      <c r="N47" s="106">
        <f>Input!N48-Input!N82</f>
        <v>0</v>
      </c>
      <c r="O47" s="106">
        <f>Input!O48-Input!O82</f>
        <v>0</v>
      </c>
      <c r="P47" s="106">
        <f>Input!P48-Input!P82</f>
        <v>0</v>
      </c>
      <c r="Q47" s="106">
        <f>Input!Q48-Input!Q82</f>
        <v>0</v>
      </c>
      <c r="R47" s="106"/>
      <c r="S47" s="106"/>
      <c r="T47" s="106"/>
      <c r="U47" s="106"/>
      <c r="V47" s="106"/>
      <c r="W47" s="106"/>
      <c r="X47" s="106"/>
      <c r="Y47" s="106"/>
      <c r="Z47" s="106"/>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row>
    <row r="48" spans="1:61" s="187" customFormat="1" outlineLevel="1">
      <c r="A48" s="12"/>
      <c r="B48" s="46"/>
      <c r="C48" s="129">
        <f>Asset9</f>
        <v>0</v>
      </c>
      <c r="D48" s="12"/>
      <c r="E48" s="12"/>
      <c r="F48" s="115"/>
      <c r="G48" s="204">
        <f>Input!G49-Input!G83</f>
        <v>0</v>
      </c>
      <c r="H48" s="106">
        <f>Input!H49-Input!H83</f>
        <v>0</v>
      </c>
      <c r="I48" s="106">
        <f>Input!I49-Input!I83</f>
        <v>0</v>
      </c>
      <c r="J48" s="106">
        <f>Input!J49-Input!J83</f>
        <v>0</v>
      </c>
      <c r="K48" s="106">
        <f>Input!K49-Input!K83</f>
        <v>0</v>
      </c>
      <c r="L48" s="106">
        <f>Input!L49-Input!L83</f>
        <v>0</v>
      </c>
      <c r="M48" s="106">
        <f>Input!M49-Input!M83</f>
        <v>0</v>
      </c>
      <c r="N48" s="106">
        <f>Input!N49-Input!N83</f>
        <v>0</v>
      </c>
      <c r="O48" s="106">
        <f>Input!O49-Input!O83</f>
        <v>0</v>
      </c>
      <c r="P48" s="106">
        <f>Input!P49-Input!P83</f>
        <v>0</v>
      </c>
      <c r="Q48" s="106">
        <f>Input!Q49-Input!Q83</f>
        <v>0</v>
      </c>
      <c r="R48" s="106"/>
      <c r="S48" s="106"/>
      <c r="T48" s="106"/>
      <c r="U48" s="106"/>
      <c r="V48" s="106"/>
      <c r="W48" s="106"/>
      <c r="X48" s="106"/>
      <c r="Y48" s="106"/>
      <c r="Z48" s="106"/>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row>
    <row r="49" spans="1:61" s="187" customFormat="1" outlineLevel="1">
      <c r="A49" s="12"/>
      <c r="B49" s="46"/>
      <c r="C49" s="129">
        <f>Asset10</f>
        <v>0</v>
      </c>
      <c r="D49" s="12"/>
      <c r="E49" s="12"/>
      <c r="F49" s="115"/>
      <c r="G49" s="204">
        <f>Input!G50-Input!G84</f>
        <v>0</v>
      </c>
      <c r="H49" s="106">
        <f>Input!H50-Input!H84</f>
        <v>0</v>
      </c>
      <c r="I49" s="106">
        <f>Input!I50-Input!I84</f>
        <v>0</v>
      </c>
      <c r="J49" s="106">
        <f>Input!J50-Input!J84</f>
        <v>0</v>
      </c>
      <c r="K49" s="106">
        <f>Input!K50-Input!K84</f>
        <v>0</v>
      </c>
      <c r="L49" s="106">
        <f>Input!L50-Input!L84</f>
        <v>0</v>
      </c>
      <c r="M49" s="106">
        <f>Input!M50-Input!M84</f>
        <v>0</v>
      </c>
      <c r="N49" s="106">
        <f>Input!N50-Input!N84</f>
        <v>0</v>
      </c>
      <c r="O49" s="106">
        <f>Input!O50-Input!O84</f>
        <v>0</v>
      </c>
      <c r="P49" s="106">
        <f>Input!P50-Input!P84</f>
        <v>0</v>
      </c>
      <c r="Q49" s="106">
        <f>Input!Q50-Input!Q84</f>
        <v>0</v>
      </c>
      <c r="R49" s="106"/>
      <c r="S49" s="106"/>
      <c r="T49" s="106"/>
      <c r="U49" s="106"/>
      <c r="V49" s="106"/>
      <c r="W49" s="106"/>
      <c r="X49" s="106"/>
      <c r="Y49" s="106"/>
      <c r="Z49" s="106"/>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row>
    <row r="50" spans="1:61" s="187" customFormat="1" outlineLevel="1">
      <c r="A50" s="12"/>
      <c r="B50" s="46"/>
      <c r="C50" s="129">
        <f>Asset11</f>
        <v>0</v>
      </c>
      <c r="D50" s="12"/>
      <c r="E50" s="12"/>
      <c r="F50" s="115"/>
      <c r="G50" s="204">
        <f>Input!G51-Input!G85</f>
        <v>0</v>
      </c>
      <c r="H50" s="106">
        <f>Input!H51-Input!H85</f>
        <v>0</v>
      </c>
      <c r="I50" s="106">
        <f>Input!I51-Input!I85</f>
        <v>0</v>
      </c>
      <c r="J50" s="106">
        <f>Input!J51-Input!J85</f>
        <v>0</v>
      </c>
      <c r="K50" s="106">
        <f>Input!K51-Input!K85</f>
        <v>0</v>
      </c>
      <c r="L50" s="106">
        <f>Input!L51-Input!L85</f>
        <v>0</v>
      </c>
      <c r="M50" s="106">
        <f>Input!M51-Input!M85</f>
        <v>0</v>
      </c>
      <c r="N50" s="106">
        <f>Input!N51-Input!N85</f>
        <v>0</v>
      </c>
      <c r="O50" s="106">
        <f>Input!O51-Input!O85</f>
        <v>0</v>
      </c>
      <c r="P50" s="106">
        <f>Input!P51-Input!P85</f>
        <v>0</v>
      </c>
      <c r="Q50" s="106">
        <f>Input!Q51-Input!Q85</f>
        <v>0</v>
      </c>
      <c r="R50" s="106"/>
      <c r="S50" s="106"/>
      <c r="T50" s="106"/>
      <c r="U50" s="106"/>
      <c r="V50" s="106"/>
      <c r="W50" s="106"/>
      <c r="X50" s="106"/>
      <c r="Y50" s="106"/>
      <c r="Z50" s="106"/>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row>
    <row r="51" spans="1:61" s="187" customFormat="1" outlineLevel="1">
      <c r="A51" s="12"/>
      <c r="B51" s="46"/>
      <c r="C51" s="129">
        <f>Asset12</f>
        <v>0</v>
      </c>
      <c r="D51" s="12"/>
      <c r="E51" s="12"/>
      <c r="F51" s="115"/>
      <c r="G51" s="204">
        <f>Input!G52-Input!G86</f>
        <v>0</v>
      </c>
      <c r="H51" s="106">
        <f>Input!H52-Input!H86</f>
        <v>0</v>
      </c>
      <c r="I51" s="106">
        <f>Input!I52-Input!I86</f>
        <v>0</v>
      </c>
      <c r="J51" s="106">
        <f>Input!J52-Input!J86</f>
        <v>0</v>
      </c>
      <c r="K51" s="106">
        <f>Input!K52-Input!K86</f>
        <v>0</v>
      </c>
      <c r="L51" s="106">
        <f>Input!L52-Input!L86</f>
        <v>0</v>
      </c>
      <c r="M51" s="106">
        <f>Input!M52-Input!M86</f>
        <v>0</v>
      </c>
      <c r="N51" s="106">
        <f>Input!N52-Input!N86</f>
        <v>0</v>
      </c>
      <c r="O51" s="106">
        <f>Input!O52-Input!O86</f>
        <v>0</v>
      </c>
      <c r="P51" s="106">
        <f>Input!P52-Input!P86</f>
        <v>0</v>
      </c>
      <c r="Q51" s="106">
        <f>Input!Q52-Input!Q86</f>
        <v>0</v>
      </c>
      <c r="R51" s="106"/>
      <c r="S51" s="106"/>
      <c r="T51" s="106"/>
      <c r="U51" s="106"/>
      <c r="V51" s="106"/>
      <c r="W51" s="106"/>
      <c r="X51" s="106"/>
      <c r="Y51" s="106"/>
      <c r="Z51" s="106"/>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row>
    <row r="52" spans="1:61" s="187" customFormat="1" outlineLevel="1">
      <c r="A52" s="12"/>
      <c r="B52" s="46"/>
      <c r="C52" s="129">
        <f>Asset13</f>
        <v>0</v>
      </c>
      <c r="D52" s="12"/>
      <c r="E52" s="12"/>
      <c r="F52" s="115"/>
      <c r="G52" s="204">
        <f>Input!G53-Input!G87</f>
        <v>0</v>
      </c>
      <c r="H52" s="106">
        <f>Input!H53-Input!H87</f>
        <v>0</v>
      </c>
      <c r="I52" s="106">
        <f>Input!I53-Input!I87</f>
        <v>0</v>
      </c>
      <c r="J52" s="106">
        <f>Input!J53-Input!J87</f>
        <v>0</v>
      </c>
      <c r="K52" s="106">
        <f>Input!K53-Input!K87</f>
        <v>0</v>
      </c>
      <c r="L52" s="106">
        <f>Input!L53-Input!L87</f>
        <v>0</v>
      </c>
      <c r="M52" s="106">
        <f>Input!M53-Input!M87</f>
        <v>0</v>
      </c>
      <c r="N52" s="106">
        <f>Input!N53-Input!N87</f>
        <v>0</v>
      </c>
      <c r="O52" s="106">
        <f>Input!O53-Input!O87</f>
        <v>0</v>
      </c>
      <c r="P52" s="106">
        <f>Input!P53-Input!P87</f>
        <v>0</v>
      </c>
      <c r="Q52" s="106">
        <f>Input!Q53-Input!Q87</f>
        <v>0</v>
      </c>
      <c r="R52" s="106"/>
      <c r="S52" s="106"/>
      <c r="T52" s="106"/>
      <c r="U52" s="106"/>
      <c r="V52" s="106"/>
      <c r="W52" s="106"/>
      <c r="X52" s="106"/>
      <c r="Y52" s="106"/>
      <c r="Z52" s="106"/>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row>
    <row r="53" spans="1:61" s="187" customFormat="1" outlineLevel="1">
      <c r="A53" s="12"/>
      <c r="B53" s="46"/>
      <c r="C53" s="129">
        <f>Asset14</f>
        <v>0</v>
      </c>
      <c r="D53" s="12"/>
      <c r="E53" s="12"/>
      <c r="F53" s="115"/>
      <c r="G53" s="204">
        <f>Input!G54-Input!G88</f>
        <v>0</v>
      </c>
      <c r="H53" s="106">
        <f>Input!H54-Input!H88</f>
        <v>0</v>
      </c>
      <c r="I53" s="106">
        <f>Input!I54-Input!I88</f>
        <v>0</v>
      </c>
      <c r="J53" s="106">
        <f>Input!J54-Input!J88</f>
        <v>0</v>
      </c>
      <c r="K53" s="106">
        <f>Input!K54-Input!K88</f>
        <v>0</v>
      </c>
      <c r="L53" s="106">
        <f>Input!L54-Input!L88</f>
        <v>0</v>
      </c>
      <c r="M53" s="106">
        <f>Input!M54-Input!M88</f>
        <v>0</v>
      </c>
      <c r="N53" s="106">
        <f>Input!N54-Input!N88</f>
        <v>0</v>
      </c>
      <c r="O53" s="106">
        <f>Input!O54-Input!O88</f>
        <v>0</v>
      </c>
      <c r="P53" s="106">
        <f>Input!P54-Input!P88</f>
        <v>0</v>
      </c>
      <c r="Q53" s="106">
        <f>Input!Q54-Input!Q88</f>
        <v>0</v>
      </c>
      <c r="R53" s="106"/>
      <c r="S53" s="106"/>
      <c r="T53" s="106"/>
      <c r="U53" s="106"/>
      <c r="V53" s="106"/>
      <c r="W53" s="106"/>
      <c r="X53" s="106"/>
      <c r="Y53" s="106"/>
      <c r="Z53" s="106"/>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row>
    <row r="54" spans="1:61" s="187" customFormat="1" outlineLevel="1">
      <c r="A54" s="12"/>
      <c r="B54" s="46"/>
      <c r="C54" s="129">
        <f>Asset15</f>
        <v>0</v>
      </c>
      <c r="D54" s="12"/>
      <c r="E54" s="12"/>
      <c r="F54" s="115"/>
      <c r="G54" s="204">
        <f>Input!G55-Input!G89</f>
        <v>0</v>
      </c>
      <c r="H54" s="106">
        <f>Input!H55-Input!H89</f>
        <v>0</v>
      </c>
      <c r="I54" s="106">
        <f>Input!I55-Input!I89</f>
        <v>0</v>
      </c>
      <c r="J54" s="106">
        <f>Input!J55-Input!J89</f>
        <v>0</v>
      </c>
      <c r="K54" s="106">
        <f>Input!K55-Input!K89</f>
        <v>0</v>
      </c>
      <c r="L54" s="106">
        <f>Input!L55-Input!L89</f>
        <v>0</v>
      </c>
      <c r="M54" s="106">
        <f>Input!M55-Input!M89</f>
        <v>0</v>
      </c>
      <c r="N54" s="106">
        <f>Input!N55-Input!N89</f>
        <v>0</v>
      </c>
      <c r="O54" s="106">
        <f>Input!O55-Input!O89</f>
        <v>0</v>
      </c>
      <c r="P54" s="106">
        <f>Input!P55-Input!P89</f>
        <v>0</v>
      </c>
      <c r="Q54" s="106">
        <f>Input!Q55-Input!Q89</f>
        <v>0</v>
      </c>
      <c r="R54" s="106"/>
      <c r="S54" s="106"/>
      <c r="T54" s="106"/>
      <c r="U54" s="106"/>
      <c r="V54" s="106"/>
      <c r="W54" s="106"/>
      <c r="X54" s="106"/>
      <c r="Y54" s="106"/>
      <c r="Z54" s="106"/>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row>
    <row r="55" spans="1:61" s="187" customFormat="1" outlineLevel="1">
      <c r="A55" s="12"/>
      <c r="B55" s="46"/>
      <c r="C55" s="129">
        <f>Asset16</f>
        <v>0</v>
      </c>
      <c r="D55" s="12"/>
      <c r="E55" s="12"/>
      <c r="F55" s="115"/>
      <c r="G55" s="204">
        <f>Input!G56-Input!G90</f>
        <v>0</v>
      </c>
      <c r="H55" s="106">
        <f>Input!H56-Input!H90</f>
        <v>0</v>
      </c>
      <c r="I55" s="106">
        <f>Input!I56-Input!I90</f>
        <v>0</v>
      </c>
      <c r="J55" s="106">
        <f>Input!J56-Input!J90</f>
        <v>0</v>
      </c>
      <c r="K55" s="106">
        <f>Input!K56-Input!K90</f>
        <v>0</v>
      </c>
      <c r="L55" s="106">
        <f>Input!L56-Input!L90</f>
        <v>0</v>
      </c>
      <c r="M55" s="106">
        <f>Input!M56-Input!M90</f>
        <v>0</v>
      </c>
      <c r="N55" s="106">
        <f>Input!N56-Input!N90</f>
        <v>0</v>
      </c>
      <c r="O55" s="106">
        <f>Input!O56-Input!O90</f>
        <v>0</v>
      </c>
      <c r="P55" s="106">
        <f>Input!P56-Input!P90</f>
        <v>0</v>
      </c>
      <c r="Q55" s="106">
        <f>Input!Q56-Input!Q90</f>
        <v>0</v>
      </c>
      <c r="R55" s="106"/>
      <c r="S55" s="106"/>
      <c r="T55" s="106"/>
      <c r="U55" s="106"/>
      <c r="V55" s="106"/>
      <c r="W55" s="106"/>
      <c r="X55" s="106"/>
      <c r="Y55" s="106"/>
      <c r="Z55" s="106"/>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row>
    <row r="56" spans="1:61" s="187" customFormat="1" outlineLevel="1">
      <c r="A56" s="12"/>
      <c r="B56" s="46"/>
      <c r="C56" s="129">
        <f>Asset17</f>
        <v>0</v>
      </c>
      <c r="D56" s="12"/>
      <c r="E56" s="12"/>
      <c r="F56" s="115"/>
      <c r="G56" s="204">
        <f>Input!G57-Input!G91</f>
        <v>0</v>
      </c>
      <c r="H56" s="106">
        <f>Input!H57-Input!H91</f>
        <v>0</v>
      </c>
      <c r="I56" s="106">
        <f>Input!I57-Input!I91</f>
        <v>0</v>
      </c>
      <c r="J56" s="106">
        <f>Input!J57-Input!J91</f>
        <v>0</v>
      </c>
      <c r="K56" s="106">
        <f>Input!K57-Input!K91</f>
        <v>0</v>
      </c>
      <c r="L56" s="106">
        <f>Input!L57-Input!L91</f>
        <v>0</v>
      </c>
      <c r="M56" s="106">
        <f>Input!M57-Input!M91</f>
        <v>0</v>
      </c>
      <c r="N56" s="106">
        <f>Input!N57-Input!N91</f>
        <v>0</v>
      </c>
      <c r="O56" s="106">
        <f>Input!O57-Input!O91</f>
        <v>0</v>
      </c>
      <c r="P56" s="106">
        <f>Input!P57-Input!P91</f>
        <v>0</v>
      </c>
      <c r="Q56" s="106">
        <f>Input!Q57-Input!Q91</f>
        <v>0</v>
      </c>
      <c r="R56" s="106"/>
      <c r="S56" s="106"/>
      <c r="T56" s="106"/>
      <c r="U56" s="106"/>
      <c r="V56" s="106"/>
      <c r="W56" s="106"/>
      <c r="X56" s="106"/>
      <c r="Y56" s="106"/>
      <c r="Z56" s="106"/>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row>
    <row r="57" spans="1:61" s="187" customFormat="1" outlineLevel="1">
      <c r="A57" s="12"/>
      <c r="B57" s="46"/>
      <c r="C57" s="129">
        <f>Asset18</f>
        <v>0</v>
      </c>
      <c r="D57" s="12"/>
      <c r="E57" s="12"/>
      <c r="F57" s="115"/>
      <c r="G57" s="204">
        <f>Input!G58-Input!G92</f>
        <v>0</v>
      </c>
      <c r="H57" s="106">
        <f>Input!H58-Input!H92</f>
        <v>0</v>
      </c>
      <c r="I57" s="106">
        <f>Input!I58-Input!I92</f>
        <v>0</v>
      </c>
      <c r="J57" s="106">
        <f>Input!J58-Input!J92</f>
        <v>0</v>
      </c>
      <c r="K57" s="106">
        <f>Input!K58-Input!K92</f>
        <v>0</v>
      </c>
      <c r="L57" s="106">
        <f>Input!L58-Input!L92</f>
        <v>0</v>
      </c>
      <c r="M57" s="106">
        <f>Input!M58-Input!M92</f>
        <v>0</v>
      </c>
      <c r="N57" s="106">
        <f>Input!N58-Input!N92</f>
        <v>0</v>
      </c>
      <c r="O57" s="106">
        <f>Input!O58-Input!O92</f>
        <v>0</v>
      </c>
      <c r="P57" s="106">
        <f>Input!P58-Input!P92</f>
        <v>0</v>
      </c>
      <c r="Q57" s="106">
        <f>Input!Q58-Input!Q92</f>
        <v>0</v>
      </c>
      <c r="R57" s="106"/>
      <c r="S57" s="106"/>
      <c r="T57" s="106"/>
      <c r="U57" s="106"/>
      <c r="V57" s="106"/>
      <c r="W57" s="106"/>
      <c r="X57" s="106"/>
      <c r="Y57" s="106"/>
      <c r="Z57" s="106"/>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row>
    <row r="58" spans="1:61" s="187" customFormat="1" outlineLevel="1">
      <c r="A58" s="12"/>
      <c r="B58" s="46"/>
      <c r="C58" s="129">
        <f>Asset19</f>
        <v>0</v>
      </c>
      <c r="D58" s="12"/>
      <c r="E58" s="12"/>
      <c r="F58" s="115"/>
      <c r="G58" s="204">
        <f>Input!G59-Input!G93</f>
        <v>0</v>
      </c>
      <c r="H58" s="106">
        <f>Input!H59-Input!H93</f>
        <v>0</v>
      </c>
      <c r="I58" s="106">
        <f>Input!I59-Input!I93</f>
        <v>0</v>
      </c>
      <c r="J58" s="106">
        <f>Input!J59-Input!J93</f>
        <v>0</v>
      </c>
      <c r="K58" s="106">
        <f>Input!K59-Input!K93</f>
        <v>0</v>
      </c>
      <c r="L58" s="106">
        <f>Input!L59-Input!L93</f>
        <v>0</v>
      </c>
      <c r="M58" s="106">
        <f>Input!M59-Input!M93</f>
        <v>0</v>
      </c>
      <c r="N58" s="106">
        <f>Input!N59-Input!N93</f>
        <v>0</v>
      </c>
      <c r="O58" s="106">
        <f>Input!O59-Input!O93</f>
        <v>0</v>
      </c>
      <c r="P58" s="106">
        <f>Input!P59-Input!P93</f>
        <v>0</v>
      </c>
      <c r="Q58" s="106">
        <f>Input!Q59-Input!Q93</f>
        <v>0</v>
      </c>
      <c r="R58" s="106"/>
      <c r="S58" s="106"/>
      <c r="T58" s="106"/>
      <c r="U58" s="106"/>
      <c r="V58" s="106"/>
      <c r="W58" s="106"/>
      <c r="X58" s="106"/>
      <c r="Y58" s="106"/>
      <c r="Z58" s="106"/>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row>
    <row r="59" spans="1:61" s="187" customFormat="1" outlineLevel="1">
      <c r="A59" s="12"/>
      <c r="B59" s="46"/>
      <c r="C59" s="129">
        <f>Asset20</f>
        <v>0</v>
      </c>
      <c r="D59" s="12"/>
      <c r="E59" s="12"/>
      <c r="F59" s="115"/>
      <c r="G59" s="204">
        <f>Input!G60-Input!G94</f>
        <v>0</v>
      </c>
      <c r="H59" s="106">
        <f>Input!H60-Input!H94</f>
        <v>0</v>
      </c>
      <c r="I59" s="106">
        <f>Input!I60-Input!I94</f>
        <v>0</v>
      </c>
      <c r="J59" s="106">
        <f>Input!J60-Input!J94</f>
        <v>0</v>
      </c>
      <c r="K59" s="106">
        <f>Input!K60-Input!K94</f>
        <v>0</v>
      </c>
      <c r="L59" s="106">
        <f>Input!L60-Input!L94</f>
        <v>0</v>
      </c>
      <c r="M59" s="106">
        <f>Input!M60-Input!M94</f>
        <v>0</v>
      </c>
      <c r="N59" s="106">
        <f>Input!N60-Input!N94</f>
        <v>0</v>
      </c>
      <c r="O59" s="106">
        <f>Input!O60-Input!O94</f>
        <v>0</v>
      </c>
      <c r="P59" s="106">
        <f>Input!P60-Input!P94</f>
        <v>0</v>
      </c>
      <c r="Q59" s="106">
        <f>Input!Q60-Input!Q94</f>
        <v>0</v>
      </c>
      <c r="R59" s="106"/>
      <c r="S59" s="106"/>
      <c r="T59" s="106"/>
      <c r="U59" s="106"/>
      <c r="V59" s="106"/>
      <c r="W59" s="106"/>
      <c r="X59" s="106"/>
      <c r="Y59" s="106"/>
      <c r="Z59" s="106"/>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row>
    <row r="60" spans="1:61" s="187" customFormat="1" outlineLevel="1">
      <c r="A60" s="12"/>
      <c r="B60" s="46"/>
      <c r="C60" s="129">
        <f>Asset21</f>
        <v>0</v>
      </c>
      <c r="D60" s="12"/>
      <c r="E60" s="12"/>
      <c r="F60" s="115"/>
      <c r="G60" s="204">
        <f>Input!G61-Input!G95</f>
        <v>0</v>
      </c>
      <c r="H60" s="106">
        <f>Input!H61-Input!H95</f>
        <v>0</v>
      </c>
      <c r="I60" s="106">
        <f>Input!I61-Input!I95</f>
        <v>0</v>
      </c>
      <c r="J60" s="106">
        <f>Input!J61-Input!J95</f>
        <v>0</v>
      </c>
      <c r="K60" s="106">
        <f>Input!K61-Input!K95</f>
        <v>0</v>
      </c>
      <c r="L60" s="106">
        <f>Input!L61-Input!L95</f>
        <v>0</v>
      </c>
      <c r="M60" s="106">
        <f>Input!M61-Input!M95</f>
        <v>0</v>
      </c>
      <c r="N60" s="106">
        <f>Input!N61-Input!N95</f>
        <v>0</v>
      </c>
      <c r="O60" s="106">
        <f>Input!O61-Input!O95</f>
        <v>0</v>
      </c>
      <c r="P60" s="106">
        <f>Input!P61-Input!P95</f>
        <v>0</v>
      </c>
      <c r="Q60" s="106">
        <f>Input!Q61-Input!Q95</f>
        <v>0</v>
      </c>
      <c r="R60" s="106"/>
      <c r="S60" s="106"/>
      <c r="T60" s="106"/>
      <c r="U60" s="106"/>
      <c r="V60" s="106"/>
      <c r="W60" s="106"/>
      <c r="X60" s="106"/>
      <c r="Y60" s="106"/>
      <c r="Z60" s="106"/>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row>
    <row r="61" spans="1:61" s="187" customFormat="1" outlineLevel="1">
      <c r="A61" s="12"/>
      <c r="B61" s="46"/>
      <c r="C61" s="129">
        <f>Asset22</f>
        <v>0</v>
      </c>
      <c r="D61" s="12"/>
      <c r="E61" s="12"/>
      <c r="F61" s="115"/>
      <c r="G61" s="204">
        <f>Input!G62-Input!G96</f>
        <v>0</v>
      </c>
      <c r="H61" s="106">
        <f>Input!H62-Input!H96</f>
        <v>0</v>
      </c>
      <c r="I61" s="106">
        <f>Input!I62-Input!I96</f>
        <v>0</v>
      </c>
      <c r="J61" s="106">
        <f>Input!J62-Input!J96</f>
        <v>0</v>
      </c>
      <c r="K61" s="106">
        <f>Input!K62-Input!K96</f>
        <v>0</v>
      </c>
      <c r="L61" s="106">
        <f>Input!L62-Input!L96</f>
        <v>0</v>
      </c>
      <c r="M61" s="106">
        <f>Input!M62-Input!M96</f>
        <v>0</v>
      </c>
      <c r="N61" s="106">
        <f>Input!N62-Input!N96</f>
        <v>0</v>
      </c>
      <c r="O61" s="106">
        <f>Input!O62-Input!O96</f>
        <v>0</v>
      </c>
      <c r="P61" s="106">
        <f>Input!P62-Input!P96</f>
        <v>0</v>
      </c>
      <c r="Q61" s="106">
        <f>Input!Q62-Input!Q96</f>
        <v>0</v>
      </c>
      <c r="R61" s="106"/>
      <c r="S61" s="106"/>
      <c r="T61" s="106"/>
      <c r="U61" s="106"/>
      <c r="V61" s="106"/>
      <c r="W61" s="106"/>
      <c r="X61" s="106"/>
      <c r="Y61" s="106"/>
      <c r="Z61" s="106"/>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row>
    <row r="62" spans="1:61" s="187" customFormat="1" outlineLevel="1">
      <c r="A62" s="12"/>
      <c r="B62" s="46"/>
      <c r="C62" s="129">
        <f>Asset23</f>
        <v>0</v>
      </c>
      <c r="D62" s="12"/>
      <c r="E62" s="12"/>
      <c r="F62" s="115"/>
      <c r="G62" s="204">
        <f>Input!G63-Input!G97</f>
        <v>0</v>
      </c>
      <c r="H62" s="106">
        <f>Input!H63-Input!H97</f>
        <v>0</v>
      </c>
      <c r="I62" s="106">
        <f>Input!I63-Input!I97</f>
        <v>0</v>
      </c>
      <c r="J62" s="106">
        <f>Input!J63-Input!J97</f>
        <v>0</v>
      </c>
      <c r="K62" s="106">
        <f>Input!K63-Input!K97</f>
        <v>0</v>
      </c>
      <c r="L62" s="106">
        <f>Input!L63-Input!L97</f>
        <v>0</v>
      </c>
      <c r="M62" s="106">
        <f>Input!M63-Input!M97</f>
        <v>0</v>
      </c>
      <c r="N62" s="106">
        <f>Input!N63-Input!N97</f>
        <v>0</v>
      </c>
      <c r="O62" s="106">
        <f>Input!O63-Input!O97</f>
        <v>0</v>
      </c>
      <c r="P62" s="106">
        <f>Input!P63-Input!P97</f>
        <v>0</v>
      </c>
      <c r="Q62" s="106">
        <f>Input!Q63-Input!Q97</f>
        <v>0</v>
      </c>
      <c r="R62" s="106"/>
      <c r="S62" s="106"/>
      <c r="T62" s="106"/>
      <c r="U62" s="106"/>
      <c r="V62" s="106"/>
      <c r="W62" s="106"/>
      <c r="X62" s="106"/>
      <c r="Y62" s="106"/>
      <c r="Z62" s="106"/>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row>
    <row r="63" spans="1:61" s="187" customFormat="1" outlineLevel="1">
      <c r="A63" s="12"/>
      <c r="B63" s="46"/>
      <c r="C63" s="129">
        <f>Asset24</f>
        <v>0</v>
      </c>
      <c r="D63" s="12"/>
      <c r="E63" s="12"/>
      <c r="F63" s="115"/>
      <c r="G63" s="204">
        <f>Input!G64-Input!G98</f>
        <v>0</v>
      </c>
      <c r="H63" s="106">
        <f>Input!H64-Input!H98</f>
        <v>0</v>
      </c>
      <c r="I63" s="106">
        <f>Input!I64-Input!I98</f>
        <v>0</v>
      </c>
      <c r="J63" s="106">
        <f>Input!J64-Input!J98</f>
        <v>0</v>
      </c>
      <c r="K63" s="106">
        <f>Input!K64-Input!K98</f>
        <v>0</v>
      </c>
      <c r="L63" s="106">
        <f>Input!L64-Input!L98</f>
        <v>0</v>
      </c>
      <c r="M63" s="106">
        <f>Input!M64-Input!M98</f>
        <v>0</v>
      </c>
      <c r="N63" s="106">
        <f>Input!N64-Input!N98</f>
        <v>0</v>
      </c>
      <c r="O63" s="106">
        <f>Input!O64-Input!O98</f>
        <v>0</v>
      </c>
      <c r="P63" s="106">
        <f>Input!P64-Input!P98</f>
        <v>0</v>
      </c>
      <c r="Q63" s="106">
        <f>Input!Q64-Input!Q98</f>
        <v>0</v>
      </c>
      <c r="R63" s="106"/>
      <c r="S63" s="106"/>
      <c r="T63" s="106"/>
      <c r="U63" s="106"/>
      <c r="V63" s="106"/>
      <c r="W63" s="106"/>
      <c r="X63" s="106"/>
      <c r="Y63" s="106"/>
      <c r="Z63" s="106"/>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row>
    <row r="64" spans="1:61" s="187" customFormat="1" outlineLevel="1">
      <c r="A64" s="12"/>
      <c r="B64" s="46"/>
      <c r="C64" s="129">
        <f>Asset25</f>
        <v>0</v>
      </c>
      <c r="D64" s="12"/>
      <c r="E64" s="12"/>
      <c r="F64" s="115"/>
      <c r="G64" s="204">
        <f>Input!G65-Input!G99</f>
        <v>0</v>
      </c>
      <c r="H64" s="106">
        <f>Input!H65-Input!H99</f>
        <v>0</v>
      </c>
      <c r="I64" s="106">
        <f>Input!I65-Input!I99</f>
        <v>0</v>
      </c>
      <c r="J64" s="106">
        <f>Input!J65-Input!J99</f>
        <v>0</v>
      </c>
      <c r="K64" s="106">
        <f>Input!K65-Input!K99</f>
        <v>0</v>
      </c>
      <c r="L64" s="106">
        <f>Input!L65-Input!L99</f>
        <v>0</v>
      </c>
      <c r="M64" s="106">
        <f>Input!M65-Input!M99</f>
        <v>0</v>
      </c>
      <c r="N64" s="106">
        <f>Input!N65-Input!N99</f>
        <v>0</v>
      </c>
      <c r="O64" s="106">
        <f>Input!O65-Input!O99</f>
        <v>0</v>
      </c>
      <c r="P64" s="106">
        <f>Input!P65-Input!P99</f>
        <v>0</v>
      </c>
      <c r="Q64" s="106">
        <f>Input!Q65-Input!Q99</f>
        <v>0</v>
      </c>
      <c r="R64" s="106"/>
      <c r="S64" s="106"/>
      <c r="T64" s="106"/>
      <c r="U64" s="106"/>
      <c r="V64" s="106"/>
      <c r="W64" s="106"/>
      <c r="X64" s="106"/>
      <c r="Y64" s="106"/>
      <c r="Z64" s="106"/>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row>
    <row r="65" spans="1:61" s="187" customFormat="1" outlineLevel="1">
      <c r="A65" s="12"/>
      <c r="B65" s="46"/>
      <c r="C65" s="129">
        <f>Asset26</f>
        <v>0</v>
      </c>
      <c r="D65" s="12"/>
      <c r="E65" s="12"/>
      <c r="F65" s="115"/>
      <c r="G65" s="204">
        <f>Input!G66-Input!G100</f>
        <v>0</v>
      </c>
      <c r="H65" s="106">
        <f>Input!H66-Input!H100</f>
        <v>0</v>
      </c>
      <c r="I65" s="106">
        <f>Input!I66-Input!I100</f>
        <v>0</v>
      </c>
      <c r="J65" s="106">
        <f>Input!J66-Input!J100</f>
        <v>0</v>
      </c>
      <c r="K65" s="106">
        <f>Input!K66-Input!K100</f>
        <v>0</v>
      </c>
      <c r="L65" s="106">
        <f>Input!L66-Input!L100</f>
        <v>0</v>
      </c>
      <c r="M65" s="106">
        <f>Input!M66-Input!M100</f>
        <v>0</v>
      </c>
      <c r="N65" s="106">
        <f>Input!N66-Input!N100</f>
        <v>0</v>
      </c>
      <c r="O65" s="106">
        <f>Input!O66-Input!O100</f>
        <v>0</v>
      </c>
      <c r="P65" s="106">
        <f>Input!P66-Input!P100</f>
        <v>0</v>
      </c>
      <c r="Q65" s="106">
        <f>Input!Q66-Input!Q100</f>
        <v>0</v>
      </c>
      <c r="R65" s="106"/>
      <c r="S65" s="106"/>
      <c r="T65" s="106"/>
      <c r="U65" s="106"/>
      <c r="V65" s="106"/>
      <c r="W65" s="106"/>
      <c r="X65" s="106"/>
      <c r="Y65" s="106"/>
      <c r="Z65" s="106"/>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row>
    <row r="66" spans="1:61" s="187" customFormat="1" outlineLevel="1">
      <c r="A66" s="12"/>
      <c r="B66" s="46"/>
      <c r="C66" s="129">
        <f>Asset27</f>
        <v>0</v>
      </c>
      <c r="D66" s="12"/>
      <c r="E66" s="12"/>
      <c r="F66" s="115"/>
      <c r="G66" s="204">
        <f>Input!G67-Input!G101</f>
        <v>0</v>
      </c>
      <c r="H66" s="106">
        <f>Input!H67-Input!H101</f>
        <v>0</v>
      </c>
      <c r="I66" s="106">
        <f>Input!I67-Input!I101</f>
        <v>0</v>
      </c>
      <c r="J66" s="106">
        <f>Input!J67-Input!J101</f>
        <v>0</v>
      </c>
      <c r="K66" s="106">
        <f>Input!K67-Input!K101</f>
        <v>0</v>
      </c>
      <c r="L66" s="106">
        <f>Input!L67-Input!L101</f>
        <v>0</v>
      </c>
      <c r="M66" s="106">
        <f>Input!M67-Input!M101</f>
        <v>0</v>
      </c>
      <c r="N66" s="106">
        <f>Input!N67-Input!N101</f>
        <v>0</v>
      </c>
      <c r="O66" s="106">
        <f>Input!O67-Input!O101</f>
        <v>0</v>
      </c>
      <c r="P66" s="106">
        <f>Input!P67-Input!P101</f>
        <v>0</v>
      </c>
      <c r="Q66" s="106">
        <f>Input!Q67-Input!Q101</f>
        <v>0</v>
      </c>
      <c r="R66" s="106"/>
      <c r="S66" s="106"/>
      <c r="T66" s="106"/>
      <c r="U66" s="106"/>
      <c r="V66" s="106"/>
      <c r="W66" s="106"/>
      <c r="X66" s="106"/>
      <c r="Y66" s="106"/>
      <c r="Z66" s="106"/>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row>
    <row r="67" spans="1:61" s="187" customFormat="1" outlineLevel="1">
      <c r="A67" s="12"/>
      <c r="B67" s="46"/>
      <c r="C67" s="129">
        <f>Asset28</f>
        <v>0</v>
      </c>
      <c r="D67" s="12"/>
      <c r="E67" s="12"/>
      <c r="F67" s="115"/>
      <c r="G67" s="204">
        <f>Input!G68-Input!G102</f>
        <v>0</v>
      </c>
      <c r="H67" s="106">
        <f>Input!H68-Input!H102</f>
        <v>0</v>
      </c>
      <c r="I67" s="106">
        <f>Input!I68-Input!I102</f>
        <v>0</v>
      </c>
      <c r="J67" s="106">
        <f>Input!J68-Input!J102</f>
        <v>0</v>
      </c>
      <c r="K67" s="106">
        <f>Input!K68-Input!K102</f>
        <v>0</v>
      </c>
      <c r="L67" s="106">
        <f>Input!L68-Input!L102</f>
        <v>0</v>
      </c>
      <c r="M67" s="106">
        <f>Input!M68-Input!M102</f>
        <v>0</v>
      </c>
      <c r="N67" s="106">
        <f>Input!N68-Input!N102</f>
        <v>0</v>
      </c>
      <c r="O67" s="106">
        <f>Input!O68-Input!O102</f>
        <v>0</v>
      </c>
      <c r="P67" s="106">
        <f>Input!P68-Input!P102</f>
        <v>0</v>
      </c>
      <c r="Q67" s="106">
        <f>Input!Q68-Input!Q102</f>
        <v>0</v>
      </c>
      <c r="R67" s="106"/>
      <c r="S67" s="106"/>
      <c r="T67" s="106"/>
      <c r="U67" s="106"/>
      <c r="V67" s="106"/>
      <c r="W67" s="106"/>
      <c r="X67" s="106"/>
      <c r="Y67" s="106"/>
      <c r="Z67" s="106"/>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row>
    <row r="68" spans="1:61" s="187" customFormat="1" outlineLevel="1">
      <c r="A68" s="12"/>
      <c r="B68" s="46"/>
      <c r="C68" s="129">
        <f>Asset29</f>
        <v>0</v>
      </c>
      <c r="D68" s="12"/>
      <c r="E68" s="12"/>
      <c r="F68" s="115"/>
      <c r="G68" s="204">
        <f>Input!G69-Input!G103</f>
        <v>0</v>
      </c>
      <c r="H68" s="106">
        <f>Input!H69-Input!H103</f>
        <v>0</v>
      </c>
      <c r="I68" s="106">
        <f>Input!I69-Input!I103</f>
        <v>0</v>
      </c>
      <c r="J68" s="106">
        <f>Input!J69-Input!J103</f>
        <v>0</v>
      </c>
      <c r="K68" s="106">
        <f>Input!K69-Input!K103</f>
        <v>0</v>
      </c>
      <c r="L68" s="106">
        <f>Input!L69-Input!L103</f>
        <v>0</v>
      </c>
      <c r="M68" s="106">
        <f>Input!M69-Input!M103</f>
        <v>0</v>
      </c>
      <c r="N68" s="106">
        <f>Input!N69-Input!N103</f>
        <v>0</v>
      </c>
      <c r="O68" s="106">
        <f>Input!O69-Input!O103</f>
        <v>0</v>
      </c>
      <c r="P68" s="106">
        <f>Input!P69-Input!P103</f>
        <v>0</v>
      </c>
      <c r="Q68" s="106">
        <f>Input!Q69-Input!Q103</f>
        <v>0</v>
      </c>
      <c r="R68" s="106"/>
      <c r="S68" s="106"/>
      <c r="T68" s="106"/>
      <c r="U68" s="106"/>
      <c r="V68" s="106"/>
      <c r="W68" s="106"/>
      <c r="X68" s="106"/>
      <c r="Y68" s="106"/>
      <c r="Z68" s="106"/>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row>
    <row r="69" spans="1:61" s="187" customFormat="1" outlineLevel="1">
      <c r="A69" s="12"/>
      <c r="B69" s="46"/>
      <c r="C69" s="129">
        <f>Asset30</f>
        <v>0</v>
      </c>
      <c r="D69" s="12"/>
      <c r="E69" s="12"/>
      <c r="F69" s="115"/>
      <c r="G69" s="204">
        <f>Input!G70-Input!G104</f>
        <v>0</v>
      </c>
      <c r="H69" s="106">
        <f>Input!H70-Input!H104</f>
        <v>0</v>
      </c>
      <c r="I69" s="106">
        <f>Input!I70-Input!I104</f>
        <v>0</v>
      </c>
      <c r="J69" s="106">
        <f>Input!J70-Input!J104</f>
        <v>0</v>
      </c>
      <c r="K69" s="106">
        <f>Input!K70-Input!K104</f>
        <v>0</v>
      </c>
      <c r="L69" s="106">
        <f>Input!L70-Input!L104</f>
        <v>0</v>
      </c>
      <c r="M69" s="106">
        <f>Input!M70-Input!M104</f>
        <v>0</v>
      </c>
      <c r="N69" s="106">
        <f>Input!N70-Input!N104</f>
        <v>0</v>
      </c>
      <c r="O69" s="106">
        <f>Input!O70-Input!O104</f>
        <v>0</v>
      </c>
      <c r="P69" s="106">
        <f>Input!P70-Input!P104</f>
        <v>0</v>
      </c>
      <c r="Q69" s="106">
        <f>Input!Q70-Input!Q104</f>
        <v>0</v>
      </c>
      <c r="R69" s="106"/>
      <c r="S69" s="106"/>
      <c r="T69" s="106"/>
      <c r="U69" s="106"/>
      <c r="V69" s="106"/>
      <c r="W69" s="106"/>
      <c r="X69" s="106"/>
      <c r="Y69" s="106"/>
      <c r="Z69" s="106"/>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row>
    <row r="70" spans="1:61" s="187" customFormat="1">
      <c r="A70" s="12"/>
      <c r="B70" s="17"/>
      <c r="C70" s="12"/>
      <c r="D70" s="12"/>
      <c r="E70" s="12"/>
      <c r="F70" s="115"/>
      <c r="G70" s="204"/>
      <c r="H70" s="106"/>
      <c r="I70" s="106"/>
      <c r="J70" s="106"/>
      <c r="K70" s="106"/>
      <c r="L70" s="106"/>
      <c r="M70" s="106"/>
      <c r="N70" s="106"/>
      <c r="O70" s="106"/>
      <c r="P70" s="106"/>
      <c r="Q70" s="106"/>
      <c r="R70" s="106"/>
      <c r="S70" s="106"/>
      <c r="T70" s="106"/>
      <c r="U70" s="106"/>
      <c r="V70" s="106"/>
      <c r="W70" s="106"/>
      <c r="X70" s="106"/>
      <c r="Y70" s="106"/>
      <c r="Z70" s="106"/>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row>
    <row r="71" spans="1:61" s="187" customFormat="1">
      <c r="A71" s="9"/>
      <c r="B71" s="9" t="s">
        <v>71</v>
      </c>
      <c r="C71" s="9"/>
      <c r="D71" s="9"/>
      <c r="E71" s="9"/>
      <c r="F71" s="23"/>
      <c r="G71" s="197">
        <f>G85+G99+G113+G127+G141+G155+G169+G183+G197+G211+G225+G239+G253+G267+G281+G295+G309+G323+G337+G351+G365+G379+G393+G407+G421+G435+G449+G463+G477+G491</f>
        <v>0</v>
      </c>
      <c r="H71" s="118">
        <f>H85+H99+H113+H127+H141+H155+H169+H183+H197+H211+H225+H239+H253+H267+H281+H295+H309+H323+H337+H351+H365+H379+H393+H407+H421+H435+H449+H463+H477+H491</f>
        <v>-7.9348999999999998</v>
      </c>
      <c r="I71" s="118">
        <f t="shared" ref="I71:Q71" si="34">I85+I99+I113+I127+I141+I155+I169+I183+I197+I211+I225+I239+I253+I267+I281+I295+I309+I323+I337+I351+I365+I379+I393+I407+I421+I435+I449+I463+I477+I491</f>
        <v>-15.785872383952125</v>
      </c>
      <c r="J71" s="118">
        <f t="shared" si="34"/>
        <v>-23.496514353688362</v>
      </c>
      <c r="K71" s="118">
        <f t="shared" si="34"/>
        <v>-42.198167275301316</v>
      </c>
      <c r="L71" s="118">
        <f t="shared" si="34"/>
        <v>-36.010092160654494</v>
      </c>
      <c r="M71" s="118">
        <f t="shared" si="34"/>
        <v>0</v>
      </c>
      <c r="N71" s="118">
        <f t="shared" si="34"/>
        <v>0</v>
      </c>
      <c r="O71" s="118">
        <f t="shared" si="34"/>
        <v>0</v>
      </c>
      <c r="P71" s="118">
        <f t="shared" si="34"/>
        <v>0</v>
      </c>
      <c r="Q71" s="118">
        <f t="shared" si="34"/>
        <v>0</v>
      </c>
      <c r="R71" s="112"/>
      <c r="S71" s="190"/>
      <c r="T71" s="190"/>
      <c r="U71" s="190"/>
      <c r="V71" s="190"/>
      <c r="W71" s="190"/>
      <c r="X71" s="190"/>
      <c r="Y71" s="190"/>
      <c r="Z71" s="190"/>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row>
    <row r="72" spans="1:61" s="187" customFormat="1" ht="12.75" customHeight="1" outlineLevel="2">
      <c r="A72" s="9"/>
      <c r="B72" s="32" t="str">
        <f>Asset1</f>
        <v>Mains &amp; Services</v>
      </c>
      <c r="C72" s="33"/>
      <c r="D72" s="34" t="s">
        <v>67</v>
      </c>
      <c r="E72" s="33"/>
      <c r="F72" s="35"/>
      <c r="G72" s="205">
        <f>IF(G$3&gt;A1taxremlife,A1taxvalue-SUM($F72:F72),IF(A1taxremlife="N/A","n/a",A1taxvalue/A1taxremlife))</f>
        <v>0</v>
      </c>
      <c r="H72" s="67">
        <f>IF(H$3&gt;A1taxremlife,A1taxvalue-SUM($F72:G72),IF(A1taxremlife="N/A","n/a",A1taxvalue/A1taxremlife))</f>
        <v>0</v>
      </c>
      <c r="I72" s="67">
        <f>IF(I$3&gt;A1taxremlife,A1taxvalue-SUM($F72:H72),IF(A1taxremlife="N/A","n/a",A1taxvalue/A1taxremlife))</f>
        <v>0</v>
      </c>
      <c r="J72" s="67">
        <f>IF(J$3&gt;A1taxremlife,A1taxvalue-SUM($F72:I72),IF(A1taxremlife="N/A","n/a",A1taxvalue/A1taxremlife))</f>
        <v>0</v>
      </c>
      <c r="K72" s="67">
        <f>IF(K$3&gt;A1taxremlife,A1taxvalue-SUM($F72:J72),IF(A1taxremlife="N/A","n/a",A1taxvalue/A1taxremlife))</f>
        <v>0</v>
      </c>
      <c r="L72" s="67">
        <f>IF(L$3&gt;A1taxremlife,A1taxvalue-SUM($F72:K72),IF(A1taxremlife="N/A","n/a",A1taxvalue/A1taxremlife))</f>
        <v>0</v>
      </c>
      <c r="M72" s="67">
        <f>IF(M$3&gt;A1taxremlife,A1taxvalue-SUM($F72:L72),IF(A1taxremlife="N/A","n/a",A1taxvalue/A1taxremlife))</f>
        <v>0</v>
      </c>
      <c r="N72" s="67">
        <f>IF(N$3&gt;A1taxremlife,A1taxvalue-SUM($F72:M72),IF(A1taxremlife="N/A","n/a",A1taxvalue/A1taxremlife))</f>
        <v>0</v>
      </c>
      <c r="O72" s="67">
        <f>IF(O$3&gt;A1taxremlife,A1taxvalue-SUM($F72:N72),IF(A1taxremlife="N/A","n/a",A1taxvalue/A1taxremlife))</f>
        <v>0</v>
      </c>
      <c r="P72" s="67">
        <f>IF(P$3&gt;A1taxremlife,A1taxvalue-SUM($F72:O72),IF(A1taxremlife="N/A","n/a",A1taxvalue/A1taxremlife))</f>
        <v>0</v>
      </c>
      <c r="Q72" s="67">
        <f>IF(Q$3&gt;A1taxremlife,A1taxvalue-SUM($F72:P72),IF(A1taxremlife="N/A","n/a",A1taxvalue/A1taxremlife))</f>
        <v>0</v>
      </c>
      <c r="R72" s="67"/>
      <c r="S72" s="103"/>
      <c r="T72" s="103"/>
      <c r="U72" s="103"/>
      <c r="V72" s="103"/>
      <c r="W72" s="103"/>
      <c r="X72" s="103"/>
      <c r="Y72" s="103"/>
      <c r="Z72" s="103"/>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row>
    <row r="73" spans="1:61" s="187" customFormat="1" ht="12.75" customHeight="1" outlineLevel="2">
      <c r="A73" s="9"/>
      <c r="B73" s="26"/>
      <c r="C73" s="25"/>
      <c r="D73" s="671" t="s">
        <v>84</v>
      </c>
      <c r="E73" s="86">
        <v>0</v>
      </c>
      <c r="F73" s="27"/>
      <c r="G73" s="206"/>
      <c r="H73" s="68"/>
      <c r="I73" s="68"/>
      <c r="J73" s="68"/>
      <c r="K73" s="68"/>
      <c r="L73" s="68"/>
      <c r="M73" s="68"/>
      <c r="N73" s="68"/>
      <c r="O73" s="68"/>
      <c r="P73" s="68"/>
      <c r="Q73" s="68"/>
      <c r="R73" s="68"/>
      <c r="S73" s="103"/>
      <c r="T73" s="103"/>
      <c r="U73" s="103"/>
      <c r="V73" s="103"/>
      <c r="W73" s="103"/>
      <c r="X73" s="103"/>
      <c r="Y73" s="103"/>
      <c r="Z73" s="103"/>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row>
    <row r="74" spans="1:61" s="187" customFormat="1" ht="12.75" customHeight="1" outlineLevel="2">
      <c r="A74" s="9"/>
      <c r="B74" s="26"/>
      <c r="C74" s="25"/>
      <c r="D74" s="672"/>
      <c r="E74" s="86">
        <v>1</v>
      </c>
      <c r="F74" s="27"/>
      <c r="G74" s="207"/>
      <c r="H74" s="68">
        <f>IF(A1taxstdlife="n/a","n/a",IF(H$3&gt;(A1taxstdlife+$E74),(Input!$G$41-Input!$G$75)-SUM($G74:G74),(Input!$G$41-Input!$G$75)/A1taxstdlife))</f>
        <v>3.7685499999999998</v>
      </c>
      <c r="I74" s="68">
        <f>IF(A1taxstdlife="n/a","n/a",IF(I$3&gt;(A1taxstdlife+$E74),(Input!$G$41-Input!$G$75)-SUM($G74:H74),(Input!$G$41-Input!$G$75)/A1taxstdlife))</f>
        <v>3.7685499999999998</v>
      </c>
      <c r="J74" s="68">
        <f>IF(A1taxstdlife="n/a","n/a",IF(J$3&gt;(A1taxstdlife+$E74),(Input!$G$41-Input!$G$75)-SUM($G74:I74),(Input!$G$41-Input!$G$75)/A1taxstdlife))</f>
        <v>3.7685499999999998</v>
      </c>
      <c r="K74" s="68">
        <f>IF(A1taxstdlife="n/a","n/a",IF(K$3&gt;(A1taxstdlife+$E74),(Input!$G$41-Input!$G$75)-SUM($G74:J74),(Input!$G$41-Input!$G$75)/A1taxstdlife))</f>
        <v>3.7685499999999998</v>
      </c>
      <c r="L74" s="68">
        <f>IF(A1taxstdlife="n/a","n/a",IF(L$3&gt;(A1taxstdlife+$E74),(Input!$G$41-Input!$G$75)-SUM($G74:K74),(Input!$G$41-Input!$G$75)/A1taxstdlife))</f>
        <v>3.7685499999999998</v>
      </c>
      <c r="M74" s="68">
        <f>IF(A1taxstdlife="n/a","n/a",IF(M$3&gt;(A1taxstdlife+$E74),(Input!$G$41-Input!$G$75)-SUM($G74:L74),(Input!$G$41-Input!$G$75)/A1taxstdlife))</f>
        <v>3.7685499999999998</v>
      </c>
      <c r="N74" s="68">
        <f>IF(A1taxstdlife="n/a","n/a",IF(N$3&gt;(A1taxstdlife+$E74),(Input!$G$41-Input!$G$75)-SUM($G74:M74),(Input!$G$41-Input!$G$75)/A1taxstdlife))</f>
        <v>3.7685499999999998</v>
      </c>
      <c r="O74" s="68">
        <f>IF(A1taxstdlife="n/a","n/a",IF(O$3&gt;(A1taxstdlife+$E74),(Input!$G$41-Input!$G$75)-SUM($G74:N74),(Input!$G$41-Input!$G$75)/A1taxstdlife))</f>
        <v>3.7685499999999998</v>
      </c>
      <c r="P74" s="68">
        <f>IF(A1taxstdlife="n/a","n/a",IF(P$3&gt;(A1taxstdlife+$E74),(Input!$G$41-Input!$G$75)-SUM($G74:O74),(Input!$G$41-Input!$G$75)/A1taxstdlife))</f>
        <v>3.7685499999999998</v>
      </c>
      <c r="Q74" s="68">
        <f>IF(A1taxstdlife="n/a","n/a",IF(Q$3&gt;(A1taxstdlife+$E74),(Input!$G$41-Input!$G$75)-SUM($G74:P74),(Input!$G$41-Input!$G$75)/A1taxstdlife))</f>
        <v>3.7685499999999998</v>
      </c>
      <c r="R74" s="68"/>
      <c r="S74" s="103"/>
      <c r="T74" s="243"/>
      <c r="U74" s="103"/>
      <c r="V74" s="103"/>
      <c r="W74" s="103"/>
      <c r="X74" s="103"/>
      <c r="Y74" s="103"/>
      <c r="Z74" s="103"/>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row>
    <row r="75" spans="1:61" s="187" customFormat="1" ht="12.75" customHeight="1" outlineLevel="2">
      <c r="A75" s="9"/>
      <c r="B75" s="26"/>
      <c r="C75" s="25"/>
      <c r="D75" s="672"/>
      <c r="E75" s="86">
        <v>2</v>
      </c>
      <c r="F75" s="27"/>
      <c r="G75" s="208"/>
      <c r="H75" s="149"/>
      <c r="I75" s="68">
        <f>IF(A1taxstdlife="n/a","n/a",IF(I$3&gt;(A1taxstdlife+$E75),(Input!$H$41-Input!$H$75)-SUM($H75:H75),(Input!$H$41-Input!$H$75)/A1taxstdlife))</f>
        <v>4.5172490252561879</v>
      </c>
      <c r="J75" s="68">
        <f>IF(A1taxstdlife="n/a","n/a",IF(J$3&gt;(A1taxstdlife+$E75),(Input!$H$41-Input!$H$75)-SUM($H75:I75),(Input!$H$41-Input!$H$75)/A1taxstdlife))</f>
        <v>4.5172490252561879</v>
      </c>
      <c r="K75" s="68">
        <f>IF(A1taxstdlife="n/a","n/a",IF(K$3&gt;(A1taxstdlife+$E75),(Input!$H$41-Input!$H$75)-SUM($H75:J75),(Input!$H$41-Input!$H$75)/A1taxstdlife))</f>
        <v>4.5172490252561879</v>
      </c>
      <c r="L75" s="68">
        <f>IF(A1taxstdlife="n/a","n/a",IF(L$3&gt;(A1taxstdlife+$E75),(Input!$H$41-Input!$H$75)-SUM($H75:K75),(Input!$H$41-Input!$H$75)/A1taxstdlife))</f>
        <v>4.5172490252561879</v>
      </c>
      <c r="M75" s="68">
        <f>IF(A1taxstdlife="n/a","n/a",IF(M$3&gt;(A1taxstdlife+$E75),(Input!$H$41-Input!$H$75)-SUM($H75:L75),(Input!$H$41-Input!$H$75)/A1taxstdlife))</f>
        <v>4.5172490252561879</v>
      </c>
      <c r="N75" s="68">
        <f>IF(A1taxstdlife="n/a","n/a",IF(N$3&gt;(A1taxstdlife+$E75),(Input!$H$41-Input!$H$75)-SUM($H75:M75),(Input!$H$41-Input!$H$75)/A1taxstdlife))</f>
        <v>4.5172490252561879</v>
      </c>
      <c r="O75" s="68">
        <f>IF(A1taxstdlife="n/a","n/a",IF(O$3&gt;(A1taxstdlife+$E75),(Input!$H$41-Input!$H$75)-SUM($H75:N75),(Input!$H$41-Input!$H$75)/A1taxstdlife))</f>
        <v>4.5172490252561879</v>
      </c>
      <c r="P75" s="68">
        <f>IF(A1taxstdlife="n/a","n/a",IF(P$3&gt;(A1taxstdlife+$E75),(Input!$H$41-Input!$H$75)-SUM($H75:O75),(Input!$H$41-Input!$H$75)/A1taxstdlife))</f>
        <v>4.5172490252561879</v>
      </c>
      <c r="Q75" s="68">
        <f>IF(A1taxstdlife="n/a","n/a",IF(Q$3&gt;(A1taxstdlife+$E75),(Input!$H$41-Input!$H$75)-SUM($H75:P75),(Input!$H$41-Input!$H$75)/A1taxstdlife))</f>
        <v>4.5172490252561879</v>
      </c>
      <c r="R75" s="68"/>
      <c r="S75" s="103"/>
      <c r="T75" s="103"/>
      <c r="U75" s="103"/>
      <c r="V75" s="103"/>
      <c r="W75" s="103"/>
      <c r="X75" s="103"/>
      <c r="Y75" s="103"/>
      <c r="Z75" s="103"/>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row>
    <row r="76" spans="1:61" s="187" customFormat="1" ht="12.75" customHeight="1" outlineLevel="2">
      <c r="A76" s="9"/>
      <c r="B76" s="26"/>
      <c r="C76" s="25"/>
      <c r="D76" s="672"/>
      <c r="E76" s="86">
        <v>3</v>
      </c>
      <c r="F76" s="27"/>
      <c r="G76" s="208"/>
      <c r="H76" s="150"/>
      <c r="I76" s="149"/>
      <c r="J76" s="68">
        <f>IF(A1taxstdlife="n/a","n/a",IF(J$3&gt;(A1taxstdlife+$E76),(Input!$I$41-Input!$I$75)-SUM($I76:I76),(Input!$I$41-Input!$I$75)/A1taxstdlife))</f>
        <v>4.9160214263557354</v>
      </c>
      <c r="K76" s="68">
        <f>IF(A1taxstdlife="n/a","n/a",IF(K$3&gt;(A1taxstdlife+$E76),(Input!$I$41-Input!$I$75)-SUM($I76:J76),(Input!$I$41-Input!$I$75)/A1taxstdlife))</f>
        <v>4.9160214263557354</v>
      </c>
      <c r="L76" s="68">
        <f>IF(A1taxstdlife="n/a","n/a",IF(L$3&gt;(A1taxstdlife+$E76),(Input!$I$41-Input!$I$75)-SUM($I76:K76),(Input!$I$41-Input!$I$75)/A1taxstdlife))</f>
        <v>4.9160214263557354</v>
      </c>
      <c r="M76" s="68">
        <f>IF(A1taxstdlife="n/a","n/a",IF(M$3&gt;(A1taxstdlife+$E76),(Input!$I$41-Input!$I$75)-SUM($I76:L76),(Input!$I$41-Input!$I$75)/A1taxstdlife))</f>
        <v>4.9160214263557354</v>
      </c>
      <c r="N76" s="68">
        <f>IF(A1taxstdlife="n/a","n/a",IF(N$3&gt;(A1taxstdlife+$E76),(Input!$I$41-Input!$I$75)-SUM($I76:M76),(Input!$I$41-Input!$I$75)/A1taxstdlife))</f>
        <v>4.9160214263557354</v>
      </c>
      <c r="O76" s="68">
        <f>IF(A1taxstdlife="n/a","n/a",IF(O$3&gt;(A1taxstdlife+$E76),(Input!$I$41-Input!$I$75)-SUM($I76:N76),(Input!$I$41-Input!$I$75)/A1taxstdlife))</f>
        <v>4.9160214263557354</v>
      </c>
      <c r="P76" s="68">
        <f>IF(A1taxstdlife="n/a","n/a",IF(P$3&gt;(A1taxstdlife+$E76),(Input!$I$41-Input!$I$75)-SUM($I76:O76),(Input!$I$41-Input!$I$75)/A1taxstdlife))</f>
        <v>4.9160214263557354</v>
      </c>
      <c r="Q76" s="68">
        <f>IF(A1taxstdlife="n/a","n/a",IF(Q$3&gt;(A1taxstdlife+$E76),(Input!$I$41-Input!$I$75)-SUM($I76:P76),(Input!$I$41-Input!$I$75)/A1taxstdlife))</f>
        <v>4.9160214263557354</v>
      </c>
      <c r="R76" s="68"/>
      <c r="S76" s="103"/>
      <c r="T76" s="103"/>
      <c r="U76" s="103"/>
      <c r="V76" s="103"/>
      <c r="W76" s="103"/>
      <c r="X76" s="103"/>
      <c r="Y76" s="103"/>
      <c r="Z76" s="103"/>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row>
    <row r="77" spans="1:61" s="187" customFormat="1" ht="12.75" customHeight="1" outlineLevel="2">
      <c r="A77" s="9"/>
      <c r="B77" s="26"/>
      <c r="C77" s="25"/>
      <c r="D77" s="672"/>
      <c r="E77" s="86">
        <v>4</v>
      </c>
      <c r="F77" s="27"/>
      <c r="G77" s="208"/>
      <c r="H77" s="150"/>
      <c r="I77" s="150"/>
      <c r="J77" s="149"/>
      <c r="K77" s="68">
        <f>IF(A1taxstdlife="n/a","n/a",IF(K$3&gt;(A1taxstdlife+$E77),(Input!$J$41-Input!$J$75)-SUM($J77:J77),(Input!$J$41-Input!$J$75)/A1taxstdlife))</f>
        <v>5.1876979740267952</v>
      </c>
      <c r="L77" s="68">
        <f>IF(A1taxstdlife="n/a","n/a",IF(L$3&gt;(A1taxstdlife+$E77),(Input!$J$41-Input!$J$75)-SUM($J77:K77),(Input!$J$41-Input!$J$75)/A1taxstdlife))</f>
        <v>5.1876979740267952</v>
      </c>
      <c r="M77" s="68">
        <f>IF(A1taxstdlife="n/a","n/a",IF(M$3&gt;(A1taxstdlife+$E77),(Input!$J$41-Input!$J$75)-SUM($J77:L77),(Input!$J$41-Input!$J$75)/A1taxstdlife))</f>
        <v>5.1876979740267952</v>
      </c>
      <c r="N77" s="68">
        <f>IF(A1taxstdlife="n/a","n/a",IF(N$3&gt;(A1taxstdlife+$E77),(Input!$J$41-Input!$J$75)-SUM($J77:M77),(Input!$J$41-Input!$J$75)/A1taxstdlife))</f>
        <v>5.1876979740267952</v>
      </c>
      <c r="O77" s="68">
        <f>IF(A1taxstdlife="n/a","n/a",IF(O$3&gt;(A1taxstdlife+$E77),(Input!$J$41-Input!$J$75)-SUM($J77:N77),(Input!$J$41-Input!$J$75)/A1taxstdlife))</f>
        <v>5.1876979740267952</v>
      </c>
      <c r="P77" s="68">
        <f>IF(A1taxstdlife="n/a","n/a",IF(P$3&gt;(A1taxstdlife+$E77),(Input!$J$41-Input!$J$75)-SUM($J77:O77),(Input!$J$41-Input!$J$75)/A1taxstdlife))</f>
        <v>5.1876979740267952</v>
      </c>
      <c r="Q77" s="68">
        <f>IF(A1taxstdlife="n/a","n/a",IF(Q$3&gt;(A1taxstdlife+$E77),(Input!$J$41-Input!$J$75)-SUM($J77:P77),(Input!$J$41-Input!$J$75)/A1taxstdlife))</f>
        <v>5.1876979740267952</v>
      </c>
      <c r="R77" s="68"/>
      <c r="S77" s="103"/>
      <c r="T77" s="103"/>
      <c r="U77" s="103"/>
      <c r="V77" s="103"/>
      <c r="W77" s="103"/>
      <c r="X77" s="103"/>
      <c r="Y77" s="103"/>
      <c r="Z77" s="103"/>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row>
    <row r="78" spans="1:61" s="187" customFormat="1" ht="12.75" customHeight="1" outlineLevel="2">
      <c r="A78" s="9"/>
      <c r="B78" s="26"/>
      <c r="C78" s="25"/>
      <c r="D78" s="672"/>
      <c r="E78" s="86">
        <v>5</v>
      </c>
      <c r="F78" s="27"/>
      <c r="G78" s="208"/>
      <c r="H78" s="150"/>
      <c r="I78" s="150"/>
      <c r="J78" s="150"/>
      <c r="K78" s="149"/>
      <c r="L78" s="68">
        <f>IF(A1taxstdlife="n/a","n/a",IF(L$3&gt;(A1taxstdlife+$E78),(Input!$K$41-Input!$K$75)-SUM($K78:K78),(Input!$K$41-Input!$K$75)/A1taxstdlife))</f>
        <v>3.8831743396924461</v>
      </c>
      <c r="M78" s="68">
        <f>IF(A1taxstdlife="n/a","n/a",IF(M$3&gt;(A1taxstdlife+$E78),(Input!$K$41-Input!$K$75)-SUM($K78:L78),(Input!$K$41-Input!$K$75)/A1taxstdlife))</f>
        <v>3.8831743396924461</v>
      </c>
      <c r="N78" s="68">
        <f>IF(A1taxstdlife="n/a","n/a",IF(N$3&gt;(A1taxstdlife+$E78),(Input!$K$41-Input!$K$75)-SUM($K78:M78),(Input!$K$41-Input!$K$75)/A1taxstdlife))</f>
        <v>3.8831743396924461</v>
      </c>
      <c r="O78" s="68">
        <f>IF(A1taxstdlife="n/a","n/a",IF(O$3&gt;(A1taxstdlife+$E78),(Input!$K$41-Input!$K$75)-SUM($K78:N78),(Input!$K$41-Input!$K$75)/A1taxstdlife))</f>
        <v>3.8831743396924461</v>
      </c>
      <c r="P78" s="68">
        <f>IF(A1taxstdlife="n/a","n/a",IF(P$3&gt;(A1taxstdlife+$E78),(Input!$K$41-Input!$K$75)-SUM($K78:O78),(Input!$K$41-Input!$K$75)/A1taxstdlife))</f>
        <v>3.8831743396924461</v>
      </c>
      <c r="Q78" s="68">
        <f>IF(A1taxstdlife="n/a","n/a",IF(Q$3&gt;(A1taxstdlife+$E78),(Input!$K$41-Input!$K$75)-SUM($K78:P78),(Input!$K$41-Input!$K$75)/A1taxstdlife))</f>
        <v>3.8831743396924461</v>
      </c>
      <c r="R78" s="68"/>
      <c r="S78" s="103"/>
      <c r="T78" s="103"/>
      <c r="U78" s="103"/>
      <c r="V78" s="103"/>
      <c r="W78" s="103"/>
      <c r="X78" s="103"/>
      <c r="Y78" s="103"/>
      <c r="Z78" s="103"/>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row>
    <row r="79" spans="1:61" s="187" customFormat="1" ht="12.75" customHeight="1" outlineLevel="2">
      <c r="A79" s="9"/>
      <c r="B79" s="26"/>
      <c r="C79" s="25"/>
      <c r="D79" s="672"/>
      <c r="E79" s="86">
        <v>6</v>
      </c>
      <c r="F79" s="27"/>
      <c r="G79" s="208"/>
      <c r="H79" s="150"/>
      <c r="I79" s="150"/>
      <c r="J79" s="150"/>
      <c r="K79" s="150"/>
      <c r="L79" s="149"/>
      <c r="M79" s="68">
        <f>IF(A1taxstdlife="n/a","n/a",IF(M$3&gt;(A1taxstdlife+$E79),(Input!$L$41-Input!$L$75)-SUM($L79:L79),(Input!$L$41-Input!$L$75)/A1taxstdlife))</f>
        <v>4.1775000000000002</v>
      </c>
      <c r="N79" s="68">
        <f>IF(A1taxstdlife="n/a","n/a",IF(N$3&gt;(A1taxstdlife+$E79),(Input!$L$41-Input!$L$75)-SUM($L79:M79),(Input!$L$41-Input!$L$75)/A1taxstdlife))</f>
        <v>4.1775000000000002</v>
      </c>
      <c r="O79" s="68">
        <f>IF(A1taxstdlife="n/a","n/a",IF(O$3&gt;(A1taxstdlife+$E79),(Input!$L$41-Input!$L$75)-SUM($L79:N79),(Input!$L$41-Input!$L$75)/A1taxstdlife))</f>
        <v>4.1775000000000002</v>
      </c>
      <c r="P79" s="68">
        <f>IF(A1taxstdlife="n/a","n/a",IF(P$3&gt;(A1taxstdlife+$E79),(Input!$L$41-Input!$L$75)-SUM($L79:O79),(Input!$L$41-Input!$L$75)/A1taxstdlife))</f>
        <v>4.1775000000000002</v>
      </c>
      <c r="Q79" s="68">
        <f>IF(A1taxstdlife="n/a","n/a",IF(Q$3&gt;(A1taxstdlife+$E79),(Input!$L$41-Input!$L$75)-SUM($L79:P79),(Input!$L$41-Input!$L$75)/A1taxstdlife))</f>
        <v>4.1775000000000002</v>
      </c>
      <c r="R79" s="68"/>
      <c r="S79" s="103"/>
      <c r="T79" s="103"/>
      <c r="U79" s="103"/>
      <c r="V79" s="103"/>
      <c r="W79" s="103"/>
      <c r="X79" s="103"/>
      <c r="Y79" s="103"/>
      <c r="Z79" s="103"/>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row>
    <row r="80" spans="1:61" s="187" customFormat="1" ht="12.75" customHeight="1" outlineLevel="2">
      <c r="A80" s="9"/>
      <c r="B80" s="26"/>
      <c r="C80" s="25"/>
      <c r="D80" s="672"/>
      <c r="E80" s="86">
        <v>7</v>
      </c>
      <c r="F80" s="27"/>
      <c r="G80" s="208"/>
      <c r="H80" s="150"/>
      <c r="I80" s="150"/>
      <c r="J80" s="150"/>
      <c r="K80" s="150"/>
      <c r="L80" s="150"/>
      <c r="M80" s="149"/>
      <c r="N80" s="68">
        <f>IF(A1taxstdlife="n/a","n/a",IF(N$3&gt;(A1taxstdlife+$E80),(Input!$M$41-Input!$M$75)-SUM($M80:M80),(Input!$M$41-Input!$M$75)/A1taxstdlife))</f>
        <v>0</v>
      </c>
      <c r="O80" s="68">
        <f>IF(A1taxstdlife="n/a","n/a",IF(O$3&gt;(A1taxstdlife+$E80),(Input!$M$41-Input!$M$75)-SUM($M80:N80),(Input!$M$41-Input!$M$75)/A1taxstdlife))</f>
        <v>0</v>
      </c>
      <c r="P80" s="68">
        <f>IF(A1taxstdlife="n/a","n/a",IF(P$3&gt;(A1taxstdlife+$E80),(Input!$M$41-Input!$M$75)-SUM($M80:O80),(Input!$M$41-Input!$M$75)/A1taxstdlife))</f>
        <v>0</v>
      </c>
      <c r="Q80" s="68">
        <f>IF(A1taxstdlife="n/a","n/a",IF(Q$3&gt;(A1taxstdlife+$E80),(Input!$M$41-Input!$M$75)-SUM($M80:P80),(Input!$M$41-Input!$M$75)/A1taxstdlife))</f>
        <v>0</v>
      </c>
      <c r="R80" s="68"/>
      <c r="S80" s="103"/>
      <c r="T80" s="103"/>
      <c r="U80" s="103"/>
      <c r="V80" s="103"/>
      <c r="W80" s="103"/>
      <c r="X80" s="103"/>
      <c r="Y80" s="103"/>
      <c r="Z80" s="103"/>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row>
    <row r="81" spans="1:62" s="187" customFormat="1" ht="12.75" customHeight="1" outlineLevel="2">
      <c r="A81" s="9"/>
      <c r="B81" s="26"/>
      <c r="C81" s="25"/>
      <c r="D81" s="672"/>
      <c r="E81" s="86">
        <v>8</v>
      </c>
      <c r="F81" s="27"/>
      <c r="G81" s="208"/>
      <c r="H81" s="150"/>
      <c r="I81" s="150"/>
      <c r="J81" s="150"/>
      <c r="K81" s="150"/>
      <c r="L81" s="150"/>
      <c r="M81" s="150"/>
      <c r="N81" s="149"/>
      <c r="O81" s="68">
        <f>IF(A1taxstdlife="n/a","n/a",IF(O$3&gt;(A1taxstdlife+$E81),(Input!$N$41-Input!$N$75)-SUM($N81:N81),(Input!$N$41-Input!$N$75)/A1taxstdlife))</f>
        <v>0</v>
      </c>
      <c r="P81" s="68">
        <f>IF(A1taxstdlife="n/a","n/a",IF(P$3&gt;(A1taxstdlife+$E81),(Input!$N$41-Input!$N$75)-SUM($N81:O81),(Input!$N$41-Input!$N$75)/A1taxstdlife))</f>
        <v>0</v>
      </c>
      <c r="Q81" s="68">
        <f>IF(A1taxstdlife="n/a","n/a",IF(Q$3&gt;(A1taxstdlife+$E81),(Input!$N$41-Input!$N$75)-SUM($N81:P81),(Input!$N$41-Input!$N$75)/A1taxstdlife))</f>
        <v>0</v>
      </c>
      <c r="R81" s="68"/>
      <c r="S81" s="103"/>
      <c r="T81" s="103"/>
      <c r="U81" s="103"/>
      <c r="V81" s="103"/>
      <c r="W81" s="103"/>
      <c r="X81" s="103"/>
      <c r="Y81" s="103"/>
      <c r="Z81" s="103"/>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row>
    <row r="82" spans="1:62" s="187" customFormat="1" ht="12.75" customHeight="1" outlineLevel="2">
      <c r="A82" s="9"/>
      <c r="B82" s="26"/>
      <c r="C82" s="25"/>
      <c r="D82" s="672"/>
      <c r="E82" s="86">
        <v>9</v>
      </c>
      <c r="F82" s="27"/>
      <c r="G82" s="208"/>
      <c r="H82" s="150"/>
      <c r="I82" s="150"/>
      <c r="J82" s="150"/>
      <c r="K82" s="150"/>
      <c r="L82" s="150"/>
      <c r="M82" s="150"/>
      <c r="N82" s="150"/>
      <c r="O82" s="149"/>
      <c r="P82" s="68">
        <f>IF(A1taxstdlife="n/a","n/a",IF(P$3&gt;(A1taxstdlife+$E82),(Input!$O$41-Input!$O$75)-SUM($O82:O82),(Input!$O$41-Input!$O$75)/A1taxstdlife))</f>
        <v>0</v>
      </c>
      <c r="Q82" s="68">
        <f>IF(A1taxstdlife="n/a","n/a",IF(Q$3&gt;(A1taxstdlife+$E82),(Input!$O$41-Input!$O$75)-SUM($O82:P82),(Input!$O$41-Input!$O$75)/A1taxstdlife))</f>
        <v>0</v>
      </c>
      <c r="R82" s="68"/>
      <c r="S82" s="103"/>
      <c r="T82" s="103"/>
      <c r="U82" s="103"/>
      <c r="V82" s="103"/>
      <c r="W82" s="103"/>
      <c r="X82" s="103"/>
      <c r="Y82" s="103"/>
      <c r="Z82" s="103"/>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row>
    <row r="83" spans="1:62" s="187" customFormat="1" ht="12.75" customHeight="1" outlineLevel="2">
      <c r="A83" s="9"/>
      <c r="B83" s="26"/>
      <c r="C83" s="25"/>
      <c r="D83" s="672"/>
      <c r="E83" s="86">
        <v>10</v>
      </c>
      <c r="F83" s="27"/>
      <c r="G83" s="208"/>
      <c r="H83" s="150"/>
      <c r="I83" s="150"/>
      <c r="J83" s="150"/>
      <c r="K83" s="150"/>
      <c r="L83" s="150"/>
      <c r="M83" s="150"/>
      <c r="N83" s="150"/>
      <c r="O83" s="150"/>
      <c r="P83" s="149"/>
      <c r="Q83" s="68">
        <f>IF(A1taxstdlife="n/a","n/a",IF(Q$3&gt;(A1taxstdlife+$E83),(Input!$P$41-Input!$P$75)-SUM($P83:P83),(Input!$P$41-Input!$P$75)/A1taxstdlife))</f>
        <v>0</v>
      </c>
      <c r="R83" s="68"/>
      <c r="S83" s="103"/>
      <c r="T83" s="103"/>
      <c r="U83" s="103"/>
      <c r="V83" s="103"/>
      <c r="W83" s="103"/>
      <c r="X83" s="103"/>
      <c r="Y83" s="103"/>
      <c r="Z83" s="103"/>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row>
    <row r="84" spans="1:62" s="187" customFormat="1" ht="12.75" customHeight="1" outlineLevel="2">
      <c r="A84" s="9"/>
      <c r="B84" s="26"/>
      <c r="C84" s="25"/>
      <c r="D84" s="672"/>
      <c r="E84" s="87">
        <v>11</v>
      </c>
      <c r="F84" s="27"/>
      <c r="G84" s="208"/>
      <c r="H84" s="150"/>
      <c r="I84" s="150"/>
      <c r="J84" s="150"/>
      <c r="K84" s="150"/>
      <c r="L84" s="150"/>
      <c r="M84" s="150"/>
      <c r="N84" s="150"/>
      <c r="O84" s="150"/>
      <c r="P84" s="189"/>
      <c r="Q84" s="149"/>
      <c r="R84" s="68"/>
      <c r="S84" s="103"/>
      <c r="T84" s="103"/>
      <c r="U84" s="103"/>
      <c r="V84" s="103"/>
      <c r="W84" s="103"/>
      <c r="X84" s="103"/>
      <c r="Y84" s="103"/>
      <c r="Z84" s="103"/>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row>
    <row r="85" spans="1:62" s="187" customFormat="1" outlineLevel="1">
      <c r="A85" s="9"/>
      <c r="B85" s="9"/>
      <c r="C85" s="26" t="str">
        <f>Asset1</f>
        <v>Mains &amp; Services</v>
      </c>
      <c r="D85" s="9"/>
      <c r="E85" s="9"/>
      <c r="F85" s="23"/>
      <c r="G85" s="209">
        <f t="shared" ref="G85:L85" si="35">-SUM(G72:G84)</f>
        <v>0</v>
      </c>
      <c r="H85" s="166">
        <f t="shared" si="35"/>
        <v>-3.7685499999999998</v>
      </c>
      <c r="I85" s="166">
        <f t="shared" si="35"/>
        <v>-8.2857990252561873</v>
      </c>
      <c r="J85" s="166">
        <f t="shared" si="35"/>
        <v>-13.201820451611923</v>
      </c>
      <c r="K85" s="166">
        <f t="shared" si="35"/>
        <v>-18.38951842563872</v>
      </c>
      <c r="L85" s="166">
        <f t="shared" si="35"/>
        <v>-22.272692765331165</v>
      </c>
      <c r="M85" s="166">
        <f>IF(Input!M173&gt;0, -SUM(M72:M84), 0)</f>
        <v>0</v>
      </c>
      <c r="N85" s="166">
        <f>IF(Input!N173&gt;0, -SUM(N72:N84), 0)</f>
        <v>0</v>
      </c>
      <c r="O85" s="166">
        <f>IF(Input!O173&gt;0, -SUM(O72:O84), 0)</f>
        <v>0</v>
      </c>
      <c r="P85" s="166">
        <f>IF(Input!P173&gt;0, -SUM(P72:P84), 0)</f>
        <v>0</v>
      </c>
      <c r="Q85" s="166">
        <f>IF(Input!Q173&gt;0, -SUM(Q72:Q84), 0)</f>
        <v>0</v>
      </c>
      <c r="R85" s="64"/>
      <c r="S85" s="102"/>
      <c r="T85" s="102"/>
      <c r="U85" s="102"/>
      <c r="V85" s="102"/>
      <c r="W85" s="102"/>
      <c r="X85" s="102"/>
      <c r="Y85" s="102"/>
      <c r="Z85" s="102"/>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row>
    <row r="86" spans="1:62" s="187" customFormat="1" ht="12.75" customHeight="1" outlineLevel="2">
      <c r="A86" s="9"/>
      <c r="B86" s="32" t="str">
        <f>Asset2</f>
        <v>Meters</v>
      </c>
      <c r="C86" s="33"/>
      <c r="D86" s="34" t="s">
        <v>67</v>
      </c>
      <c r="E86" s="33"/>
      <c r="F86" s="35"/>
      <c r="G86" s="205">
        <f>IF(G$3&gt;A2taxremlife,A2taxvalue-SUM($F86:F86),IF(A2taxremlife="N/A","n/a",A2taxvalue/A2taxremlife))</f>
        <v>0</v>
      </c>
      <c r="H86" s="67">
        <f>IF(H$3&gt;A2taxremlife,A2taxvalue-SUM($F86:G86),IF(A2taxremlife="N/A","n/a",A2taxvalue/A2taxremlife))</f>
        <v>0</v>
      </c>
      <c r="I86" s="67">
        <f>IF(I$3&gt;A2taxremlife,A2taxvalue-SUM($F86:H86),IF(A2taxremlife="N/A","n/a",A2taxvalue/A2taxremlife))</f>
        <v>0</v>
      </c>
      <c r="J86" s="67">
        <f>IF(J$3&gt;A2taxremlife,A2taxvalue-SUM($F86:I86),IF(A2taxremlife="N/A","n/a",A2taxvalue/A2taxremlife))</f>
        <v>0</v>
      </c>
      <c r="K86" s="67">
        <f>IF(K$3&gt;A2taxremlife,A2taxvalue-SUM($F86:J86),IF(A2taxremlife="N/A","n/a",A2taxvalue/A2taxremlife))</f>
        <v>0</v>
      </c>
      <c r="L86" s="67">
        <f>IF(L$3&gt;A2taxremlife,A2taxvalue-SUM($F86:K86),IF(A2taxremlife="N/A","n/a",A2taxvalue/A2taxremlife))</f>
        <v>0</v>
      </c>
      <c r="M86" s="67">
        <f>IF(M$3&gt;A2taxremlife,A2taxvalue-SUM($F86:L86),IF(A2taxremlife="N/A","n/a",A2taxvalue/A2taxremlife))</f>
        <v>0</v>
      </c>
      <c r="N86" s="67">
        <f>IF(N$3&gt;A2taxremlife,A2taxvalue-SUM($F86:M86),IF(A2taxremlife="N/A","n/a",A2taxvalue/A2taxremlife))</f>
        <v>0</v>
      </c>
      <c r="O86" s="67">
        <f>IF(O$3&gt;A2taxremlife,A2taxvalue-SUM($F86:N86),IF(A2taxremlife="N/A","n/a",A2taxvalue/A2taxremlife))</f>
        <v>0</v>
      </c>
      <c r="P86" s="67">
        <f>IF(P$3&gt;A2taxremlife,A2taxvalue-SUM($F86:O86),IF(A2taxremlife="N/A","n/a",A2taxvalue/A2taxremlife))</f>
        <v>0</v>
      </c>
      <c r="Q86" s="67">
        <f>IF(Q$3&gt;A2taxremlife,A2taxvalue-SUM($F86:P86),IF(A2taxremlife="N/A","n/a",A2taxvalue/A2taxremlife))</f>
        <v>0</v>
      </c>
      <c r="R86" s="67"/>
      <c r="S86" s="103"/>
      <c r="T86" s="103"/>
      <c r="U86" s="103"/>
      <c r="V86" s="103"/>
      <c r="W86" s="103"/>
      <c r="X86" s="103"/>
      <c r="Y86" s="103"/>
      <c r="Z86" s="103"/>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row>
    <row r="87" spans="1:62" s="187" customFormat="1" ht="12.75" customHeight="1" outlineLevel="2">
      <c r="A87" s="9"/>
      <c r="B87" s="9"/>
      <c r="C87" s="26"/>
      <c r="D87" s="671" t="s">
        <v>84</v>
      </c>
      <c r="E87" s="86">
        <v>0</v>
      </c>
      <c r="F87" s="27"/>
      <c r="G87" s="206"/>
      <c r="H87" s="68"/>
      <c r="I87" s="68"/>
      <c r="J87" s="68"/>
      <c r="K87" s="68"/>
      <c r="L87" s="68"/>
      <c r="M87" s="68"/>
      <c r="N87" s="68"/>
      <c r="O87" s="68"/>
      <c r="P87" s="68"/>
      <c r="Q87" s="68"/>
      <c r="R87" s="68"/>
      <c r="S87" s="103"/>
      <c r="T87" s="103"/>
      <c r="U87" s="103"/>
      <c r="V87" s="103"/>
      <c r="W87" s="103"/>
      <c r="X87" s="103"/>
      <c r="Y87" s="103"/>
      <c r="Z87" s="103"/>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row>
    <row r="88" spans="1:62" s="187" customFormat="1" ht="12.75" customHeight="1" outlineLevel="2">
      <c r="A88" s="9"/>
      <c r="B88" s="9"/>
      <c r="C88" s="26"/>
      <c r="D88" s="672"/>
      <c r="E88" s="86">
        <v>1</v>
      </c>
      <c r="F88" s="27"/>
      <c r="G88" s="207"/>
      <c r="H88" s="68">
        <f>IF(A2taxstdlife="n/a","n/a",IF(H$3&gt;(A2taxstdlife+$E88),(Input!$G$42-Input!$G$76)-SUM($G88:G88),(Input!$G$42-Input!$G$76)/A2taxstdlife))</f>
        <v>2.1777500000000001</v>
      </c>
      <c r="I88" s="68">
        <f>IF(A2taxstdlife="n/a","n/a",IF(I$3&gt;(A2taxstdlife+$E88),(Input!$G$42-Input!$G$76)-SUM($G88:H88),(Input!$G$42-Input!$G$76)/A2taxstdlife))</f>
        <v>2.1777500000000001</v>
      </c>
      <c r="J88" s="68">
        <f>IF(A2taxstdlife="n/a","n/a",IF(J$3&gt;(A2taxstdlife+$E88),(Input!$G$42-Input!$G$76)-SUM($G88:I88),(Input!$G$42-Input!$G$76)/A2taxstdlife))</f>
        <v>2.1777500000000001</v>
      </c>
      <c r="K88" s="68">
        <f>IF(A2taxstdlife="n/a","n/a",IF(K$3&gt;(A2taxstdlife+$E88),(Input!$G$42-Input!$G$76)-SUM($G88:J88),(Input!$G$42-Input!$G$76)/A2taxstdlife))</f>
        <v>2.1777500000000001</v>
      </c>
      <c r="L88" s="68">
        <f>IF(A2taxstdlife="n/a","n/a",IF(L$3&gt;(A2taxstdlife+$E88),(Input!$G$42-Input!$G$76)-SUM($G88:K88),(Input!$G$42-Input!$G$76)/A2taxstdlife))</f>
        <v>0</v>
      </c>
      <c r="M88" s="68">
        <f>IF(A2taxstdlife="n/a","n/a",IF(M$3&gt;(A2taxstdlife+$E88),(Input!$G$42-Input!$G$76)-SUM($G88:L88),(Input!$G$42-Input!$G$76)/A2taxstdlife))</f>
        <v>0</v>
      </c>
      <c r="N88" s="68">
        <f>IF(A2taxstdlife="n/a","n/a",IF(N$3&gt;(A2taxstdlife+$E88),(Input!$G$42-Input!$G$76)-SUM($G88:M88),(Input!$G$42-Input!$G$76)/A2taxstdlife))</f>
        <v>0</v>
      </c>
      <c r="O88" s="68">
        <f>IF(A2taxstdlife="n/a","n/a",IF(O$3&gt;(A2taxstdlife+$E88),(Input!$G$42-Input!$G$76)-SUM($G88:N88),(Input!$G$42-Input!$G$76)/A2taxstdlife))</f>
        <v>0</v>
      </c>
      <c r="P88" s="68">
        <f>IF(A2taxstdlife="n/a","n/a",IF(P$3&gt;(A2taxstdlife+$E88),(Input!$G$42-Input!$G$76)-SUM($G88:O88),(Input!$G$42-Input!$G$76)/A2taxstdlife))</f>
        <v>0</v>
      </c>
      <c r="Q88" s="68">
        <f>IF(A2taxstdlife="n/a","n/a",IF(Q$3&gt;(A2taxstdlife+$E88),(Input!$G$42-Input!$G$76)-SUM($G88:P88),(Input!$G$42-Input!$G$76)/A2taxstdlife))</f>
        <v>0</v>
      </c>
      <c r="R88" s="68"/>
      <c r="S88" s="103"/>
      <c r="T88" s="103"/>
      <c r="U88" s="103"/>
      <c r="V88" s="103"/>
      <c r="W88" s="103"/>
      <c r="X88" s="103"/>
      <c r="Y88" s="103"/>
      <c r="Z88" s="103"/>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row>
    <row r="89" spans="1:62" s="187" customFormat="1" ht="12.75" customHeight="1" outlineLevel="2">
      <c r="A89" s="9"/>
      <c r="B89" s="9"/>
      <c r="C89" s="26"/>
      <c r="D89" s="672"/>
      <c r="E89" s="86">
        <v>2</v>
      </c>
      <c r="F89" s="27"/>
      <c r="G89" s="208"/>
      <c r="H89" s="149"/>
      <c r="I89" s="68">
        <f>IF(A2taxstdlife="n/a","n/a",IF(I$3&gt;(A2taxstdlife+$E89),(Input!$H$42-Input!$H$76)-SUM($H89:H89),(Input!$H$42-Input!$H$76)/A2taxstdlife))</f>
        <v>2.1287919780548874</v>
      </c>
      <c r="J89" s="68">
        <f>IF(A2taxstdlife="n/a","n/a",IF(J$3&gt;(A2taxstdlife+$E89),(Input!$H$42-Input!$H$76)-SUM($H89:I89),(Input!$H$42-Input!$H$76)/A2taxstdlife))</f>
        <v>2.1287919780548874</v>
      </c>
      <c r="K89" s="68">
        <f>IF(A2taxstdlife="n/a","n/a",IF(K$3&gt;(A2taxstdlife+$E89),(Input!$H$42-Input!$H$76)-SUM($H89:J89),(Input!$H$42-Input!$H$76)/A2taxstdlife))</f>
        <v>2.1287919780548874</v>
      </c>
      <c r="L89" s="68">
        <f>IF(A2taxstdlife="n/a","n/a",IF(L$3&gt;(A2taxstdlife+$E89),(Input!$H$42-Input!$H$76)-SUM($H89:K89),(Input!$H$42-Input!$H$76)/A2taxstdlife))</f>
        <v>2.1287919780548874</v>
      </c>
      <c r="M89" s="68">
        <f>IF(A2taxstdlife="n/a","n/a",IF(M$3&gt;(A2taxstdlife+$E89),(Input!$H$42-Input!$H$76)-SUM($H89:L89),(Input!$H$42-Input!$H$76)/A2taxstdlife))</f>
        <v>0</v>
      </c>
      <c r="N89" s="68">
        <f>IF(A2taxstdlife="n/a","n/a",IF(N$3&gt;(A2taxstdlife+$E89),(Input!$H$42-Input!$H$76)-SUM($H89:M89),(Input!$H$42-Input!$H$76)/A2taxstdlife))</f>
        <v>0</v>
      </c>
      <c r="O89" s="68">
        <f>IF(A2taxstdlife="n/a","n/a",IF(O$3&gt;(A2taxstdlife+$E89),(Input!$H$42-Input!$H$76)-SUM($H89:N89),(Input!$H$42-Input!$H$76)/A2taxstdlife))</f>
        <v>0</v>
      </c>
      <c r="P89" s="68">
        <f>IF(A2taxstdlife="n/a","n/a",IF(P$3&gt;(A2taxstdlife+$E89),(Input!$H$42-Input!$H$76)-SUM($H89:O89),(Input!$H$42-Input!$H$76)/A2taxstdlife))</f>
        <v>0</v>
      </c>
      <c r="Q89" s="68">
        <f>IF(A2taxstdlife="n/a","n/a",IF(Q$3&gt;(A2taxstdlife+$E89),(Input!$H$42-Input!$H$76)-SUM($H89:P89),(Input!$H$42-Input!$H$76)/A2taxstdlife))</f>
        <v>0</v>
      </c>
      <c r="R89" s="68"/>
      <c r="S89" s="103"/>
      <c r="T89" s="103"/>
      <c r="U89" s="103"/>
      <c r="V89" s="103"/>
      <c r="W89" s="103"/>
      <c r="X89" s="103"/>
      <c r="Y89" s="103"/>
      <c r="Z89" s="103"/>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8"/>
    </row>
    <row r="90" spans="1:62" s="187" customFormat="1" ht="12.75" customHeight="1" outlineLevel="2">
      <c r="A90" s="9"/>
      <c r="B90" s="9"/>
      <c r="C90" s="26"/>
      <c r="D90" s="672"/>
      <c r="E90" s="86">
        <v>3</v>
      </c>
      <c r="F90" s="27"/>
      <c r="G90" s="208"/>
      <c r="H90" s="150"/>
      <c r="I90" s="149"/>
      <c r="J90" s="68">
        <f>IF(A2taxstdlife="n/a","n/a",IF(J$3&gt;(A2taxstdlife+$E90),(Input!$I$42-Input!$I$76)-SUM($I90:I90),(Input!$I$42-Input!$I$76)/A2taxstdlife))</f>
        <v>2.6273647810910927</v>
      </c>
      <c r="K90" s="68">
        <f>IF(A2taxstdlife="n/a","n/a",IF(K$3&gt;(A2taxstdlife+$E90),(Input!$I$42-Input!$I$76)-SUM($I90:J90),(Input!$I$42-Input!$I$76)/A2taxstdlife))</f>
        <v>2.6273647810910927</v>
      </c>
      <c r="L90" s="68">
        <f>IF(A2taxstdlife="n/a","n/a",IF(L$3&gt;(A2taxstdlife+$E90),(Input!$I$42-Input!$I$76)-SUM($I90:K90),(Input!$I$42-Input!$I$76)/A2taxstdlife))</f>
        <v>2.6273647810910927</v>
      </c>
      <c r="M90" s="68">
        <f>IF(A2taxstdlife="n/a","n/a",IF(M$3&gt;(A2taxstdlife+$E90),(Input!$I$42-Input!$I$76)-SUM($I90:L90),(Input!$I$42-Input!$I$76)/A2taxstdlife))</f>
        <v>2.6273647810910927</v>
      </c>
      <c r="N90" s="68">
        <f>IF(A2taxstdlife="n/a","n/a",IF(N$3&gt;(A2taxstdlife+$E90),(Input!$I$42-Input!$I$76)-SUM($I90:M90),(Input!$I$42-Input!$I$76)/A2taxstdlife))</f>
        <v>0</v>
      </c>
      <c r="O90" s="68">
        <f>IF(A2taxstdlife="n/a","n/a",IF(O$3&gt;(A2taxstdlife+$E90),(Input!$I$42-Input!$I$76)-SUM($I90:N90),(Input!$I$42-Input!$I$76)/A2taxstdlife))</f>
        <v>0</v>
      </c>
      <c r="P90" s="68">
        <f>IF(A2taxstdlife="n/a","n/a",IF(P$3&gt;(A2taxstdlife+$E90),(Input!$I$42-Input!$I$76)-SUM($I90:O90),(Input!$I$42-Input!$I$76)/A2taxstdlife))</f>
        <v>0</v>
      </c>
      <c r="Q90" s="68">
        <f>IF(A2taxstdlife="n/a","n/a",IF(Q$3&gt;(A2taxstdlife+$E90),(Input!$I$42-Input!$I$76)-SUM($I90:P90),(Input!$I$42-Input!$I$76)/A2taxstdlife))</f>
        <v>0</v>
      </c>
      <c r="R90" s="68"/>
      <c r="S90" s="103"/>
      <c r="T90" s="103"/>
      <c r="U90" s="103"/>
      <c r="V90" s="103"/>
      <c r="W90" s="103"/>
      <c r="X90" s="103"/>
      <c r="Y90" s="103"/>
      <c r="Z90" s="103"/>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row>
    <row r="91" spans="1:62" s="187" customFormat="1" ht="12.75" customHeight="1" outlineLevel="2">
      <c r="A91" s="9"/>
      <c r="B91" s="9"/>
      <c r="C91" s="26"/>
      <c r="D91" s="672"/>
      <c r="E91" s="86">
        <v>4</v>
      </c>
      <c r="F91" s="27"/>
      <c r="G91" s="208"/>
      <c r="H91" s="150"/>
      <c r="I91" s="150"/>
      <c r="J91" s="149"/>
      <c r="K91" s="68">
        <f>IF(A2taxstdlife="n/a","n/a",IF(K$3&gt;(A2taxstdlife+$E91),(Input!$J$42-Input!$J$76)-SUM($J91:J91),(Input!$J$42-Input!$J$76)/A2taxstdlife))</f>
        <v>2.4024714972087837</v>
      </c>
      <c r="L91" s="68">
        <f>IF(A2taxstdlife="n/a","n/a",IF(L$3&gt;(A2taxstdlife+$E91),(Input!$J$42-Input!$J$76)-SUM($J91:K91),(Input!$J$42-Input!$J$76)/A2taxstdlife))</f>
        <v>2.4024714972087837</v>
      </c>
      <c r="M91" s="68">
        <f>IF(A2taxstdlife="n/a","n/a",IF(M$3&gt;(A2taxstdlife+$E91),(Input!$J$42-Input!$J$76)-SUM($J91:L91),(Input!$J$42-Input!$J$76)/A2taxstdlife))</f>
        <v>2.4024714972087837</v>
      </c>
      <c r="N91" s="68">
        <f>IF(A2taxstdlife="n/a","n/a",IF(N$3&gt;(A2taxstdlife+$E91),(Input!$J$42-Input!$J$76)-SUM($J91:M91),(Input!$J$42-Input!$J$76)/A2taxstdlife))</f>
        <v>2.4024714972087837</v>
      </c>
      <c r="O91" s="68">
        <f>IF(A2taxstdlife="n/a","n/a",IF(O$3&gt;(A2taxstdlife+$E91),(Input!$J$42-Input!$J$76)-SUM($J91:N91),(Input!$J$42-Input!$J$76)/A2taxstdlife))</f>
        <v>0</v>
      </c>
      <c r="P91" s="68">
        <f>IF(A2taxstdlife="n/a","n/a",IF(P$3&gt;(A2taxstdlife+$E91),(Input!$J$42-Input!$J$76)-SUM($J91:O91),(Input!$J$42-Input!$J$76)/A2taxstdlife))</f>
        <v>0</v>
      </c>
      <c r="Q91" s="68">
        <f>IF(A2taxstdlife="n/a","n/a",IF(Q$3&gt;(A2taxstdlife+$E91),(Input!$J$42-Input!$J$76)-SUM($J91:P91),(Input!$J$42-Input!$J$76)/A2taxstdlife))</f>
        <v>0</v>
      </c>
      <c r="R91" s="68"/>
      <c r="S91" s="103"/>
      <c r="T91" s="103"/>
      <c r="U91" s="103"/>
      <c r="V91" s="103"/>
      <c r="W91" s="103"/>
      <c r="X91" s="103"/>
      <c r="Y91" s="103"/>
      <c r="Z91" s="103"/>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row>
    <row r="92" spans="1:62" s="187" customFormat="1" ht="12.75" customHeight="1" outlineLevel="2">
      <c r="A92" s="9"/>
      <c r="B92" s="9"/>
      <c r="C92" s="26"/>
      <c r="D92" s="672"/>
      <c r="E92" s="86">
        <v>5</v>
      </c>
      <c r="F92" s="27"/>
      <c r="G92" s="208"/>
      <c r="H92" s="150"/>
      <c r="I92" s="150"/>
      <c r="J92" s="150"/>
      <c r="K92" s="149"/>
      <c r="L92" s="68">
        <f>IF(A2taxstdlife="n/a","n/a",IF(L$3&gt;(A2taxstdlife+$E92),(Input!$K$42-Input!$K$76)-SUM($K92:K92),(Input!$K$42-Input!$K$76)/A2taxstdlife))</f>
        <v>2.8277790517968286</v>
      </c>
      <c r="M92" s="68">
        <f>IF(A2taxstdlife="n/a","n/a",IF(M$3&gt;(A2taxstdlife+$E92),(Input!$K$42-Input!$K$76)-SUM($K92:L92),(Input!$K$42-Input!$K$76)/A2taxstdlife))</f>
        <v>2.8277790517968286</v>
      </c>
      <c r="N92" s="68">
        <f>IF(A2taxstdlife="n/a","n/a",IF(N$3&gt;(A2taxstdlife+$E92),(Input!$K$42-Input!$K$76)-SUM($K92:M92),(Input!$K$42-Input!$K$76)/A2taxstdlife))</f>
        <v>2.8277790517968286</v>
      </c>
      <c r="O92" s="68">
        <f>IF(A2taxstdlife="n/a","n/a",IF(O$3&gt;(A2taxstdlife+$E92),(Input!$K$42-Input!$K$76)-SUM($K92:N92),(Input!$K$42-Input!$K$76)/A2taxstdlife))</f>
        <v>2.8277790517968286</v>
      </c>
      <c r="P92" s="68">
        <f>IF(A2taxstdlife="n/a","n/a",IF(P$3&gt;(A2taxstdlife+$E92),(Input!$K$42-Input!$K$76)-SUM($K92:O92),(Input!$K$42-Input!$K$76)/A2taxstdlife))</f>
        <v>0</v>
      </c>
      <c r="Q92" s="68">
        <f>IF(A2taxstdlife="n/a","n/a",IF(Q$3&gt;(A2taxstdlife+$E92),(Input!$K$42-Input!$K$76)-SUM($K92:P92),(Input!$K$42-Input!$K$76)/A2taxstdlife))</f>
        <v>0</v>
      </c>
      <c r="R92" s="68"/>
      <c r="S92" s="103"/>
      <c r="T92" s="103"/>
      <c r="U92" s="103"/>
      <c r="V92" s="103"/>
      <c r="W92" s="103"/>
      <c r="X92" s="103"/>
      <c r="Y92" s="103"/>
      <c r="Z92" s="103"/>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row>
    <row r="93" spans="1:62" s="187" customFormat="1" ht="12.75" customHeight="1" outlineLevel="2">
      <c r="A93" s="9"/>
      <c r="B93" s="9"/>
      <c r="C93" s="26"/>
      <c r="D93" s="672"/>
      <c r="E93" s="86">
        <v>6</v>
      </c>
      <c r="F93" s="27"/>
      <c r="G93" s="208"/>
      <c r="H93" s="150"/>
      <c r="I93" s="150"/>
      <c r="J93" s="150"/>
      <c r="K93" s="150"/>
      <c r="L93" s="149"/>
      <c r="M93" s="68">
        <f>IF(A2taxstdlife="n/a","n/a",IF(M$3&gt;(A2taxstdlife+$E93),(Input!$L$42-Input!$L$76)-SUM($L93:L93),(Input!$L$42-Input!$L$76)/A2taxstdlife))</f>
        <v>3.8224999999999998</v>
      </c>
      <c r="N93" s="68">
        <f>IF(A2taxstdlife="n/a","n/a",IF(N$3&gt;(A2taxstdlife+$E93),(Input!$L$42-Input!$L$76)-SUM($L93:M93),(Input!$L$42-Input!$L$76)/A2taxstdlife))</f>
        <v>3.8224999999999998</v>
      </c>
      <c r="O93" s="68">
        <f>IF(A2taxstdlife="n/a","n/a",IF(O$3&gt;(A2taxstdlife+$E93),(Input!$L$42-Input!$L$76)-SUM($L93:N93),(Input!$L$42-Input!$L$76)/A2taxstdlife))</f>
        <v>3.8224999999999998</v>
      </c>
      <c r="P93" s="68">
        <f>IF(A2taxstdlife="n/a","n/a",IF(P$3&gt;(A2taxstdlife+$E93),(Input!$L$42-Input!$L$76)-SUM($L93:O93),(Input!$L$42-Input!$L$76)/A2taxstdlife))</f>
        <v>3.8224999999999998</v>
      </c>
      <c r="Q93" s="68">
        <f>IF(A2taxstdlife="n/a","n/a",IF(Q$3&gt;(A2taxstdlife+$E93),(Input!$L$42-Input!$L$76)-SUM($L93:P93),(Input!$L$42-Input!$L$76)/A2taxstdlife))</f>
        <v>0</v>
      </c>
      <c r="R93" s="68"/>
      <c r="S93" s="103"/>
      <c r="T93" s="103"/>
      <c r="U93" s="103"/>
      <c r="V93" s="103"/>
      <c r="W93" s="103"/>
      <c r="X93" s="103"/>
      <c r="Y93" s="103"/>
      <c r="Z93" s="103"/>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row>
    <row r="94" spans="1:62" s="187" customFormat="1" ht="12.75" customHeight="1" outlineLevel="2">
      <c r="A94" s="9"/>
      <c r="B94" s="9"/>
      <c r="C94" s="26"/>
      <c r="D94" s="672"/>
      <c r="E94" s="86">
        <v>7</v>
      </c>
      <c r="F94" s="27"/>
      <c r="G94" s="208"/>
      <c r="H94" s="150"/>
      <c r="I94" s="150"/>
      <c r="J94" s="150"/>
      <c r="K94" s="150"/>
      <c r="L94" s="150"/>
      <c r="M94" s="149"/>
      <c r="N94" s="68">
        <f>IF(A2taxstdlife="n/a","n/a",IF(N$3&gt;(A2taxstdlife+$E94),(Input!$M$42-Input!$M$76)-SUM($M94:M94),(Input!$M$42-Input!$M$76)/A2taxstdlife))</f>
        <v>0</v>
      </c>
      <c r="O94" s="68">
        <f>IF(A2taxstdlife="n/a","n/a",IF(O$3&gt;(A2taxstdlife+$E94),(Input!$M$42-Input!$M$76)-SUM($M94:N94),(Input!$M$42-Input!$M$76)/A2taxstdlife))</f>
        <v>0</v>
      </c>
      <c r="P94" s="68">
        <f>IF(A2taxstdlife="n/a","n/a",IF(P$3&gt;(A2taxstdlife+$E94),(Input!$M$42-Input!$M$76)-SUM($M94:O94),(Input!$M$42-Input!$M$76)/A2taxstdlife))</f>
        <v>0</v>
      </c>
      <c r="Q94" s="68">
        <f>IF(A2taxstdlife="n/a","n/a",IF(Q$3&gt;(A2taxstdlife+$E94),(Input!$M$42-Input!$M$76)-SUM($M94:P94),(Input!$M$42-Input!$M$76)/A2taxstdlife))</f>
        <v>0</v>
      </c>
      <c r="R94" s="68"/>
      <c r="S94" s="103"/>
      <c r="T94" s="103"/>
      <c r="U94" s="103"/>
      <c r="V94" s="103"/>
      <c r="W94" s="103"/>
      <c r="X94" s="103"/>
      <c r="Y94" s="103"/>
      <c r="Z94" s="103"/>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row>
    <row r="95" spans="1:62" s="187" customFormat="1" ht="12.75" customHeight="1" outlineLevel="2">
      <c r="A95" s="9"/>
      <c r="B95" s="9"/>
      <c r="C95" s="26"/>
      <c r="D95" s="672"/>
      <c r="E95" s="86">
        <v>8</v>
      </c>
      <c r="F95" s="27"/>
      <c r="G95" s="208"/>
      <c r="H95" s="150"/>
      <c r="I95" s="150"/>
      <c r="J95" s="150"/>
      <c r="K95" s="150"/>
      <c r="L95" s="150"/>
      <c r="M95" s="150"/>
      <c r="N95" s="149"/>
      <c r="O95" s="68">
        <f>IF(A2taxstdlife="n/a","n/a",IF(O$3&gt;(A2taxstdlife+$E95),(Input!$N$42-Input!$N$76)-SUM($N95:N95),(Input!$N$42-Input!$N$76)/A2taxstdlife))</f>
        <v>0</v>
      </c>
      <c r="P95" s="68">
        <f>IF(A2taxstdlife="n/a","n/a",IF(P$3&gt;(A2taxstdlife+$E95),(Input!$N$42-Input!$N$76)-SUM($N95:O95),(Input!$N$42-Input!$N$76)/A2taxstdlife))</f>
        <v>0</v>
      </c>
      <c r="Q95" s="68">
        <f>IF(A2taxstdlife="n/a","n/a",IF(Q$3&gt;(A2taxstdlife+$E95),(Input!$N$42-Input!$N$76)-SUM($N95:P95),(Input!$N$42-Input!$N$76)/A2taxstdlife))</f>
        <v>0</v>
      </c>
      <c r="R95" s="68"/>
      <c r="S95" s="103"/>
      <c r="T95" s="103"/>
      <c r="U95" s="103"/>
      <c r="V95" s="103"/>
      <c r="W95" s="103"/>
      <c r="X95" s="103"/>
      <c r="Y95" s="103"/>
      <c r="Z95" s="103"/>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c r="BI95" s="216"/>
    </row>
    <row r="96" spans="1:62" s="187" customFormat="1" ht="12.75" customHeight="1" outlineLevel="2">
      <c r="A96" s="9"/>
      <c r="B96" s="9"/>
      <c r="C96" s="26"/>
      <c r="D96" s="672"/>
      <c r="E96" s="86">
        <v>9</v>
      </c>
      <c r="F96" s="27"/>
      <c r="G96" s="208"/>
      <c r="H96" s="150"/>
      <c r="I96" s="150"/>
      <c r="J96" s="150"/>
      <c r="K96" s="150"/>
      <c r="L96" s="150"/>
      <c r="M96" s="150"/>
      <c r="N96" s="150"/>
      <c r="O96" s="149"/>
      <c r="P96" s="68">
        <f>IF(A2taxstdlife="n/a","n/a",IF(P$3&gt;(A2taxstdlife+$E96),(Input!$O$42-Input!$O$76)-SUM($O96:O96),(Input!$O$42-Input!$O$76)/A2taxstdlife))</f>
        <v>0</v>
      </c>
      <c r="Q96" s="68">
        <f>IF(A2taxstdlife="n/a","n/a",IF(Q$3&gt;(A2taxstdlife+$E96),(Input!$O$42-Input!$O$76)-SUM($O96:P96),(Input!$O$42-Input!$O$76)/A2taxstdlife))</f>
        <v>0</v>
      </c>
      <c r="R96" s="68"/>
      <c r="S96" s="103"/>
      <c r="T96" s="103"/>
      <c r="U96" s="103"/>
      <c r="V96" s="103"/>
      <c r="W96" s="103"/>
      <c r="X96" s="103"/>
      <c r="Y96" s="103"/>
      <c r="Z96" s="103"/>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row>
    <row r="97" spans="1:61" s="187" customFormat="1" ht="12.75" customHeight="1" outlineLevel="2">
      <c r="A97" s="9"/>
      <c r="B97" s="9"/>
      <c r="C97" s="26"/>
      <c r="D97" s="672"/>
      <c r="E97" s="86">
        <v>10</v>
      </c>
      <c r="F97" s="27"/>
      <c r="G97" s="208"/>
      <c r="H97" s="150"/>
      <c r="I97" s="150"/>
      <c r="J97" s="150"/>
      <c r="K97" s="150"/>
      <c r="L97" s="150"/>
      <c r="M97" s="150"/>
      <c r="N97" s="150"/>
      <c r="O97" s="150"/>
      <c r="P97" s="149"/>
      <c r="Q97" s="68">
        <f>IF(A2taxstdlife="n/a","n/a",IF(Q$3&gt;(A2taxstdlife+$E97),(Input!$P$42-Input!$P$76)-SUM($P97:P97),(Input!$P$42-Input!$P$76)/A2taxstdlife))</f>
        <v>0</v>
      </c>
      <c r="R97" s="68"/>
      <c r="S97" s="103"/>
      <c r="T97" s="103"/>
      <c r="U97" s="103"/>
      <c r="V97" s="103"/>
      <c r="W97" s="103"/>
      <c r="X97" s="103"/>
      <c r="Y97" s="103"/>
      <c r="Z97" s="103"/>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row>
    <row r="98" spans="1:61" s="187" customFormat="1" ht="12.75" customHeight="1" outlineLevel="2">
      <c r="A98" s="9"/>
      <c r="B98" s="9"/>
      <c r="C98" s="26"/>
      <c r="D98" s="672"/>
      <c r="E98" s="87">
        <v>11</v>
      </c>
      <c r="F98" s="27"/>
      <c r="G98" s="208"/>
      <c r="H98" s="150"/>
      <c r="I98" s="150"/>
      <c r="J98" s="150"/>
      <c r="K98" s="150"/>
      <c r="L98" s="150"/>
      <c r="M98" s="150"/>
      <c r="N98" s="150"/>
      <c r="O98" s="150"/>
      <c r="P98" s="189"/>
      <c r="Q98" s="149"/>
      <c r="R98" s="68"/>
      <c r="S98" s="103"/>
      <c r="T98" s="103"/>
      <c r="U98" s="103"/>
      <c r="V98" s="103"/>
      <c r="W98" s="103"/>
      <c r="X98" s="103"/>
      <c r="Y98" s="103"/>
      <c r="Z98" s="103"/>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row>
    <row r="99" spans="1:61" s="187" customFormat="1" outlineLevel="1">
      <c r="A99" s="9"/>
      <c r="B99" s="9"/>
      <c r="C99" s="26" t="str">
        <f>Asset2</f>
        <v>Meters</v>
      </c>
      <c r="D99" s="9"/>
      <c r="E99" s="9"/>
      <c r="F99" s="23"/>
      <c r="G99" s="209">
        <f t="shared" ref="G99:L99" si="36">-SUM(G86:G98)</f>
        <v>0</v>
      </c>
      <c r="H99" s="166">
        <f t="shared" si="36"/>
        <v>-2.1777500000000001</v>
      </c>
      <c r="I99" s="166">
        <f t="shared" si="36"/>
        <v>-4.3065419780548879</v>
      </c>
      <c r="J99" s="166">
        <f t="shared" si="36"/>
        <v>-6.9339067591459802</v>
      </c>
      <c r="K99" s="166">
        <f t="shared" si="36"/>
        <v>-9.336378256354763</v>
      </c>
      <c r="L99" s="166">
        <f t="shared" si="36"/>
        <v>-9.9864073081515929</v>
      </c>
      <c r="M99" s="166">
        <f>IF(Input!M173&gt;0, -SUM(M86:M98), 0)</f>
        <v>0</v>
      </c>
      <c r="N99" s="166">
        <f>IF(Input!N173&gt;0, -SUM(N86:N98), 0)</f>
        <v>0</v>
      </c>
      <c r="O99" s="166">
        <f>IF(Input!O173&gt;0, -SUM(O86:O98), 0)</f>
        <v>0</v>
      </c>
      <c r="P99" s="166">
        <f>IF(Input!P173&gt;0, -SUM(P86:P98), 0)</f>
        <v>0</v>
      </c>
      <c r="Q99" s="166">
        <f>IF(Input!Q173&gt;0, -SUM(Q86:Q98), 0)</f>
        <v>0</v>
      </c>
      <c r="R99" s="64"/>
      <c r="S99" s="102"/>
      <c r="T99" s="102"/>
      <c r="U99" s="102"/>
      <c r="V99" s="102"/>
      <c r="W99" s="102"/>
      <c r="X99" s="102"/>
      <c r="Y99" s="102"/>
      <c r="Z99" s="102"/>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row>
    <row r="100" spans="1:61" s="187" customFormat="1" ht="12.75" customHeight="1" outlineLevel="2">
      <c r="A100" s="9"/>
      <c r="B100" s="32" t="str">
        <f>Asset3</f>
        <v>Buildings</v>
      </c>
      <c r="C100" s="33"/>
      <c r="D100" s="34" t="s">
        <v>67</v>
      </c>
      <c r="E100" s="33"/>
      <c r="F100" s="35"/>
      <c r="G100" s="205">
        <f>IF(G$3&gt;A3taxremlife,A3taxvalue-SUM($F100:F100),IF(A3taxremlife="N/A","n/a",A3taxvalue/A3taxremlife))</f>
        <v>0</v>
      </c>
      <c r="H100" s="67">
        <f>IF(H$3&gt;A3taxremlife,A3taxvalue-SUM($F100:G100),IF(A3taxremlife="N/A","n/a",A3taxvalue/A3taxremlife))</f>
        <v>0</v>
      </c>
      <c r="I100" s="67">
        <f>IF(I$3&gt;A3taxremlife,A3taxvalue-SUM($F100:H100),IF(A3taxremlife="N/A","n/a",A3taxvalue/A3taxremlife))</f>
        <v>0</v>
      </c>
      <c r="J100" s="67">
        <f>IF(J$3&gt;A3taxremlife,A3taxvalue-SUM($F100:I100),IF(A3taxremlife="N/A","n/a",A3taxvalue/A3taxremlife))</f>
        <v>0</v>
      </c>
      <c r="K100" s="67">
        <f>IF(K$3&gt;A3taxremlife,A3taxvalue-SUM($F100:J100),IF(A3taxremlife="N/A","n/a",A3taxvalue/A3taxremlife))</f>
        <v>0</v>
      </c>
      <c r="L100" s="67">
        <f>IF(L$3&gt;A3taxremlife,A3taxvalue-SUM($F100:K100),IF(A3taxremlife="N/A","n/a",A3taxvalue/A3taxremlife))</f>
        <v>0</v>
      </c>
      <c r="M100" s="67">
        <f>IF(M$3&gt;A3taxremlife,A3taxvalue-SUM($F100:L100),IF(A3taxremlife="N/A","n/a",A3taxvalue/A3taxremlife))</f>
        <v>0</v>
      </c>
      <c r="N100" s="67">
        <f>IF(N$3&gt;A3taxremlife,A3taxvalue-SUM($F100:M100),IF(A3taxremlife="N/A","n/a",A3taxvalue/A3taxremlife))</f>
        <v>0</v>
      </c>
      <c r="O100" s="67">
        <f>IF(O$3&gt;A3taxremlife,A3taxvalue-SUM($F100:N100),IF(A3taxremlife="N/A","n/a",A3taxvalue/A3taxremlife))</f>
        <v>0</v>
      </c>
      <c r="P100" s="67">
        <f>IF(P$3&gt;A3taxremlife,A3taxvalue-SUM($F100:O100),IF(A3taxremlife="N/A","n/a",A3taxvalue/A3taxremlife))</f>
        <v>0</v>
      </c>
      <c r="Q100" s="67">
        <f>IF(Q$3&gt;A3taxremlife,A3taxvalue-SUM($F100:P100),IF(A3taxremlife="N/A","n/a",A3taxvalue/A3taxremlife))</f>
        <v>0</v>
      </c>
      <c r="R100" s="67"/>
      <c r="S100" s="103"/>
      <c r="T100" s="103"/>
      <c r="U100" s="103"/>
      <c r="V100" s="103"/>
      <c r="W100" s="103"/>
      <c r="X100" s="103"/>
      <c r="Y100" s="103"/>
      <c r="Z100" s="103"/>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row>
    <row r="101" spans="1:61" s="187" customFormat="1" ht="12.75" customHeight="1" outlineLevel="2">
      <c r="A101" s="9"/>
      <c r="B101" s="9"/>
      <c r="C101" s="26"/>
      <c r="D101" s="671" t="s">
        <v>84</v>
      </c>
      <c r="E101" s="86">
        <v>0</v>
      </c>
      <c r="F101" s="27"/>
      <c r="G101" s="206"/>
      <c r="H101" s="68"/>
      <c r="I101" s="68"/>
      <c r="J101" s="68"/>
      <c r="K101" s="68"/>
      <c r="L101" s="68"/>
      <c r="M101" s="68"/>
      <c r="N101" s="68"/>
      <c r="O101" s="68"/>
      <c r="P101" s="68"/>
      <c r="Q101" s="68"/>
      <c r="R101" s="68"/>
      <c r="S101" s="103"/>
      <c r="T101" s="103"/>
      <c r="U101" s="103"/>
      <c r="V101" s="103"/>
      <c r="W101" s="103"/>
      <c r="X101" s="103"/>
      <c r="Y101" s="103"/>
      <c r="Z101" s="103"/>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row>
    <row r="102" spans="1:61" s="187" customFormat="1" ht="12.75" customHeight="1" outlineLevel="2">
      <c r="A102" s="9"/>
      <c r="B102" s="9"/>
      <c r="C102" s="26"/>
      <c r="D102" s="672"/>
      <c r="E102" s="86">
        <v>1</v>
      </c>
      <c r="F102" s="27"/>
      <c r="G102" s="207"/>
      <c r="H102" s="68">
        <f>IF(A3taxstdlife="n/a","n/a",IF(H$3&gt;(A3taxstdlife+$E102),(Input!$G$43-Input!$G$77)-SUM($G102:G102),(Input!$G$43-Input!$G$77)/A3taxstdlife))</f>
        <v>0</v>
      </c>
      <c r="I102" s="68">
        <f>IF(A3taxstdlife="n/a","n/a",IF(I$3&gt;(A3taxstdlife+$E102),(Input!$G$43-Input!$G$77)-SUM($G102:H102),(Input!$G$43-Input!$G$77)/A3taxstdlife))</f>
        <v>0</v>
      </c>
      <c r="J102" s="68">
        <f>IF(A3taxstdlife="n/a","n/a",IF(J$3&gt;(A3taxstdlife+$E102),(Input!$G$43-Input!$G$77)-SUM($G102:I102),(Input!$G$43-Input!$G$77)/A3taxstdlife))</f>
        <v>0</v>
      </c>
      <c r="K102" s="68">
        <f>IF(A3taxstdlife="n/a","n/a",IF(K$3&gt;(A3taxstdlife+$E102),(Input!$G$43-Input!$G$77)-SUM($G102:J102),(Input!$G$43-Input!$G$77)/A3taxstdlife))</f>
        <v>0</v>
      </c>
      <c r="L102" s="68">
        <f>IF(A3taxstdlife="n/a","n/a",IF(L$3&gt;(A3taxstdlife+$E102),(Input!$G$43-Input!$G$77)-SUM($G102:K102),(Input!$G$43-Input!$G$77)/A3taxstdlife))</f>
        <v>0</v>
      </c>
      <c r="M102" s="68">
        <f>IF(A3taxstdlife="n/a","n/a",IF(M$3&gt;(A3taxstdlife+$E102),(Input!$G$43-Input!$G$77)-SUM($G102:L102),(Input!$G$43-Input!$G$77)/A3taxstdlife))</f>
        <v>0</v>
      </c>
      <c r="N102" s="68">
        <f>IF(A3taxstdlife="n/a","n/a",IF(N$3&gt;(A3taxstdlife+$E102),(Input!$G$43-Input!$G$77)-SUM($G102:M102),(Input!$G$43-Input!$G$77)/A3taxstdlife))</f>
        <v>0</v>
      </c>
      <c r="O102" s="68">
        <f>IF(A3taxstdlife="n/a","n/a",IF(O$3&gt;(A3taxstdlife+$E102),(Input!$G$43-Input!$G$77)-SUM($G102:N102),(Input!$G$43-Input!$G$77)/A3taxstdlife))</f>
        <v>0</v>
      </c>
      <c r="P102" s="68">
        <f>IF(A3taxstdlife="n/a","n/a",IF(P$3&gt;(A3taxstdlife+$E102),(Input!$G$43-Input!$G$77)-SUM($G102:O102),(Input!$G$43-Input!$G$77)/A3taxstdlife))</f>
        <v>0</v>
      </c>
      <c r="Q102" s="68">
        <f>IF(A3taxstdlife="n/a","n/a",IF(Q$3&gt;(A3taxstdlife+$E102),(Input!$G$43-Input!$G$77)-SUM($G102:P102),(Input!$G$43-Input!$G$77)/A3taxstdlife))</f>
        <v>0</v>
      </c>
      <c r="R102" s="68"/>
      <c r="S102" s="103"/>
      <c r="T102" s="103"/>
      <c r="U102" s="103"/>
      <c r="V102" s="103"/>
      <c r="W102" s="103"/>
      <c r="X102" s="103"/>
      <c r="Y102" s="103"/>
      <c r="Z102" s="103"/>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row>
    <row r="103" spans="1:61" s="187" customFormat="1" ht="12.75" customHeight="1" outlineLevel="2">
      <c r="A103" s="9"/>
      <c r="B103" s="9"/>
      <c r="C103" s="26"/>
      <c r="D103" s="672"/>
      <c r="E103" s="86">
        <v>2</v>
      </c>
      <c r="F103" s="27"/>
      <c r="G103" s="208"/>
      <c r="H103" s="149"/>
      <c r="I103" s="68">
        <f>IF(A3taxstdlife="n/a","n/a",IF(I$3&gt;(A3taxstdlife+$E103),(Input!$H$43-Input!$H$77)-SUM($H103:H103),(Input!$H$43-Input!$H$77)/A3taxstdlife))</f>
        <v>-1.89795585E-2</v>
      </c>
      <c r="J103" s="68">
        <f>IF(A3taxstdlife="n/a","n/a",IF(J$3&gt;(A3taxstdlife+$E103),(Input!$H$43-Input!$H$77)-SUM($H103:I103),(Input!$H$43-Input!$H$77)/A3taxstdlife))</f>
        <v>-1.89795585E-2</v>
      </c>
      <c r="K103" s="68">
        <f>IF(A3taxstdlife="n/a","n/a",IF(K$3&gt;(A3taxstdlife+$E103),(Input!$H$43-Input!$H$77)-SUM($H103:J103),(Input!$H$43-Input!$H$77)/A3taxstdlife))</f>
        <v>-1.89795585E-2</v>
      </c>
      <c r="L103" s="68">
        <f>IF(A3taxstdlife="n/a","n/a",IF(L$3&gt;(A3taxstdlife+$E103),(Input!$H$43-Input!$H$77)-SUM($H103:K103),(Input!$H$43-Input!$H$77)/A3taxstdlife))</f>
        <v>-1.89795585E-2</v>
      </c>
      <c r="M103" s="68">
        <f>IF(A3taxstdlife="n/a","n/a",IF(M$3&gt;(A3taxstdlife+$E103),(Input!$H$43-Input!$H$77)-SUM($H103:L103),(Input!$H$43-Input!$H$77)/A3taxstdlife))</f>
        <v>-1.89795585E-2</v>
      </c>
      <c r="N103" s="68">
        <f>IF(A3taxstdlife="n/a","n/a",IF(N$3&gt;(A3taxstdlife+$E103),(Input!$H$43-Input!$H$77)-SUM($H103:M103),(Input!$H$43-Input!$H$77)/A3taxstdlife))</f>
        <v>-1.89795585E-2</v>
      </c>
      <c r="O103" s="68">
        <f>IF(A3taxstdlife="n/a","n/a",IF(O$3&gt;(A3taxstdlife+$E103),(Input!$H$43-Input!$H$77)-SUM($H103:N103),(Input!$H$43-Input!$H$77)/A3taxstdlife))</f>
        <v>-1.89795585E-2</v>
      </c>
      <c r="P103" s="68">
        <f>IF(A3taxstdlife="n/a","n/a",IF(P$3&gt;(A3taxstdlife+$E103),(Input!$H$43-Input!$H$77)-SUM($H103:O103),(Input!$H$43-Input!$H$77)/A3taxstdlife))</f>
        <v>-1.89795585E-2</v>
      </c>
      <c r="Q103" s="68">
        <f>IF(A3taxstdlife="n/a","n/a",IF(Q$3&gt;(A3taxstdlife+$E103),(Input!$H$43-Input!$H$77)-SUM($H103:P103),(Input!$H$43-Input!$H$77)/A3taxstdlife))</f>
        <v>-1.89795585E-2</v>
      </c>
      <c r="R103" s="68"/>
      <c r="S103" s="103"/>
      <c r="T103" s="103"/>
      <c r="U103" s="103"/>
      <c r="V103" s="103"/>
      <c r="W103" s="103"/>
      <c r="X103" s="103"/>
      <c r="Y103" s="103"/>
      <c r="Z103" s="103"/>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row>
    <row r="104" spans="1:61" s="187" customFormat="1" ht="12.75" customHeight="1" outlineLevel="2">
      <c r="A104" s="9"/>
      <c r="B104" s="9"/>
      <c r="C104" s="26"/>
      <c r="D104" s="672"/>
      <c r="E104" s="86">
        <v>3</v>
      </c>
      <c r="F104" s="27"/>
      <c r="G104" s="208"/>
      <c r="H104" s="150"/>
      <c r="I104" s="149"/>
      <c r="J104" s="68">
        <f>IF(A3taxstdlife="n/a","n/a",IF(J$3&gt;(A3taxstdlife+$E104),(Input!$I$43-Input!$I$77)-SUM($I104:I104),(Input!$I$43-Input!$I$77)/A3taxstdlife))</f>
        <v>0</v>
      </c>
      <c r="K104" s="68">
        <f>IF(A3taxstdlife="n/a","n/a",IF(K$3&gt;(A3taxstdlife+$E104),(Input!$I$43-Input!$I$77)-SUM($I104:J104),(Input!$I$43-Input!$I$77)/A3taxstdlife))</f>
        <v>0</v>
      </c>
      <c r="L104" s="68">
        <f>IF(A3taxstdlife="n/a","n/a",IF(L$3&gt;(A3taxstdlife+$E104),(Input!$I$43-Input!$I$77)-SUM($I104:K104),(Input!$I$43-Input!$I$77)/A3taxstdlife))</f>
        <v>0</v>
      </c>
      <c r="M104" s="68">
        <f>IF(A3taxstdlife="n/a","n/a",IF(M$3&gt;(A3taxstdlife+$E104),(Input!$I$43-Input!$I$77)-SUM($I104:L104),(Input!$I$43-Input!$I$77)/A3taxstdlife))</f>
        <v>0</v>
      </c>
      <c r="N104" s="68">
        <f>IF(A3taxstdlife="n/a","n/a",IF(N$3&gt;(A3taxstdlife+$E104),(Input!$I$43-Input!$I$77)-SUM($I104:M104),(Input!$I$43-Input!$I$77)/A3taxstdlife))</f>
        <v>0</v>
      </c>
      <c r="O104" s="68">
        <f>IF(A3taxstdlife="n/a","n/a",IF(O$3&gt;(A3taxstdlife+$E104),(Input!$I$43-Input!$I$77)-SUM($I104:N104),(Input!$I$43-Input!$I$77)/A3taxstdlife))</f>
        <v>0</v>
      </c>
      <c r="P104" s="68">
        <f>IF(A3taxstdlife="n/a","n/a",IF(P$3&gt;(A3taxstdlife+$E104),(Input!$I$43-Input!$I$77)-SUM($I104:O104),(Input!$I$43-Input!$I$77)/A3taxstdlife))</f>
        <v>0</v>
      </c>
      <c r="Q104" s="68">
        <f>IF(A3taxstdlife="n/a","n/a",IF(Q$3&gt;(A3taxstdlife+$E104),(Input!$I$43-Input!$I$77)-SUM($I104:P104),(Input!$I$43-Input!$I$77)/A3taxstdlife))</f>
        <v>0</v>
      </c>
      <c r="R104" s="68"/>
      <c r="S104" s="103"/>
      <c r="T104" s="103"/>
      <c r="U104" s="103"/>
      <c r="V104" s="103"/>
      <c r="W104" s="103"/>
      <c r="X104" s="103"/>
      <c r="Y104" s="103"/>
      <c r="Z104" s="103"/>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row>
    <row r="105" spans="1:61" s="187" customFormat="1" ht="12.75" customHeight="1" outlineLevel="2">
      <c r="A105" s="9"/>
      <c r="B105" s="9"/>
      <c r="C105" s="26"/>
      <c r="D105" s="672"/>
      <c r="E105" s="86">
        <v>4</v>
      </c>
      <c r="F105" s="27"/>
      <c r="G105" s="208"/>
      <c r="H105" s="150"/>
      <c r="I105" s="150"/>
      <c r="J105" s="149"/>
      <c r="K105" s="68">
        <f>IF(A3taxstdlife="n/a","n/a",IF(K$3&gt;(A3taxstdlife+$E105),(Input!$J$43-Input!$J$77)-SUM($J105:J105),(Input!$J$43-Input!$J$77)/A3taxstdlife))</f>
        <v>0</v>
      </c>
      <c r="L105" s="68">
        <f>IF(A3taxstdlife="n/a","n/a",IF(L$3&gt;(A3taxstdlife+$E105),(Input!$J$43-Input!$J$77)-SUM($J105:K105),(Input!$J$43-Input!$J$77)/A3taxstdlife))</f>
        <v>0</v>
      </c>
      <c r="M105" s="68">
        <f>IF(A3taxstdlife="n/a","n/a",IF(M$3&gt;(A3taxstdlife+$E105),(Input!$J$43-Input!$J$77)-SUM($J105:L105),(Input!$J$43-Input!$J$77)/A3taxstdlife))</f>
        <v>0</v>
      </c>
      <c r="N105" s="68">
        <f>IF(A3taxstdlife="n/a","n/a",IF(N$3&gt;(A3taxstdlife+$E105),(Input!$J$43-Input!$J$77)-SUM($J105:M105),(Input!$J$43-Input!$J$77)/A3taxstdlife))</f>
        <v>0</v>
      </c>
      <c r="O105" s="68">
        <f>IF(A3taxstdlife="n/a","n/a",IF(O$3&gt;(A3taxstdlife+$E105),(Input!$J$43-Input!$J$77)-SUM($J105:N105),(Input!$J$43-Input!$J$77)/A3taxstdlife))</f>
        <v>0</v>
      </c>
      <c r="P105" s="68">
        <f>IF(A3taxstdlife="n/a","n/a",IF(P$3&gt;(A3taxstdlife+$E105),(Input!$J$43-Input!$J$77)-SUM($J105:O105),(Input!$J$43-Input!$J$77)/A3taxstdlife))</f>
        <v>0</v>
      </c>
      <c r="Q105" s="68">
        <f>IF(A3taxstdlife="n/a","n/a",IF(Q$3&gt;(A3taxstdlife+$E105),(Input!$J$43-Input!$J$77)-SUM($J105:P105),(Input!$J$43-Input!$J$77)/A3taxstdlife))</f>
        <v>0</v>
      </c>
      <c r="R105" s="68"/>
      <c r="S105" s="103"/>
      <c r="T105" s="103"/>
      <c r="U105" s="103"/>
      <c r="V105" s="103"/>
      <c r="W105" s="103"/>
      <c r="X105" s="103"/>
      <c r="Y105" s="103"/>
      <c r="Z105" s="103"/>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c r="BI105" s="216"/>
    </row>
    <row r="106" spans="1:61" s="187" customFormat="1" ht="12.75" customHeight="1" outlineLevel="2">
      <c r="A106" s="9"/>
      <c r="B106" s="9"/>
      <c r="C106" s="26"/>
      <c r="D106" s="672"/>
      <c r="E106" s="86">
        <v>5</v>
      </c>
      <c r="F106" s="27"/>
      <c r="G106" s="208"/>
      <c r="H106" s="150"/>
      <c r="I106" s="150"/>
      <c r="J106" s="150"/>
      <c r="K106" s="149"/>
      <c r="L106" s="68">
        <f>IF(A3taxstdlife="n/a","n/a",IF(L$3&gt;(A3taxstdlife+$E106),(Input!$K$43-Input!$K$77)-SUM($K106:K106),(Input!$K$43-Input!$K$77)/A3taxstdlife))</f>
        <v>0</v>
      </c>
      <c r="M106" s="68">
        <f>IF(A3taxstdlife="n/a","n/a",IF(M$3&gt;(A3taxstdlife+$E106),(Input!$K$43-Input!$K$77)-SUM($K106:L106),(Input!$K$43-Input!$K$77)/A3taxstdlife))</f>
        <v>0</v>
      </c>
      <c r="N106" s="68">
        <f>IF(A3taxstdlife="n/a","n/a",IF(N$3&gt;(A3taxstdlife+$E106),(Input!$K$43-Input!$K$77)-SUM($K106:M106),(Input!$K$43-Input!$K$77)/A3taxstdlife))</f>
        <v>0</v>
      </c>
      <c r="O106" s="68">
        <f>IF(A3taxstdlife="n/a","n/a",IF(O$3&gt;(A3taxstdlife+$E106),(Input!$K$43-Input!$K$77)-SUM($K106:N106),(Input!$K$43-Input!$K$77)/A3taxstdlife))</f>
        <v>0</v>
      </c>
      <c r="P106" s="68">
        <f>IF(A3taxstdlife="n/a","n/a",IF(P$3&gt;(A3taxstdlife+$E106),(Input!$K$43-Input!$K$77)-SUM($K106:O106),(Input!$K$43-Input!$K$77)/A3taxstdlife))</f>
        <v>0</v>
      </c>
      <c r="Q106" s="68">
        <f>IF(A3taxstdlife="n/a","n/a",IF(Q$3&gt;(A3taxstdlife+$E106),(Input!$K$43-Input!$K$77)-SUM($K106:P106),(Input!$K$43-Input!$K$77)/A3taxstdlife))</f>
        <v>0</v>
      </c>
      <c r="R106" s="68"/>
      <c r="S106" s="103"/>
      <c r="T106" s="103"/>
      <c r="U106" s="103"/>
      <c r="V106" s="103"/>
      <c r="W106" s="103"/>
      <c r="X106" s="103"/>
      <c r="Y106" s="103"/>
      <c r="Z106" s="103"/>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c r="BI106" s="216"/>
    </row>
    <row r="107" spans="1:61" s="187" customFormat="1" ht="12.75" customHeight="1" outlineLevel="2">
      <c r="A107" s="9"/>
      <c r="B107" s="9"/>
      <c r="C107" s="26"/>
      <c r="D107" s="672"/>
      <c r="E107" s="86">
        <v>6</v>
      </c>
      <c r="F107" s="27"/>
      <c r="G107" s="208"/>
      <c r="H107" s="150"/>
      <c r="I107" s="150"/>
      <c r="J107" s="150"/>
      <c r="K107" s="150"/>
      <c r="L107" s="149"/>
      <c r="M107" s="68">
        <f>IF(A3taxstdlife="n/a","n/a",IF(M$3&gt;(A3taxstdlife+$E107),(Input!$L$43-Input!$L$77)-SUM($L107:L107),(Input!$L$43-Input!$L$77)/A3taxstdlife))</f>
        <v>0</v>
      </c>
      <c r="N107" s="68">
        <f>IF(A3taxstdlife="n/a","n/a",IF(N$3&gt;(A3taxstdlife+$E107),(Input!$L$43-Input!$L$77)-SUM($L107:M107),(Input!$L$43-Input!$L$77)/A3taxstdlife))</f>
        <v>0</v>
      </c>
      <c r="O107" s="68">
        <f>IF(A3taxstdlife="n/a","n/a",IF(O$3&gt;(A3taxstdlife+$E107),(Input!$L$43-Input!$L$77)-SUM($L107:N107),(Input!$L$43-Input!$L$77)/A3taxstdlife))</f>
        <v>0</v>
      </c>
      <c r="P107" s="68">
        <f>IF(A3taxstdlife="n/a","n/a",IF(P$3&gt;(A3taxstdlife+$E107),(Input!$L$43-Input!$L$77)-SUM($L107:O107),(Input!$L$43-Input!$L$77)/A3taxstdlife))</f>
        <v>0</v>
      </c>
      <c r="Q107" s="68">
        <f>IF(A3taxstdlife="n/a","n/a",IF(Q$3&gt;(A3taxstdlife+$E107),(Input!$L$43-Input!$L$77)-SUM($L107:P107),(Input!$L$43-Input!$L$77)/A3taxstdlife))</f>
        <v>0</v>
      </c>
      <c r="R107" s="68"/>
      <c r="S107" s="103"/>
      <c r="T107" s="103"/>
      <c r="U107" s="103"/>
      <c r="V107" s="103"/>
      <c r="W107" s="103"/>
      <c r="X107" s="103"/>
      <c r="Y107" s="103"/>
      <c r="Z107" s="103"/>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c r="BI107" s="216"/>
    </row>
    <row r="108" spans="1:61" s="187" customFormat="1" ht="12.75" customHeight="1" outlineLevel="2">
      <c r="A108" s="9"/>
      <c r="B108" s="9"/>
      <c r="C108" s="26"/>
      <c r="D108" s="672"/>
      <c r="E108" s="86">
        <v>7</v>
      </c>
      <c r="F108" s="27"/>
      <c r="G108" s="208"/>
      <c r="H108" s="150"/>
      <c r="I108" s="150"/>
      <c r="J108" s="150"/>
      <c r="K108" s="150"/>
      <c r="L108" s="150"/>
      <c r="M108" s="149"/>
      <c r="N108" s="68">
        <f>IF(A3taxstdlife="n/a","n/a",IF(N$3&gt;(A3taxstdlife+$E108),(Input!$M$43-Input!$M$77)-SUM($M108:M108),(Input!$M$43-Input!$M$77)/A3taxstdlife))</f>
        <v>0</v>
      </c>
      <c r="O108" s="68">
        <f>IF(A3taxstdlife="n/a","n/a",IF(O$3&gt;(A3taxstdlife+$E108),(Input!$M$43-Input!$M$77)-SUM($M108:N108),(Input!$M$43-Input!$M$77)/A3taxstdlife))</f>
        <v>0</v>
      </c>
      <c r="P108" s="68">
        <f>IF(A3taxstdlife="n/a","n/a",IF(P$3&gt;(A3taxstdlife+$E108),(Input!$M$43-Input!$M$77)-SUM($M108:O108),(Input!$M$43-Input!$M$77)/A3taxstdlife))</f>
        <v>0</v>
      </c>
      <c r="Q108" s="68">
        <f>IF(A3taxstdlife="n/a","n/a",IF(Q$3&gt;(A3taxstdlife+$E108),(Input!$M$43-Input!$M$77)-SUM($M108:P108),(Input!$M$43-Input!$M$77)/A3taxstdlife))</f>
        <v>0</v>
      </c>
      <c r="R108" s="68"/>
      <c r="S108" s="103"/>
      <c r="T108" s="103"/>
      <c r="U108" s="103"/>
      <c r="V108" s="103"/>
      <c r="W108" s="103"/>
      <c r="X108" s="103"/>
      <c r="Y108" s="103"/>
      <c r="Z108" s="103"/>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c r="BI108" s="216"/>
    </row>
    <row r="109" spans="1:61" s="187" customFormat="1" ht="12.75" customHeight="1" outlineLevel="2">
      <c r="A109" s="9"/>
      <c r="B109" s="9"/>
      <c r="C109" s="26"/>
      <c r="D109" s="672"/>
      <c r="E109" s="86">
        <v>8</v>
      </c>
      <c r="F109" s="27"/>
      <c r="G109" s="208"/>
      <c r="H109" s="150"/>
      <c r="I109" s="150"/>
      <c r="J109" s="150"/>
      <c r="K109" s="150"/>
      <c r="L109" s="150"/>
      <c r="M109" s="150"/>
      <c r="N109" s="149"/>
      <c r="O109" s="68">
        <f>IF(A3taxstdlife="n/a","n/a",IF(O$3&gt;(A3taxstdlife+$E109),(Input!$N$43-Input!$N$77)-SUM($N109:N109),(Input!$N$43-Input!$N$77)/A3taxstdlife))</f>
        <v>0</v>
      </c>
      <c r="P109" s="68">
        <f>IF(A3taxstdlife="n/a","n/a",IF(P$3&gt;(A3taxstdlife+$E109),(Input!$N$43-Input!$N$77)-SUM($N109:O109),(Input!$N$43-Input!$N$77)/A3taxstdlife))</f>
        <v>0</v>
      </c>
      <c r="Q109" s="68">
        <f>IF(A3taxstdlife="n/a","n/a",IF(Q$3&gt;(A3taxstdlife+$E109),(Input!$N$43-Input!$N$77)-SUM($N109:P109),(Input!$N$43-Input!$N$77)/A3taxstdlife))</f>
        <v>0</v>
      </c>
      <c r="R109" s="68"/>
      <c r="S109" s="103"/>
      <c r="T109" s="103"/>
      <c r="U109" s="103"/>
      <c r="V109" s="103"/>
      <c r="W109" s="103"/>
      <c r="X109" s="103"/>
      <c r="Y109" s="103"/>
      <c r="Z109" s="103"/>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c r="BI109" s="216"/>
    </row>
    <row r="110" spans="1:61" s="187" customFormat="1" ht="12.75" customHeight="1" outlineLevel="2">
      <c r="A110" s="9"/>
      <c r="B110" s="9"/>
      <c r="C110" s="26"/>
      <c r="D110" s="672"/>
      <c r="E110" s="86">
        <v>9</v>
      </c>
      <c r="F110" s="27"/>
      <c r="G110" s="208"/>
      <c r="H110" s="150"/>
      <c r="I110" s="150"/>
      <c r="J110" s="150"/>
      <c r="K110" s="150"/>
      <c r="L110" s="150"/>
      <c r="M110" s="150"/>
      <c r="N110" s="150"/>
      <c r="O110" s="149"/>
      <c r="P110" s="68">
        <f>IF(A3taxstdlife="n/a","n/a",IF(P$3&gt;(A3taxstdlife+$E110),(Input!$O$43-Input!$O$77)-SUM($O110:O110),(Input!$O$43-Input!$O$77)/A3taxstdlife))</f>
        <v>0</v>
      </c>
      <c r="Q110" s="68">
        <f>IF(A3taxstdlife="n/a","n/a",IF(Q$3&gt;(A3taxstdlife+$E110),(Input!$O$43-Input!$O$77)-SUM($O110:P110),(Input!$O$43-Input!$O$77)/A3taxstdlife))</f>
        <v>0</v>
      </c>
      <c r="R110" s="68"/>
      <c r="S110" s="103"/>
      <c r="T110" s="103"/>
      <c r="U110" s="103"/>
      <c r="V110" s="103"/>
      <c r="W110" s="103"/>
      <c r="X110" s="103"/>
      <c r="Y110" s="103"/>
      <c r="Z110" s="103"/>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6"/>
      <c r="BE110" s="216"/>
      <c r="BF110" s="216"/>
      <c r="BG110" s="216"/>
      <c r="BH110" s="216"/>
      <c r="BI110" s="216"/>
    </row>
    <row r="111" spans="1:61" s="187" customFormat="1" ht="12.75" customHeight="1" outlineLevel="2">
      <c r="A111" s="9"/>
      <c r="B111" s="9"/>
      <c r="C111" s="26"/>
      <c r="D111" s="672"/>
      <c r="E111" s="86">
        <v>10</v>
      </c>
      <c r="F111" s="27"/>
      <c r="G111" s="208"/>
      <c r="H111" s="150"/>
      <c r="I111" s="150"/>
      <c r="J111" s="150"/>
      <c r="K111" s="150"/>
      <c r="L111" s="150"/>
      <c r="M111" s="150"/>
      <c r="N111" s="150"/>
      <c r="O111" s="150"/>
      <c r="P111" s="149"/>
      <c r="Q111" s="68">
        <f>IF(A3taxstdlife="n/a","n/a",IF(Q$3&gt;(A3taxstdlife+$E111),(Input!$P$43-Input!$P$77)-SUM($P111:P111),(Input!$P$43-Input!$P$77)/A3taxstdlife))</f>
        <v>0</v>
      </c>
      <c r="R111" s="68"/>
      <c r="S111" s="103"/>
      <c r="T111" s="103"/>
      <c r="U111" s="103"/>
      <c r="V111" s="103"/>
      <c r="W111" s="103"/>
      <c r="X111" s="103"/>
      <c r="Y111" s="103"/>
      <c r="Z111" s="103"/>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row>
    <row r="112" spans="1:61" s="187" customFormat="1" ht="12.75" customHeight="1" outlineLevel="2">
      <c r="A112" s="9"/>
      <c r="B112" s="9"/>
      <c r="C112" s="26"/>
      <c r="D112" s="672"/>
      <c r="E112" s="87">
        <v>11</v>
      </c>
      <c r="F112" s="27"/>
      <c r="G112" s="208"/>
      <c r="H112" s="150"/>
      <c r="I112" s="150"/>
      <c r="J112" s="150"/>
      <c r="K112" s="150"/>
      <c r="L112" s="150"/>
      <c r="M112" s="150"/>
      <c r="N112" s="150"/>
      <c r="O112" s="150"/>
      <c r="P112" s="189"/>
      <c r="Q112" s="149"/>
      <c r="R112" s="68"/>
      <c r="S112" s="103"/>
      <c r="T112" s="103"/>
      <c r="U112" s="103"/>
      <c r="V112" s="103"/>
      <c r="W112" s="103"/>
      <c r="X112" s="103"/>
      <c r="Y112" s="103"/>
      <c r="Z112" s="103"/>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c r="BI112" s="216"/>
    </row>
    <row r="113" spans="1:61" s="187" customFormat="1" outlineLevel="1">
      <c r="A113" s="9"/>
      <c r="B113" s="9"/>
      <c r="C113" s="26" t="str">
        <f>Asset3</f>
        <v>Buildings</v>
      </c>
      <c r="D113" s="9"/>
      <c r="E113" s="9"/>
      <c r="F113" s="23"/>
      <c r="G113" s="209">
        <f t="shared" ref="G113:L113" si="37">-SUM(G100:G112)</f>
        <v>0</v>
      </c>
      <c r="H113" s="166">
        <f t="shared" si="37"/>
        <v>0</v>
      </c>
      <c r="I113" s="166">
        <f t="shared" si="37"/>
        <v>1.89795585E-2</v>
      </c>
      <c r="J113" s="166">
        <f t="shared" si="37"/>
        <v>1.89795585E-2</v>
      </c>
      <c r="K113" s="166">
        <f t="shared" si="37"/>
        <v>1.89795585E-2</v>
      </c>
      <c r="L113" s="166">
        <f t="shared" si="37"/>
        <v>1.89795585E-2</v>
      </c>
      <c r="M113" s="166">
        <f>IF(Input!M173&gt;0, -SUM(M100:M112), 0)</f>
        <v>0</v>
      </c>
      <c r="N113" s="166">
        <f>IF(Input!N173&gt;0, -SUM(N100:N112), 0)</f>
        <v>0</v>
      </c>
      <c r="O113" s="166">
        <f>IF(Input!O173&gt;0, -SUM(O100:O112), 0)</f>
        <v>0</v>
      </c>
      <c r="P113" s="166">
        <f>IF(Input!P173&gt;0, -SUM(P100:P112), 0)</f>
        <v>0</v>
      </c>
      <c r="Q113" s="166">
        <f>IF(Input!Q173&gt;0, -SUM(Q100:Q112), 0)</f>
        <v>0</v>
      </c>
      <c r="R113" s="64"/>
      <c r="S113" s="102"/>
      <c r="T113" s="102"/>
      <c r="U113" s="102"/>
      <c r="V113" s="102"/>
      <c r="W113" s="102"/>
      <c r="X113" s="102"/>
      <c r="Y113" s="102"/>
      <c r="Z113" s="102"/>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row>
    <row r="114" spans="1:61" s="187" customFormat="1" ht="12.75" customHeight="1" outlineLevel="2">
      <c r="A114" s="9"/>
      <c r="B114" s="32" t="str">
        <f>Asset4</f>
        <v>SCADA</v>
      </c>
      <c r="C114" s="33"/>
      <c r="D114" s="34" t="s">
        <v>67</v>
      </c>
      <c r="E114" s="33"/>
      <c r="F114" s="35"/>
      <c r="G114" s="205">
        <f>IF(G$3&gt;A4taxremlife,A4taxvalue-SUM($F114:F114),IF(A4taxremlife="N/A","n/a",A4taxvalue/A4taxremlife))</f>
        <v>0</v>
      </c>
      <c r="H114" s="67">
        <f>IF(H$3&gt;A4taxremlife,A4taxvalue-SUM($F114:G114),IF(A4taxremlife="N/A","n/a",A4taxvalue/A4taxremlife))</f>
        <v>0</v>
      </c>
      <c r="I114" s="67">
        <f>IF(I$3&gt;A4taxremlife,A4taxvalue-SUM($F114:H114),IF(A4taxremlife="N/A","n/a",A4taxvalue/A4taxremlife))</f>
        <v>0</v>
      </c>
      <c r="J114" s="67">
        <f>IF(J$3&gt;A4taxremlife,A4taxvalue-SUM($F114:I114),IF(A4taxremlife="N/A","n/a",A4taxvalue/A4taxremlife))</f>
        <v>0</v>
      </c>
      <c r="K114" s="67">
        <f>IF(K$3&gt;A4taxremlife,A4taxvalue-SUM($F114:J114),IF(A4taxremlife="N/A","n/a",A4taxvalue/A4taxremlife))</f>
        <v>0</v>
      </c>
      <c r="L114" s="67">
        <f>IF(L$3&gt;A4taxremlife,A4taxvalue-SUM($F114:K114),IF(A4taxremlife="N/A","n/a",A4taxvalue/A4taxremlife))</f>
        <v>0</v>
      </c>
      <c r="M114" s="67">
        <f>IF(M$3&gt;A4taxremlife,A4taxvalue-SUM($F114:L114),IF(A4taxremlife="N/A","n/a",A4taxvalue/A4taxremlife))</f>
        <v>0</v>
      </c>
      <c r="N114" s="67">
        <f>IF(N$3&gt;A4taxremlife,A4taxvalue-SUM($F114:M114),IF(A4taxremlife="N/A","n/a",A4taxvalue/A4taxremlife))</f>
        <v>0</v>
      </c>
      <c r="O114" s="67">
        <f>IF(O$3&gt;A4taxremlife,A4taxvalue-SUM($F114:N114),IF(A4taxremlife="N/A","n/a",A4taxvalue/A4taxremlife))</f>
        <v>0</v>
      </c>
      <c r="P114" s="67">
        <f>IF(P$3&gt;A4taxremlife,A4taxvalue-SUM($F114:O114),IF(A4taxremlife="N/A","n/a",A4taxvalue/A4taxremlife))</f>
        <v>0</v>
      </c>
      <c r="Q114" s="67">
        <f>IF(Q$3&gt;A4taxremlife,A4taxvalue-SUM($F114:P114),IF(A4taxremlife="N/A","n/a",A4taxvalue/A4taxremlife))</f>
        <v>0</v>
      </c>
      <c r="R114" s="67"/>
      <c r="S114" s="103"/>
      <c r="T114" s="103"/>
      <c r="U114" s="103"/>
      <c r="V114" s="103"/>
      <c r="W114" s="103"/>
      <c r="X114" s="103"/>
      <c r="Y114" s="103"/>
      <c r="Z114" s="103"/>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c r="BI114" s="216"/>
    </row>
    <row r="115" spans="1:61" s="187" customFormat="1" ht="12.75" customHeight="1" outlineLevel="2">
      <c r="A115" s="9"/>
      <c r="B115" s="9"/>
      <c r="C115" s="26"/>
      <c r="D115" s="671" t="s">
        <v>84</v>
      </c>
      <c r="E115" s="86">
        <v>0</v>
      </c>
      <c r="F115" s="27"/>
      <c r="G115" s="206"/>
      <c r="H115" s="68"/>
      <c r="I115" s="68"/>
      <c r="J115" s="68"/>
      <c r="K115" s="68"/>
      <c r="L115" s="68"/>
      <c r="M115" s="68"/>
      <c r="N115" s="68"/>
      <c r="O115" s="68"/>
      <c r="P115" s="68"/>
      <c r="Q115" s="68"/>
      <c r="R115" s="68"/>
      <c r="S115" s="103"/>
      <c r="T115" s="103"/>
      <c r="U115" s="103"/>
      <c r="V115" s="103"/>
      <c r="W115" s="103"/>
      <c r="X115" s="103"/>
      <c r="Y115" s="103"/>
      <c r="Z115" s="103"/>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row>
    <row r="116" spans="1:61" s="187" customFormat="1" ht="12.75" customHeight="1" outlineLevel="2">
      <c r="A116" s="9"/>
      <c r="B116" s="9"/>
      <c r="C116" s="26"/>
      <c r="D116" s="672"/>
      <c r="E116" s="86">
        <v>1</v>
      </c>
      <c r="F116" s="27"/>
      <c r="G116" s="207"/>
      <c r="H116" s="68">
        <f>IF(A4taxstdlife="n/a","n/a",IF(H$3&gt;(A4taxstdlife+$E116),(Input!$G$44-Input!$G$78)-SUM($G116:G116),(Input!$G$44-Input!$G$78)/A4taxstdlife))</f>
        <v>0.16700000000000001</v>
      </c>
      <c r="I116" s="68">
        <f>IF(A4taxstdlife="n/a","n/a",IF(I$3&gt;(A4taxstdlife+$E116),(Input!$G$44-Input!$G$78)-SUM($G116:H116),(Input!$G$44-Input!$G$78)/A4taxstdlife))</f>
        <v>0</v>
      </c>
      <c r="J116" s="68">
        <f>IF(A4taxstdlife="n/a","n/a",IF(J$3&gt;(A4taxstdlife+$E116),(Input!$G$44-Input!$G$78)-SUM($G116:I116),(Input!$G$44-Input!$G$78)/A4taxstdlife))</f>
        <v>0</v>
      </c>
      <c r="K116" s="68">
        <f>IF(A4taxstdlife="n/a","n/a",IF(K$3&gt;(A4taxstdlife+$E116),(Input!$G$44-Input!$G$78)-SUM($G116:J116),(Input!$G$44-Input!$G$78)/A4taxstdlife))</f>
        <v>0</v>
      </c>
      <c r="L116" s="68">
        <f>IF(A4taxstdlife="n/a","n/a",IF(L$3&gt;(A4taxstdlife+$E116),(Input!$G$44-Input!$G$78)-SUM($G116:K116),(Input!$G$44-Input!$G$78)/A4taxstdlife))</f>
        <v>0</v>
      </c>
      <c r="M116" s="68">
        <f>IF(A4taxstdlife="n/a","n/a",IF(M$3&gt;(A4taxstdlife+$E116),(Input!$G$44-Input!$G$78)-SUM($G116:L116),(Input!$G$44-Input!$G$78)/A4taxstdlife))</f>
        <v>0</v>
      </c>
      <c r="N116" s="68">
        <f>IF(A4taxstdlife="n/a","n/a",IF(N$3&gt;(A4taxstdlife+$E116),(Input!$G$44-Input!$G$78)-SUM($G116:M116),(Input!$G$44-Input!$G$78)/A4taxstdlife))</f>
        <v>0</v>
      </c>
      <c r="O116" s="68">
        <f>IF(A4taxstdlife="n/a","n/a",IF(O$3&gt;(A4taxstdlife+$E116),(Input!$G$44-Input!$G$78)-SUM($G116:N116),(Input!$G$44-Input!$G$78)/A4taxstdlife))</f>
        <v>0</v>
      </c>
      <c r="P116" s="68">
        <f>IF(A4taxstdlife="n/a","n/a",IF(P$3&gt;(A4taxstdlife+$E116),(Input!$G$44-Input!$G$78)-SUM($G116:O116),(Input!$G$44-Input!$G$78)/A4taxstdlife))</f>
        <v>0</v>
      </c>
      <c r="Q116" s="68">
        <f>IF(A4taxstdlife="n/a","n/a",IF(Q$3&gt;(A4taxstdlife+$E116),(Input!$G$44-Input!$G$78)-SUM($G116:P116),(Input!$G$44-Input!$G$78)/A4taxstdlife))</f>
        <v>0</v>
      </c>
      <c r="R116" s="68"/>
      <c r="S116" s="103"/>
      <c r="T116" s="103"/>
      <c r="U116" s="103"/>
      <c r="V116" s="103"/>
      <c r="W116" s="103"/>
      <c r="X116" s="103"/>
      <c r="Y116" s="103"/>
      <c r="Z116" s="103"/>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c r="BI116" s="216"/>
    </row>
    <row r="117" spans="1:61" s="187" customFormat="1" ht="12.75" customHeight="1" outlineLevel="2">
      <c r="A117" s="9"/>
      <c r="B117" s="9"/>
      <c r="C117" s="26"/>
      <c r="D117" s="672"/>
      <c r="E117" s="86">
        <v>2</v>
      </c>
      <c r="F117" s="27"/>
      <c r="G117" s="208"/>
      <c r="H117" s="149"/>
      <c r="I117" s="68">
        <f>IF(A4taxstdlife="n/a","n/a",IF(I$3&gt;(A4taxstdlife+$E117),(Input!$H$44-Input!$H$78)-SUM($H117:H117),(Input!$H$44-Input!$H$78)/A4taxstdlife))</f>
        <v>0.15042731149188032</v>
      </c>
      <c r="J117" s="68">
        <f>IF(A4taxstdlife="n/a","n/a",IF(J$3&gt;(A4taxstdlife+$E117),(Input!$H$44-Input!$H$78)-SUM($H117:I117),(Input!$H$44-Input!$H$78)/A4taxstdlife))</f>
        <v>0</v>
      </c>
      <c r="K117" s="68">
        <f>IF(A4taxstdlife="n/a","n/a",IF(K$3&gt;(A4taxstdlife+$E117),(Input!$H$44-Input!$H$78)-SUM($H117:J117),(Input!$H$44-Input!$H$78)/A4taxstdlife))</f>
        <v>0</v>
      </c>
      <c r="L117" s="68">
        <f>IF(A4taxstdlife="n/a","n/a",IF(L$3&gt;(A4taxstdlife+$E117),(Input!$H$44-Input!$H$78)-SUM($H117:K117),(Input!$H$44-Input!$H$78)/A4taxstdlife))</f>
        <v>0</v>
      </c>
      <c r="M117" s="68">
        <f>IF(A4taxstdlife="n/a","n/a",IF(M$3&gt;(A4taxstdlife+$E117),(Input!$H$44-Input!$H$78)-SUM($H117:L117),(Input!$H$44-Input!$H$78)/A4taxstdlife))</f>
        <v>0</v>
      </c>
      <c r="N117" s="68">
        <f>IF(A4taxstdlife="n/a","n/a",IF(N$3&gt;(A4taxstdlife+$E117),(Input!$H$44-Input!$H$78)-SUM($H117:M117),(Input!$H$44-Input!$H$78)/A4taxstdlife))</f>
        <v>0</v>
      </c>
      <c r="O117" s="68">
        <f>IF(A4taxstdlife="n/a","n/a",IF(O$3&gt;(A4taxstdlife+$E117),(Input!$H$44-Input!$H$78)-SUM($H117:N117),(Input!$H$44-Input!$H$78)/A4taxstdlife))</f>
        <v>0</v>
      </c>
      <c r="P117" s="68">
        <f>IF(A4taxstdlife="n/a","n/a",IF(P$3&gt;(A4taxstdlife+$E117),(Input!$H$44-Input!$H$78)-SUM($H117:O117),(Input!$H$44-Input!$H$78)/A4taxstdlife))</f>
        <v>0</v>
      </c>
      <c r="Q117" s="68">
        <f>IF(A4taxstdlife="n/a","n/a",IF(Q$3&gt;(A4taxstdlife+$E117),(Input!$H$44-Input!$H$78)-SUM($H117:P117),(Input!$H$44-Input!$H$78)/A4taxstdlife))</f>
        <v>0</v>
      </c>
      <c r="R117" s="68"/>
      <c r="S117" s="103"/>
      <c r="T117" s="103"/>
      <c r="U117" s="103"/>
      <c r="V117" s="103"/>
      <c r="W117" s="103"/>
      <c r="X117" s="103"/>
      <c r="Y117" s="103"/>
      <c r="Z117" s="103"/>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c r="BI117" s="216"/>
    </row>
    <row r="118" spans="1:61" s="187" customFormat="1" ht="12.75" customHeight="1" outlineLevel="2">
      <c r="A118" s="9"/>
      <c r="B118" s="9"/>
      <c r="C118" s="26"/>
      <c r="D118" s="672"/>
      <c r="E118" s="86">
        <v>3</v>
      </c>
      <c r="F118" s="27"/>
      <c r="G118" s="208"/>
      <c r="H118" s="150"/>
      <c r="I118" s="149"/>
      <c r="J118" s="68">
        <f>IF(A4taxstdlife="n/a","n/a",IF(J$3&gt;(A4taxstdlife+$E118),(Input!$I$44-Input!$I$78)-SUM($I118:I118),(Input!$I$44-Input!$I$78)/A4taxstdlife))</f>
        <v>0.39470883272000595</v>
      </c>
      <c r="K118" s="68">
        <f>IF(A4taxstdlife="n/a","n/a",IF(K$3&gt;(A4taxstdlife+$E118),(Input!$I$44-Input!$I$78)-SUM($I118:J118),(Input!$I$44-Input!$I$78)/A4taxstdlife))</f>
        <v>0</v>
      </c>
      <c r="L118" s="68">
        <f>IF(A4taxstdlife="n/a","n/a",IF(L$3&gt;(A4taxstdlife+$E118),(Input!$I$44-Input!$I$78)-SUM($I118:K118),(Input!$I$44-Input!$I$78)/A4taxstdlife))</f>
        <v>0</v>
      </c>
      <c r="M118" s="68">
        <f>IF(A4taxstdlife="n/a","n/a",IF(M$3&gt;(A4taxstdlife+$E118),(Input!$I$44-Input!$I$78)-SUM($I118:L118),(Input!$I$44-Input!$I$78)/A4taxstdlife))</f>
        <v>0</v>
      </c>
      <c r="N118" s="68">
        <f>IF(A4taxstdlife="n/a","n/a",IF(N$3&gt;(A4taxstdlife+$E118),(Input!$I$44-Input!$I$78)-SUM($I118:M118),(Input!$I$44-Input!$I$78)/A4taxstdlife))</f>
        <v>0</v>
      </c>
      <c r="O118" s="68">
        <f>IF(A4taxstdlife="n/a","n/a",IF(O$3&gt;(A4taxstdlife+$E118),(Input!$I$44-Input!$I$78)-SUM($I118:N118),(Input!$I$44-Input!$I$78)/A4taxstdlife))</f>
        <v>0</v>
      </c>
      <c r="P118" s="68">
        <f>IF(A4taxstdlife="n/a","n/a",IF(P$3&gt;(A4taxstdlife+$E118),(Input!$I$44-Input!$I$78)-SUM($I118:O118),(Input!$I$44-Input!$I$78)/A4taxstdlife))</f>
        <v>0</v>
      </c>
      <c r="Q118" s="68">
        <f>IF(A4taxstdlife="n/a","n/a",IF(Q$3&gt;(A4taxstdlife+$E118),(Input!$I$44-Input!$I$78)-SUM($I118:P118),(Input!$I$44-Input!$I$78)/A4taxstdlife))</f>
        <v>0</v>
      </c>
      <c r="R118" s="68"/>
      <c r="S118" s="103"/>
      <c r="T118" s="103"/>
      <c r="U118" s="103"/>
      <c r="V118" s="103"/>
      <c r="W118" s="103"/>
      <c r="X118" s="103"/>
      <c r="Y118" s="103"/>
      <c r="Z118" s="103"/>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c r="BI118" s="216"/>
    </row>
    <row r="119" spans="1:61" s="187" customFormat="1" ht="12.75" customHeight="1" outlineLevel="2">
      <c r="A119" s="9"/>
      <c r="B119" s="9"/>
      <c r="C119" s="26"/>
      <c r="D119" s="672"/>
      <c r="E119" s="86">
        <v>4</v>
      </c>
      <c r="F119" s="27"/>
      <c r="G119" s="208"/>
      <c r="H119" s="150"/>
      <c r="I119" s="150"/>
      <c r="J119" s="149"/>
      <c r="K119" s="68">
        <f>IF(A4taxstdlife="n/a","n/a",IF(K$3&gt;(A4taxstdlife+$E119),(Input!$J$44-Input!$J$78)-SUM($J119:J119),(Input!$J$44-Input!$J$78)/A4taxstdlife))</f>
        <v>0.40925550440670461</v>
      </c>
      <c r="L119" s="68">
        <f>IF(A4taxstdlife="n/a","n/a",IF(L$3&gt;(A4taxstdlife+$E119),(Input!$J$44-Input!$J$78)-SUM($J119:K119),(Input!$J$44-Input!$J$78)/A4taxstdlife))</f>
        <v>0</v>
      </c>
      <c r="M119" s="68">
        <f>IF(A4taxstdlife="n/a","n/a",IF(M$3&gt;(A4taxstdlife+$E119),(Input!$J$44-Input!$J$78)-SUM($J119:L119),(Input!$J$44-Input!$J$78)/A4taxstdlife))</f>
        <v>0</v>
      </c>
      <c r="N119" s="68">
        <f>IF(A4taxstdlife="n/a","n/a",IF(N$3&gt;(A4taxstdlife+$E119),(Input!$J$44-Input!$J$78)-SUM($J119:M119),(Input!$J$44-Input!$J$78)/A4taxstdlife))</f>
        <v>0</v>
      </c>
      <c r="O119" s="68">
        <f>IF(A4taxstdlife="n/a","n/a",IF(O$3&gt;(A4taxstdlife+$E119),(Input!$J$44-Input!$J$78)-SUM($J119:N119),(Input!$J$44-Input!$J$78)/A4taxstdlife))</f>
        <v>0</v>
      </c>
      <c r="P119" s="68">
        <f>IF(A4taxstdlife="n/a","n/a",IF(P$3&gt;(A4taxstdlife+$E119),(Input!$J$44-Input!$J$78)-SUM($J119:O119),(Input!$J$44-Input!$J$78)/A4taxstdlife))</f>
        <v>0</v>
      </c>
      <c r="Q119" s="68">
        <f>IF(A4taxstdlife="n/a","n/a",IF(Q$3&gt;(A4taxstdlife+$E119),(Input!$J$44-Input!$J$78)-SUM($J119:P119),(Input!$J$44-Input!$J$78)/A4taxstdlife))</f>
        <v>0</v>
      </c>
      <c r="R119" s="68"/>
      <c r="S119" s="103"/>
      <c r="T119" s="103"/>
      <c r="U119" s="103"/>
      <c r="V119" s="103"/>
      <c r="W119" s="103"/>
      <c r="X119" s="103"/>
      <c r="Y119" s="103"/>
      <c r="Z119" s="103"/>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c r="BI119" s="216"/>
    </row>
    <row r="120" spans="1:61" s="187" customFormat="1" ht="12.75" customHeight="1" outlineLevel="2">
      <c r="A120" s="9"/>
      <c r="B120" s="9"/>
      <c r="C120" s="26"/>
      <c r="D120" s="672"/>
      <c r="E120" s="86">
        <v>5</v>
      </c>
      <c r="F120" s="27"/>
      <c r="G120" s="208"/>
      <c r="H120" s="150"/>
      <c r="I120" s="150"/>
      <c r="J120" s="150"/>
      <c r="K120" s="149"/>
      <c r="L120" s="68">
        <f>IF(A4taxstdlife="n/a","n/a",IF(L$3&gt;(A4taxstdlife+$E120),(Input!$K$44-Input!$K$78)-SUM($K120:K120),(Input!$K$44-Input!$K$78)/A4taxstdlife))</f>
        <v>0.2380900397714914</v>
      </c>
      <c r="M120" s="68">
        <f>IF(A4taxstdlife="n/a","n/a",IF(M$3&gt;(A4taxstdlife+$E120),(Input!$K$44-Input!$K$78)-SUM($K120:L120),(Input!$K$44-Input!$K$78)/A4taxstdlife))</f>
        <v>0</v>
      </c>
      <c r="N120" s="68">
        <f>IF(A4taxstdlife="n/a","n/a",IF(N$3&gt;(A4taxstdlife+$E120),(Input!$K$44-Input!$K$78)-SUM($K120:M120),(Input!$K$44-Input!$K$78)/A4taxstdlife))</f>
        <v>0</v>
      </c>
      <c r="O120" s="68">
        <f>IF(A4taxstdlife="n/a","n/a",IF(O$3&gt;(A4taxstdlife+$E120),(Input!$K$44-Input!$K$78)-SUM($K120:N120),(Input!$K$44-Input!$K$78)/A4taxstdlife))</f>
        <v>0</v>
      </c>
      <c r="P120" s="68">
        <f>IF(A4taxstdlife="n/a","n/a",IF(P$3&gt;(A4taxstdlife+$E120),(Input!$K$44-Input!$K$78)-SUM($K120:O120),(Input!$K$44-Input!$K$78)/A4taxstdlife))</f>
        <v>0</v>
      </c>
      <c r="Q120" s="68">
        <f>IF(A4taxstdlife="n/a","n/a",IF(Q$3&gt;(A4taxstdlife+$E120),(Input!$K$44-Input!$K$78)-SUM($K120:P120),(Input!$K$44-Input!$K$78)/A4taxstdlife))</f>
        <v>0</v>
      </c>
      <c r="R120" s="68"/>
      <c r="S120" s="103"/>
      <c r="T120" s="103"/>
      <c r="U120" s="103"/>
      <c r="V120" s="103"/>
      <c r="W120" s="103"/>
      <c r="X120" s="103"/>
      <c r="Y120" s="103"/>
      <c r="Z120" s="103"/>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row>
    <row r="121" spans="1:61" s="187" customFormat="1" ht="12.75" customHeight="1" outlineLevel="2">
      <c r="A121" s="9"/>
      <c r="B121" s="9"/>
      <c r="C121" s="26"/>
      <c r="D121" s="672"/>
      <c r="E121" s="86">
        <v>6</v>
      </c>
      <c r="F121" s="27"/>
      <c r="G121" s="208"/>
      <c r="H121" s="150"/>
      <c r="I121" s="150"/>
      <c r="J121" s="150"/>
      <c r="K121" s="150"/>
      <c r="L121" s="149"/>
      <c r="M121" s="68">
        <f>IF(A4taxstdlife="n/a","n/a",IF(M$3&gt;(A4taxstdlife+$E121),(Input!$L$44-Input!$L$78)-SUM($L121:L121),(Input!$L$44-Input!$L$78)/A4taxstdlife))</f>
        <v>0.51</v>
      </c>
      <c r="N121" s="68">
        <f>IF(A4taxstdlife="n/a","n/a",IF(N$3&gt;(A4taxstdlife+$E121),(Input!$L$44-Input!$L$78)-SUM($L121:M121),(Input!$L$44-Input!$L$78)/A4taxstdlife))</f>
        <v>0</v>
      </c>
      <c r="O121" s="68">
        <f>IF(A4taxstdlife="n/a","n/a",IF(O$3&gt;(A4taxstdlife+$E121),(Input!$L$44-Input!$L$78)-SUM($L121:N121),(Input!$L$44-Input!$L$78)/A4taxstdlife))</f>
        <v>0</v>
      </c>
      <c r="P121" s="68">
        <f>IF(A4taxstdlife="n/a","n/a",IF(P$3&gt;(A4taxstdlife+$E121),(Input!$L$44-Input!$L$78)-SUM($L121:O121),(Input!$L$44-Input!$L$78)/A4taxstdlife))</f>
        <v>0</v>
      </c>
      <c r="Q121" s="68">
        <f>IF(A4taxstdlife="n/a","n/a",IF(Q$3&gt;(A4taxstdlife+$E121),(Input!$L$44-Input!$L$78)-SUM($L121:P121),(Input!$L$44-Input!$L$78)/A4taxstdlife))</f>
        <v>0</v>
      </c>
      <c r="R121" s="68"/>
      <c r="S121" s="103"/>
      <c r="T121" s="103"/>
      <c r="U121" s="103"/>
      <c r="V121" s="103"/>
      <c r="W121" s="103"/>
      <c r="X121" s="103"/>
      <c r="Y121" s="103"/>
      <c r="Z121" s="103"/>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s="187" customFormat="1" ht="12.75" customHeight="1" outlineLevel="2">
      <c r="A122" s="9"/>
      <c r="B122" s="9"/>
      <c r="C122" s="26"/>
      <c r="D122" s="672"/>
      <c r="E122" s="86">
        <v>7</v>
      </c>
      <c r="F122" s="27"/>
      <c r="G122" s="208"/>
      <c r="H122" s="150"/>
      <c r="I122" s="150"/>
      <c r="J122" s="150"/>
      <c r="K122" s="150"/>
      <c r="L122" s="150"/>
      <c r="M122" s="149"/>
      <c r="N122" s="68">
        <f>IF(A4taxstdlife="n/a","n/a",IF(N$3&gt;(A4taxstdlife+$E122),(Input!$M$44-Input!$M$78)-SUM($M122:M122),(Input!$M$44-Input!$M$78)/A4taxstdlife))</f>
        <v>0</v>
      </c>
      <c r="O122" s="68">
        <f>IF(A4taxstdlife="n/a","n/a",IF(O$3&gt;(A4taxstdlife+$E122),(Input!$M$44-Input!$M$78)-SUM($M122:N122),(Input!$M$44-Input!$M$78)/A4taxstdlife))</f>
        <v>0</v>
      </c>
      <c r="P122" s="68">
        <f>IF(A4taxstdlife="n/a","n/a",IF(P$3&gt;(A4taxstdlife+$E122),(Input!$M$44-Input!$M$78)-SUM($M122:O122),(Input!$M$44-Input!$M$78)/A4taxstdlife))</f>
        <v>0</v>
      </c>
      <c r="Q122" s="68">
        <f>IF(A4taxstdlife="n/a","n/a",IF(Q$3&gt;(A4taxstdlife+$E122),(Input!$M$44-Input!$M$78)-SUM($M122:P122),(Input!$M$44-Input!$M$78)/A4taxstdlife))</f>
        <v>0</v>
      </c>
      <c r="R122" s="68"/>
      <c r="S122" s="103"/>
      <c r="T122" s="103"/>
      <c r="U122" s="103"/>
      <c r="V122" s="103"/>
      <c r="W122" s="103"/>
      <c r="X122" s="103"/>
      <c r="Y122" s="103"/>
      <c r="Z122" s="103"/>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c r="BI122" s="216"/>
    </row>
    <row r="123" spans="1:61" s="187" customFormat="1" ht="12.75" customHeight="1" outlineLevel="2">
      <c r="A123" s="9"/>
      <c r="B123" s="9"/>
      <c r="C123" s="26"/>
      <c r="D123" s="672"/>
      <c r="E123" s="86">
        <v>8</v>
      </c>
      <c r="F123" s="27"/>
      <c r="G123" s="208"/>
      <c r="H123" s="150"/>
      <c r="I123" s="150"/>
      <c r="J123" s="150"/>
      <c r="K123" s="150"/>
      <c r="L123" s="150"/>
      <c r="M123" s="150"/>
      <c r="N123" s="149"/>
      <c r="O123" s="68">
        <f>IF(A4taxstdlife="n/a","n/a",IF(O$3&gt;(A4taxstdlife+$E123),(Input!$N$44-Input!$N$78)-SUM($N123:N123),(Input!$N$44-Input!$N$78)/A4taxstdlife))</f>
        <v>0</v>
      </c>
      <c r="P123" s="68">
        <f>IF(A4taxstdlife="n/a","n/a",IF(P$3&gt;(A4taxstdlife+$E123),(Input!$N$44-Input!$N$78)-SUM($N123:O123),(Input!$N$44-Input!$N$78)/A4taxstdlife))</f>
        <v>0</v>
      </c>
      <c r="Q123" s="68">
        <f>IF(A4taxstdlife="n/a","n/a",IF(Q$3&gt;(A4taxstdlife+$E123),(Input!$N$44-Input!$N$78)-SUM($N123:P123),(Input!$N$44-Input!$N$78)/A4taxstdlife))</f>
        <v>0</v>
      </c>
      <c r="R123" s="68"/>
      <c r="S123" s="103"/>
      <c r="T123" s="103"/>
      <c r="U123" s="103"/>
      <c r="V123" s="103"/>
      <c r="W123" s="103"/>
      <c r="X123" s="103"/>
      <c r="Y123" s="103"/>
      <c r="Z123" s="103"/>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c r="BI123" s="216"/>
    </row>
    <row r="124" spans="1:61" s="187" customFormat="1" ht="12.75" customHeight="1" outlineLevel="2">
      <c r="A124" s="9"/>
      <c r="B124" s="9"/>
      <c r="C124" s="26"/>
      <c r="D124" s="672"/>
      <c r="E124" s="86">
        <v>9</v>
      </c>
      <c r="F124" s="27"/>
      <c r="G124" s="208"/>
      <c r="H124" s="150"/>
      <c r="I124" s="150"/>
      <c r="J124" s="150"/>
      <c r="K124" s="150"/>
      <c r="L124" s="150"/>
      <c r="M124" s="150"/>
      <c r="N124" s="150"/>
      <c r="O124" s="149"/>
      <c r="P124" s="68">
        <f>IF(A4taxstdlife="n/a","n/a",IF(P$3&gt;(A4taxstdlife+$E124),(Input!$O$44-Input!$O$78)-SUM($O124:O124),(Input!$O$44-Input!$O$78)/A4taxstdlife))</f>
        <v>0</v>
      </c>
      <c r="Q124" s="68">
        <f>IF(A4taxstdlife="n/a","n/a",IF(Q$3&gt;(A4taxstdlife+$E124),(Input!$O$44-Input!$O$78)-SUM($O124:P124),(Input!$O$44-Input!$O$78)/A4taxstdlife))</f>
        <v>0</v>
      </c>
      <c r="R124" s="68"/>
      <c r="S124" s="103"/>
      <c r="T124" s="103"/>
      <c r="U124" s="103"/>
      <c r="V124" s="103"/>
      <c r="W124" s="103"/>
      <c r="X124" s="103"/>
      <c r="Y124" s="103"/>
      <c r="Z124" s="103"/>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row>
    <row r="125" spans="1:61" s="187" customFormat="1" ht="12.75" customHeight="1" outlineLevel="2">
      <c r="A125" s="9"/>
      <c r="B125" s="9"/>
      <c r="C125" s="26"/>
      <c r="D125" s="672"/>
      <c r="E125" s="86">
        <v>10</v>
      </c>
      <c r="F125" s="27"/>
      <c r="G125" s="208"/>
      <c r="H125" s="150"/>
      <c r="I125" s="150"/>
      <c r="J125" s="150"/>
      <c r="K125" s="150"/>
      <c r="L125" s="150"/>
      <c r="M125" s="150"/>
      <c r="N125" s="150"/>
      <c r="O125" s="150"/>
      <c r="P125" s="149"/>
      <c r="Q125" s="68">
        <f>IF(A4taxstdlife="n/a","n/a",IF(Q$3&gt;(A4taxstdlife+$E125),(Input!$P$44-Input!$P$78)-SUM($P125:P125),(Input!$P$44-Input!$P$78)/A4taxstdlife))</f>
        <v>0</v>
      </c>
      <c r="R125" s="68"/>
      <c r="S125" s="103"/>
      <c r="T125" s="103"/>
      <c r="U125" s="103"/>
      <c r="V125" s="103"/>
      <c r="W125" s="103"/>
      <c r="X125" s="103"/>
      <c r="Y125" s="103"/>
      <c r="Z125" s="103"/>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c r="BI125" s="216"/>
    </row>
    <row r="126" spans="1:61" s="187" customFormat="1" ht="12.75" customHeight="1" outlineLevel="2">
      <c r="A126" s="9"/>
      <c r="B126" s="9"/>
      <c r="C126" s="26"/>
      <c r="D126" s="672"/>
      <c r="E126" s="87">
        <v>11</v>
      </c>
      <c r="F126" s="27"/>
      <c r="G126" s="208"/>
      <c r="H126" s="150"/>
      <c r="I126" s="150"/>
      <c r="J126" s="150"/>
      <c r="K126" s="150"/>
      <c r="L126" s="150"/>
      <c r="M126" s="150"/>
      <c r="N126" s="150"/>
      <c r="O126" s="150"/>
      <c r="P126" s="189"/>
      <c r="Q126" s="149"/>
      <c r="R126" s="68"/>
      <c r="S126" s="103"/>
      <c r="T126" s="103"/>
      <c r="U126" s="103"/>
      <c r="V126" s="103"/>
      <c r="W126" s="103"/>
      <c r="X126" s="103"/>
      <c r="Y126" s="103"/>
      <c r="Z126" s="103"/>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c r="BI126" s="216"/>
    </row>
    <row r="127" spans="1:61" s="187" customFormat="1" outlineLevel="1">
      <c r="A127" s="9"/>
      <c r="B127" s="9"/>
      <c r="C127" s="26" t="str">
        <f>Asset4</f>
        <v>SCADA</v>
      </c>
      <c r="D127" s="9"/>
      <c r="E127" s="9"/>
      <c r="F127" s="23"/>
      <c r="G127" s="209">
        <f t="shared" ref="G127:L127" si="38">-SUM(G114:G126)</f>
        <v>0</v>
      </c>
      <c r="H127" s="166">
        <f t="shared" si="38"/>
        <v>-0.16700000000000001</v>
      </c>
      <c r="I127" s="166">
        <f t="shared" si="38"/>
        <v>-0.15042731149188032</v>
      </c>
      <c r="J127" s="166">
        <f t="shared" si="38"/>
        <v>-0.39470883272000595</v>
      </c>
      <c r="K127" s="166">
        <f t="shared" si="38"/>
        <v>-0.40925550440670461</v>
      </c>
      <c r="L127" s="166">
        <f t="shared" si="38"/>
        <v>-0.2380900397714914</v>
      </c>
      <c r="M127" s="166">
        <f>IF(Input!M173&gt;0, -SUM(M114:M126), 0)</f>
        <v>0</v>
      </c>
      <c r="N127" s="166">
        <f>IF(Input!N173&gt;0, -SUM(N114:N126), 0)</f>
        <v>0</v>
      </c>
      <c r="O127" s="166">
        <f>IF(Input!O173&gt;0, -SUM(O114:O126), 0)</f>
        <v>0</v>
      </c>
      <c r="P127" s="166">
        <f>IF(Input!P173&gt;0, -SUM(P114:P126), 0)</f>
        <v>0</v>
      </c>
      <c r="Q127" s="166">
        <f>IF(Input!Q173&gt;0, -SUM(Q114:Q126), 0)</f>
        <v>0</v>
      </c>
      <c r="R127" s="64"/>
      <c r="S127" s="102"/>
      <c r="T127" s="102"/>
      <c r="U127" s="102"/>
      <c r="V127" s="102"/>
      <c r="W127" s="102"/>
      <c r="X127" s="102"/>
      <c r="Y127" s="102"/>
      <c r="Z127" s="102"/>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row>
    <row r="128" spans="1:61" s="187" customFormat="1" ht="12.75" customHeight="1" outlineLevel="2">
      <c r="A128" s="9"/>
      <c r="B128" s="32" t="str">
        <f>Asset5</f>
        <v>Computer Equipment</v>
      </c>
      <c r="C128" s="33"/>
      <c r="D128" s="34" t="s">
        <v>67</v>
      </c>
      <c r="E128" s="33"/>
      <c r="F128" s="35"/>
      <c r="G128" s="205">
        <f>IF(G$3&gt;A5taxremlife,A5taxvalue-SUM($F128:F128),IF(A5taxremlife="N/A","n/a",A5taxvalue/A5taxremlife))</f>
        <v>0</v>
      </c>
      <c r="H128" s="67">
        <f>IF(H$3&gt;A5taxremlife,A5taxvalue-SUM($F128:G128),IF(A5taxremlife="N/A","n/a",A5taxvalue/A5taxremlife))</f>
        <v>0</v>
      </c>
      <c r="I128" s="67">
        <f>IF(I$3&gt;A5taxremlife,A5taxvalue-SUM($F128:H128),IF(A5taxremlife="N/A","n/a",A5taxvalue/A5taxremlife))</f>
        <v>0</v>
      </c>
      <c r="J128" s="67">
        <f>IF(J$3&gt;A5taxremlife,A5taxvalue-SUM($F128:I128),IF(A5taxremlife="N/A","n/a",A5taxvalue/A5taxremlife))</f>
        <v>0</v>
      </c>
      <c r="K128" s="67">
        <f>IF(K$3&gt;A5taxremlife,A5taxvalue-SUM($F128:J128),IF(A5taxremlife="N/A","n/a",A5taxvalue/A5taxremlife))</f>
        <v>0</v>
      </c>
      <c r="L128" s="67">
        <f>IF(L$3&gt;A5taxremlife,A5taxvalue-SUM($F128:K128),IF(A5taxremlife="N/A","n/a",A5taxvalue/A5taxremlife))</f>
        <v>0</v>
      </c>
      <c r="M128" s="67">
        <f>IF(M$3&gt;A5taxremlife,A5taxvalue-SUM($F128:L128),IF(A5taxremlife="N/A","n/a",A5taxvalue/A5taxremlife))</f>
        <v>0</v>
      </c>
      <c r="N128" s="67">
        <f>IF(N$3&gt;A5taxremlife,A5taxvalue-SUM($F128:M128),IF(A5taxremlife="N/A","n/a",A5taxvalue/A5taxremlife))</f>
        <v>0</v>
      </c>
      <c r="O128" s="67">
        <f>IF(O$3&gt;A5taxremlife,A5taxvalue-SUM($F128:N128),IF(A5taxremlife="N/A","n/a",A5taxvalue/A5taxremlife))</f>
        <v>0</v>
      </c>
      <c r="P128" s="67">
        <f>IF(P$3&gt;A5taxremlife,A5taxvalue-SUM($F128:O128),IF(A5taxremlife="N/A","n/a",A5taxvalue/A5taxremlife))</f>
        <v>0</v>
      </c>
      <c r="Q128" s="67">
        <f>IF(Q$3&gt;A5taxremlife,A5taxvalue-SUM($F128:P128),IF(A5taxremlife="N/A","n/a",A5taxvalue/A5taxremlife))</f>
        <v>0</v>
      </c>
      <c r="R128" s="67"/>
      <c r="S128" s="103"/>
      <c r="T128" s="103"/>
      <c r="U128" s="103"/>
      <c r="V128" s="103"/>
      <c r="W128" s="103"/>
      <c r="X128" s="103"/>
      <c r="Y128" s="103"/>
      <c r="Z128" s="103"/>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c r="BI128" s="216"/>
    </row>
    <row r="129" spans="1:256" s="187" customFormat="1" ht="12.75" customHeight="1" outlineLevel="2">
      <c r="A129" s="9"/>
      <c r="B129" s="9"/>
      <c r="C129" s="26"/>
      <c r="D129" s="671" t="s">
        <v>84</v>
      </c>
      <c r="E129" s="86">
        <v>0</v>
      </c>
      <c r="F129" s="27"/>
      <c r="G129" s="206"/>
      <c r="H129" s="68"/>
      <c r="I129" s="68"/>
      <c r="J129" s="68"/>
      <c r="K129" s="68"/>
      <c r="L129" s="68"/>
      <c r="M129" s="68"/>
      <c r="N129" s="68"/>
      <c r="O129" s="68"/>
      <c r="P129" s="68"/>
      <c r="Q129" s="68"/>
      <c r="R129" s="68"/>
      <c r="S129" s="103"/>
      <c r="T129" s="103"/>
      <c r="U129" s="103"/>
      <c r="V129" s="103"/>
      <c r="W129" s="103"/>
      <c r="X129" s="103"/>
      <c r="Y129" s="103"/>
      <c r="Z129" s="103"/>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6"/>
      <c r="BE129" s="216"/>
      <c r="BF129" s="216"/>
      <c r="BG129" s="216"/>
      <c r="BH129" s="216"/>
      <c r="BI129" s="216"/>
    </row>
    <row r="130" spans="1:256" s="187" customFormat="1" ht="12.75" customHeight="1" outlineLevel="2">
      <c r="A130" s="9"/>
      <c r="B130" s="9"/>
      <c r="C130" s="26"/>
      <c r="D130" s="672"/>
      <c r="E130" s="86">
        <v>1</v>
      </c>
      <c r="F130" s="27"/>
      <c r="G130" s="207"/>
      <c r="H130" s="68">
        <f>IF(A5taxstdlife="n/a","n/a",IF(H$3&gt;(A5taxstdlife+$E130),(Input!$G$45-Input!$G$79)-SUM($G130:G130),(Input!$G$45-Input!$G$79)/A5taxstdlife))</f>
        <v>0.05</v>
      </c>
      <c r="I130" s="68">
        <f>IF(A5taxstdlife="n/a","n/a",IF(I$3&gt;(A5taxstdlife+$E130),(Input!$G$45-Input!$G$79)-SUM($G130:H130),(Input!$G$45-Input!$G$79)/A5taxstdlife))</f>
        <v>0</v>
      </c>
      <c r="J130" s="68">
        <f>IF(A5taxstdlife="n/a","n/a",IF(J$3&gt;(A5taxstdlife+$E130),(Input!$G$45-Input!$G$79)-SUM($G130:I130),(Input!$G$45-Input!$G$79)/A5taxstdlife))</f>
        <v>0</v>
      </c>
      <c r="K130" s="68">
        <f>IF(A5taxstdlife="n/a","n/a",IF(K$3&gt;(A5taxstdlife+$E130),(Input!$G$45-Input!$G$79)-SUM($G130:J130),(Input!$G$45-Input!$G$79)/A5taxstdlife))</f>
        <v>0</v>
      </c>
      <c r="L130" s="68">
        <f>IF(A5taxstdlife="n/a","n/a",IF(L$3&gt;(A5taxstdlife+$E130),(Input!$G$45-Input!$G$79)-SUM($G130:K130),(Input!$G$45-Input!$G$79)/A5taxstdlife))</f>
        <v>0</v>
      </c>
      <c r="M130" s="68">
        <f>IF(A5taxstdlife="n/a","n/a",IF(M$3&gt;(A5taxstdlife+$E130),(Input!$G$45-Input!$G$79)-SUM($G130:L130),(Input!$G$45-Input!$G$79)/A5taxstdlife))</f>
        <v>0</v>
      </c>
      <c r="N130" s="68">
        <f>IF(A5taxstdlife="n/a","n/a",IF(N$3&gt;(A5taxstdlife+$E130),(Input!$G$45-Input!$G$79)-SUM($G130:M130),(Input!$G$45-Input!$G$79)/A5taxstdlife))</f>
        <v>0</v>
      </c>
      <c r="O130" s="68">
        <f>IF(A5taxstdlife="n/a","n/a",IF(O$3&gt;(A5taxstdlife+$E130),(Input!$G$45-Input!$G$79)-SUM($G130:N130),(Input!$G$45-Input!$G$79)/A5taxstdlife))</f>
        <v>0</v>
      </c>
      <c r="P130" s="68">
        <f>IF(A5taxstdlife="n/a","n/a",IF(P$3&gt;(A5taxstdlife+$E130),(Input!$G$45-Input!$G$79)-SUM($G130:O130),(Input!$G$45-Input!$G$79)/A5taxstdlife))</f>
        <v>0</v>
      </c>
      <c r="Q130" s="68">
        <f>IF(A5taxstdlife="n/a","n/a",IF(Q$3&gt;(A5taxstdlife+$E130),(Input!$G$45-Input!$G$79)-SUM($G130:P130),(Input!$G$45-Input!$G$79)/A5taxstdlife))</f>
        <v>0</v>
      </c>
      <c r="R130" s="68"/>
      <c r="S130" s="103"/>
      <c r="T130" s="103"/>
      <c r="U130" s="103"/>
      <c r="V130" s="103"/>
      <c r="W130" s="103"/>
      <c r="X130" s="103"/>
      <c r="Y130" s="103"/>
      <c r="Z130" s="103"/>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c r="BI130" s="216"/>
    </row>
    <row r="131" spans="1:256" s="187" customFormat="1" ht="12.75" customHeight="1" outlineLevel="2">
      <c r="A131" s="9"/>
      <c r="B131" s="9"/>
      <c r="C131" s="26"/>
      <c r="D131" s="672"/>
      <c r="E131" s="86">
        <v>2</v>
      </c>
      <c r="F131" s="27"/>
      <c r="G131" s="208"/>
      <c r="H131" s="149"/>
      <c r="I131" s="68">
        <f>IF(A5taxstdlife="n/a","n/a",IF(I$3&gt;(A5taxstdlife+$E131),(Input!$H$45-Input!$H$79)-SUM($H131:H131),(Input!$H$45-Input!$H$79)/A5taxstdlife))</f>
        <v>0.87310144948076329</v>
      </c>
      <c r="J131" s="68">
        <f>IF(A5taxstdlife="n/a","n/a",IF(J$3&gt;(A5taxstdlife+$E131),(Input!$H$45-Input!$H$79)-SUM($H131:I131),(Input!$H$45-Input!$H$79)/A5taxstdlife))</f>
        <v>0</v>
      </c>
      <c r="K131" s="68">
        <f>IF(A5taxstdlife="n/a","n/a",IF(K$3&gt;(A5taxstdlife+$E131),(Input!$H$45-Input!$H$79)-SUM($H131:J131),(Input!$H$45-Input!$H$79)/A5taxstdlife))</f>
        <v>0</v>
      </c>
      <c r="L131" s="68">
        <f>IF(A5taxstdlife="n/a","n/a",IF(L$3&gt;(A5taxstdlife+$E131),(Input!$H$45-Input!$H$79)-SUM($H131:K131),(Input!$H$45-Input!$H$79)/A5taxstdlife))</f>
        <v>0</v>
      </c>
      <c r="M131" s="68">
        <f>IF(A5taxstdlife="n/a","n/a",IF(M$3&gt;(A5taxstdlife+$E131),(Input!$H$45-Input!$H$79)-SUM($H131:L131),(Input!$H$45-Input!$H$79)/A5taxstdlife))</f>
        <v>0</v>
      </c>
      <c r="N131" s="68">
        <f>IF(A5taxstdlife="n/a","n/a",IF(N$3&gt;(A5taxstdlife+$E131),(Input!$H$45-Input!$H$79)-SUM($H131:M131),(Input!$H$45-Input!$H$79)/A5taxstdlife))</f>
        <v>0</v>
      </c>
      <c r="O131" s="68">
        <f>IF(A5taxstdlife="n/a","n/a",IF(O$3&gt;(A5taxstdlife+$E131),(Input!$H$45-Input!$H$79)-SUM($H131:N131),(Input!$H$45-Input!$H$79)/A5taxstdlife))</f>
        <v>0</v>
      </c>
      <c r="P131" s="68">
        <f>IF(A5taxstdlife="n/a","n/a",IF(P$3&gt;(A5taxstdlife+$E131),(Input!$H$45-Input!$H$79)-SUM($H131:O131),(Input!$H$45-Input!$H$79)/A5taxstdlife))</f>
        <v>0</v>
      </c>
      <c r="Q131" s="68">
        <f>IF(A5taxstdlife="n/a","n/a",IF(Q$3&gt;(A5taxstdlife+$E131),(Input!$H$45-Input!$H$79)-SUM($H131:P131),(Input!$H$45-Input!$H$79)/A5taxstdlife))</f>
        <v>0</v>
      </c>
      <c r="R131" s="68"/>
      <c r="S131" s="103"/>
      <c r="T131" s="103"/>
      <c r="U131" s="103"/>
      <c r="V131" s="103"/>
      <c r="W131" s="103"/>
      <c r="X131" s="103"/>
      <c r="Y131" s="103"/>
      <c r="Z131" s="103"/>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c r="BI131" s="216"/>
    </row>
    <row r="132" spans="1:256" s="187" customFormat="1" ht="12.75" customHeight="1" outlineLevel="2">
      <c r="A132" s="9"/>
      <c r="B132" s="9"/>
      <c r="C132" s="26"/>
      <c r="D132" s="672"/>
      <c r="E132" s="86">
        <v>3</v>
      </c>
      <c r="F132" s="27"/>
      <c r="G132" s="208"/>
      <c r="H132" s="150"/>
      <c r="I132" s="149"/>
      <c r="J132" s="68">
        <f>IF(A5taxstdlife="n/a","n/a",IF(J$3&gt;(A5taxstdlife+$E132),(Input!$I$45-Input!$I$79)-SUM($I132:I132),(Input!$I$45-Input!$I$79)/A5taxstdlife))</f>
        <v>0.40761449155181118</v>
      </c>
      <c r="K132" s="68">
        <f>IF(A5taxstdlife="n/a","n/a",IF(K$3&gt;(A5taxstdlife+$E132),(Input!$I$45-Input!$I$79)-SUM($I132:J132),(Input!$I$45-Input!$I$79)/A5taxstdlife))</f>
        <v>0</v>
      </c>
      <c r="L132" s="68">
        <f>IF(A5taxstdlife="n/a","n/a",IF(L$3&gt;(A5taxstdlife+$E132),(Input!$I$45-Input!$I$79)-SUM($I132:K132),(Input!$I$45-Input!$I$79)/A5taxstdlife))</f>
        <v>0</v>
      </c>
      <c r="M132" s="68">
        <f>IF(A5taxstdlife="n/a","n/a",IF(M$3&gt;(A5taxstdlife+$E132),(Input!$I$45-Input!$I$79)-SUM($I132:L132),(Input!$I$45-Input!$I$79)/A5taxstdlife))</f>
        <v>0</v>
      </c>
      <c r="N132" s="68">
        <f>IF(A5taxstdlife="n/a","n/a",IF(N$3&gt;(A5taxstdlife+$E132),(Input!$I$45-Input!$I$79)-SUM($I132:M132),(Input!$I$45-Input!$I$79)/A5taxstdlife))</f>
        <v>0</v>
      </c>
      <c r="O132" s="68">
        <f>IF(A5taxstdlife="n/a","n/a",IF(O$3&gt;(A5taxstdlife+$E132),(Input!$I$45-Input!$I$79)-SUM($I132:N132),(Input!$I$45-Input!$I$79)/A5taxstdlife))</f>
        <v>0</v>
      </c>
      <c r="P132" s="68">
        <f>IF(A5taxstdlife="n/a","n/a",IF(P$3&gt;(A5taxstdlife+$E132),(Input!$I$45-Input!$I$79)-SUM($I132:O132),(Input!$I$45-Input!$I$79)/A5taxstdlife))</f>
        <v>0</v>
      </c>
      <c r="Q132" s="68">
        <f>IF(A5taxstdlife="n/a","n/a",IF(Q$3&gt;(A5taxstdlife+$E132),(Input!$I$45-Input!$I$79)-SUM($I132:P132),(Input!$I$45-Input!$I$79)/A5taxstdlife))</f>
        <v>0</v>
      </c>
      <c r="R132" s="68"/>
      <c r="S132" s="103"/>
      <c r="T132" s="103"/>
      <c r="U132" s="103"/>
      <c r="V132" s="103"/>
      <c r="W132" s="103"/>
      <c r="X132" s="103"/>
      <c r="Y132" s="103"/>
      <c r="Z132" s="103"/>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c r="BI132" s="216"/>
    </row>
    <row r="133" spans="1:256" s="187" customFormat="1" ht="12.75" customHeight="1" outlineLevel="2">
      <c r="A133" s="9"/>
      <c r="B133" s="9"/>
      <c r="C133" s="26"/>
      <c r="D133" s="672"/>
      <c r="E133" s="86">
        <v>4</v>
      </c>
      <c r="F133" s="27"/>
      <c r="G133" s="208"/>
      <c r="H133" s="150"/>
      <c r="I133" s="150"/>
      <c r="J133" s="149"/>
      <c r="K133" s="68">
        <f>IF(A5taxstdlife="n/a","n/a",IF(K$3&gt;(A5taxstdlife+$E133),(Input!$J$45-Input!$J$79)-SUM($J133:J133),(Input!$J$45-Input!$J$79)/A5taxstdlife))</f>
        <v>11.286109046466432</v>
      </c>
      <c r="L133" s="68">
        <f>IF(A5taxstdlife="n/a","n/a",IF(L$3&gt;(A5taxstdlife+$E133),(Input!$J$45-Input!$J$79)-SUM($J133:K133),(Input!$J$45-Input!$J$79)/A5taxstdlife))</f>
        <v>0</v>
      </c>
      <c r="M133" s="68">
        <f>IF(A5taxstdlife="n/a","n/a",IF(M$3&gt;(A5taxstdlife+$E133),(Input!$J$45-Input!$J$79)-SUM($J133:L133),(Input!$J$45-Input!$J$79)/A5taxstdlife))</f>
        <v>0</v>
      </c>
      <c r="N133" s="68">
        <f>IF(A5taxstdlife="n/a","n/a",IF(N$3&gt;(A5taxstdlife+$E133),(Input!$J$45-Input!$J$79)-SUM($J133:M133),(Input!$J$45-Input!$J$79)/A5taxstdlife))</f>
        <v>0</v>
      </c>
      <c r="O133" s="68">
        <f>IF(A5taxstdlife="n/a","n/a",IF(O$3&gt;(A5taxstdlife+$E133),(Input!$J$45-Input!$J$79)-SUM($J133:N133),(Input!$J$45-Input!$J$79)/A5taxstdlife))</f>
        <v>0</v>
      </c>
      <c r="P133" s="68">
        <f>IF(A5taxstdlife="n/a","n/a",IF(P$3&gt;(A5taxstdlife+$E133),(Input!$J$45-Input!$J$79)-SUM($J133:O133),(Input!$J$45-Input!$J$79)/A5taxstdlife))</f>
        <v>0</v>
      </c>
      <c r="Q133" s="68">
        <f>IF(A5taxstdlife="n/a","n/a",IF(Q$3&gt;(A5taxstdlife+$E133),(Input!$J$45-Input!$J$79)-SUM($J133:P133),(Input!$J$45-Input!$J$79)/A5taxstdlife))</f>
        <v>0</v>
      </c>
      <c r="R133" s="68"/>
      <c r="S133" s="103"/>
      <c r="T133" s="103"/>
      <c r="U133" s="103"/>
      <c r="V133" s="103"/>
      <c r="W133" s="103"/>
      <c r="X133" s="103"/>
      <c r="Y133" s="103"/>
      <c r="Z133" s="103"/>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c r="BI133" s="216"/>
    </row>
    <row r="134" spans="1:256" s="187" customFormat="1" ht="12.75" customHeight="1" outlineLevel="2">
      <c r="A134" s="9"/>
      <c r="B134" s="9"/>
      <c r="C134" s="26"/>
      <c r="D134" s="672"/>
      <c r="E134" s="86">
        <v>5</v>
      </c>
      <c r="F134" s="27"/>
      <c r="G134" s="208"/>
      <c r="H134" s="150"/>
      <c r="I134" s="150"/>
      <c r="J134" s="150"/>
      <c r="K134" s="149"/>
      <c r="L134" s="68">
        <f>IF(A5taxstdlife="n/a","n/a",IF(L$3&gt;(A5taxstdlife+$E134),(Input!$K$45-Input!$K$79)-SUM($K134:K134),(Input!$K$45-Input!$K$79)/A5taxstdlife))</f>
        <v>0.52391299999999996</v>
      </c>
      <c r="M134" s="68">
        <f>IF(A5taxstdlife="n/a","n/a",IF(M$3&gt;(A5taxstdlife+$E134),(Input!$K$45-Input!$K$79)-SUM($K134:L134),(Input!$K$45-Input!$K$79)/A5taxstdlife))</f>
        <v>0</v>
      </c>
      <c r="N134" s="68">
        <f>IF(A5taxstdlife="n/a","n/a",IF(N$3&gt;(A5taxstdlife+$E134),(Input!$K$45-Input!$K$79)-SUM($K134:M134),(Input!$K$45-Input!$K$79)/A5taxstdlife))</f>
        <v>0</v>
      </c>
      <c r="O134" s="68">
        <f>IF(A5taxstdlife="n/a","n/a",IF(O$3&gt;(A5taxstdlife+$E134),(Input!$K$45-Input!$K$79)-SUM($K134:N134),(Input!$K$45-Input!$K$79)/A5taxstdlife))</f>
        <v>0</v>
      </c>
      <c r="P134" s="68">
        <f>IF(A5taxstdlife="n/a","n/a",IF(P$3&gt;(A5taxstdlife+$E134),(Input!$K$45-Input!$K$79)-SUM($K134:O134),(Input!$K$45-Input!$K$79)/A5taxstdlife))</f>
        <v>0</v>
      </c>
      <c r="Q134" s="68">
        <f>IF(A5taxstdlife="n/a","n/a",IF(Q$3&gt;(A5taxstdlife+$E134),(Input!$K$45-Input!$K$79)-SUM($K134:P134),(Input!$K$45-Input!$K$79)/A5taxstdlife))</f>
        <v>0</v>
      </c>
      <c r="R134" s="68"/>
      <c r="S134" s="103"/>
      <c r="T134" s="103"/>
      <c r="U134" s="103"/>
      <c r="V134" s="103"/>
      <c r="W134" s="103"/>
      <c r="X134" s="103"/>
      <c r="Y134" s="103"/>
      <c r="Z134" s="103"/>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c r="BI134" s="216"/>
    </row>
    <row r="135" spans="1:256" s="187" customFormat="1" ht="12.75" customHeight="1" outlineLevel="2">
      <c r="A135" s="9"/>
      <c r="B135" s="9"/>
      <c r="C135" s="26"/>
      <c r="D135" s="672"/>
      <c r="E135" s="86">
        <v>6</v>
      </c>
      <c r="F135" s="27"/>
      <c r="G135" s="208"/>
      <c r="H135" s="150"/>
      <c r="I135" s="150"/>
      <c r="J135" s="150"/>
      <c r="K135" s="150"/>
      <c r="L135" s="149"/>
      <c r="M135" s="68">
        <f>IF(A5taxstdlife="n/a","n/a",IF(M$3&gt;(A5taxstdlife+$E135),(Input!$L$45-Input!$L$79)-SUM($L135:L135),(Input!$L$45-Input!$L$79)/A5taxstdlife))</f>
        <v>8.6300000000000008</v>
      </c>
      <c r="N135" s="68">
        <f>IF(A5taxstdlife="n/a","n/a",IF(N$3&gt;(A5taxstdlife+$E135),(Input!$L$45-Input!$L$79)-SUM($L135:M135),(Input!$L$45-Input!$L$79)/A5taxstdlife))</f>
        <v>0</v>
      </c>
      <c r="O135" s="68">
        <f>IF(A5taxstdlife="n/a","n/a",IF(O$3&gt;(A5taxstdlife+$E135),(Input!$L$45-Input!$L$79)-SUM($L135:N135),(Input!$L$45-Input!$L$79)/A5taxstdlife))</f>
        <v>0</v>
      </c>
      <c r="P135" s="68">
        <f>IF(A5taxstdlife="n/a","n/a",IF(P$3&gt;(A5taxstdlife+$E135),(Input!$L$45-Input!$L$79)-SUM($L135:O135),(Input!$L$45-Input!$L$79)/A5taxstdlife))</f>
        <v>0</v>
      </c>
      <c r="Q135" s="68">
        <f>IF(A5taxstdlife="n/a","n/a",IF(Q$3&gt;(A5taxstdlife+$E135),(Input!$L$45-Input!$L$79)-SUM($L135:P135),(Input!$L$45-Input!$L$79)/A5taxstdlife))</f>
        <v>0</v>
      </c>
      <c r="R135" s="68"/>
      <c r="S135" s="103"/>
      <c r="T135" s="103"/>
      <c r="U135" s="103"/>
      <c r="V135" s="103"/>
      <c r="W135" s="103"/>
      <c r="X135" s="103"/>
      <c r="Y135" s="103"/>
      <c r="Z135" s="103"/>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c r="BI135" s="216"/>
    </row>
    <row r="136" spans="1:256" s="187" customFormat="1" ht="12.75" customHeight="1" outlineLevel="2">
      <c r="A136" s="9"/>
      <c r="B136" s="9"/>
      <c r="C136" s="26"/>
      <c r="D136" s="672"/>
      <c r="E136" s="86">
        <v>7</v>
      </c>
      <c r="F136" s="27"/>
      <c r="G136" s="208"/>
      <c r="H136" s="150"/>
      <c r="I136" s="150"/>
      <c r="J136" s="150"/>
      <c r="K136" s="150"/>
      <c r="L136" s="150"/>
      <c r="M136" s="149"/>
      <c r="N136" s="68">
        <f>IF(A5taxstdlife="n/a","n/a",IF(N$3&gt;(A5taxstdlife+$E136),(Input!$M$45-Input!$M$79)-SUM($M136:M136),(Input!$M$45-Input!$M$79)/A5taxstdlife))</f>
        <v>0</v>
      </c>
      <c r="O136" s="68">
        <f>IF(A5taxstdlife="n/a","n/a",IF(O$3&gt;(A5taxstdlife+$E136),(Input!$M$45-Input!$M$79)-SUM($M136:N136),(Input!$M$45-Input!$M$79)/A5taxstdlife))</f>
        <v>0</v>
      </c>
      <c r="P136" s="68">
        <f>IF(A5taxstdlife="n/a","n/a",IF(P$3&gt;(A5taxstdlife+$E136),(Input!$M$45-Input!$M$79)-SUM($M136:O136),(Input!$M$45-Input!$M$79)/A5taxstdlife))</f>
        <v>0</v>
      </c>
      <c r="Q136" s="68">
        <f>IF(A5taxstdlife="n/a","n/a",IF(Q$3&gt;(A5taxstdlife+$E136),(Input!$M$45-Input!$M$79)-SUM($M136:P136),(Input!$M$45-Input!$M$79)/A5taxstdlife))</f>
        <v>0</v>
      </c>
      <c r="R136" s="68"/>
      <c r="S136" s="103"/>
      <c r="T136" s="103"/>
      <c r="U136" s="103"/>
      <c r="V136" s="103"/>
      <c r="W136" s="103"/>
      <c r="X136" s="103"/>
      <c r="Y136" s="103"/>
      <c r="Z136" s="103"/>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c r="BI136" s="216"/>
    </row>
    <row r="137" spans="1:256" s="187" customFormat="1" ht="12.75" customHeight="1" outlineLevel="2">
      <c r="A137" s="9"/>
      <c r="B137" s="9"/>
      <c r="C137" s="26"/>
      <c r="D137" s="672"/>
      <c r="E137" s="86">
        <v>8</v>
      </c>
      <c r="F137" s="27"/>
      <c r="G137" s="208"/>
      <c r="H137" s="150"/>
      <c r="I137" s="150"/>
      <c r="J137" s="150"/>
      <c r="K137" s="150"/>
      <c r="L137" s="150"/>
      <c r="M137" s="150"/>
      <c r="N137" s="149"/>
      <c r="O137" s="68">
        <f>IF(A5taxstdlife="n/a","n/a",IF(O$3&gt;(A5taxstdlife+$E137),(Input!$N$45-Input!$N$79)-SUM($N137:N137),(Input!$N$45-Input!$N$79)/A5taxstdlife))</f>
        <v>0</v>
      </c>
      <c r="P137" s="68">
        <f>IF(A5taxstdlife="n/a","n/a",IF(P$3&gt;(A5taxstdlife+$E137),(Input!$N$45-Input!$N$79)-SUM($N137:O137),(Input!$N$45-Input!$N$79)/A5taxstdlife))</f>
        <v>0</v>
      </c>
      <c r="Q137" s="68">
        <f>IF(A5taxstdlife="n/a","n/a",IF(Q$3&gt;(A5taxstdlife+$E137),(Input!$N$45-Input!$N$79)-SUM($N137:P137),(Input!$N$45-Input!$N$79)/A5taxstdlife))</f>
        <v>0</v>
      </c>
      <c r="R137" s="68"/>
      <c r="S137" s="103"/>
      <c r="T137" s="103"/>
      <c r="U137" s="103"/>
      <c r="V137" s="103"/>
      <c r="W137" s="103"/>
      <c r="X137" s="103"/>
      <c r="Y137" s="103"/>
      <c r="Z137" s="103"/>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216"/>
    </row>
    <row r="138" spans="1:256" s="187" customFormat="1" ht="12.75" customHeight="1" outlineLevel="2">
      <c r="A138" s="9"/>
      <c r="B138" s="9"/>
      <c r="C138" s="26"/>
      <c r="D138" s="672"/>
      <c r="E138" s="86">
        <v>9</v>
      </c>
      <c r="F138" s="27"/>
      <c r="G138" s="208"/>
      <c r="H138" s="150"/>
      <c r="I138" s="150"/>
      <c r="J138" s="150"/>
      <c r="K138" s="150"/>
      <c r="L138" s="150"/>
      <c r="M138" s="150"/>
      <c r="N138" s="150"/>
      <c r="O138" s="149"/>
      <c r="P138" s="68">
        <f>IF(A5taxstdlife="n/a","n/a",IF(P$3&gt;(A5taxstdlife+$E138),(Input!$O$45-Input!$O$79)-SUM($O138:O138),(Input!$O$45-Input!$O$79)/A5taxstdlife))</f>
        <v>0</v>
      </c>
      <c r="Q138" s="68">
        <f>IF(A5taxstdlife="n/a","n/a",IF(Q$3&gt;(A5taxstdlife+$E138),(Input!$O$45-Input!$O$79)-SUM($O138:P138),(Input!$O$45-Input!$O$79)/A5taxstdlife))</f>
        <v>0</v>
      </c>
      <c r="R138" s="68"/>
      <c r="S138" s="103"/>
      <c r="T138" s="103"/>
      <c r="U138" s="103"/>
      <c r="V138" s="103"/>
      <c r="W138" s="103"/>
      <c r="X138" s="103"/>
      <c r="Y138" s="103"/>
      <c r="Z138" s="103"/>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216"/>
    </row>
    <row r="139" spans="1:256" s="187" customFormat="1" ht="12.75" customHeight="1" outlineLevel="2">
      <c r="A139" s="9"/>
      <c r="B139" s="9"/>
      <c r="C139" s="26"/>
      <c r="D139" s="672"/>
      <c r="E139" s="86">
        <v>10</v>
      </c>
      <c r="F139" s="27"/>
      <c r="G139" s="208"/>
      <c r="H139" s="150"/>
      <c r="I139" s="150"/>
      <c r="J139" s="150"/>
      <c r="K139" s="150"/>
      <c r="L139" s="150"/>
      <c r="M139" s="150"/>
      <c r="N139" s="150"/>
      <c r="O139" s="150"/>
      <c r="P139" s="149"/>
      <c r="Q139" s="68">
        <f>IF(A5taxstdlife="n/a","n/a",IF(Q$3&gt;(A5taxstdlife+$E139),(Input!$P$45-Input!$P$79)-SUM($P139:P139),(Input!$P$45-Input!$P$79)/A5taxstdlife))</f>
        <v>0</v>
      </c>
      <c r="R139" s="68"/>
      <c r="S139" s="103"/>
      <c r="T139" s="103"/>
      <c r="U139" s="103"/>
      <c r="V139" s="103"/>
      <c r="W139" s="103"/>
      <c r="X139" s="103"/>
      <c r="Y139" s="103"/>
      <c r="Z139" s="103"/>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216"/>
    </row>
    <row r="140" spans="1:256" s="187" customFormat="1" ht="12.75" customHeight="1" outlineLevel="2">
      <c r="A140" s="9"/>
      <c r="B140" s="9"/>
      <c r="C140" s="26"/>
      <c r="D140" s="672"/>
      <c r="E140" s="87">
        <v>11</v>
      </c>
      <c r="F140" s="27"/>
      <c r="G140" s="208"/>
      <c r="H140" s="150"/>
      <c r="I140" s="150"/>
      <c r="J140" s="150"/>
      <c r="K140" s="150"/>
      <c r="L140" s="150"/>
      <c r="M140" s="150"/>
      <c r="N140" s="150"/>
      <c r="O140" s="150"/>
      <c r="P140" s="189"/>
      <c r="Q140" s="149"/>
      <c r="R140" s="68"/>
      <c r="S140" s="103"/>
      <c r="T140" s="103"/>
      <c r="U140" s="103"/>
      <c r="V140" s="103"/>
      <c r="W140" s="103"/>
      <c r="X140" s="103"/>
      <c r="Y140" s="103"/>
      <c r="Z140" s="103"/>
      <c r="AA140" s="216"/>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row>
    <row r="141" spans="1:256" s="187" customFormat="1" outlineLevel="1">
      <c r="A141" s="9"/>
      <c r="B141" s="9"/>
      <c r="C141" s="26" t="str">
        <f>Asset5</f>
        <v>Computer Equipment</v>
      </c>
      <c r="D141" s="9"/>
      <c r="E141" s="9"/>
      <c r="F141" s="23"/>
      <c r="G141" s="209">
        <f t="shared" ref="G141:L141" si="39">-SUM(G128:G140)</f>
        <v>0</v>
      </c>
      <c r="H141" s="166">
        <f t="shared" si="39"/>
        <v>-0.05</v>
      </c>
      <c r="I141" s="166">
        <f t="shared" si="39"/>
        <v>-0.87310144948076329</v>
      </c>
      <c r="J141" s="166">
        <f t="shared" si="39"/>
        <v>-0.40761449155181118</v>
      </c>
      <c r="K141" s="166">
        <f t="shared" si="39"/>
        <v>-11.286109046466432</v>
      </c>
      <c r="L141" s="166">
        <f t="shared" si="39"/>
        <v>-0.52391299999999996</v>
      </c>
      <c r="M141" s="166">
        <f>IF(Input!M173&gt;0, -SUM(M128:M140), 0)</f>
        <v>0</v>
      </c>
      <c r="N141" s="166">
        <f>IF(Input!N173&gt;0, -SUM(N128:N140), 0)</f>
        <v>0</v>
      </c>
      <c r="O141" s="166">
        <f>IF(Input!O173&gt;0, -SUM(O128:O140), 0)</f>
        <v>0</v>
      </c>
      <c r="P141" s="166">
        <f>IF(Input!P173&gt;0, -SUM(P128:P140), 0)</f>
        <v>0</v>
      </c>
      <c r="Q141" s="166">
        <f>IF(Input!Q173&gt;0, -SUM(Q128:Q140), 0)</f>
        <v>0</v>
      </c>
      <c r="R141" s="64"/>
      <c r="S141" s="102"/>
      <c r="T141" s="102"/>
      <c r="U141" s="102"/>
      <c r="V141" s="102"/>
      <c r="W141" s="102"/>
      <c r="X141" s="102"/>
      <c r="Y141" s="102"/>
      <c r="Z141" s="102"/>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row>
    <row r="142" spans="1:256" s="5" customFormat="1" ht="12.75" customHeight="1" outlineLevel="2">
      <c r="A142" s="9"/>
      <c r="B142" s="32" t="str">
        <f>Asset6</f>
        <v>Other Assets</v>
      </c>
      <c r="C142" s="33"/>
      <c r="D142" s="34" t="s">
        <v>67</v>
      </c>
      <c r="E142" s="33"/>
      <c r="F142" s="35"/>
      <c r="G142" s="205">
        <f>IF(G$3&gt;A6taxremlife,A6taxvalue-SUM($F142:F142),IF(A6taxremlife="N/A","n/a",A6taxvalue/A6taxremlife))</f>
        <v>0</v>
      </c>
      <c r="H142" s="67">
        <f>IF(H$3&gt;A6taxremlife,A6taxvalue-SUM($F142:G142),IF(A6taxremlife="N/A","n/a",A6taxvalue/A6taxremlife))</f>
        <v>0</v>
      </c>
      <c r="I142" s="67">
        <f>IF(I$3&gt;A6taxremlife,A6taxvalue-SUM($F142:H142),IF(A6taxremlife="N/A","n/a",A6taxvalue/A6taxremlife))</f>
        <v>0</v>
      </c>
      <c r="J142" s="67">
        <f>IF(J$3&gt;A6taxremlife,A6taxvalue-SUM($F142:I142),IF(A6taxremlife="N/A","n/a",A6taxvalue/A6taxremlife))</f>
        <v>0</v>
      </c>
      <c r="K142" s="67">
        <f>IF(K$3&gt;A6taxremlife,A6taxvalue-SUM($F142:J142),IF(A6taxremlife="N/A","n/a",A6taxvalue/A6taxremlife))</f>
        <v>0</v>
      </c>
      <c r="L142" s="67">
        <f>IF(L$3&gt;A6taxremlife,A6taxvalue-SUM($F142:K142),IF(A6taxremlife="N/A","n/a",A6taxvalue/A6taxremlife))</f>
        <v>0</v>
      </c>
      <c r="M142" s="67">
        <f>IF(M$3&gt;A6taxremlife,A6taxvalue-SUM($F142:L142),IF(A6taxremlife="N/A","n/a",A6taxvalue/A6taxremlife))</f>
        <v>0</v>
      </c>
      <c r="N142" s="67">
        <f>IF(N$3&gt;A6taxremlife,A6taxvalue-SUM($F142:M142),IF(A6taxremlife="N/A","n/a",A6taxvalue/A6taxremlife))</f>
        <v>0</v>
      </c>
      <c r="O142" s="67">
        <f>IF(O$3&gt;A6taxremlife,A6taxvalue-SUM($F142:N142),IF(A6taxremlife="N/A","n/a",A6taxvalue/A6taxremlife))</f>
        <v>0</v>
      </c>
      <c r="P142" s="67">
        <f>IF(P$3&gt;A6taxremlife,A6taxvalue-SUM($F142:O142),IF(A6taxremlife="N/A","n/a",A6taxvalue/A6taxremlife))</f>
        <v>0</v>
      </c>
      <c r="Q142" s="67">
        <f>IF(Q$3&gt;A6taxremlife,A6taxvalue-SUM($F142:P142),IF(A6taxremlife="N/A","n/a",A6taxvalue/A6taxremlife))</f>
        <v>0</v>
      </c>
      <c r="R142" s="67"/>
      <c r="S142" s="103"/>
      <c r="T142" s="103"/>
      <c r="U142" s="103"/>
      <c r="V142" s="103"/>
      <c r="W142" s="103"/>
      <c r="X142" s="103"/>
      <c r="Y142" s="103"/>
      <c r="Z142" s="103"/>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216"/>
      <c r="BJ142" s="187"/>
      <c r="BK142" s="187"/>
      <c r="BL142" s="187"/>
      <c r="BM142" s="187"/>
      <c r="BN142" s="187"/>
      <c r="BO142" s="187"/>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26"/>
      <c r="D143" s="671" t="s">
        <v>84</v>
      </c>
      <c r="E143" s="86">
        <v>0</v>
      </c>
      <c r="F143" s="27"/>
      <c r="G143" s="206"/>
      <c r="H143" s="68"/>
      <c r="I143" s="68"/>
      <c r="J143" s="68"/>
      <c r="K143" s="68"/>
      <c r="L143" s="68"/>
      <c r="M143" s="68"/>
      <c r="N143" s="68"/>
      <c r="O143" s="68"/>
      <c r="P143" s="68"/>
      <c r="Q143" s="68"/>
      <c r="R143" s="68"/>
      <c r="S143" s="103"/>
      <c r="T143" s="103"/>
      <c r="U143" s="103"/>
      <c r="V143" s="103"/>
      <c r="W143" s="103"/>
      <c r="X143" s="103"/>
      <c r="Y143" s="103"/>
      <c r="Z143" s="103"/>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216"/>
      <c r="BJ143" s="187"/>
      <c r="BK143" s="187"/>
      <c r="BL143" s="187"/>
      <c r="BM143" s="187"/>
      <c r="BN143" s="187"/>
      <c r="BO143" s="187"/>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26"/>
      <c r="D144" s="672"/>
      <c r="E144" s="86">
        <v>1</v>
      </c>
      <c r="F144" s="27"/>
      <c r="G144" s="207"/>
      <c r="H144" s="68">
        <f>IF(A6taxstdlife="n/a","n/a",IF(H$3&gt;(A6taxstdlife+$E144),(Input!$G$46-Input!$G$80)-SUM($G144:G144),(Input!$G$46-Input!$G$80)/A6taxstdlife))</f>
        <v>1.7716000000000001</v>
      </c>
      <c r="I144" s="68">
        <f>IF(A6taxstdlife="n/a","n/a",IF(I$3&gt;(A6taxstdlife+$E144),(Input!$G$46-Input!$G$80)-SUM($G144:H144),(Input!$G$46-Input!$G$80)/A6taxstdlife))</f>
        <v>1.7716000000000001</v>
      </c>
      <c r="J144" s="68">
        <f>IF(A6taxstdlife="n/a","n/a",IF(J$3&gt;(A6taxstdlife+$E144),(Input!$G$46-Input!$G$80)-SUM($G144:I144),(Input!$G$46-Input!$G$80)/A6taxstdlife))</f>
        <v>1.7716000000000001</v>
      </c>
      <c r="K144" s="68">
        <f>IF(A6taxstdlife="n/a","n/a",IF(K$3&gt;(A6taxstdlife+$E144),(Input!$G$46-Input!$G$80)-SUM($G144:J144),(Input!$G$46-Input!$G$80)/A6taxstdlife))</f>
        <v>1.7716000000000001</v>
      </c>
      <c r="L144" s="68">
        <f>IF(A6taxstdlife="n/a","n/a",IF(L$3&gt;(A6taxstdlife+$E144),(Input!$G$46-Input!$G$80)-SUM($G144:K144),(Input!$G$46-Input!$G$80)/A6taxstdlife))</f>
        <v>1.7716000000000001</v>
      </c>
      <c r="M144" s="68">
        <f>IF(A6taxstdlife="n/a","n/a",IF(M$3&gt;(A6taxstdlife+$E144),(Input!$G$46-Input!$G$80)-SUM($G144:L144),(Input!$G$46-Input!$G$80)/A6taxstdlife))</f>
        <v>1.7716000000000001</v>
      </c>
      <c r="N144" s="68">
        <f>IF(A6taxstdlife="n/a","n/a",IF(N$3&gt;(A6taxstdlife+$E144),(Input!$G$46-Input!$G$80)-SUM($G144:M144),(Input!$G$46-Input!$G$80)/A6taxstdlife))</f>
        <v>1.7716000000000001</v>
      </c>
      <c r="O144" s="68">
        <f>IF(A6taxstdlife="n/a","n/a",IF(O$3&gt;(A6taxstdlife+$E144),(Input!$G$46-Input!$G$80)-SUM($G144:N144),(Input!$G$46-Input!$G$80)/A6taxstdlife))</f>
        <v>1.7716000000000001</v>
      </c>
      <c r="P144" s="68">
        <f>IF(A6taxstdlife="n/a","n/a",IF(P$3&gt;(A6taxstdlife+$E144),(Input!$G$46-Input!$G$80)-SUM($G144:O144),(Input!$G$46-Input!$G$80)/A6taxstdlife))</f>
        <v>1.7716000000000001</v>
      </c>
      <c r="Q144" s="68">
        <f>IF(A6taxstdlife="n/a","n/a",IF(Q$3&gt;(A6taxstdlife+$E144),(Input!$G$46-Input!$G$80)-SUM($G144:P144),(Input!$G$46-Input!$G$80)/A6taxstdlife))</f>
        <v>1.7716000000000001</v>
      </c>
      <c r="R144" s="68"/>
      <c r="S144" s="103"/>
      <c r="T144" s="103"/>
      <c r="U144" s="103"/>
      <c r="V144" s="103"/>
      <c r="W144" s="103"/>
      <c r="X144" s="103"/>
      <c r="Y144" s="103"/>
      <c r="Z144" s="103"/>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187"/>
      <c r="BK144" s="187"/>
      <c r="BL144" s="187"/>
      <c r="BM144" s="187"/>
      <c r="BN144" s="187"/>
      <c r="BO144" s="187"/>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26"/>
      <c r="D145" s="672"/>
      <c r="E145" s="86">
        <v>2</v>
      </c>
      <c r="F145" s="27"/>
      <c r="G145" s="208"/>
      <c r="H145" s="149"/>
      <c r="I145" s="68">
        <f>IF(A6taxstdlife="n/a","n/a",IF(I$3&gt;(A6taxstdlife+$E145),(Input!$H$46-Input!$H$80)-SUM($H145:H145),(Input!$H$46-Input!$H$80)/A6taxstdlife))</f>
        <v>0.41738217816840495</v>
      </c>
      <c r="J145" s="68">
        <f>IF(A6taxstdlife="n/a","n/a",IF(J$3&gt;(A6taxstdlife+$E145),(Input!$H$46-Input!$H$80)-SUM($H145:I145),(Input!$H$46-Input!$H$80)/A6taxstdlife))</f>
        <v>0.41738217816840495</v>
      </c>
      <c r="K145" s="68">
        <f>IF(A6taxstdlife="n/a","n/a",IF(K$3&gt;(A6taxstdlife+$E145),(Input!$H$46-Input!$H$80)-SUM($H145:J145),(Input!$H$46-Input!$H$80)/A6taxstdlife))</f>
        <v>0.41738217816840495</v>
      </c>
      <c r="L145" s="68">
        <f>IF(A6taxstdlife="n/a","n/a",IF(L$3&gt;(A6taxstdlife+$E145),(Input!$H$46-Input!$H$80)-SUM($H145:K145),(Input!$H$46-Input!$H$80)/A6taxstdlife))</f>
        <v>0.41738217816840495</v>
      </c>
      <c r="M145" s="68">
        <f>IF(A6taxstdlife="n/a","n/a",IF(M$3&gt;(A6taxstdlife+$E145),(Input!$H$46-Input!$H$80)-SUM($H145:L145),(Input!$H$46-Input!$H$80)/A6taxstdlife))</f>
        <v>0.41738217816840495</v>
      </c>
      <c r="N145" s="68">
        <f>IF(A6taxstdlife="n/a","n/a",IF(N$3&gt;(A6taxstdlife+$E145),(Input!$H$46-Input!$H$80)-SUM($H145:M145),(Input!$H$46-Input!$H$80)/A6taxstdlife))</f>
        <v>0.41738217816840495</v>
      </c>
      <c r="O145" s="68">
        <f>IF(A6taxstdlife="n/a","n/a",IF(O$3&gt;(A6taxstdlife+$E145),(Input!$H$46-Input!$H$80)-SUM($H145:N145),(Input!$H$46-Input!$H$80)/A6taxstdlife))</f>
        <v>0.41738217816840495</v>
      </c>
      <c r="P145" s="68">
        <f>IF(A6taxstdlife="n/a","n/a",IF(P$3&gt;(A6taxstdlife+$E145),(Input!$H$46-Input!$H$80)-SUM($H145:O145),(Input!$H$46-Input!$H$80)/A6taxstdlife))</f>
        <v>0.41738217816840495</v>
      </c>
      <c r="Q145" s="68">
        <f>IF(A6taxstdlife="n/a","n/a",IF(Q$3&gt;(A6taxstdlife+$E145),(Input!$H$46-Input!$H$80)-SUM($H145:P145),(Input!$H$46-Input!$H$80)/A6taxstdlife))</f>
        <v>0.41738217816840495</v>
      </c>
      <c r="R145" s="68"/>
      <c r="S145" s="103"/>
      <c r="T145" s="103"/>
      <c r="U145" s="103"/>
      <c r="V145" s="103"/>
      <c r="W145" s="103"/>
      <c r="X145" s="103"/>
      <c r="Y145" s="103"/>
      <c r="Z145" s="103"/>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187"/>
      <c r="BK145" s="187"/>
      <c r="BL145" s="187"/>
      <c r="BM145" s="187"/>
      <c r="BN145" s="187"/>
      <c r="BO145" s="187"/>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26"/>
      <c r="D146" s="672"/>
      <c r="E146" s="86">
        <v>3</v>
      </c>
      <c r="F146" s="27"/>
      <c r="G146" s="208"/>
      <c r="H146" s="150"/>
      <c r="I146" s="149"/>
      <c r="J146" s="68">
        <f>IF(A6taxstdlife="n/a","n/a",IF(J$3&gt;(A6taxstdlife+$E146),(Input!$I$46-Input!$I$80)-SUM($I146:I146),(Input!$I$46-Input!$I$80)/A6taxstdlife))</f>
        <v>0.38846119899023607</v>
      </c>
      <c r="K146" s="68">
        <f>IF(A6taxstdlife="n/a","n/a",IF(K$3&gt;(A6taxstdlife+$E146),(Input!$I$46-Input!$I$80)-SUM($I146:J146),(Input!$I$46-Input!$I$80)/A6taxstdlife))</f>
        <v>0.38846119899023607</v>
      </c>
      <c r="L146" s="68">
        <f>IF(A6taxstdlife="n/a","n/a",IF(L$3&gt;(A6taxstdlife+$E146),(Input!$I$46-Input!$I$80)-SUM($I146:K146),(Input!$I$46-Input!$I$80)/A6taxstdlife))</f>
        <v>0.38846119899023607</v>
      </c>
      <c r="M146" s="68">
        <f>IF(A6taxstdlife="n/a","n/a",IF(M$3&gt;(A6taxstdlife+$E146),(Input!$I$46-Input!$I$80)-SUM($I146:L146),(Input!$I$46-Input!$I$80)/A6taxstdlife))</f>
        <v>0.38846119899023607</v>
      </c>
      <c r="N146" s="68">
        <f>IF(A6taxstdlife="n/a","n/a",IF(N$3&gt;(A6taxstdlife+$E146),(Input!$I$46-Input!$I$80)-SUM($I146:M146),(Input!$I$46-Input!$I$80)/A6taxstdlife))</f>
        <v>0.38846119899023607</v>
      </c>
      <c r="O146" s="68">
        <f>IF(A6taxstdlife="n/a","n/a",IF(O$3&gt;(A6taxstdlife+$E146),(Input!$I$46-Input!$I$80)-SUM($I146:N146),(Input!$I$46-Input!$I$80)/A6taxstdlife))</f>
        <v>0.38846119899023607</v>
      </c>
      <c r="P146" s="68">
        <f>IF(A6taxstdlife="n/a","n/a",IF(P$3&gt;(A6taxstdlife+$E146),(Input!$I$46-Input!$I$80)-SUM($I146:O146),(Input!$I$46-Input!$I$80)/A6taxstdlife))</f>
        <v>0.38846119899023607</v>
      </c>
      <c r="Q146" s="68">
        <f>IF(A6taxstdlife="n/a","n/a",IF(Q$3&gt;(A6taxstdlife+$E146),(Input!$I$46-Input!$I$80)-SUM($I146:P146),(Input!$I$46-Input!$I$80)/A6taxstdlife))</f>
        <v>0.38846119899023607</v>
      </c>
      <c r="R146" s="68"/>
      <c r="S146" s="103"/>
      <c r="T146" s="103"/>
      <c r="U146" s="103"/>
      <c r="V146" s="103"/>
      <c r="W146" s="103"/>
      <c r="X146" s="103"/>
      <c r="Y146" s="103"/>
      <c r="Z146" s="103"/>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216"/>
      <c r="BJ146" s="187"/>
      <c r="BK146" s="187"/>
      <c r="BL146" s="187"/>
      <c r="BM146" s="187"/>
      <c r="BN146" s="187"/>
      <c r="BO146" s="187"/>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2">
      <c r="A147" s="9"/>
      <c r="B147" s="9"/>
      <c r="C147" s="26"/>
      <c r="D147" s="672"/>
      <c r="E147" s="86">
        <v>4</v>
      </c>
      <c r="F147" s="27"/>
      <c r="G147" s="208"/>
      <c r="H147" s="150"/>
      <c r="I147" s="150"/>
      <c r="J147" s="149"/>
      <c r="K147" s="68">
        <f>IF(A6taxstdlife="n/a","n/a",IF(K$3&gt;(A6taxstdlife+$E147),(Input!$J$46-Input!$J$80)-SUM($J147:J147),(Input!$J$46-Input!$J$80)/A6taxstdlife))</f>
        <v>0.21844222377605579</v>
      </c>
      <c r="L147" s="68">
        <f>IF(A6taxstdlife="n/a","n/a",IF(L$3&gt;(A6taxstdlife+$E147),(Input!$J$46-Input!$J$80)-SUM($J147:K147),(Input!$J$46-Input!$J$80)/A6taxstdlife))</f>
        <v>0.21844222377605579</v>
      </c>
      <c r="M147" s="68">
        <f>IF(A6taxstdlife="n/a","n/a",IF(M$3&gt;(A6taxstdlife+$E147),(Input!$J$46-Input!$J$80)-SUM($J147:L147),(Input!$J$46-Input!$J$80)/A6taxstdlife))</f>
        <v>0.21844222377605579</v>
      </c>
      <c r="N147" s="68">
        <f>IF(A6taxstdlife="n/a","n/a",IF(N$3&gt;(A6taxstdlife+$E147),(Input!$J$46-Input!$J$80)-SUM($J147:M147),(Input!$J$46-Input!$J$80)/A6taxstdlife))</f>
        <v>0.21844222377605579</v>
      </c>
      <c r="O147" s="68">
        <f>IF(A6taxstdlife="n/a","n/a",IF(O$3&gt;(A6taxstdlife+$E147),(Input!$J$46-Input!$J$80)-SUM($J147:N147),(Input!$J$46-Input!$J$80)/A6taxstdlife))</f>
        <v>0.21844222377605579</v>
      </c>
      <c r="P147" s="68">
        <f>IF(A6taxstdlife="n/a","n/a",IF(P$3&gt;(A6taxstdlife+$E147),(Input!$J$46-Input!$J$80)-SUM($J147:O147),(Input!$J$46-Input!$J$80)/A6taxstdlife))</f>
        <v>0.21844222377605579</v>
      </c>
      <c r="Q147" s="68">
        <f>IF(A6taxstdlife="n/a","n/a",IF(Q$3&gt;(A6taxstdlife+$E147),(Input!$J$46-Input!$J$80)-SUM($J147:P147),(Input!$J$46-Input!$J$80)/A6taxstdlife))</f>
        <v>0.21844222377605579</v>
      </c>
      <c r="R147" s="68"/>
      <c r="S147" s="103"/>
      <c r="T147" s="103"/>
      <c r="U147" s="103"/>
      <c r="V147" s="103"/>
      <c r="W147" s="103"/>
      <c r="X147" s="103"/>
      <c r="Y147" s="103"/>
      <c r="Z147" s="103"/>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216"/>
      <c r="BJ147" s="187"/>
      <c r="BK147" s="187"/>
      <c r="BL147" s="187"/>
      <c r="BM147" s="187"/>
      <c r="BN147" s="187"/>
      <c r="BO147" s="18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26"/>
      <c r="D148" s="672"/>
      <c r="E148" s="86">
        <v>5</v>
      </c>
      <c r="F148" s="27"/>
      <c r="G148" s="208"/>
      <c r="H148" s="150"/>
      <c r="I148" s="150"/>
      <c r="J148" s="150"/>
      <c r="K148" s="149"/>
      <c r="L148" s="68">
        <f>IF(A6taxstdlife="n/a","n/a",IF(L$3&gt;(A6taxstdlife+$E148),(Input!$K$46-Input!$K$80)-SUM($K148:K148),(Input!$K$46-Input!$K$80)/A6taxstdlife))</f>
        <v>0.21208300496554658</v>
      </c>
      <c r="M148" s="68">
        <f>IF(A6taxstdlife="n/a","n/a",IF(M$3&gt;(A6taxstdlife+$E148),(Input!$K$46-Input!$K$80)-SUM($K148:L148),(Input!$K$46-Input!$K$80)/A6taxstdlife))</f>
        <v>0.21208300496554658</v>
      </c>
      <c r="N148" s="68">
        <f>IF(A6taxstdlife="n/a","n/a",IF(N$3&gt;(A6taxstdlife+$E148),(Input!$K$46-Input!$K$80)-SUM($K148:M148),(Input!$K$46-Input!$K$80)/A6taxstdlife))</f>
        <v>0.21208300496554658</v>
      </c>
      <c r="O148" s="68">
        <f>IF(A6taxstdlife="n/a","n/a",IF(O$3&gt;(A6taxstdlife+$E148),(Input!$K$46-Input!$K$80)-SUM($K148:N148),(Input!$K$46-Input!$K$80)/A6taxstdlife))</f>
        <v>0.21208300496554658</v>
      </c>
      <c r="P148" s="68">
        <f>IF(A6taxstdlife="n/a","n/a",IF(P$3&gt;(A6taxstdlife+$E148),(Input!$K$46-Input!$K$80)-SUM($K148:O148),(Input!$K$46-Input!$K$80)/A6taxstdlife))</f>
        <v>0.21208300496554658</v>
      </c>
      <c r="Q148" s="68">
        <f>IF(A6taxstdlife="n/a","n/a",IF(Q$3&gt;(A6taxstdlife+$E148),(Input!$K$46-Input!$K$80)-SUM($K148:P148),(Input!$K$46-Input!$K$80)/A6taxstdlife))</f>
        <v>0.21208300496554658</v>
      </c>
      <c r="R148" s="68"/>
      <c r="S148" s="103"/>
      <c r="T148" s="103"/>
      <c r="U148" s="103"/>
      <c r="V148" s="103"/>
      <c r="W148" s="103"/>
      <c r="X148" s="103"/>
      <c r="Y148" s="103"/>
      <c r="Z148" s="103"/>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187"/>
      <c r="BK148" s="187"/>
      <c r="BL148" s="187"/>
      <c r="BM148" s="187"/>
      <c r="BN148" s="187"/>
      <c r="BO148" s="187"/>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26"/>
      <c r="D149" s="672"/>
      <c r="E149" s="86">
        <v>6</v>
      </c>
      <c r="F149" s="27"/>
      <c r="G149" s="208"/>
      <c r="H149" s="150"/>
      <c r="I149" s="150"/>
      <c r="J149" s="150"/>
      <c r="K149" s="150"/>
      <c r="L149" s="149"/>
      <c r="M149" s="68">
        <f>IF(A6taxstdlife="n/a","n/a",IF(M$3&gt;(A6taxstdlife+$E149),(Input!$L$46-Input!$L$80)-SUM($L149:L149),(Input!$L$46-Input!$L$80)/A6taxstdlife))</f>
        <v>0.41600000000000004</v>
      </c>
      <c r="N149" s="68">
        <f>IF(A6taxstdlife="n/a","n/a",IF(N$3&gt;(A6taxstdlife+$E149),(Input!$L$46-Input!$L$80)-SUM($L149:M149),(Input!$L$46-Input!$L$80)/A6taxstdlife))</f>
        <v>0.41600000000000004</v>
      </c>
      <c r="O149" s="68">
        <f>IF(A6taxstdlife="n/a","n/a",IF(O$3&gt;(A6taxstdlife+$E149),(Input!$L$46-Input!$L$80)-SUM($L149:N149),(Input!$L$46-Input!$L$80)/A6taxstdlife))</f>
        <v>0.41600000000000004</v>
      </c>
      <c r="P149" s="68">
        <f>IF(A6taxstdlife="n/a","n/a",IF(P$3&gt;(A6taxstdlife+$E149),(Input!$L$46-Input!$L$80)-SUM($L149:O149),(Input!$L$46-Input!$L$80)/A6taxstdlife))</f>
        <v>0.41600000000000004</v>
      </c>
      <c r="Q149" s="68">
        <f>IF(A6taxstdlife="n/a","n/a",IF(Q$3&gt;(A6taxstdlife+$E149),(Input!$L$46-Input!$L$80)-SUM($L149:P149),(Input!$L$46-Input!$L$80)/A6taxstdlife))</f>
        <v>0.41600000000000004</v>
      </c>
      <c r="R149" s="68"/>
      <c r="S149" s="103"/>
      <c r="T149" s="103"/>
      <c r="U149" s="103"/>
      <c r="V149" s="103"/>
      <c r="W149" s="103"/>
      <c r="X149" s="103"/>
      <c r="Y149" s="103"/>
      <c r="Z149" s="103"/>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216"/>
      <c r="BJ149" s="187"/>
      <c r="BK149" s="187"/>
      <c r="BL149" s="187"/>
      <c r="BM149" s="187"/>
      <c r="BN149" s="187"/>
      <c r="BO149" s="187"/>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26"/>
      <c r="D150" s="672"/>
      <c r="E150" s="86">
        <v>7</v>
      </c>
      <c r="F150" s="27"/>
      <c r="G150" s="208"/>
      <c r="H150" s="150"/>
      <c r="I150" s="150"/>
      <c r="J150" s="150"/>
      <c r="K150" s="150"/>
      <c r="L150" s="150"/>
      <c r="M150" s="149"/>
      <c r="N150" s="68">
        <f>IF(A6taxstdlife="n/a","n/a",IF(N$3&gt;(A6taxstdlife+$E150),(Input!$M$46-Input!$M$80)-SUM($M150:M150),(Input!$M$46-Input!$M$80)/A6taxstdlife))</f>
        <v>0</v>
      </c>
      <c r="O150" s="68">
        <f>IF(A6taxstdlife="n/a","n/a",IF(O$3&gt;(A6taxstdlife+$E150),(Input!$M$46-Input!$M$80)-SUM($M150:N150),(Input!$M$46-Input!$M$80)/A6taxstdlife))</f>
        <v>0</v>
      </c>
      <c r="P150" s="68">
        <f>IF(A6taxstdlife="n/a","n/a",IF(P$3&gt;(A6taxstdlife+$E150),(Input!$M$46-Input!$M$80)-SUM($M150:O150),(Input!$M$46-Input!$M$80)/A6taxstdlife))</f>
        <v>0</v>
      </c>
      <c r="Q150" s="68">
        <f>IF(A6taxstdlife="n/a","n/a",IF(Q$3&gt;(A6taxstdlife+$E150),(Input!$M$46-Input!$M$80)-SUM($M150:P150),(Input!$M$46-Input!$M$80)/A6taxstdlife))</f>
        <v>0</v>
      </c>
      <c r="R150" s="68"/>
      <c r="S150" s="103"/>
      <c r="T150" s="103"/>
      <c r="U150" s="103"/>
      <c r="V150" s="103"/>
      <c r="W150" s="103"/>
      <c r="X150" s="103"/>
      <c r="Y150" s="103"/>
      <c r="Z150" s="103"/>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187"/>
      <c r="BK150" s="187"/>
      <c r="BL150" s="187"/>
      <c r="BM150" s="187"/>
      <c r="BN150" s="187"/>
      <c r="BO150" s="187"/>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26"/>
      <c r="D151" s="672"/>
      <c r="E151" s="86">
        <v>8</v>
      </c>
      <c r="F151" s="27"/>
      <c r="G151" s="208"/>
      <c r="H151" s="150"/>
      <c r="I151" s="150"/>
      <c r="J151" s="150"/>
      <c r="K151" s="150"/>
      <c r="L151" s="150"/>
      <c r="M151" s="150"/>
      <c r="N151" s="149"/>
      <c r="O151" s="68">
        <f>IF(A6taxstdlife="n/a","n/a",IF(O$3&gt;(A6taxstdlife+$E151),(Input!$N$46-Input!$N$80)-SUM($N151:N151),(Input!$N$46-Input!$N$80)/A6taxstdlife))</f>
        <v>0</v>
      </c>
      <c r="P151" s="68">
        <f>IF(A6taxstdlife="n/a","n/a",IF(P$3&gt;(A6taxstdlife+$E151),(Input!$N$46-Input!$N$80)-SUM($N151:O151),(Input!$N$46-Input!$N$80)/A6taxstdlife))</f>
        <v>0</v>
      </c>
      <c r="Q151" s="68">
        <f>IF(A6taxstdlife="n/a","n/a",IF(Q$3&gt;(A6taxstdlife+$E151),(Input!$N$46-Input!$N$80)-SUM($N151:P151),(Input!$N$46-Input!$N$80)/A6taxstdlife))</f>
        <v>0</v>
      </c>
      <c r="R151" s="68"/>
      <c r="S151" s="103"/>
      <c r="T151" s="103"/>
      <c r="U151" s="103"/>
      <c r="V151" s="103"/>
      <c r="W151" s="103"/>
      <c r="X151" s="103"/>
      <c r="Y151" s="103"/>
      <c r="Z151" s="103"/>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187"/>
      <c r="BK151" s="187"/>
      <c r="BL151" s="187"/>
      <c r="BM151" s="187"/>
      <c r="BN151" s="187"/>
      <c r="BO151" s="187"/>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26"/>
      <c r="D152" s="672"/>
      <c r="E152" s="86">
        <v>9</v>
      </c>
      <c r="F152" s="27"/>
      <c r="G152" s="208"/>
      <c r="H152" s="150"/>
      <c r="I152" s="150"/>
      <c r="J152" s="150"/>
      <c r="K152" s="150"/>
      <c r="L152" s="150"/>
      <c r="M152" s="150"/>
      <c r="N152" s="150"/>
      <c r="O152" s="149"/>
      <c r="P152" s="68">
        <f>IF(A6taxstdlife="n/a","n/a",IF(P$3&gt;(A6taxstdlife+$E152),(Input!$O$46-Input!$O$80)-SUM($O152:O152),(Input!$O$46-Input!$O$80)/A6taxstdlife))</f>
        <v>0</v>
      </c>
      <c r="Q152" s="68">
        <f>IF(A6taxstdlife="n/a","n/a",IF(Q$3&gt;(A6taxstdlife+$E152),(Input!$O$46-Input!$O$80)-SUM($O152:P152),(Input!$O$46-Input!$O$80)/A6taxstdlife))</f>
        <v>0</v>
      </c>
      <c r="R152" s="68"/>
      <c r="S152" s="103"/>
      <c r="T152" s="103"/>
      <c r="U152" s="103"/>
      <c r="V152" s="103"/>
      <c r="W152" s="103"/>
      <c r="X152" s="103"/>
      <c r="Y152" s="103"/>
      <c r="Z152" s="103"/>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187"/>
      <c r="BK152" s="187"/>
      <c r="BL152" s="187"/>
      <c r="BM152" s="187"/>
      <c r="BN152" s="187"/>
      <c r="BO152" s="187"/>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26"/>
      <c r="D153" s="672"/>
      <c r="E153" s="86">
        <v>10</v>
      </c>
      <c r="F153" s="27"/>
      <c r="G153" s="208"/>
      <c r="H153" s="150"/>
      <c r="I153" s="150"/>
      <c r="J153" s="150"/>
      <c r="K153" s="150"/>
      <c r="L153" s="150"/>
      <c r="M153" s="150"/>
      <c r="N153" s="150"/>
      <c r="O153" s="150"/>
      <c r="P153" s="149"/>
      <c r="Q153" s="68">
        <f>IF(A6taxstdlife="n/a","n/a",IF(Q$3&gt;(A6taxstdlife+$E153),(Input!$P$46-Input!$P$80)-SUM($P153:P153),(Input!$P$46-Input!$P$80)/A6taxstdlife))</f>
        <v>0</v>
      </c>
      <c r="R153" s="68"/>
      <c r="S153" s="103"/>
      <c r="T153" s="103"/>
      <c r="U153" s="103"/>
      <c r="V153" s="103"/>
      <c r="W153" s="103"/>
      <c r="X153" s="103"/>
      <c r="Y153" s="103"/>
      <c r="Z153" s="103"/>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187"/>
      <c r="BK153" s="187"/>
      <c r="BL153" s="187"/>
      <c r="BM153" s="187"/>
      <c r="BN153" s="187"/>
      <c r="BO153" s="187"/>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26"/>
      <c r="D154" s="672"/>
      <c r="E154" s="87">
        <v>11</v>
      </c>
      <c r="F154" s="27"/>
      <c r="G154" s="208"/>
      <c r="H154" s="150"/>
      <c r="I154" s="150"/>
      <c r="J154" s="150"/>
      <c r="K154" s="150"/>
      <c r="L154" s="150"/>
      <c r="M154" s="150"/>
      <c r="N154" s="150"/>
      <c r="O154" s="150"/>
      <c r="P154" s="189"/>
      <c r="Q154" s="149"/>
      <c r="R154" s="68"/>
      <c r="S154" s="103"/>
      <c r="T154" s="103"/>
      <c r="U154" s="103"/>
      <c r="V154" s="103"/>
      <c r="W154" s="103"/>
      <c r="X154" s="103"/>
      <c r="Y154" s="103"/>
      <c r="Z154" s="103"/>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187"/>
      <c r="BK154" s="187"/>
      <c r="BL154" s="187"/>
      <c r="BM154" s="187"/>
      <c r="BN154" s="187"/>
      <c r="BO154" s="187"/>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1">
      <c r="A155" s="9"/>
      <c r="B155" s="9"/>
      <c r="C155" s="26" t="str">
        <f>Asset6</f>
        <v>Other Assets</v>
      </c>
      <c r="D155" s="9"/>
      <c r="E155" s="9"/>
      <c r="F155" s="23"/>
      <c r="G155" s="209">
        <f t="shared" ref="G155:L155" si="40">-SUM(G142:G154)</f>
        <v>0</v>
      </c>
      <c r="H155" s="166">
        <f t="shared" si="40"/>
        <v>-1.7716000000000001</v>
      </c>
      <c r="I155" s="166">
        <f t="shared" si="40"/>
        <v>-2.1889821781684051</v>
      </c>
      <c r="J155" s="166">
        <f t="shared" si="40"/>
        <v>-2.5774433771586414</v>
      </c>
      <c r="K155" s="166">
        <f t="shared" si="40"/>
        <v>-2.7958856009346973</v>
      </c>
      <c r="L155" s="166">
        <f t="shared" si="40"/>
        <v>-3.0079686059002437</v>
      </c>
      <c r="M155" s="166">
        <f>IF(Input!M173&gt;0, -SUM(M142:M154), 0)</f>
        <v>0</v>
      </c>
      <c r="N155" s="166">
        <f>IF(Input!N173&gt;0, -SUM(N142:N154), 0)</f>
        <v>0</v>
      </c>
      <c r="O155" s="166">
        <f>IF(Input!O173&gt;0, -SUM(O142:O154), 0)</f>
        <v>0</v>
      </c>
      <c r="P155" s="166">
        <f>IF(Input!P173&gt;0, -SUM(P142:P154), 0)</f>
        <v>0</v>
      </c>
      <c r="Q155" s="166">
        <f>IF(Input!Q173&gt;0, -SUM(Q142:Q154), 0)</f>
        <v>0</v>
      </c>
      <c r="R155" s="64"/>
      <c r="S155" s="102"/>
      <c r="T155" s="102"/>
      <c r="U155" s="102"/>
      <c r="V155" s="102"/>
      <c r="W155" s="102"/>
      <c r="X155" s="102"/>
      <c r="Y155" s="102"/>
      <c r="Z155" s="102"/>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187"/>
      <c r="BK155" s="187"/>
      <c r="BL155" s="187"/>
      <c r="BM155" s="187"/>
      <c r="BN155" s="187"/>
      <c r="BO155" s="187"/>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32" t="str">
        <f>Asset7</f>
        <v>Equity Raising Costs</v>
      </c>
      <c r="C156" s="33"/>
      <c r="D156" s="34" t="s">
        <v>67</v>
      </c>
      <c r="E156" s="33"/>
      <c r="F156" s="35"/>
      <c r="G156" s="205">
        <f>IF(G$3&gt;A7taxremlife,A7taxvalue-SUM($F156:F156),IF(A7taxremlife="N/A","n/a",A7taxvalue/A7taxremlife))</f>
        <v>0</v>
      </c>
      <c r="H156" s="67">
        <f>IF(H$3&gt;A7taxremlife,A7taxvalue-SUM($F156:G156),IF(A7taxremlife="N/A","n/a",A7taxvalue/A7taxremlife))</f>
        <v>0</v>
      </c>
      <c r="I156" s="67">
        <f>IF(I$3&gt;A7taxremlife,A7taxvalue-SUM($F156:H156),IF(A7taxremlife="N/A","n/a",A7taxvalue/A7taxremlife))</f>
        <v>0</v>
      </c>
      <c r="J156" s="67">
        <f>IF(J$3&gt;A7taxremlife,A7taxvalue-SUM($F156:I156),IF(A7taxremlife="N/A","n/a",A7taxvalue/A7taxremlife))</f>
        <v>0</v>
      </c>
      <c r="K156" s="67">
        <f>IF(K$3&gt;A7taxremlife,A7taxvalue-SUM($F156:J156),IF(A7taxremlife="N/A","n/a",A7taxvalue/A7taxremlife))</f>
        <v>0</v>
      </c>
      <c r="L156" s="67">
        <f>IF(L$3&gt;A7taxremlife,A7taxvalue-SUM($F156:K156),IF(A7taxremlife="N/A","n/a",A7taxvalue/A7taxremlife))</f>
        <v>0</v>
      </c>
      <c r="M156" s="67">
        <f>IF(M$3&gt;A7taxremlife,A7taxvalue-SUM($F156:L156),IF(A7taxremlife="N/A","n/a",A7taxvalue/A7taxremlife))</f>
        <v>0</v>
      </c>
      <c r="N156" s="67">
        <f>IF(N$3&gt;A7taxremlife,A7taxvalue-SUM($F156:M156),IF(A7taxremlife="N/A","n/a",A7taxvalue/A7taxremlife))</f>
        <v>0</v>
      </c>
      <c r="O156" s="67">
        <f>IF(O$3&gt;A7taxremlife,A7taxvalue-SUM($F156:N156),IF(A7taxremlife="N/A","n/a",A7taxvalue/A7taxremlife))</f>
        <v>0</v>
      </c>
      <c r="P156" s="67">
        <f>IF(P$3&gt;A7taxremlife,A7taxvalue-SUM($F156:O156),IF(A7taxremlife="N/A","n/a",A7taxvalue/A7taxremlife))</f>
        <v>0</v>
      </c>
      <c r="Q156" s="67">
        <f>IF(Q$3&gt;A7taxremlife,A7taxvalue-SUM($F156:P156),IF(A7taxremlife="N/A","n/a",A7taxvalue/A7taxremlife))</f>
        <v>0</v>
      </c>
      <c r="R156" s="67"/>
      <c r="S156" s="103"/>
      <c r="T156" s="103"/>
      <c r="U156" s="103"/>
      <c r="V156" s="103"/>
      <c r="W156" s="103"/>
      <c r="X156" s="103"/>
      <c r="Y156" s="103"/>
      <c r="Z156" s="103"/>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187"/>
      <c r="BK156" s="187"/>
      <c r="BL156" s="187"/>
      <c r="BM156" s="187"/>
      <c r="BN156" s="187"/>
      <c r="BO156" s="187"/>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26"/>
      <c r="D157" s="671" t="s">
        <v>84</v>
      </c>
      <c r="E157" s="86">
        <v>0</v>
      </c>
      <c r="F157" s="27"/>
      <c r="G157" s="206"/>
      <c r="H157" s="68"/>
      <c r="I157" s="68"/>
      <c r="J157" s="68"/>
      <c r="K157" s="68"/>
      <c r="L157" s="68"/>
      <c r="M157" s="68"/>
      <c r="N157" s="68"/>
      <c r="O157" s="68"/>
      <c r="P157" s="68"/>
      <c r="Q157" s="68"/>
      <c r="R157" s="68"/>
      <c r="S157" s="103"/>
      <c r="T157" s="103"/>
      <c r="U157" s="103"/>
      <c r="V157" s="103"/>
      <c r="W157" s="103"/>
      <c r="X157" s="103"/>
      <c r="Y157" s="103"/>
      <c r="Z157" s="103"/>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187"/>
      <c r="BK157" s="187"/>
      <c r="BL157" s="187"/>
      <c r="BM157" s="187"/>
      <c r="BN157" s="187"/>
      <c r="BO157" s="18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26"/>
      <c r="D158" s="672"/>
      <c r="E158" s="86">
        <v>1</v>
      </c>
      <c r="F158" s="27"/>
      <c r="G158" s="207"/>
      <c r="H158" s="68">
        <f>IF(A7taxstdlife="n/a","n/a",IF(H$3&gt;(A7taxstdlife+$E158),(Input!$G$47-Input!$G$81)-SUM($G158:G158),(Input!$G$47-Input!$G$81)/A7taxstdlife))</f>
        <v>0</v>
      </c>
      <c r="I158" s="68">
        <f>IF(A7taxstdlife="n/a","n/a",IF(I$3&gt;(A7taxstdlife+$E158),(Input!$G$47-Input!$G$81)-SUM($G158:H158),(Input!$G$47-Input!$G$81)/A7taxstdlife))</f>
        <v>0</v>
      </c>
      <c r="J158" s="68">
        <f>IF(A7taxstdlife="n/a","n/a",IF(J$3&gt;(A7taxstdlife+$E158),(Input!$G$47-Input!$G$81)-SUM($G158:I158),(Input!$G$47-Input!$G$81)/A7taxstdlife))</f>
        <v>0</v>
      </c>
      <c r="K158" s="68">
        <f>IF(A7taxstdlife="n/a","n/a",IF(K$3&gt;(A7taxstdlife+$E158),(Input!$G$47-Input!$G$81)-SUM($G158:J158),(Input!$G$47-Input!$G$81)/A7taxstdlife))</f>
        <v>0</v>
      </c>
      <c r="L158" s="68">
        <f>IF(A7taxstdlife="n/a","n/a",IF(L$3&gt;(A7taxstdlife+$E158),(Input!$G$47-Input!$G$81)-SUM($G158:K158),(Input!$G$47-Input!$G$81)/A7taxstdlife))</f>
        <v>0</v>
      </c>
      <c r="M158" s="68">
        <f>IF(A7taxstdlife="n/a","n/a",IF(M$3&gt;(A7taxstdlife+$E158),(Input!$G$47-Input!$G$81)-SUM($G158:L158),(Input!$G$47-Input!$G$81)/A7taxstdlife))</f>
        <v>0</v>
      </c>
      <c r="N158" s="68">
        <f>IF(A7taxstdlife="n/a","n/a",IF(N$3&gt;(A7taxstdlife+$E158),(Input!$G$47-Input!$G$81)-SUM($G158:M158),(Input!$G$47-Input!$G$81)/A7taxstdlife))</f>
        <v>0</v>
      </c>
      <c r="O158" s="68">
        <f>IF(A7taxstdlife="n/a","n/a",IF(O$3&gt;(A7taxstdlife+$E158),(Input!$G$47-Input!$G$81)-SUM($G158:N158),(Input!$G$47-Input!$G$81)/A7taxstdlife))</f>
        <v>0</v>
      </c>
      <c r="P158" s="68">
        <f>IF(A7taxstdlife="n/a","n/a",IF(P$3&gt;(A7taxstdlife+$E158),(Input!$G$47-Input!$G$81)-SUM($G158:O158),(Input!$G$47-Input!$G$81)/A7taxstdlife))</f>
        <v>0</v>
      </c>
      <c r="Q158" s="68">
        <f>IF(A7taxstdlife="n/a","n/a",IF(Q$3&gt;(A7taxstdlife+$E158),(Input!$G$47-Input!$G$81)-SUM($G158:P158),(Input!$G$47-Input!$G$81)/A7taxstdlife))</f>
        <v>0</v>
      </c>
      <c r="R158" s="68"/>
      <c r="S158" s="103"/>
      <c r="T158" s="103"/>
      <c r="U158" s="103"/>
      <c r="V158" s="103"/>
      <c r="W158" s="103"/>
      <c r="X158" s="103"/>
      <c r="Y158" s="103"/>
      <c r="Z158" s="103"/>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187"/>
      <c r="BK158" s="187"/>
      <c r="BL158" s="187"/>
      <c r="BM158" s="187"/>
      <c r="BN158" s="187"/>
      <c r="BO158" s="187"/>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26"/>
      <c r="D159" s="672"/>
      <c r="E159" s="86">
        <v>2</v>
      </c>
      <c r="F159" s="27"/>
      <c r="G159" s="208"/>
      <c r="H159" s="149"/>
      <c r="I159" s="68">
        <f>IF(A7taxstdlife="n/a","n/a",IF(I$3&gt;(A7taxstdlife+$E159),(Input!$H$47-Input!$H$81)-SUM($H159:H159),(Input!$H$47-Input!$H$81)/A7taxstdlife))</f>
        <v>0</v>
      </c>
      <c r="J159" s="68">
        <f>IF(A7taxstdlife="n/a","n/a",IF(J$3&gt;(A7taxstdlife+$E159),(Input!$H$47-Input!$H$81)-SUM($H159:I159),(Input!$H$47-Input!$H$81)/A7taxstdlife))</f>
        <v>0</v>
      </c>
      <c r="K159" s="68">
        <f>IF(A7taxstdlife="n/a","n/a",IF(K$3&gt;(A7taxstdlife+$E159),(Input!$H$47-Input!$H$81)-SUM($H159:J159),(Input!$H$47-Input!$H$81)/A7taxstdlife))</f>
        <v>0</v>
      </c>
      <c r="L159" s="68">
        <f>IF(A7taxstdlife="n/a","n/a",IF(L$3&gt;(A7taxstdlife+$E159),(Input!$H$47-Input!$H$81)-SUM($H159:K159),(Input!$H$47-Input!$H$81)/A7taxstdlife))</f>
        <v>0</v>
      </c>
      <c r="M159" s="68">
        <f>IF(A7taxstdlife="n/a","n/a",IF(M$3&gt;(A7taxstdlife+$E159),(Input!$H$47-Input!$H$81)-SUM($H159:L159),(Input!$H$47-Input!$H$81)/A7taxstdlife))</f>
        <v>0</v>
      </c>
      <c r="N159" s="68">
        <f>IF(A7taxstdlife="n/a","n/a",IF(N$3&gt;(A7taxstdlife+$E159),(Input!$H$47-Input!$H$81)-SUM($H159:M159),(Input!$H$47-Input!$H$81)/A7taxstdlife))</f>
        <v>0</v>
      </c>
      <c r="O159" s="68">
        <f>IF(A7taxstdlife="n/a","n/a",IF(O$3&gt;(A7taxstdlife+$E159),(Input!$H$47-Input!$H$81)-SUM($H159:N159),(Input!$H$47-Input!$H$81)/A7taxstdlife))</f>
        <v>0</v>
      </c>
      <c r="P159" s="68">
        <f>IF(A7taxstdlife="n/a","n/a",IF(P$3&gt;(A7taxstdlife+$E159),(Input!$H$47-Input!$H$81)-SUM($H159:O159),(Input!$H$47-Input!$H$81)/A7taxstdlife))</f>
        <v>0</v>
      </c>
      <c r="Q159" s="68">
        <f>IF(A7taxstdlife="n/a","n/a",IF(Q$3&gt;(A7taxstdlife+$E159),(Input!$H$47-Input!$H$81)-SUM($H159:P159),(Input!$H$47-Input!$H$81)/A7taxstdlife))</f>
        <v>0</v>
      </c>
      <c r="R159" s="68"/>
      <c r="S159" s="103"/>
      <c r="T159" s="103"/>
      <c r="U159" s="103"/>
      <c r="V159" s="103"/>
      <c r="W159" s="103"/>
      <c r="X159" s="103"/>
      <c r="Y159" s="103"/>
      <c r="Z159" s="103"/>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187"/>
      <c r="BK159" s="187"/>
      <c r="BL159" s="187"/>
      <c r="BM159" s="187"/>
      <c r="BN159" s="187"/>
      <c r="BO159" s="187"/>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2">
      <c r="A160" s="9"/>
      <c r="B160" s="9"/>
      <c r="C160" s="26"/>
      <c r="D160" s="672"/>
      <c r="E160" s="86">
        <v>3</v>
      </c>
      <c r="F160" s="27"/>
      <c r="G160" s="208"/>
      <c r="H160" s="150"/>
      <c r="I160" s="149"/>
      <c r="J160" s="68">
        <f>IF(A7taxstdlife="n/a","n/a",IF(J$3&gt;(A7taxstdlife+$E160),(Input!$I$47-Input!$I$81)-SUM($I160:I160),(Input!$I$47-Input!$I$81)/A7taxstdlife))</f>
        <v>0</v>
      </c>
      <c r="K160" s="68">
        <f>IF(A7taxstdlife="n/a","n/a",IF(K$3&gt;(A7taxstdlife+$E160),(Input!$I$47-Input!$I$81)-SUM($I160:J160),(Input!$I$47-Input!$I$81)/A7taxstdlife))</f>
        <v>0</v>
      </c>
      <c r="L160" s="68">
        <f>IF(A7taxstdlife="n/a","n/a",IF(L$3&gt;(A7taxstdlife+$E160),(Input!$I$47-Input!$I$81)-SUM($I160:K160),(Input!$I$47-Input!$I$81)/A7taxstdlife))</f>
        <v>0</v>
      </c>
      <c r="M160" s="68">
        <f>IF(A7taxstdlife="n/a","n/a",IF(M$3&gt;(A7taxstdlife+$E160),(Input!$I$47-Input!$I$81)-SUM($I160:L160),(Input!$I$47-Input!$I$81)/A7taxstdlife))</f>
        <v>0</v>
      </c>
      <c r="N160" s="68">
        <f>IF(A7taxstdlife="n/a","n/a",IF(N$3&gt;(A7taxstdlife+$E160),(Input!$I$47-Input!$I$81)-SUM($I160:M160),(Input!$I$47-Input!$I$81)/A7taxstdlife))</f>
        <v>0</v>
      </c>
      <c r="O160" s="68">
        <f>IF(A7taxstdlife="n/a","n/a",IF(O$3&gt;(A7taxstdlife+$E160),(Input!$I$47-Input!$I$81)-SUM($I160:N160),(Input!$I$47-Input!$I$81)/A7taxstdlife))</f>
        <v>0</v>
      </c>
      <c r="P160" s="68">
        <f>IF(A7taxstdlife="n/a","n/a",IF(P$3&gt;(A7taxstdlife+$E160),(Input!$I$47-Input!$I$81)-SUM($I160:O160),(Input!$I$47-Input!$I$81)/A7taxstdlife))</f>
        <v>0</v>
      </c>
      <c r="Q160" s="68">
        <f>IF(A7taxstdlife="n/a","n/a",IF(Q$3&gt;(A7taxstdlife+$E160),(Input!$I$47-Input!$I$81)-SUM($I160:P160),(Input!$I$47-Input!$I$81)/A7taxstdlife))</f>
        <v>0</v>
      </c>
      <c r="R160" s="68"/>
      <c r="S160" s="103"/>
      <c r="T160" s="103"/>
      <c r="U160" s="103"/>
      <c r="V160" s="103"/>
      <c r="W160" s="103"/>
      <c r="X160" s="103"/>
      <c r="Y160" s="103"/>
      <c r="Z160" s="103"/>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187"/>
      <c r="BK160" s="187"/>
      <c r="BL160" s="187"/>
      <c r="BM160" s="187"/>
      <c r="BN160" s="187"/>
      <c r="BO160" s="187"/>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26"/>
      <c r="D161" s="672"/>
      <c r="E161" s="86">
        <v>4</v>
      </c>
      <c r="F161" s="27"/>
      <c r="G161" s="208"/>
      <c r="H161" s="150"/>
      <c r="I161" s="150"/>
      <c r="J161" s="149"/>
      <c r="K161" s="68">
        <f>IF(A7taxstdlife="n/a","n/a",IF(K$3&gt;(A7taxstdlife+$E161),(Input!$J$47-Input!$J$81)-SUM($J161:J161),(Input!$J$47-Input!$J$81)/A7taxstdlife))</f>
        <v>0</v>
      </c>
      <c r="L161" s="68">
        <f>IF(A7taxstdlife="n/a","n/a",IF(L$3&gt;(A7taxstdlife+$E161),(Input!$J$47-Input!$J$81)-SUM($J161:K161),(Input!$J$47-Input!$J$81)/A7taxstdlife))</f>
        <v>0</v>
      </c>
      <c r="M161" s="68">
        <f>IF(A7taxstdlife="n/a","n/a",IF(M$3&gt;(A7taxstdlife+$E161),(Input!$J$47-Input!$J$81)-SUM($J161:L161),(Input!$J$47-Input!$J$81)/A7taxstdlife))</f>
        <v>0</v>
      </c>
      <c r="N161" s="68">
        <f>IF(A7taxstdlife="n/a","n/a",IF(N$3&gt;(A7taxstdlife+$E161),(Input!$J$47-Input!$J$81)-SUM($J161:M161),(Input!$J$47-Input!$J$81)/A7taxstdlife))</f>
        <v>0</v>
      </c>
      <c r="O161" s="68">
        <f>IF(A7taxstdlife="n/a","n/a",IF(O$3&gt;(A7taxstdlife+$E161),(Input!$J$47-Input!$J$81)-SUM($J161:N161),(Input!$J$47-Input!$J$81)/A7taxstdlife))</f>
        <v>0</v>
      </c>
      <c r="P161" s="68">
        <f>IF(A7taxstdlife="n/a","n/a",IF(P$3&gt;(A7taxstdlife+$E161),(Input!$J$47-Input!$J$81)-SUM($J161:O161),(Input!$J$47-Input!$J$81)/A7taxstdlife))</f>
        <v>0</v>
      </c>
      <c r="Q161" s="68">
        <f>IF(A7taxstdlife="n/a","n/a",IF(Q$3&gt;(A7taxstdlife+$E161),(Input!$J$47-Input!$J$81)-SUM($J161:P161),(Input!$J$47-Input!$J$81)/A7taxstdlife))</f>
        <v>0</v>
      </c>
      <c r="R161" s="68"/>
      <c r="S161" s="103"/>
      <c r="T161" s="103"/>
      <c r="U161" s="103"/>
      <c r="V161" s="103"/>
      <c r="W161" s="103"/>
      <c r="X161" s="103"/>
      <c r="Y161" s="103"/>
      <c r="Z161" s="103"/>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187"/>
      <c r="BK161" s="187"/>
      <c r="BL161" s="187"/>
      <c r="BM161" s="187"/>
      <c r="BN161" s="187"/>
      <c r="BO161" s="187"/>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26"/>
      <c r="D162" s="672"/>
      <c r="E162" s="86">
        <v>5</v>
      </c>
      <c r="F162" s="27"/>
      <c r="G162" s="208"/>
      <c r="H162" s="150"/>
      <c r="I162" s="150"/>
      <c r="J162" s="150"/>
      <c r="K162" s="149"/>
      <c r="L162" s="68">
        <f>IF(A7taxstdlife="n/a","n/a",IF(L$3&gt;(A7taxstdlife+$E162),(Input!$K$47-Input!$K$81)-SUM($K162:K162),(Input!$K$47-Input!$K$81)/A7taxstdlife))</f>
        <v>0</v>
      </c>
      <c r="M162" s="68">
        <f>IF(A7taxstdlife="n/a","n/a",IF(M$3&gt;(A7taxstdlife+$E162),(Input!$K$47-Input!$K$81)-SUM($K162:L162),(Input!$K$47-Input!$K$81)/A7taxstdlife))</f>
        <v>0</v>
      </c>
      <c r="N162" s="68">
        <f>IF(A7taxstdlife="n/a","n/a",IF(N$3&gt;(A7taxstdlife+$E162),(Input!$K$47-Input!$K$81)-SUM($K162:M162),(Input!$K$47-Input!$K$81)/A7taxstdlife))</f>
        <v>0</v>
      </c>
      <c r="O162" s="68">
        <f>IF(A7taxstdlife="n/a","n/a",IF(O$3&gt;(A7taxstdlife+$E162),(Input!$K$47-Input!$K$81)-SUM($K162:N162),(Input!$K$47-Input!$K$81)/A7taxstdlife))</f>
        <v>0</v>
      </c>
      <c r="P162" s="68">
        <f>IF(A7taxstdlife="n/a","n/a",IF(P$3&gt;(A7taxstdlife+$E162),(Input!$K$47-Input!$K$81)-SUM($K162:O162),(Input!$K$47-Input!$K$81)/A7taxstdlife))</f>
        <v>0</v>
      </c>
      <c r="Q162" s="68">
        <f>IF(A7taxstdlife="n/a","n/a",IF(Q$3&gt;(A7taxstdlife+$E162),(Input!$K$47-Input!$K$81)-SUM($K162:P162),(Input!$K$47-Input!$K$81)/A7taxstdlife))</f>
        <v>0</v>
      </c>
      <c r="R162" s="68"/>
      <c r="S162" s="103"/>
      <c r="T162" s="103"/>
      <c r="U162" s="103"/>
      <c r="V162" s="103"/>
      <c r="W162" s="103"/>
      <c r="X162" s="103"/>
      <c r="Y162" s="103"/>
      <c r="Z162" s="103"/>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187"/>
      <c r="BK162" s="187"/>
      <c r="BL162" s="187"/>
      <c r="BM162" s="187"/>
      <c r="BN162" s="187"/>
      <c r="BO162" s="187"/>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26"/>
      <c r="D163" s="672"/>
      <c r="E163" s="86">
        <v>6</v>
      </c>
      <c r="F163" s="27"/>
      <c r="G163" s="208"/>
      <c r="H163" s="150"/>
      <c r="I163" s="150"/>
      <c r="J163" s="150"/>
      <c r="K163" s="150"/>
      <c r="L163" s="149"/>
      <c r="M163" s="68">
        <f>IF(A7taxstdlife="n/a","n/a",IF(M$3&gt;(A7taxstdlife+$E163),(Input!$L$47-Input!$L$81)-SUM($L163:L163),(Input!$L$47-Input!$L$81)/A7taxstdlife))</f>
        <v>0</v>
      </c>
      <c r="N163" s="68">
        <f>IF(A7taxstdlife="n/a","n/a",IF(N$3&gt;(A7taxstdlife+$E163),(Input!$L$47-Input!$L$81)-SUM($L163:M163),(Input!$L$47-Input!$L$81)/A7taxstdlife))</f>
        <v>0</v>
      </c>
      <c r="O163" s="68">
        <f>IF(A7taxstdlife="n/a","n/a",IF(O$3&gt;(A7taxstdlife+$E163),(Input!$L$47-Input!$L$81)-SUM($L163:N163),(Input!$L$47-Input!$L$81)/A7taxstdlife))</f>
        <v>0</v>
      </c>
      <c r="P163" s="68">
        <f>IF(A7taxstdlife="n/a","n/a",IF(P$3&gt;(A7taxstdlife+$E163),(Input!$L$47-Input!$L$81)-SUM($L163:O163),(Input!$L$47-Input!$L$81)/A7taxstdlife))</f>
        <v>0</v>
      </c>
      <c r="Q163" s="68">
        <f>IF(A7taxstdlife="n/a","n/a",IF(Q$3&gt;(A7taxstdlife+$E163),(Input!$L$47-Input!$L$81)-SUM($L163:P163),(Input!$L$47-Input!$L$81)/A7taxstdlife))</f>
        <v>0</v>
      </c>
      <c r="R163" s="68"/>
      <c r="S163" s="103"/>
      <c r="T163" s="103"/>
      <c r="U163" s="103"/>
      <c r="V163" s="103"/>
      <c r="W163" s="103"/>
      <c r="X163" s="103"/>
      <c r="Y163" s="103"/>
      <c r="Z163" s="103"/>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187"/>
      <c r="BK163" s="187"/>
      <c r="BL163" s="187"/>
      <c r="BM163" s="187"/>
      <c r="BN163" s="187"/>
      <c r="BO163" s="187"/>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26"/>
      <c r="D164" s="672"/>
      <c r="E164" s="86">
        <v>7</v>
      </c>
      <c r="F164" s="27"/>
      <c r="G164" s="208"/>
      <c r="H164" s="150"/>
      <c r="I164" s="150"/>
      <c r="J164" s="150"/>
      <c r="K164" s="150"/>
      <c r="L164" s="150"/>
      <c r="M164" s="149"/>
      <c r="N164" s="68">
        <f>IF(A7taxstdlife="n/a","n/a",IF(N$3&gt;(A7taxstdlife+$E164),(Input!$M$47-Input!$M$81)-SUM($M164:M164),(Input!$M$47-Input!$M$81)/A7taxstdlife))</f>
        <v>0</v>
      </c>
      <c r="O164" s="68">
        <f>IF(A7taxstdlife="n/a","n/a",IF(O$3&gt;(A7taxstdlife+$E164),(Input!$M$47-Input!$M$81)-SUM($M164:N164),(Input!$M$47-Input!$M$81)/A7taxstdlife))</f>
        <v>0</v>
      </c>
      <c r="P164" s="68">
        <f>IF(A7taxstdlife="n/a","n/a",IF(P$3&gt;(A7taxstdlife+$E164),(Input!$M$47-Input!$M$81)-SUM($M164:O164),(Input!$M$47-Input!$M$81)/A7taxstdlife))</f>
        <v>0</v>
      </c>
      <c r="Q164" s="68">
        <f>IF(A7taxstdlife="n/a","n/a",IF(Q$3&gt;(A7taxstdlife+$E164),(Input!$M$47-Input!$M$81)-SUM($M164:P164),(Input!$M$47-Input!$M$81)/A7taxstdlife))</f>
        <v>0</v>
      </c>
      <c r="R164" s="68"/>
      <c r="S164" s="103"/>
      <c r="T164" s="103"/>
      <c r="U164" s="103"/>
      <c r="V164" s="103"/>
      <c r="W164" s="103"/>
      <c r="X164" s="103"/>
      <c r="Y164" s="103"/>
      <c r="Z164" s="103"/>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187"/>
      <c r="BK164" s="187"/>
      <c r="BL164" s="187"/>
      <c r="BM164" s="187"/>
      <c r="BN164" s="187"/>
      <c r="BO164" s="187"/>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26"/>
      <c r="D165" s="672"/>
      <c r="E165" s="86">
        <v>8</v>
      </c>
      <c r="F165" s="27"/>
      <c r="G165" s="208"/>
      <c r="H165" s="150"/>
      <c r="I165" s="150"/>
      <c r="J165" s="150"/>
      <c r="K165" s="150"/>
      <c r="L165" s="150"/>
      <c r="M165" s="150"/>
      <c r="N165" s="149"/>
      <c r="O165" s="68">
        <f>IF(A7taxstdlife="n/a","n/a",IF(O$3&gt;(A7taxstdlife+$E165),(Input!$N$47-Input!$N$81)-SUM($N165:N165),(Input!$N$47-Input!$N$81)/A7taxstdlife))</f>
        <v>0</v>
      </c>
      <c r="P165" s="68">
        <f>IF(A7taxstdlife="n/a","n/a",IF(P$3&gt;(A7taxstdlife+$E165),(Input!$N$47-Input!$N$81)-SUM($N165:O165),(Input!$N$47-Input!$N$81)/A7taxstdlife))</f>
        <v>0</v>
      </c>
      <c r="Q165" s="68">
        <f>IF(A7taxstdlife="n/a","n/a",IF(Q$3&gt;(A7taxstdlife+$E165),(Input!$N$47-Input!$N$81)-SUM($N165:P165),(Input!$N$47-Input!$N$81)/A7taxstdlife))</f>
        <v>0</v>
      </c>
      <c r="R165" s="68"/>
      <c r="S165" s="103"/>
      <c r="T165" s="103"/>
      <c r="U165" s="103"/>
      <c r="V165" s="103"/>
      <c r="W165" s="103"/>
      <c r="X165" s="103"/>
      <c r="Y165" s="103"/>
      <c r="Z165" s="103"/>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187"/>
      <c r="BK165" s="187"/>
      <c r="BL165" s="187"/>
      <c r="BM165" s="187"/>
      <c r="BN165" s="187"/>
      <c r="BO165" s="187"/>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26"/>
      <c r="D166" s="672"/>
      <c r="E166" s="86">
        <v>9</v>
      </c>
      <c r="F166" s="27"/>
      <c r="G166" s="208"/>
      <c r="H166" s="150"/>
      <c r="I166" s="150"/>
      <c r="J166" s="150"/>
      <c r="K166" s="150"/>
      <c r="L166" s="150"/>
      <c r="M166" s="150"/>
      <c r="N166" s="150"/>
      <c r="O166" s="149"/>
      <c r="P166" s="68">
        <f>IF(A7taxstdlife="n/a","n/a",IF(P$3&gt;(A7taxstdlife+$E166),(Input!$O$47-Input!$O$81)-SUM($O166:O166),(Input!$O$47-Input!$O$81)/A7taxstdlife))</f>
        <v>0</v>
      </c>
      <c r="Q166" s="68">
        <f>IF(A7taxstdlife="n/a","n/a",IF(Q$3&gt;(A7taxstdlife+$E166),(Input!$O$47-Input!$O$81)-SUM($O166:P166),(Input!$O$47-Input!$O$81)/A7taxstdlife))</f>
        <v>0</v>
      </c>
      <c r="R166" s="68"/>
      <c r="S166" s="103"/>
      <c r="T166" s="103"/>
      <c r="U166" s="103"/>
      <c r="V166" s="103"/>
      <c r="W166" s="103"/>
      <c r="X166" s="103"/>
      <c r="Y166" s="103"/>
      <c r="Z166" s="103"/>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187"/>
      <c r="BK166" s="187"/>
      <c r="BL166" s="187"/>
      <c r="BM166" s="187"/>
      <c r="BN166" s="187"/>
      <c r="BO166" s="187"/>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26"/>
      <c r="D167" s="672"/>
      <c r="E167" s="86">
        <v>10</v>
      </c>
      <c r="F167" s="27"/>
      <c r="G167" s="208"/>
      <c r="H167" s="150"/>
      <c r="I167" s="150"/>
      <c r="J167" s="150"/>
      <c r="K167" s="150"/>
      <c r="L167" s="150"/>
      <c r="M167" s="150"/>
      <c r="N167" s="150"/>
      <c r="O167" s="150"/>
      <c r="P167" s="149"/>
      <c r="Q167" s="68">
        <f>IF(A7taxstdlife="n/a","n/a",IF(Q$3&gt;(A7taxstdlife+$E167),(Input!$P$47-Input!$P$81)-SUM($P167:P167),(Input!$P$47-Input!$P$81)/A7taxstdlife))</f>
        <v>0</v>
      </c>
      <c r="R167" s="68"/>
      <c r="S167" s="103"/>
      <c r="T167" s="103"/>
      <c r="U167" s="103"/>
      <c r="V167" s="103"/>
      <c r="W167" s="103"/>
      <c r="X167" s="103"/>
      <c r="Y167" s="103"/>
      <c r="Z167" s="103"/>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187"/>
      <c r="BK167" s="187"/>
      <c r="BL167" s="187"/>
      <c r="BM167" s="187"/>
      <c r="BN167" s="187"/>
      <c r="BO167" s="18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26"/>
      <c r="D168" s="672"/>
      <c r="E168" s="87">
        <v>11</v>
      </c>
      <c r="F168" s="27"/>
      <c r="G168" s="208"/>
      <c r="H168" s="150"/>
      <c r="I168" s="150"/>
      <c r="J168" s="150"/>
      <c r="K168" s="150"/>
      <c r="L168" s="150"/>
      <c r="M168" s="150"/>
      <c r="N168" s="150"/>
      <c r="O168" s="150"/>
      <c r="P168" s="189"/>
      <c r="Q168" s="149"/>
      <c r="R168" s="68"/>
      <c r="S168" s="103"/>
      <c r="T168" s="103"/>
      <c r="U168" s="103"/>
      <c r="V168" s="103"/>
      <c r="W168" s="103"/>
      <c r="X168" s="103"/>
      <c r="Y168" s="103"/>
      <c r="Z168" s="103"/>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187"/>
      <c r="BK168" s="187"/>
      <c r="BL168" s="187"/>
      <c r="BM168" s="187"/>
      <c r="BN168" s="187"/>
      <c r="BO168" s="187"/>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1">
      <c r="A169" s="9"/>
      <c r="B169" s="9"/>
      <c r="C169" s="26" t="str">
        <f>Asset7</f>
        <v>Equity Raising Costs</v>
      </c>
      <c r="D169" s="9"/>
      <c r="E169" s="9"/>
      <c r="F169" s="23"/>
      <c r="G169" s="209">
        <f t="shared" ref="G169:L169" si="41">-SUM(G156:G168)</f>
        <v>0</v>
      </c>
      <c r="H169" s="166">
        <f t="shared" si="41"/>
        <v>0</v>
      </c>
      <c r="I169" s="166">
        <f t="shared" si="41"/>
        <v>0</v>
      </c>
      <c r="J169" s="166">
        <f t="shared" si="41"/>
        <v>0</v>
      </c>
      <c r="K169" s="166">
        <f t="shared" si="41"/>
        <v>0</v>
      </c>
      <c r="L169" s="166">
        <f t="shared" si="41"/>
        <v>0</v>
      </c>
      <c r="M169" s="166">
        <f>IF(Input!M173&gt;0, -SUM(M156:M168), 0)</f>
        <v>0</v>
      </c>
      <c r="N169" s="166">
        <f>IF(Input!N173&gt;0, -SUM(N156:N168), 0)</f>
        <v>0</v>
      </c>
      <c r="O169" s="166">
        <f>IF(Input!O173&gt;0, -SUM(O156:O168), 0)</f>
        <v>0</v>
      </c>
      <c r="P169" s="166">
        <f>IF(Input!P173&gt;0, -SUM(P156:P168), 0)</f>
        <v>0</v>
      </c>
      <c r="Q169" s="166">
        <f>IF(Input!Q173&gt;0, -SUM(Q156:Q168), 0)</f>
        <v>0</v>
      </c>
      <c r="R169" s="64"/>
      <c r="S169" s="102"/>
      <c r="T169" s="102"/>
      <c r="U169" s="102"/>
      <c r="V169" s="102"/>
      <c r="W169" s="102"/>
      <c r="X169" s="102"/>
      <c r="Y169" s="102"/>
      <c r="Z169" s="102"/>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187"/>
      <c r="BK169" s="187"/>
      <c r="BL169" s="187"/>
      <c r="BM169" s="187"/>
      <c r="BN169" s="187"/>
      <c r="BO169" s="187"/>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32" t="str">
        <f>Asset8</f>
        <v>Land</v>
      </c>
      <c r="C170" s="33"/>
      <c r="D170" s="34" t="s">
        <v>67</v>
      </c>
      <c r="E170" s="33"/>
      <c r="F170" s="35"/>
      <c r="G170" s="205">
        <f>IF(G$3&gt;A8taxremlife,A8taxvalue-SUM($F170:F170),IF(A8taxremlife="N/A","n/a",A8taxvalue/A8taxremlife))</f>
        <v>0</v>
      </c>
      <c r="H170" s="67">
        <f>IF(H$3&gt;A8taxremlife,A8taxvalue-SUM($F170:G170),IF(A8taxremlife="N/A","n/a",A8taxvalue/A8taxremlife))</f>
        <v>0</v>
      </c>
      <c r="I170" s="67">
        <f>IF(I$3&gt;A8taxremlife,A8taxvalue-SUM($F170:H170),IF(A8taxremlife="N/A","n/a",A8taxvalue/A8taxremlife))</f>
        <v>0</v>
      </c>
      <c r="J170" s="67">
        <f>IF(J$3&gt;A8taxremlife,A8taxvalue-SUM($F170:I170),IF(A8taxremlife="N/A","n/a",A8taxvalue/A8taxremlife))</f>
        <v>0</v>
      </c>
      <c r="K170" s="67">
        <f>IF(K$3&gt;A8taxremlife,A8taxvalue-SUM($F170:J170),IF(A8taxremlife="N/A","n/a",A8taxvalue/A8taxremlife))</f>
        <v>0</v>
      </c>
      <c r="L170" s="67">
        <f>IF(L$3&gt;A8taxremlife,A8taxvalue-SUM($F170:K170),IF(A8taxremlife="N/A","n/a",A8taxvalue/A8taxremlife))</f>
        <v>0</v>
      </c>
      <c r="M170" s="67">
        <f>IF(M$3&gt;A8taxremlife,A8taxvalue-SUM($F170:L170),IF(A8taxremlife="N/A","n/a",A8taxvalue/A8taxremlife))</f>
        <v>0</v>
      </c>
      <c r="N170" s="67">
        <f>IF(N$3&gt;A8taxremlife,A8taxvalue-SUM($F170:M170),IF(A8taxremlife="N/A","n/a",A8taxvalue/A8taxremlife))</f>
        <v>0</v>
      </c>
      <c r="O170" s="67">
        <f>IF(O$3&gt;A8taxremlife,A8taxvalue-SUM($F170:N170),IF(A8taxremlife="N/A","n/a",A8taxvalue/A8taxremlife))</f>
        <v>0</v>
      </c>
      <c r="P170" s="67">
        <f>IF(P$3&gt;A8taxremlife,A8taxvalue-SUM($F170:O170),IF(A8taxremlife="N/A","n/a",A8taxvalue/A8taxremlife))</f>
        <v>0</v>
      </c>
      <c r="Q170" s="67">
        <f>IF(Q$3&gt;A8taxremlife,A8taxvalue-SUM($F170:P170),IF(A8taxremlife="N/A","n/a",A8taxvalue/A8taxremlife))</f>
        <v>0</v>
      </c>
      <c r="R170" s="67"/>
      <c r="S170" s="103"/>
      <c r="T170" s="103"/>
      <c r="U170" s="103"/>
      <c r="V170" s="103"/>
      <c r="W170" s="103"/>
      <c r="X170" s="103"/>
      <c r="Y170" s="103"/>
      <c r="Z170" s="103"/>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187"/>
      <c r="BK170" s="187"/>
      <c r="BL170" s="187"/>
      <c r="BM170" s="187"/>
      <c r="BN170" s="187"/>
      <c r="BO170" s="187"/>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26"/>
      <c r="D171" s="671" t="s">
        <v>84</v>
      </c>
      <c r="E171" s="86">
        <v>0</v>
      </c>
      <c r="F171" s="27"/>
      <c r="G171" s="206"/>
      <c r="H171" s="68"/>
      <c r="I171" s="68"/>
      <c r="J171" s="68"/>
      <c r="K171" s="68"/>
      <c r="L171" s="68"/>
      <c r="M171" s="68"/>
      <c r="N171" s="68"/>
      <c r="O171" s="68"/>
      <c r="P171" s="68"/>
      <c r="Q171" s="68"/>
      <c r="R171" s="68"/>
      <c r="S171" s="103"/>
      <c r="T171" s="103"/>
      <c r="U171" s="103"/>
      <c r="V171" s="103"/>
      <c r="W171" s="103"/>
      <c r="X171" s="103"/>
      <c r="Y171" s="103"/>
      <c r="Z171" s="103"/>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187"/>
      <c r="BK171" s="187"/>
      <c r="BL171" s="187"/>
      <c r="BM171" s="187"/>
      <c r="BN171" s="187"/>
      <c r="BO171" s="187"/>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26"/>
      <c r="D172" s="672"/>
      <c r="E172" s="86">
        <v>1</v>
      </c>
      <c r="F172" s="27"/>
      <c r="G172" s="207"/>
      <c r="H172" s="68">
        <f>IF(A8taxstdlife="n/a","n/a",IF(H$3&gt;(A8taxstdlife+$E172),(Input!$G$48-Input!$G$82)-SUM($G172:G172),(Input!$G$48-Input!$G$82)/A8taxstdlife))</f>
        <v>0</v>
      </c>
      <c r="I172" s="68">
        <f>IF(A8taxstdlife="n/a","n/a",IF(I$3&gt;(A8taxstdlife+$E172),(Input!$G$48-Input!$G$82)-SUM($G172:H172),(Input!$G$48-Input!$G$82)/A8taxstdlife))</f>
        <v>0</v>
      </c>
      <c r="J172" s="68">
        <f>IF(A8taxstdlife="n/a","n/a",IF(J$3&gt;(A8taxstdlife+$E172),(Input!$G$48-Input!$G$82)-SUM($G172:I172),(Input!$G$48-Input!$G$82)/A8taxstdlife))</f>
        <v>0</v>
      </c>
      <c r="K172" s="68">
        <f>IF(A8taxstdlife="n/a","n/a",IF(K$3&gt;(A8taxstdlife+$E172),(Input!$G$48-Input!$G$82)-SUM($G172:J172),(Input!$G$48-Input!$G$82)/A8taxstdlife))</f>
        <v>0</v>
      </c>
      <c r="L172" s="68">
        <f>IF(A8taxstdlife="n/a","n/a",IF(L$3&gt;(A8taxstdlife+$E172),(Input!$G$48-Input!$G$82)-SUM($G172:K172),(Input!$G$48-Input!$G$82)/A8taxstdlife))</f>
        <v>0</v>
      </c>
      <c r="M172" s="68">
        <f>IF(A8taxstdlife="n/a","n/a",IF(M$3&gt;(A8taxstdlife+$E172),(Input!$G$48-Input!$G$82)-SUM($G172:L172),(Input!$G$48-Input!$G$82)/A8taxstdlife))</f>
        <v>0</v>
      </c>
      <c r="N172" s="68">
        <f>IF(A8taxstdlife="n/a","n/a",IF(N$3&gt;(A8taxstdlife+$E172),(Input!$G$48-Input!$G$82)-SUM($G172:M172),(Input!$G$48-Input!$G$82)/A8taxstdlife))</f>
        <v>0</v>
      </c>
      <c r="O172" s="68">
        <f>IF(A8taxstdlife="n/a","n/a",IF(O$3&gt;(A8taxstdlife+$E172),(Input!$G$48-Input!$G$82)-SUM($G172:N172),(Input!$G$48-Input!$G$82)/A8taxstdlife))</f>
        <v>0</v>
      </c>
      <c r="P172" s="68">
        <f>IF(A8taxstdlife="n/a","n/a",IF(P$3&gt;(A8taxstdlife+$E172),(Input!$G$48-Input!$G$82)-SUM($G172:O172),(Input!$G$48-Input!$G$82)/A8taxstdlife))</f>
        <v>0</v>
      </c>
      <c r="Q172" s="68">
        <f>IF(A8taxstdlife="n/a","n/a",IF(Q$3&gt;(A8taxstdlife+$E172),(Input!$G$48-Input!$G$82)-SUM($G172:P172),(Input!$G$48-Input!$G$82)/A8taxstdlife))</f>
        <v>0</v>
      </c>
      <c r="R172" s="68"/>
      <c r="S172" s="103"/>
      <c r="T172" s="103"/>
      <c r="U172" s="103"/>
      <c r="V172" s="103"/>
      <c r="W172" s="103"/>
      <c r="X172" s="103"/>
      <c r="Y172" s="103"/>
      <c r="Z172" s="103"/>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2">
      <c r="A173" s="9"/>
      <c r="B173" s="9"/>
      <c r="C173" s="26"/>
      <c r="D173" s="672"/>
      <c r="E173" s="86">
        <v>2</v>
      </c>
      <c r="F173" s="27"/>
      <c r="G173" s="208"/>
      <c r="H173" s="149"/>
      <c r="I173" s="68">
        <f>IF(A8taxstdlife="n/a","n/a",IF(I$3&gt;(A8taxstdlife+$E173),(Input!$H$48-Input!$H$82)-SUM($H173:H173),(Input!$H$48-Input!$H$82)/A8taxstdlife))</f>
        <v>0</v>
      </c>
      <c r="J173" s="68">
        <f>IF(A8taxstdlife="n/a","n/a",IF(J$3&gt;(A8taxstdlife+$E173),(Input!$H$48-Input!$H$82)-SUM($H173:I173),(Input!$H$48-Input!$H$82)/A8taxstdlife))</f>
        <v>0</v>
      </c>
      <c r="K173" s="68">
        <f>IF(A8taxstdlife="n/a","n/a",IF(K$3&gt;(A8taxstdlife+$E173),(Input!$H$48-Input!$H$82)-SUM($H173:J173),(Input!$H$48-Input!$H$82)/A8taxstdlife))</f>
        <v>0</v>
      </c>
      <c r="L173" s="68">
        <f>IF(A8taxstdlife="n/a","n/a",IF(L$3&gt;(A8taxstdlife+$E173),(Input!$H$48-Input!$H$82)-SUM($H173:K173),(Input!$H$48-Input!$H$82)/A8taxstdlife))</f>
        <v>0</v>
      </c>
      <c r="M173" s="68">
        <f>IF(A8taxstdlife="n/a","n/a",IF(M$3&gt;(A8taxstdlife+$E173),(Input!$H$48-Input!$H$82)-SUM($H173:L173),(Input!$H$48-Input!$H$82)/A8taxstdlife))</f>
        <v>0</v>
      </c>
      <c r="N173" s="68">
        <f>IF(A8taxstdlife="n/a","n/a",IF(N$3&gt;(A8taxstdlife+$E173),(Input!$H$48-Input!$H$82)-SUM($H173:M173),(Input!$H$48-Input!$H$82)/A8taxstdlife))</f>
        <v>0</v>
      </c>
      <c r="O173" s="68">
        <f>IF(A8taxstdlife="n/a","n/a",IF(O$3&gt;(A8taxstdlife+$E173),(Input!$H$48-Input!$H$82)-SUM($H173:N173),(Input!$H$48-Input!$H$82)/A8taxstdlife))</f>
        <v>0</v>
      </c>
      <c r="P173" s="68">
        <f>IF(A8taxstdlife="n/a","n/a",IF(P$3&gt;(A8taxstdlife+$E173),(Input!$H$48-Input!$H$82)-SUM($H173:O173),(Input!$H$48-Input!$H$82)/A8taxstdlife))</f>
        <v>0</v>
      </c>
      <c r="Q173" s="68">
        <f>IF(A8taxstdlife="n/a","n/a",IF(Q$3&gt;(A8taxstdlife+$E173),(Input!$H$48-Input!$H$82)-SUM($H173:P173),(Input!$H$48-Input!$H$82)/A8taxstdlife))</f>
        <v>0</v>
      </c>
      <c r="R173" s="68"/>
      <c r="S173" s="103"/>
      <c r="T173" s="103"/>
      <c r="U173" s="103"/>
      <c r="V173" s="103"/>
      <c r="W173" s="103"/>
      <c r="X173" s="103"/>
      <c r="Y173" s="103"/>
      <c r="Z173" s="103"/>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26"/>
      <c r="D174" s="672"/>
      <c r="E174" s="86">
        <v>3</v>
      </c>
      <c r="F174" s="27"/>
      <c r="G174" s="208"/>
      <c r="H174" s="150"/>
      <c r="I174" s="149"/>
      <c r="J174" s="68">
        <f>IF(A8taxstdlife="n/a","n/a",IF(J$3&gt;(A8taxstdlife+$E174),(Input!$I$48-Input!$I$82)-SUM($I174:I174),(Input!$I$48-Input!$I$82)/A8taxstdlife))</f>
        <v>0</v>
      </c>
      <c r="K174" s="68">
        <f>IF(A8taxstdlife="n/a","n/a",IF(K$3&gt;(A8taxstdlife+$E174),(Input!$I$48-Input!$I$82)-SUM($I174:J174),(Input!$I$48-Input!$I$82)/A8taxstdlife))</f>
        <v>0</v>
      </c>
      <c r="L174" s="68">
        <f>IF(A8taxstdlife="n/a","n/a",IF(L$3&gt;(A8taxstdlife+$E174),(Input!$I$48-Input!$I$82)-SUM($I174:K174),(Input!$I$48-Input!$I$82)/A8taxstdlife))</f>
        <v>0</v>
      </c>
      <c r="M174" s="68">
        <f>IF(A8taxstdlife="n/a","n/a",IF(M$3&gt;(A8taxstdlife+$E174),(Input!$I$48-Input!$I$82)-SUM($I174:L174),(Input!$I$48-Input!$I$82)/A8taxstdlife))</f>
        <v>0</v>
      </c>
      <c r="N174" s="68">
        <f>IF(A8taxstdlife="n/a","n/a",IF(N$3&gt;(A8taxstdlife+$E174),(Input!$I$48-Input!$I$82)-SUM($I174:M174),(Input!$I$48-Input!$I$82)/A8taxstdlife))</f>
        <v>0</v>
      </c>
      <c r="O174" s="68">
        <f>IF(A8taxstdlife="n/a","n/a",IF(O$3&gt;(A8taxstdlife+$E174),(Input!$I$48-Input!$I$82)-SUM($I174:N174),(Input!$I$48-Input!$I$82)/A8taxstdlife))</f>
        <v>0</v>
      </c>
      <c r="P174" s="68">
        <f>IF(A8taxstdlife="n/a","n/a",IF(P$3&gt;(A8taxstdlife+$E174),(Input!$I$48-Input!$I$82)-SUM($I174:O174),(Input!$I$48-Input!$I$82)/A8taxstdlife))</f>
        <v>0</v>
      </c>
      <c r="Q174" s="68">
        <f>IF(A8taxstdlife="n/a","n/a",IF(Q$3&gt;(A8taxstdlife+$E174),(Input!$I$48-Input!$I$82)-SUM($I174:P174),(Input!$I$48-Input!$I$82)/A8taxstdlife))</f>
        <v>0</v>
      </c>
      <c r="R174" s="68"/>
      <c r="S174" s="103"/>
      <c r="T174" s="103"/>
      <c r="U174" s="103"/>
      <c r="V174" s="103"/>
      <c r="W174" s="103"/>
      <c r="X174" s="103"/>
      <c r="Y174" s="103"/>
      <c r="Z174" s="103"/>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26"/>
      <c r="D175" s="672"/>
      <c r="E175" s="86">
        <v>4</v>
      </c>
      <c r="F175" s="27"/>
      <c r="G175" s="208"/>
      <c r="H175" s="150"/>
      <c r="I175" s="150"/>
      <c r="J175" s="149"/>
      <c r="K175" s="68">
        <f>IF(A8taxstdlife="n/a","n/a",IF(K$3&gt;(A8taxstdlife+$E175),(Input!$J$48-Input!$J$82)-SUM($J175:J175),(Input!$J$48-Input!$J$82)/A8taxstdlife))</f>
        <v>0</v>
      </c>
      <c r="L175" s="68">
        <f>IF(A8taxstdlife="n/a","n/a",IF(L$3&gt;(A8taxstdlife+$E175),(Input!$J$48-Input!$J$82)-SUM($J175:K175),(Input!$J$48-Input!$J$82)/A8taxstdlife))</f>
        <v>0</v>
      </c>
      <c r="M175" s="68">
        <f>IF(A8taxstdlife="n/a","n/a",IF(M$3&gt;(A8taxstdlife+$E175),(Input!$J$48-Input!$J$82)-SUM($J175:L175),(Input!$J$48-Input!$J$82)/A8taxstdlife))</f>
        <v>0</v>
      </c>
      <c r="N175" s="68">
        <f>IF(A8taxstdlife="n/a","n/a",IF(N$3&gt;(A8taxstdlife+$E175),(Input!$J$48-Input!$J$82)-SUM($J175:M175),(Input!$J$48-Input!$J$82)/A8taxstdlife))</f>
        <v>0</v>
      </c>
      <c r="O175" s="68">
        <f>IF(A8taxstdlife="n/a","n/a",IF(O$3&gt;(A8taxstdlife+$E175),(Input!$J$48-Input!$J$82)-SUM($J175:N175),(Input!$J$48-Input!$J$82)/A8taxstdlife))</f>
        <v>0</v>
      </c>
      <c r="P175" s="68">
        <f>IF(A8taxstdlife="n/a","n/a",IF(P$3&gt;(A8taxstdlife+$E175),(Input!$J$48-Input!$J$82)-SUM($J175:O175),(Input!$J$48-Input!$J$82)/A8taxstdlife))</f>
        <v>0</v>
      </c>
      <c r="Q175" s="68">
        <f>IF(A8taxstdlife="n/a","n/a",IF(Q$3&gt;(A8taxstdlife+$E175),(Input!$J$48-Input!$J$82)-SUM($J175:P175),(Input!$J$48-Input!$J$82)/A8taxstdlife))</f>
        <v>0</v>
      </c>
      <c r="R175" s="68"/>
      <c r="S175" s="103"/>
      <c r="T175" s="103"/>
      <c r="U175" s="103"/>
      <c r="V175" s="103"/>
      <c r="W175" s="103"/>
      <c r="X175" s="103"/>
      <c r="Y175" s="103"/>
      <c r="Z175" s="103"/>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26"/>
      <c r="D176" s="672"/>
      <c r="E176" s="86">
        <v>5</v>
      </c>
      <c r="F176" s="27"/>
      <c r="G176" s="208"/>
      <c r="H176" s="150"/>
      <c r="I176" s="150"/>
      <c r="J176" s="150"/>
      <c r="K176" s="149"/>
      <c r="L176" s="68">
        <f>IF(A8taxstdlife="n/a","n/a",IF(L$3&gt;(A8taxstdlife+$E176),(Input!$K$48-Input!$K$82)-SUM($K176:K176),(Input!$K$48-Input!$K$82)/A8taxstdlife))</f>
        <v>0</v>
      </c>
      <c r="M176" s="68">
        <f>IF(A8taxstdlife="n/a","n/a",IF(M$3&gt;(A8taxstdlife+$E176),(Input!$K$48-Input!$K$82)-SUM($K176:L176),(Input!$K$48-Input!$K$82)/A8taxstdlife))</f>
        <v>0</v>
      </c>
      <c r="N176" s="68">
        <f>IF(A8taxstdlife="n/a","n/a",IF(N$3&gt;(A8taxstdlife+$E176),(Input!$K$48-Input!$K$82)-SUM($K176:M176),(Input!$K$48-Input!$K$82)/A8taxstdlife))</f>
        <v>0</v>
      </c>
      <c r="O176" s="68">
        <f>IF(A8taxstdlife="n/a","n/a",IF(O$3&gt;(A8taxstdlife+$E176),(Input!$K$48-Input!$K$82)-SUM($K176:N176),(Input!$K$48-Input!$K$82)/A8taxstdlife))</f>
        <v>0</v>
      </c>
      <c r="P176" s="68">
        <f>IF(A8taxstdlife="n/a","n/a",IF(P$3&gt;(A8taxstdlife+$E176),(Input!$K$48-Input!$K$82)-SUM($K176:O176),(Input!$K$48-Input!$K$82)/A8taxstdlife))</f>
        <v>0</v>
      </c>
      <c r="Q176" s="68">
        <f>IF(A8taxstdlife="n/a","n/a",IF(Q$3&gt;(A8taxstdlife+$E176),(Input!$K$48-Input!$K$82)-SUM($K176:P176),(Input!$K$48-Input!$K$82)/A8taxstdlife))</f>
        <v>0</v>
      </c>
      <c r="R176" s="68"/>
      <c r="S176" s="103"/>
      <c r="T176" s="103"/>
      <c r="U176" s="103"/>
      <c r="V176" s="103"/>
      <c r="W176" s="103"/>
      <c r="X176" s="103"/>
      <c r="Y176" s="103"/>
      <c r="Z176" s="103"/>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26"/>
      <c r="D177" s="672"/>
      <c r="E177" s="86">
        <v>6</v>
      </c>
      <c r="F177" s="27"/>
      <c r="G177" s="208"/>
      <c r="H177" s="150"/>
      <c r="I177" s="150"/>
      <c r="J177" s="150"/>
      <c r="K177" s="150"/>
      <c r="L177" s="149"/>
      <c r="M177" s="68">
        <f>IF(A8taxstdlife="n/a","n/a",IF(M$3&gt;(A8taxstdlife+$E177),(Input!$L$48-Input!$L$82)-SUM($L177:L177),(Input!$L$48-Input!$L$82)/A8taxstdlife))</f>
        <v>0</v>
      </c>
      <c r="N177" s="68">
        <f>IF(A8taxstdlife="n/a","n/a",IF(N$3&gt;(A8taxstdlife+$E177),(Input!$L$48-Input!$L$82)-SUM($L177:M177),(Input!$L$48-Input!$L$82)/A8taxstdlife))</f>
        <v>0</v>
      </c>
      <c r="O177" s="68">
        <f>IF(A8taxstdlife="n/a","n/a",IF(O$3&gt;(A8taxstdlife+$E177),(Input!$L$48-Input!$L$82)-SUM($L177:N177),(Input!$L$48-Input!$L$82)/A8taxstdlife))</f>
        <v>0</v>
      </c>
      <c r="P177" s="68">
        <f>IF(A8taxstdlife="n/a","n/a",IF(P$3&gt;(A8taxstdlife+$E177),(Input!$L$48-Input!$L$82)-SUM($L177:O177),(Input!$L$48-Input!$L$82)/A8taxstdlife))</f>
        <v>0</v>
      </c>
      <c r="Q177" s="68">
        <f>IF(A8taxstdlife="n/a","n/a",IF(Q$3&gt;(A8taxstdlife+$E177),(Input!$L$48-Input!$L$82)-SUM($L177:P177),(Input!$L$48-Input!$L$82)/A8taxstdlife))</f>
        <v>0</v>
      </c>
      <c r="R177" s="68"/>
      <c r="S177" s="103"/>
      <c r="T177" s="103"/>
      <c r="U177" s="103"/>
      <c r="V177" s="103"/>
      <c r="W177" s="103"/>
      <c r="X177" s="103"/>
      <c r="Y177" s="103"/>
      <c r="Z177" s="103"/>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26"/>
      <c r="D178" s="672"/>
      <c r="E178" s="86">
        <v>7</v>
      </c>
      <c r="F178" s="27"/>
      <c r="G178" s="208"/>
      <c r="H178" s="150"/>
      <c r="I178" s="150"/>
      <c r="J178" s="150"/>
      <c r="K178" s="150"/>
      <c r="L178" s="150"/>
      <c r="M178" s="149"/>
      <c r="N178" s="68">
        <f>IF(A8taxstdlife="n/a","n/a",IF(N$3&gt;(A8taxstdlife+$E178),(Input!$M$48-Input!$M$82)-SUM($M178:M178),(Input!$M$48-Input!$M$82)/A8taxstdlife))</f>
        <v>0</v>
      </c>
      <c r="O178" s="68">
        <f>IF(A8taxstdlife="n/a","n/a",IF(O$3&gt;(A8taxstdlife+$E178),(Input!$M$48-Input!$M$82)-SUM($M178:N178),(Input!$M$48-Input!$M$82)/A8taxstdlife))</f>
        <v>0</v>
      </c>
      <c r="P178" s="68">
        <f>IF(A8taxstdlife="n/a","n/a",IF(P$3&gt;(A8taxstdlife+$E178),(Input!$M$48-Input!$M$82)-SUM($M178:O178),(Input!$M$48-Input!$M$82)/A8taxstdlife))</f>
        <v>0</v>
      </c>
      <c r="Q178" s="68">
        <f>IF(A8taxstdlife="n/a","n/a",IF(Q$3&gt;(A8taxstdlife+$E178),(Input!$M$48-Input!$M$82)-SUM($M178:P178),(Input!$M$48-Input!$M$82)/A8taxstdlife))</f>
        <v>0</v>
      </c>
      <c r="R178" s="68"/>
      <c r="S178" s="103"/>
      <c r="T178" s="103"/>
      <c r="U178" s="103"/>
      <c r="V178" s="103"/>
      <c r="W178" s="103"/>
      <c r="X178" s="103"/>
      <c r="Y178" s="103"/>
      <c r="Z178" s="103"/>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26"/>
      <c r="D179" s="672"/>
      <c r="E179" s="86">
        <v>8</v>
      </c>
      <c r="F179" s="27"/>
      <c r="G179" s="208"/>
      <c r="H179" s="150"/>
      <c r="I179" s="150"/>
      <c r="J179" s="150"/>
      <c r="K179" s="150"/>
      <c r="L179" s="150"/>
      <c r="M179" s="150"/>
      <c r="N179" s="149"/>
      <c r="O179" s="68">
        <f>IF(A8taxstdlife="n/a","n/a",IF(O$3&gt;(A8taxstdlife+$E179),(Input!$N$48-Input!$N$82)-SUM($N179:N179),(Input!$N$48-Input!$N$82)/A8taxstdlife))</f>
        <v>0</v>
      </c>
      <c r="P179" s="68">
        <f>IF(A8taxstdlife="n/a","n/a",IF(P$3&gt;(A8taxstdlife+$E179),(Input!$N$48-Input!$N$82)-SUM($N179:O179),(Input!$N$48-Input!$N$82)/A8taxstdlife))</f>
        <v>0</v>
      </c>
      <c r="Q179" s="68">
        <f>IF(A8taxstdlife="n/a","n/a",IF(Q$3&gt;(A8taxstdlife+$E179),(Input!$N$48-Input!$N$82)-SUM($N179:P179),(Input!$N$48-Input!$N$82)/A8taxstdlife))</f>
        <v>0</v>
      </c>
      <c r="R179" s="68"/>
      <c r="S179" s="103"/>
      <c r="T179" s="103"/>
      <c r="U179" s="103"/>
      <c r="V179" s="103"/>
      <c r="W179" s="103"/>
      <c r="X179" s="103"/>
      <c r="Y179" s="103"/>
      <c r="Z179" s="103"/>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26"/>
      <c r="D180" s="672"/>
      <c r="E180" s="86">
        <v>9</v>
      </c>
      <c r="F180" s="27"/>
      <c r="G180" s="208"/>
      <c r="H180" s="150"/>
      <c r="I180" s="150"/>
      <c r="J180" s="150"/>
      <c r="K180" s="150"/>
      <c r="L180" s="150"/>
      <c r="M180" s="150"/>
      <c r="N180" s="150"/>
      <c r="O180" s="149"/>
      <c r="P180" s="68">
        <f>IF(A8taxstdlife="n/a","n/a",IF(P$3&gt;(A8taxstdlife+$E180),(Input!$O$48-Input!$O$82)-SUM($O180:O180),(Input!$O$48-Input!$O$82)/A8taxstdlife))</f>
        <v>0</v>
      </c>
      <c r="Q180" s="68">
        <f>IF(A8taxstdlife="n/a","n/a",IF(Q$3&gt;(A8taxstdlife+$E180),(Input!$O$48-Input!$O$82)-SUM($O180:P180),(Input!$O$48-Input!$O$82)/A8taxstdlife))</f>
        <v>0</v>
      </c>
      <c r="R180" s="68"/>
      <c r="S180" s="103"/>
      <c r="T180" s="103"/>
      <c r="U180" s="103"/>
      <c r="V180" s="103"/>
      <c r="W180" s="103"/>
      <c r="X180" s="103"/>
      <c r="Y180" s="103"/>
      <c r="Z180" s="103"/>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26"/>
      <c r="D181" s="672"/>
      <c r="E181" s="86">
        <v>10</v>
      </c>
      <c r="F181" s="27"/>
      <c r="G181" s="208"/>
      <c r="H181" s="150"/>
      <c r="I181" s="150"/>
      <c r="J181" s="150"/>
      <c r="K181" s="150"/>
      <c r="L181" s="150"/>
      <c r="M181" s="150"/>
      <c r="N181" s="150"/>
      <c r="O181" s="150"/>
      <c r="P181" s="149"/>
      <c r="Q181" s="68">
        <f>IF(A8taxstdlife="n/a","n/a",IF(Q$3&gt;(A8taxstdlife+$E181),(Input!$P$48-Input!$P$82)-SUM($P181:P181),(Input!$P$48-Input!$P$82)/A8taxstdlife))</f>
        <v>0</v>
      </c>
      <c r="R181" s="68"/>
      <c r="S181" s="103"/>
      <c r="T181" s="103"/>
      <c r="U181" s="103"/>
      <c r="V181" s="103"/>
      <c r="W181" s="103"/>
      <c r="X181" s="103"/>
      <c r="Y181" s="103"/>
      <c r="Z181" s="103"/>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26"/>
      <c r="D182" s="672"/>
      <c r="E182" s="87">
        <v>11</v>
      </c>
      <c r="F182" s="27"/>
      <c r="G182" s="208"/>
      <c r="H182" s="150"/>
      <c r="I182" s="150"/>
      <c r="J182" s="150"/>
      <c r="K182" s="150"/>
      <c r="L182" s="150"/>
      <c r="M182" s="150"/>
      <c r="N182" s="150"/>
      <c r="O182" s="150"/>
      <c r="P182" s="189"/>
      <c r="Q182" s="149"/>
      <c r="R182" s="68"/>
      <c r="S182" s="103"/>
      <c r="T182" s="103"/>
      <c r="U182" s="103"/>
      <c r="V182" s="103"/>
      <c r="W182" s="103"/>
      <c r="X182" s="103"/>
      <c r="Y182" s="103"/>
      <c r="Z182" s="103"/>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1">
      <c r="A183" s="9"/>
      <c r="B183" s="9"/>
      <c r="C183" s="26" t="str">
        <f>Asset8</f>
        <v>Land</v>
      </c>
      <c r="D183" s="9"/>
      <c r="E183" s="9"/>
      <c r="F183" s="23"/>
      <c r="G183" s="209">
        <f t="shared" ref="G183:L183" si="42">-SUM(G170:G182)</f>
        <v>0</v>
      </c>
      <c r="H183" s="166">
        <f t="shared" si="42"/>
        <v>0</v>
      </c>
      <c r="I183" s="166">
        <f t="shared" si="42"/>
        <v>0</v>
      </c>
      <c r="J183" s="166">
        <f t="shared" si="42"/>
        <v>0</v>
      </c>
      <c r="K183" s="166">
        <f t="shared" si="42"/>
        <v>0</v>
      </c>
      <c r="L183" s="166">
        <f t="shared" si="42"/>
        <v>0</v>
      </c>
      <c r="M183" s="166">
        <f>IF(Input!M173&gt;0, -SUM(M170:M182), 0)</f>
        <v>0</v>
      </c>
      <c r="N183" s="166">
        <f>IF(Input!N173&gt;0, -SUM(N170:N182), 0)</f>
        <v>0</v>
      </c>
      <c r="O183" s="166">
        <f>IF(Input!O173&gt;0, -SUM(O170:O182), 0)</f>
        <v>0</v>
      </c>
      <c r="P183" s="166">
        <f>IF(Input!P173&gt;0, -SUM(P170:P182), 0)</f>
        <v>0</v>
      </c>
      <c r="Q183" s="166">
        <f>IF(Input!Q173&gt;0, -SUM(Q170:Q182), 0)</f>
        <v>0</v>
      </c>
      <c r="R183" s="64"/>
      <c r="S183" s="102"/>
      <c r="T183" s="102"/>
      <c r="U183" s="102"/>
      <c r="V183" s="102"/>
      <c r="W183" s="102"/>
      <c r="X183" s="102"/>
      <c r="Y183" s="102"/>
      <c r="Z183" s="102"/>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32">
        <f>Asset9</f>
        <v>0</v>
      </c>
      <c r="C184" s="33"/>
      <c r="D184" s="34" t="s">
        <v>67</v>
      </c>
      <c r="E184" s="33"/>
      <c r="F184" s="35"/>
      <c r="G184" s="205">
        <f>IF(G$3&gt;A9taxremlife,A9taxvalue-SUM($F184:F184),IF(A9taxremlife="N/A","n/a",A9taxvalue/A9taxremlife))</f>
        <v>0</v>
      </c>
      <c r="H184" s="67">
        <f>IF(H$3&gt;A9taxremlife,A9taxvalue-SUM($F184:G184),IF(A9taxremlife="N/A","n/a",A9taxvalue/A9taxremlife))</f>
        <v>0</v>
      </c>
      <c r="I184" s="67">
        <f>IF(I$3&gt;A9taxremlife,A9taxvalue-SUM($F184:H184),IF(A9taxremlife="N/A","n/a",A9taxvalue/A9taxremlife))</f>
        <v>0</v>
      </c>
      <c r="J184" s="67">
        <f>IF(J$3&gt;A9taxremlife,A9taxvalue-SUM($F184:I184),IF(A9taxremlife="N/A","n/a",A9taxvalue/A9taxremlife))</f>
        <v>0</v>
      </c>
      <c r="K184" s="67">
        <f>IF(K$3&gt;A9taxremlife,A9taxvalue-SUM($F184:J184),IF(A9taxremlife="N/A","n/a",A9taxvalue/A9taxremlife))</f>
        <v>0</v>
      </c>
      <c r="L184" s="67">
        <f>IF(L$3&gt;A9taxremlife,A9taxvalue-SUM($F184:K184),IF(A9taxremlife="N/A","n/a",A9taxvalue/A9taxremlife))</f>
        <v>0</v>
      </c>
      <c r="M184" s="67">
        <f>IF(M$3&gt;A9taxremlife,A9taxvalue-SUM($F184:L184),IF(A9taxremlife="N/A","n/a",A9taxvalue/A9taxremlife))</f>
        <v>0</v>
      </c>
      <c r="N184" s="67">
        <f>IF(N$3&gt;A9taxremlife,A9taxvalue-SUM($F184:M184),IF(A9taxremlife="N/A","n/a",A9taxvalue/A9taxremlife))</f>
        <v>0</v>
      </c>
      <c r="O184" s="67">
        <f>IF(O$3&gt;A9taxremlife,A9taxvalue-SUM($F184:N184),IF(A9taxremlife="N/A","n/a",A9taxvalue/A9taxremlife))</f>
        <v>0</v>
      </c>
      <c r="P184" s="67">
        <f>IF(P$3&gt;A9taxremlife,A9taxvalue-SUM($F184:O184),IF(A9taxremlife="N/A","n/a",A9taxvalue/A9taxremlife))</f>
        <v>0</v>
      </c>
      <c r="Q184" s="67">
        <f>IF(Q$3&gt;A9taxremlife,A9taxvalue-SUM($F184:P184),IF(A9taxremlife="N/A","n/a",A9taxvalue/A9taxremlife))</f>
        <v>0</v>
      </c>
      <c r="R184" s="67"/>
      <c r="S184" s="103"/>
      <c r="T184" s="103"/>
      <c r="U184" s="103"/>
      <c r="V184" s="103"/>
      <c r="W184" s="103"/>
      <c r="X184" s="103"/>
      <c r="Y184" s="103"/>
      <c r="Z184" s="103"/>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26"/>
      <c r="D185" s="671" t="s">
        <v>84</v>
      </c>
      <c r="E185" s="86">
        <v>0</v>
      </c>
      <c r="F185" s="27"/>
      <c r="G185" s="206"/>
      <c r="H185" s="68"/>
      <c r="I185" s="68"/>
      <c r="J185" s="68"/>
      <c r="K185" s="68"/>
      <c r="L185" s="68"/>
      <c r="M185" s="68"/>
      <c r="N185" s="68"/>
      <c r="O185" s="68"/>
      <c r="P185" s="68"/>
      <c r="Q185" s="68"/>
      <c r="R185" s="68"/>
      <c r="S185" s="103"/>
      <c r="T185" s="103"/>
      <c r="U185" s="103"/>
      <c r="V185" s="103"/>
      <c r="W185" s="103"/>
      <c r="X185" s="103"/>
      <c r="Y185" s="103"/>
      <c r="Z185" s="103"/>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c r="A186" s="9"/>
      <c r="B186" s="9"/>
      <c r="C186" s="26"/>
      <c r="D186" s="672"/>
      <c r="E186" s="86">
        <v>1</v>
      </c>
      <c r="F186" s="27"/>
      <c r="G186" s="207"/>
      <c r="H186" s="68">
        <f>IF(A9taxstdlife="n/a","n/a",IF(H$3&gt;(A9taxstdlife+$E186),(Input!$G$49-Input!$G$83)-SUM($G186:G186),(Input!$G$49-Input!$G$83)/A9taxstdlife))</f>
        <v>0</v>
      </c>
      <c r="I186" s="68">
        <f>IF(A9taxstdlife="n/a","n/a",IF(I$3&gt;(A9taxstdlife+$E186),(Input!$G$49-Input!$G$83)-SUM($G186:H186),(Input!$G$49-Input!$G$83)/A9taxstdlife))</f>
        <v>0</v>
      </c>
      <c r="J186" s="68">
        <f>IF(A9taxstdlife="n/a","n/a",IF(J$3&gt;(A9taxstdlife+$E186),(Input!$G$49-Input!$G$83)-SUM($G186:I186),(Input!$G$49-Input!$G$83)/A9taxstdlife))</f>
        <v>0</v>
      </c>
      <c r="K186" s="68">
        <f>IF(A9taxstdlife="n/a","n/a",IF(K$3&gt;(A9taxstdlife+$E186),(Input!$G$49-Input!$G$83)-SUM($G186:J186),(Input!$G$49-Input!$G$83)/A9taxstdlife))</f>
        <v>0</v>
      </c>
      <c r="L186" s="68">
        <f>IF(A9taxstdlife="n/a","n/a",IF(L$3&gt;(A9taxstdlife+$E186),(Input!$G$49-Input!$G$83)-SUM($G186:K186),(Input!$G$49-Input!$G$83)/A9taxstdlife))</f>
        <v>0</v>
      </c>
      <c r="M186" s="68">
        <f>IF(A9taxstdlife="n/a","n/a",IF(M$3&gt;(A9taxstdlife+$E186),(Input!$G$49-Input!$G$83)-SUM($G186:L186),(Input!$G$49-Input!$G$83)/A9taxstdlife))</f>
        <v>0</v>
      </c>
      <c r="N186" s="68">
        <f>IF(A9taxstdlife="n/a","n/a",IF(N$3&gt;(A9taxstdlife+$E186),(Input!$G$49-Input!$G$83)-SUM($G186:M186),(Input!$G$49-Input!$G$83)/A9taxstdlife))</f>
        <v>0</v>
      </c>
      <c r="O186" s="68">
        <f>IF(A9taxstdlife="n/a","n/a",IF(O$3&gt;(A9taxstdlife+$E186),(Input!$G$49-Input!$G$83)-SUM($G186:N186),(Input!$G$49-Input!$G$83)/A9taxstdlife))</f>
        <v>0</v>
      </c>
      <c r="P186" s="68">
        <f>IF(A9taxstdlife="n/a","n/a",IF(P$3&gt;(A9taxstdlife+$E186),(Input!$G$49-Input!$G$83)-SUM($G186:O186),(Input!$G$49-Input!$G$83)/A9taxstdlife))</f>
        <v>0</v>
      </c>
      <c r="Q186" s="68">
        <f>IF(A9taxstdlife="n/a","n/a",IF(Q$3&gt;(A9taxstdlife+$E186),(Input!$G$49-Input!$G$83)-SUM($G186:P186),(Input!$G$49-Input!$G$83)/A9taxstdlife))</f>
        <v>0</v>
      </c>
      <c r="R186" s="68"/>
      <c r="S186" s="103"/>
      <c r="T186" s="103"/>
      <c r="U186" s="103"/>
      <c r="V186" s="103"/>
      <c r="W186" s="103"/>
      <c r="X186" s="103"/>
      <c r="Y186" s="103"/>
      <c r="Z186" s="103"/>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26"/>
      <c r="D187" s="672"/>
      <c r="E187" s="86">
        <v>2</v>
      </c>
      <c r="F187" s="27"/>
      <c r="G187" s="208"/>
      <c r="H187" s="149"/>
      <c r="I187" s="68">
        <f>IF(A9taxstdlife="n/a","n/a",IF(I$3&gt;(A9taxstdlife+$E187),(Input!$H$49-Input!$H$83)-SUM($H187:H187),(Input!$H$49-Input!$H$83)/A9taxstdlife))</f>
        <v>0</v>
      </c>
      <c r="J187" s="68">
        <f>IF(A9taxstdlife="n/a","n/a",IF(J$3&gt;(A9taxstdlife+$E187),(Input!$H$49-Input!$H$83)-SUM($H187:I187),(Input!$H$49-Input!$H$83)/A9taxstdlife))</f>
        <v>0</v>
      </c>
      <c r="K187" s="68">
        <f>IF(A9taxstdlife="n/a","n/a",IF(K$3&gt;(A9taxstdlife+$E187),(Input!$H$49-Input!$H$83)-SUM($H187:J187),(Input!$H$49-Input!$H$83)/A9taxstdlife))</f>
        <v>0</v>
      </c>
      <c r="L187" s="68">
        <f>IF(A9taxstdlife="n/a","n/a",IF(L$3&gt;(A9taxstdlife+$E187),(Input!$H$49-Input!$H$83)-SUM($H187:K187),(Input!$H$49-Input!$H$83)/A9taxstdlife))</f>
        <v>0</v>
      </c>
      <c r="M187" s="68">
        <f>IF(A9taxstdlife="n/a","n/a",IF(M$3&gt;(A9taxstdlife+$E187),(Input!$H$49-Input!$H$83)-SUM($H187:L187),(Input!$H$49-Input!$H$83)/A9taxstdlife))</f>
        <v>0</v>
      </c>
      <c r="N187" s="68">
        <f>IF(A9taxstdlife="n/a","n/a",IF(N$3&gt;(A9taxstdlife+$E187),(Input!$H$49-Input!$H$83)-SUM($H187:M187),(Input!$H$49-Input!$H$83)/A9taxstdlife))</f>
        <v>0</v>
      </c>
      <c r="O187" s="68">
        <f>IF(A9taxstdlife="n/a","n/a",IF(O$3&gt;(A9taxstdlife+$E187),(Input!$H$49-Input!$H$83)-SUM($H187:N187),(Input!$H$49-Input!$H$83)/A9taxstdlife))</f>
        <v>0</v>
      </c>
      <c r="P187" s="68">
        <f>IF(A9taxstdlife="n/a","n/a",IF(P$3&gt;(A9taxstdlife+$E187),(Input!$H$49-Input!$H$83)-SUM($H187:O187),(Input!$H$49-Input!$H$83)/A9taxstdlife))</f>
        <v>0</v>
      </c>
      <c r="Q187" s="68">
        <f>IF(A9taxstdlife="n/a","n/a",IF(Q$3&gt;(A9taxstdlife+$E187),(Input!$H$49-Input!$H$83)-SUM($H187:P187),(Input!$H$49-Input!$H$83)/A9taxstdlife))</f>
        <v>0</v>
      </c>
      <c r="R187" s="68"/>
      <c r="S187" s="103"/>
      <c r="T187" s="103"/>
      <c r="U187" s="103"/>
      <c r="V187" s="103"/>
      <c r="W187" s="103"/>
      <c r="X187" s="103"/>
      <c r="Y187" s="103"/>
      <c r="Z187" s="103"/>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26"/>
      <c r="D188" s="672"/>
      <c r="E188" s="86">
        <v>3</v>
      </c>
      <c r="F188" s="27"/>
      <c r="G188" s="208"/>
      <c r="H188" s="150"/>
      <c r="I188" s="149"/>
      <c r="J188" s="68">
        <f>IF(A9taxstdlife="n/a","n/a",IF(J$3&gt;(A9taxstdlife+$E188),(Input!$I$49-Input!$I$83)-SUM($I188:I188),(Input!$I$49-Input!$I$83)/A9taxstdlife))</f>
        <v>0</v>
      </c>
      <c r="K188" s="68">
        <f>IF(A9taxstdlife="n/a","n/a",IF(K$3&gt;(A9taxstdlife+$E188),(Input!$I$49-Input!$I$83)-SUM($I188:J188),(Input!$I$49-Input!$I$83)/A9taxstdlife))</f>
        <v>0</v>
      </c>
      <c r="L188" s="68">
        <f>IF(A9taxstdlife="n/a","n/a",IF(L$3&gt;(A9taxstdlife+$E188),(Input!$I$49-Input!$I$83)-SUM($I188:K188),(Input!$I$49-Input!$I$83)/A9taxstdlife))</f>
        <v>0</v>
      </c>
      <c r="M188" s="68">
        <f>IF(A9taxstdlife="n/a","n/a",IF(M$3&gt;(A9taxstdlife+$E188),(Input!$I$49-Input!$I$83)-SUM($I188:L188),(Input!$I$49-Input!$I$83)/A9taxstdlife))</f>
        <v>0</v>
      </c>
      <c r="N188" s="68">
        <f>IF(A9taxstdlife="n/a","n/a",IF(N$3&gt;(A9taxstdlife+$E188),(Input!$I$49-Input!$I$83)-SUM($I188:M188),(Input!$I$49-Input!$I$83)/A9taxstdlife))</f>
        <v>0</v>
      </c>
      <c r="O188" s="68">
        <f>IF(A9taxstdlife="n/a","n/a",IF(O$3&gt;(A9taxstdlife+$E188),(Input!$I$49-Input!$I$83)-SUM($I188:N188),(Input!$I$49-Input!$I$83)/A9taxstdlife))</f>
        <v>0</v>
      </c>
      <c r="P188" s="68">
        <f>IF(A9taxstdlife="n/a","n/a",IF(P$3&gt;(A9taxstdlife+$E188),(Input!$I$49-Input!$I$83)-SUM($I188:O188),(Input!$I$49-Input!$I$83)/A9taxstdlife))</f>
        <v>0</v>
      </c>
      <c r="Q188" s="68">
        <f>IF(A9taxstdlife="n/a","n/a",IF(Q$3&gt;(A9taxstdlife+$E188),(Input!$I$49-Input!$I$83)-SUM($I188:P188),(Input!$I$49-Input!$I$83)/A9taxstdlife))</f>
        <v>0</v>
      </c>
      <c r="R188" s="68"/>
      <c r="S188" s="103"/>
      <c r="T188" s="103"/>
      <c r="U188" s="103"/>
      <c r="V188" s="103"/>
      <c r="W188" s="103"/>
      <c r="X188" s="103"/>
      <c r="Y188" s="103"/>
      <c r="Z188" s="103"/>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26"/>
      <c r="D189" s="672"/>
      <c r="E189" s="86">
        <v>4</v>
      </c>
      <c r="F189" s="27"/>
      <c r="G189" s="208"/>
      <c r="H189" s="150"/>
      <c r="I189" s="150"/>
      <c r="J189" s="149"/>
      <c r="K189" s="68">
        <f>IF(A9taxstdlife="n/a","n/a",IF(K$3&gt;(A9taxstdlife+$E189),(Input!$J$49-Input!$J$83)-SUM($J189:J189),(Input!$J$49-Input!$J$83)/A9taxstdlife))</f>
        <v>0</v>
      </c>
      <c r="L189" s="68">
        <f>IF(A9taxstdlife="n/a","n/a",IF(L$3&gt;(A9taxstdlife+$E189),(Input!$J$49-Input!$J$83)-SUM($J189:K189),(Input!$J$49-Input!$J$83)/A9taxstdlife))</f>
        <v>0</v>
      </c>
      <c r="M189" s="68">
        <f>IF(A9taxstdlife="n/a","n/a",IF(M$3&gt;(A9taxstdlife+$E189),(Input!$J$49-Input!$J$83)-SUM($J189:L189),(Input!$J$49-Input!$J$83)/A9taxstdlife))</f>
        <v>0</v>
      </c>
      <c r="N189" s="68">
        <f>IF(A9taxstdlife="n/a","n/a",IF(N$3&gt;(A9taxstdlife+$E189),(Input!$J$49-Input!$J$83)-SUM($J189:M189),(Input!$J$49-Input!$J$83)/A9taxstdlife))</f>
        <v>0</v>
      </c>
      <c r="O189" s="68">
        <f>IF(A9taxstdlife="n/a","n/a",IF(O$3&gt;(A9taxstdlife+$E189),(Input!$J$49-Input!$J$83)-SUM($J189:N189),(Input!$J$49-Input!$J$83)/A9taxstdlife))</f>
        <v>0</v>
      </c>
      <c r="P189" s="68">
        <f>IF(A9taxstdlife="n/a","n/a",IF(P$3&gt;(A9taxstdlife+$E189),(Input!$J$49-Input!$J$83)-SUM($J189:O189),(Input!$J$49-Input!$J$83)/A9taxstdlife))</f>
        <v>0</v>
      </c>
      <c r="Q189" s="68">
        <f>IF(A9taxstdlife="n/a","n/a",IF(Q$3&gt;(A9taxstdlife+$E189),(Input!$J$49-Input!$J$83)-SUM($J189:P189),(Input!$J$49-Input!$J$83)/A9taxstdlife))</f>
        <v>0</v>
      </c>
      <c r="R189" s="68"/>
      <c r="S189" s="103"/>
      <c r="T189" s="103"/>
      <c r="U189" s="103"/>
      <c r="V189" s="103"/>
      <c r="W189" s="103"/>
      <c r="X189" s="103"/>
      <c r="Y189" s="103"/>
      <c r="Z189" s="103"/>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26"/>
      <c r="D190" s="672"/>
      <c r="E190" s="86">
        <v>5</v>
      </c>
      <c r="F190" s="27"/>
      <c r="G190" s="208"/>
      <c r="H190" s="150"/>
      <c r="I190" s="150"/>
      <c r="J190" s="150"/>
      <c r="K190" s="149"/>
      <c r="L190" s="68">
        <f>IF(A9taxstdlife="n/a","n/a",IF(L$3&gt;(A9taxstdlife+$E190),(Input!$K$49-Input!$K$83)-SUM($K190:K190),(Input!$K$49-Input!$K$83)/A9taxstdlife))</f>
        <v>0</v>
      </c>
      <c r="M190" s="68">
        <f>IF(A9taxstdlife="n/a","n/a",IF(M$3&gt;(A9taxstdlife+$E190),(Input!$K$49-Input!$K$83)-SUM($K190:L190),(Input!$K$49-Input!$K$83)/A9taxstdlife))</f>
        <v>0</v>
      </c>
      <c r="N190" s="68">
        <f>IF(A9taxstdlife="n/a","n/a",IF(N$3&gt;(A9taxstdlife+$E190),(Input!$K$49-Input!$K$83)-SUM($K190:M190),(Input!$K$49-Input!$K$83)/A9taxstdlife))</f>
        <v>0</v>
      </c>
      <c r="O190" s="68">
        <f>IF(A9taxstdlife="n/a","n/a",IF(O$3&gt;(A9taxstdlife+$E190),(Input!$K$49-Input!$K$83)-SUM($K190:N190),(Input!$K$49-Input!$K$83)/A9taxstdlife))</f>
        <v>0</v>
      </c>
      <c r="P190" s="68">
        <f>IF(A9taxstdlife="n/a","n/a",IF(P$3&gt;(A9taxstdlife+$E190),(Input!$K$49-Input!$K$83)-SUM($K190:O190),(Input!$K$49-Input!$K$83)/A9taxstdlife))</f>
        <v>0</v>
      </c>
      <c r="Q190" s="68">
        <f>IF(A9taxstdlife="n/a","n/a",IF(Q$3&gt;(A9taxstdlife+$E190),(Input!$K$49-Input!$K$83)-SUM($K190:P190),(Input!$K$49-Input!$K$83)/A9taxstdlife))</f>
        <v>0</v>
      </c>
      <c r="R190" s="68"/>
      <c r="S190" s="103"/>
      <c r="T190" s="103"/>
      <c r="U190" s="103"/>
      <c r="V190" s="103"/>
      <c r="W190" s="103"/>
      <c r="X190" s="103"/>
      <c r="Y190" s="103"/>
      <c r="Z190" s="103"/>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216"/>
      <c r="BJ190" s="218"/>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26"/>
      <c r="D191" s="672"/>
      <c r="E191" s="86">
        <v>6</v>
      </c>
      <c r="F191" s="27"/>
      <c r="G191" s="208"/>
      <c r="H191" s="150"/>
      <c r="I191" s="150"/>
      <c r="J191" s="150"/>
      <c r="K191" s="150"/>
      <c r="L191" s="149"/>
      <c r="M191" s="68">
        <f>IF(A9taxstdlife="n/a","n/a",IF(M$3&gt;(A9taxstdlife+$E191),(Input!$L$49-Input!$L$83)-SUM($L191:L191),(Input!$L$49-Input!$L$83)/A9taxstdlife))</f>
        <v>0</v>
      </c>
      <c r="N191" s="68">
        <f>IF(A9taxstdlife="n/a","n/a",IF(N$3&gt;(A9taxstdlife+$E191),(Input!$L$49-Input!$L$83)-SUM($L191:M191),(Input!$L$49-Input!$L$83)/A9taxstdlife))</f>
        <v>0</v>
      </c>
      <c r="O191" s="68">
        <f>IF(A9taxstdlife="n/a","n/a",IF(O$3&gt;(A9taxstdlife+$E191),(Input!$L$49-Input!$L$83)-SUM($L191:N191),(Input!$L$49-Input!$L$83)/A9taxstdlife))</f>
        <v>0</v>
      </c>
      <c r="P191" s="68">
        <f>IF(A9taxstdlife="n/a","n/a",IF(P$3&gt;(A9taxstdlife+$E191),(Input!$L$49-Input!$L$83)-SUM($L191:O191),(Input!$L$49-Input!$L$83)/A9taxstdlife))</f>
        <v>0</v>
      </c>
      <c r="Q191" s="68">
        <f>IF(A9taxstdlife="n/a","n/a",IF(Q$3&gt;(A9taxstdlife+$E191),(Input!$L$49-Input!$L$83)-SUM($L191:P191),(Input!$L$49-Input!$L$83)/A9taxstdlife))</f>
        <v>0</v>
      </c>
      <c r="R191" s="68"/>
      <c r="S191" s="103"/>
      <c r="T191" s="103"/>
      <c r="U191" s="103"/>
      <c r="V191" s="103"/>
      <c r="W191" s="103"/>
      <c r="X191" s="103"/>
      <c r="Y191" s="103"/>
      <c r="Z191" s="103"/>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216"/>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26"/>
      <c r="D192" s="672"/>
      <c r="E192" s="86">
        <v>7</v>
      </c>
      <c r="F192" s="27"/>
      <c r="G192" s="208"/>
      <c r="H192" s="150"/>
      <c r="I192" s="150"/>
      <c r="J192" s="150"/>
      <c r="K192" s="150"/>
      <c r="L192" s="150"/>
      <c r="M192" s="149"/>
      <c r="N192" s="68">
        <f>IF(A9taxstdlife="n/a","n/a",IF(N$3&gt;(A9taxstdlife+$E192),(Input!$M$49-Input!$M$83)-SUM($M192:M192),(Input!$M$49-Input!$M$83)/A9taxstdlife))</f>
        <v>0</v>
      </c>
      <c r="O192" s="68">
        <f>IF(A9taxstdlife="n/a","n/a",IF(O$3&gt;(A9taxstdlife+$E192),(Input!$M$49-Input!$M$83)-SUM($M192:N192),(Input!$M$49-Input!$M$83)/A9taxstdlife))</f>
        <v>0</v>
      </c>
      <c r="P192" s="68">
        <f>IF(A9taxstdlife="n/a","n/a",IF(P$3&gt;(A9taxstdlife+$E192),(Input!$M$49-Input!$M$83)-SUM($M192:O192),(Input!$M$49-Input!$M$83)/A9taxstdlife))</f>
        <v>0</v>
      </c>
      <c r="Q192" s="68">
        <f>IF(A9taxstdlife="n/a","n/a",IF(Q$3&gt;(A9taxstdlife+$E192),(Input!$M$49-Input!$M$83)-SUM($M192:P192),(Input!$M$49-Input!$M$83)/A9taxstdlife))</f>
        <v>0</v>
      </c>
      <c r="R192" s="68"/>
      <c r="S192" s="103"/>
      <c r="T192" s="103"/>
      <c r="U192" s="103"/>
      <c r="V192" s="103"/>
      <c r="W192" s="103"/>
      <c r="X192" s="103"/>
      <c r="Y192" s="103"/>
      <c r="Z192" s="103"/>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216"/>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26"/>
      <c r="D193" s="672"/>
      <c r="E193" s="86">
        <v>8</v>
      </c>
      <c r="F193" s="27"/>
      <c r="G193" s="208"/>
      <c r="H193" s="150"/>
      <c r="I193" s="150"/>
      <c r="J193" s="150"/>
      <c r="K193" s="150"/>
      <c r="L193" s="150"/>
      <c r="M193" s="150"/>
      <c r="N193" s="149"/>
      <c r="O193" s="68">
        <f>IF(A9taxstdlife="n/a","n/a",IF(O$3&gt;(A9taxstdlife+$E193),(Input!$N$49-Input!$N$83)-SUM($N193:N193),(Input!$N$49-Input!$N$83)/A9taxstdlife))</f>
        <v>0</v>
      </c>
      <c r="P193" s="68">
        <f>IF(A9taxstdlife="n/a","n/a",IF(P$3&gt;(A9taxstdlife+$E193),(Input!$N$49-Input!$N$83)-SUM($N193:O193),(Input!$N$49-Input!$N$83)/A9taxstdlife))</f>
        <v>0</v>
      </c>
      <c r="Q193" s="68">
        <f>IF(A9taxstdlife="n/a","n/a",IF(Q$3&gt;(A9taxstdlife+$E193),(Input!$N$49-Input!$N$83)-SUM($N193:P193),(Input!$N$49-Input!$N$83)/A9taxstdlife))</f>
        <v>0</v>
      </c>
      <c r="R193" s="68"/>
      <c r="S193" s="103"/>
      <c r="T193" s="103"/>
      <c r="U193" s="103"/>
      <c r="V193" s="103"/>
      <c r="W193" s="103"/>
      <c r="X193" s="103"/>
      <c r="Y193" s="103"/>
      <c r="Z193" s="103"/>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216"/>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26"/>
      <c r="D194" s="672"/>
      <c r="E194" s="86">
        <v>9</v>
      </c>
      <c r="F194" s="27"/>
      <c r="G194" s="208"/>
      <c r="H194" s="150"/>
      <c r="I194" s="150"/>
      <c r="J194" s="150"/>
      <c r="K194" s="150"/>
      <c r="L194" s="150"/>
      <c r="M194" s="150"/>
      <c r="N194" s="150"/>
      <c r="O194" s="149"/>
      <c r="P194" s="68">
        <f>IF(A9taxstdlife="n/a","n/a",IF(P$3&gt;(A9taxstdlife+$E194),(Input!$O$49-Input!$O$83)-SUM($O194:O194),(Input!$O$49-Input!$O$83)/A9taxstdlife))</f>
        <v>0</v>
      </c>
      <c r="Q194" s="68">
        <f>IF(A9taxstdlife="n/a","n/a",IF(Q$3&gt;(A9taxstdlife+$E194),(Input!$O$49-Input!$O$83)-SUM($O194:P194),(Input!$O$49-Input!$O$83)/A9taxstdlife))</f>
        <v>0</v>
      </c>
      <c r="R194" s="68"/>
      <c r="S194" s="103"/>
      <c r="T194" s="103"/>
      <c r="U194" s="103"/>
      <c r="V194" s="103"/>
      <c r="W194" s="103"/>
      <c r="X194" s="103"/>
      <c r="Y194" s="103"/>
      <c r="Z194" s="103"/>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216"/>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26"/>
      <c r="D195" s="672"/>
      <c r="E195" s="86">
        <v>10</v>
      </c>
      <c r="F195" s="27"/>
      <c r="G195" s="208"/>
      <c r="H195" s="150"/>
      <c r="I195" s="150"/>
      <c r="J195" s="150"/>
      <c r="K195" s="150"/>
      <c r="L195" s="150"/>
      <c r="M195" s="150"/>
      <c r="N195" s="150"/>
      <c r="O195" s="150"/>
      <c r="P195" s="149"/>
      <c r="Q195" s="68">
        <f>IF(A9taxstdlife="n/a","n/a",IF(Q$3&gt;(A9taxstdlife+$E195),(Input!$P$49-Input!$P$83)-SUM($P195:P195),(Input!$P$49-Input!$P$83)/A9taxstdlife))</f>
        <v>0</v>
      </c>
      <c r="R195" s="68"/>
      <c r="S195" s="103"/>
      <c r="T195" s="103"/>
      <c r="U195" s="103"/>
      <c r="V195" s="103"/>
      <c r="W195" s="103"/>
      <c r="X195" s="103"/>
      <c r="Y195" s="103"/>
      <c r="Z195" s="103"/>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216"/>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26"/>
      <c r="D196" s="672"/>
      <c r="E196" s="87">
        <v>11</v>
      </c>
      <c r="F196" s="27"/>
      <c r="G196" s="208"/>
      <c r="H196" s="150"/>
      <c r="I196" s="150"/>
      <c r="J196" s="150"/>
      <c r="K196" s="150"/>
      <c r="L196" s="150"/>
      <c r="M196" s="150"/>
      <c r="N196" s="150"/>
      <c r="O196" s="150"/>
      <c r="P196" s="189"/>
      <c r="Q196" s="149"/>
      <c r="R196" s="68"/>
      <c r="S196" s="103"/>
      <c r="T196" s="103"/>
      <c r="U196" s="103"/>
      <c r="V196" s="103"/>
      <c r="W196" s="103"/>
      <c r="X196" s="103"/>
      <c r="Y196" s="103"/>
      <c r="Z196" s="103"/>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216"/>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1">
      <c r="A197" s="9"/>
      <c r="B197" s="9"/>
      <c r="C197" s="26">
        <f>Asset9</f>
        <v>0</v>
      </c>
      <c r="D197" s="9"/>
      <c r="E197" s="9"/>
      <c r="F197" s="23"/>
      <c r="G197" s="209">
        <f t="shared" ref="G197:L197" si="43">-SUM(G184:G196)</f>
        <v>0</v>
      </c>
      <c r="H197" s="166">
        <f t="shared" si="43"/>
        <v>0</v>
      </c>
      <c r="I197" s="166">
        <f t="shared" si="43"/>
        <v>0</v>
      </c>
      <c r="J197" s="166">
        <f t="shared" si="43"/>
        <v>0</v>
      </c>
      <c r="K197" s="166">
        <f t="shared" si="43"/>
        <v>0</v>
      </c>
      <c r="L197" s="166">
        <f t="shared" si="43"/>
        <v>0</v>
      </c>
      <c r="M197" s="166">
        <f>IF(Input!M173&gt;0, -SUM(M184:M196), 0)</f>
        <v>0</v>
      </c>
      <c r="N197" s="166">
        <f>IF(Input!N173&gt;0, -SUM(N184:N196), 0)</f>
        <v>0</v>
      </c>
      <c r="O197" s="166">
        <f>IF(Input!O173&gt;0, -SUM(O184:O196), 0)</f>
        <v>0</v>
      </c>
      <c r="P197" s="166">
        <f>IF(Input!P173&gt;0, -SUM(P184:P196), 0)</f>
        <v>0</v>
      </c>
      <c r="Q197" s="166">
        <f>IF(Input!Q173&gt;0, -SUM(Q184:Q196), 0)</f>
        <v>0</v>
      </c>
      <c r="R197" s="64"/>
      <c r="S197" s="102"/>
      <c r="T197" s="102"/>
      <c r="U197" s="102"/>
      <c r="V197" s="102"/>
      <c r="W197" s="102"/>
      <c r="X197" s="102"/>
      <c r="Y197" s="102"/>
      <c r="Z197" s="102"/>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32">
        <f>Asset10</f>
        <v>0</v>
      </c>
      <c r="C198" s="33"/>
      <c r="D198" s="34" t="s">
        <v>67</v>
      </c>
      <c r="E198" s="33"/>
      <c r="F198" s="35"/>
      <c r="G198" s="205">
        <f>IF(G$3&gt;A10taxremlife,A10taxvalue-SUM($F198:F198),IF(A10taxremlife="N/A","n/a",A10taxvalue/A10taxremlife))</f>
        <v>0</v>
      </c>
      <c r="H198" s="67">
        <f>IF(H$3&gt;A10taxremlife,A10taxvalue-SUM($F198:G198),IF(A10taxremlife="N/A","n/a",A10taxvalue/A10taxremlife))</f>
        <v>0</v>
      </c>
      <c r="I198" s="67">
        <f>IF(I$3&gt;A10taxremlife,A10taxvalue-SUM($F198:H198),IF(A10taxremlife="N/A","n/a",A10taxvalue/A10taxremlife))</f>
        <v>0</v>
      </c>
      <c r="J198" s="67">
        <f>IF(J$3&gt;A10taxremlife,A10taxvalue-SUM($F198:I198),IF(A10taxremlife="N/A","n/a",A10taxvalue/A10taxremlife))</f>
        <v>0</v>
      </c>
      <c r="K198" s="67">
        <f>IF(K$3&gt;A10taxremlife,A10taxvalue-SUM($F198:J198),IF(A10taxremlife="N/A","n/a",A10taxvalue/A10taxremlife))</f>
        <v>0</v>
      </c>
      <c r="L198" s="67">
        <f>IF(L$3&gt;A10taxremlife,A10taxvalue-SUM($F198:K198),IF(A10taxremlife="N/A","n/a",A10taxvalue/A10taxremlife))</f>
        <v>0</v>
      </c>
      <c r="M198" s="67">
        <f>IF(M$3&gt;A10taxremlife,A10taxvalue-SUM($F198:L198),IF(A10taxremlife="N/A","n/a",A10taxvalue/A10taxremlife))</f>
        <v>0</v>
      </c>
      <c r="N198" s="67">
        <f>IF(N$3&gt;A10taxremlife,A10taxvalue-SUM($F198:M198),IF(A10taxremlife="N/A","n/a",A10taxvalue/A10taxremlife))</f>
        <v>0</v>
      </c>
      <c r="O198" s="67">
        <f>IF(O$3&gt;A10taxremlife,A10taxvalue-SUM($F198:N198),IF(A10taxremlife="N/A","n/a",A10taxvalue/A10taxremlife))</f>
        <v>0</v>
      </c>
      <c r="P198" s="67">
        <f>IF(P$3&gt;A10taxremlife,A10taxvalue-SUM($F198:O198),IF(A10taxremlife="N/A","n/a",A10taxvalue/A10taxremlife))</f>
        <v>0</v>
      </c>
      <c r="Q198" s="67">
        <f>IF(Q$3&gt;A10taxremlife,A10taxvalue-SUM($F198:P198),IF(A10taxremlife="N/A","n/a",A10taxvalue/A10taxremlife))</f>
        <v>0</v>
      </c>
      <c r="R198" s="67"/>
      <c r="S198" s="103"/>
      <c r="T198" s="103"/>
      <c r="U198" s="103"/>
      <c r="V198" s="103"/>
      <c r="W198" s="103"/>
      <c r="X198" s="103"/>
      <c r="Y198" s="103"/>
      <c r="Z198" s="103"/>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2">
      <c r="A199" s="9"/>
      <c r="B199" s="9"/>
      <c r="C199" s="26"/>
      <c r="D199" s="671" t="s">
        <v>84</v>
      </c>
      <c r="E199" s="86">
        <v>0</v>
      </c>
      <c r="F199" s="27"/>
      <c r="G199" s="206"/>
      <c r="H199" s="68"/>
      <c r="I199" s="68"/>
      <c r="J199" s="68"/>
      <c r="K199" s="68"/>
      <c r="L199" s="68"/>
      <c r="M199" s="68"/>
      <c r="N199" s="68"/>
      <c r="O199" s="68"/>
      <c r="P199" s="68"/>
      <c r="Q199" s="68"/>
      <c r="R199" s="68"/>
      <c r="S199" s="103"/>
      <c r="T199" s="103"/>
      <c r="U199" s="103"/>
      <c r="V199" s="103"/>
      <c r="W199" s="103"/>
      <c r="X199" s="103"/>
      <c r="Y199" s="103"/>
      <c r="Z199" s="103"/>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6"/>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26"/>
      <c r="D200" s="672"/>
      <c r="E200" s="86">
        <v>1</v>
      </c>
      <c r="F200" s="27"/>
      <c r="G200" s="207"/>
      <c r="H200" s="68">
        <f>IF(A10taxstdlife="n/a","n/a",IF(H$3&gt;(A10taxstdlife+$E200),(Input!$G$50-Input!$G$84)-SUM($G200:G200),(Input!$G$50-Input!$G$84)/A10taxstdlife))</f>
        <v>0</v>
      </c>
      <c r="I200" s="68">
        <f>IF(A10taxstdlife="n/a","n/a",IF(I$3&gt;(A10taxstdlife+$E200),(Input!$G$50-Input!$G$84)-SUM($G200:H200),(Input!$G$50-Input!$G$84)/A10taxstdlife))</f>
        <v>0</v>
      </c>
      <c r="J200" s="68">
        <f>IF(A10taxstdlife="n/a","n/a",IF(J$3&gt;(A10taxstdlife+$E200),(Input!$G$50-Input!$G$84)-SUM($G200:I200),(Input!$G$50-Input!$G$84)/A10taxstdlife))</f>
        <v>0</v>
      </c>
      <c r="K200" s="68">
        <f>IF(A10taxstdlife="n/a","n/a",IF(K$3&gt;(A10taxstdlife+$E200),(Input!$G$50-Input!$G$84)-SUM($G200:J200),(Input!$G$50-Input!$G$84)/A10taxstdlife))</f>
        <v>0</v>
      </c>
      <c r="L200" s="68">
        <f>IF(A10taxstdlife="n/a","n/a",IF(L$3&gt;(A10taxstdlife+$E200),(Input!$G$50-Input!$G$84)-SUM($G200:K200),(Input!$G$50-Input!$G$84)/A10taxstdlife))</f>
        <v>0</v>
      </c>
      <c r="M200" s="68">
        <f>IF(A10taxstdlife="n/a","n/a",IF(M$3&gt;(A10taxstdlife+$E200),(Input!$G$50-Input!$G$84)-SUM($G200:L200),(Input!$G$50-Input!$G$84)/A10taxstdlife))</f>
        <v>0</v>
      </c>
      <c r="N200" s="68">
        <f>IF(A10taxstdlife="n/a","n/a",IF(N$3&gt;(A10taxstdlife+$E200),(Input!$G$50-Input!$G$84)-SUM($G200:M200),(Input!$G$50-Input!$G$84)/A10taxstdlife))</f>
        <v>0</v>
      </c>
      <c r="O200" s="68">
        <f>IF(A10taxstdlife="n/a","n/a",IF(O$3&gt;(A10taxstdlife+$E200),(Input!$G$50-Input!$G$84)-SUM($G200:N200),(Input!$G$50-Input!$G$84)/A10taxstdlife))</f>
        <v>0</v>
      </c>
      <c r="P200" s="68">
        <f>IF(A10taxstdlife="n/a","n/a",IF(P$3&gt;(A10taxstdlife+$E200),(Input!$G$50-Input!$G$84)-SUM($G200:O200),(Input!$G$50-Input!$G$84)/A10taxstdlife))</f>
        <v>0</v>
      </c>
      <c r="Q200" s="68">
        <f>IF(A10taxstdlife="n/a","n/a",IF(Q$3&gt;(A10taxstdlife+$E200),(Input!$G$50-Input!$G$84)-SUM($G200:P200),(Input!$G$50-Input!$G$84)/A10taxstdlife))</f>
        <v>0</v>
      </c>
      <c r="R200" s="68"/>
      <c r="S200" s="103"/>
      <c r="T200" s="103"/>
      <c r="U200" s="103"/>
      <c r="V200" s="103"/>
      <c r="W200" s="103"/>
      <c r="X200" s="103"/>
      <c r="Y200" s="103"/>
      <c r="Z200" s="103"/>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216"/>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26"/>
      <c r="D201" s="672"/>
      <c r="E201" s="86">
        <v>2</v>
      </c>
      <c r="F201" s="27"/>
      <c r="G201" s="208"/>
      <c r="H201" s="149"/>
      <c r="I201" s="68">
        <f>IF(A10taxstdlife="n/a","n/a",IF(I$3&gt;(A10taxstdlife+$E201),(Input!$H$50-Input!$H$84)-SUM($H201:H201),(Input!$H$50-Input!$H$84)/A10taxstdlife))</f>
        <v>0</v>
      </c>
      <c r="J201" s="68">
        <f>IF(A10taxstdlife="n/a","n/a",IF(J$3&gt;(A10taxstdlife+$E201),(Input!$H$50-Input!$H$84)-SUM($H201:I201),(Input!$H$50-Input!$H$84)/A10taxstdlife))</f>
        <v>0</v>
      </c>
      <c r="K201" s="68">
        <f>IF(A10taxstdlife="n/a","n/a",IF(K$3&gt;(A10taxstdlife+$E201),(Input!$H$50-Input!$H$84)-SUM($H201:J201),(Input!$H$50-Input!$H$84)/A10taxstdlife))</f>
        <v>0</v>
      </c>
      <c r="L201" s="68">
        <f>IF(A10taxstdlife="n/a","n/a",IF(L$3&gt;(A10taxstdlife+$E201),(Input!$H$50-Input!$H$84)-SUM($H201:K201),(Input!$H$50-Input!$H$84)/A10taxstdlife))</f>
        <v>0</v>
      </c>
      <c r="M201" s="68">
        <f>IF(A10taxstdlife="n/a","n/a",IF(M$3&gt;(A10taxstdlife+$E201),(Input!$H$50-Input!$H$84)-SUM($H201:L201),(Input!$H$50-Input!$H$84)/A10taxstdlife))</f>
        <v>0</v>
      </c>
      <c r="N201" s="68">
        <f>IF(A10taxstdlife="n/a","n/a",IF(N$3&gt;(A10taxstdlife+$E201),(Input!$H$50-Input!$H$84)-SUM($H201:M201),(Input!$H$50-Input!$H$84)/A10taxstdlife))</f>
        <v>0</v>
      </c>
      <c r="O201" s="68">
        <f>IF(A10taxstdlife="n/a","n/a",IF(O$3&gt;(A10taxstdlife+$E201),(Input!$H$50-Input!$H$84)-SUM($H201:N201),(Input!$H$50-Input!$H$84)/A10taxstdlife))</f>
        <v>0</v>
      </c>
      <c r="P201" s="68">
        <f>IF(A10taxstdlife="n/a","n/a",IF(P$3&gt;(A10taxstdlife+$E201),(Input!$H$50-Input!$H$84)-SUM($H201:O201),(Input!$H$50-Input!$H$84)/A10taxstdlife))</f>
        <v>0</v>
      </c>
      <c r="Q201" s="68">
        <f>IF(A10taxstdlife="n/a","n/a",IF(Q$3&gt;(A10taxstdlife+$E201),(Input!$H$50-Input!$H$84)-SUM($H201:P201),(Input!$H$50-Input!$H$84)/A10taxstdlife))</f>
        <v>0</v>
      </c>
      <c r="R201" s="68"/>
      <c r="S201" s="103"/>
      <c r="T201" s="103"/>
      <c r="U201" s="103"/>
      <c r="V201" s="103"/>
      <c r="W201" s="103"/>
      <c r="X201" s="103"/>
      <c r="Y201" s="103"/>
      <c r="Z201" s="103"/>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216"/>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26"/>
      <c r="D202" s="672"/>
      <c r="E202" s="86">
        <v>3</v>
      </c>
      <c r="F202" s="27"/>
      <c r="G202" s="208"/>
      <c r="H202" s="150"/>
      <c r="I202" s="149"/>
      <c r="J202" s="68">
        <f>IF(A10taxstdlife="n/a","n/a",IF(J$3&gt;(A10taxstdlife+$E202),(Input!$I$50-Input!$I$84)-SUM($I202:I202),(Input!$I$50-Input!$I$84)/A10taxstdlife))</f>
        <v>0</v>
      </c>
      <c r="K202" s="68">
        <f>IF(A10taxstdlife="n/a","n/a",IF(K$3&gt;(A10taxstdlife+$E202),(Input!$I$50-Input!$I$84)-SUM($I202:J202),(Input!$I$50-Input!$I$84)/A10taxstdlife))</f>
        <v>0</v>
      </c>
      <c r="L202" s="68">
        <f>IF(A10taxstdlife="n/a","n/a",IF(L$3&gt;(A10taxstdlife+$E202),(Input!$I$50-Input!$I$84)-SUM($I202:K202),(Input!$I$50-Input!$I$84)/A10taxstdlife))</f>
        <v>0</v>
      </c>
      <c r="M202" s="68">
        <f>IF(A10taxstdlife="n/a","n/a",IF(M$3&gt;(A10taxstdlife+$E202),(Input!$I$50-Input!$I$84)-SUM($I202:L202),(Input!$I$50-Input!$I$84)/A10taxstdlife))</f>
        <v>0</v>
      </c>
      <c r="N202" s="68">
        <f>IF(A10taxstdlife="n/a","n/a",IF(N$3&gt;(A10taxstdlife+$E202),(Input!$I$50-Input!$I$84)-SUM($I202:M202),(Input!$I$50-Input!$I$84)/A10taxstdlife))</f>
        <v>0</v>
      </c>
      <c r="O202" s="68">
        <f>IF(A10taxstdlife="n/a","n/a",IF(O$3&gt;(A10taxstdlife+$E202),(Input!$I$50-Input!$I$84)-SUM($I202:N202),(Input!$I$50-Input!$I$84)/A10taxstdlife))</f>
        <v>0</v>
      </c>
      <c r="P202" s="68">
        <f>IF(A10taxstdlife="n/a","n/a",IF(P$3&gt;(A10taxstdlife+$E202),(Input!$I$50-Input!$I$84)-SUM($I202:O202),(Input!$I$50-Input!$I$84)/A10taxstdlife))</f>
        <v>0</v>
      </c>
      <c r="Q202" s="68">
        <f>IF(A10taxstdlife="n/a","n/a",IF(Q$3&gt;(A10taxstdlife+$E202),(Input!$I$50-Input!$I$84)-SUM($I202:P202),(Input!$I$50-Input!$I$84)/A10taxstdlife))</f>
        <v>0</v>
      </c>
      <c r="R202" s="68"/>
      <c r="S202" s="103"/>
      <c r="T202" s="103"/>
      <c r="U202" s="103"/>
      <c r="V202" s="103"/>
      <c r="W202" s="103"/>
      <c r="X202" s="103"/>
      <c r="Y202" s="103"/>
      <c r="Z202" s="103"/>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216"/>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26"/>
      <c r="D203" s="672"/>
      <c r="E203" s="86">
        <v>4</v>
      </c>
      <c r="F203" s="27"/>
      <c r="G203" s="208"/>
      <c r="H203" s="150"/>
      <c r="I203" s="150"/>
      <c r="J203" s="149"/>
      <c r="K203" s="68">
        <f>IF(A10taxstdlife="n/a","n/a",IF(K$3&gt;(A10taxstdlife+$E203),(Input!$J$50-Input!$J$84)-SUM($J203:J203),(Input!$J$50-Input!$J$84)/A10taxstdlife))</f>
        <v>0</v>
      </c>
      <c r="L203" s="68">
        <f>IF(A10taxstdlife="n/a","n/a",IF(L$3&gt;(A10taxstdlife+$E203),(Input!$J$50-Input!$J$84)-SUM($J203:K203),(Input!$J$50-Input!$J$84)/A10taxstdlife))</f>
        <v>0</v>
      </c>
      <c r="M203" s="68">
        <f>IF(A10taxstdlife="n/a","n/a",IF(M$3&gt;(A10taxstdlife+$E203),(Input!$J$50-Input!$J$84)-SUM($J203:L203),(Input!$J$50-Input!$J$84)/A10taxstdlife))</f>
        <v>0</v>
      </c>
      <c r="N203" s="68">
        <f>IF(A10taxstdlife="n/a","n/a",IF(N$3&gt;(A10taxstdlife+$E203),(Input!$J$50-Input!$J$84)-SUM($J203:M203),(Input!$J$50-Input!$J$84)/A10taxstdlife))</f>
        <v>0</v>
      </c>
      <c r="O203" s="68">
        <f>IF(A10taxstdlife="n/a","n/a",IF(O$3&gt;(A10taxstdlife+$E203),(Input!$J$50-Input!$J$84)-SUM($J203:N203),(Input!$J$50-Input!$J$84)/A10taxstdlife))</f>
        <v>0</v>
      </c>
      <c r="P203" s="68">
        <f>IF(A10taxstdlife="n/a","n/a",IF(P$3&gt;(A10taxstdlife+$E203),(Input!$J$50-Input!$J$84)-SUM($J203:O203),(Input!$J$50-Input!$J$84)/A10taxstdlife))</f>
        <v>0</v>
      </c>
      <c r="Q203" s="68">
        <f>IF(A10taxstdlife="n/a","n/a",IF(Q$3&gt;(A10taxstdlife+$E203),(Input!$J$50-Input!$J$84)-SUM($J203:P203),(Input!$J$50-Input!$J$84)/A10taxstdlife))</f>
        <v>0</v>
      </c>
      <c r="R203" s="68"/>
      <c r="S203" s="103"/>
      <c r="T203" s="103"/>
      <c r="U203" s="103"/>
      <c r="V203" s="103"/>
      <c r="W203" s="103"/>
      <c r="X203" s="103"/>
      <c r="Y203" s="103"/>
      <c r="Z203" s="103"/>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216"/>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26"/>
      <c r="D204" s="672"/>
      <c r="E204" s="86">
        <v>5</v>
      </c>
      <c r="F204" s="27"/>
      <c r="G204" s="208"/>
      <c r="H204" s="150"/>
      <c r="I204" s="150"/>
      <c r="J204" s="150"/>
      <c r="K204" s="149"/>
      <c r="L204" s="68">
        <f>IF(A10taxstdlife="n/a","n/a",IF(L$3&gt;(A10taxstdlife+$E204),(Input!$K$50-Input!$K$84)-SUM($K204:K204),(Input!$K$50-Input!$K$84)/A10taxstdlife))</f>
        <v>0</v>
      </c>
      <c r="M204" s="68">
        <f>IF(A10taxstdlife="n/a","n/a",IF(M$3&gt;(A10taxstdlife+$E204),(Input!$K$50-Input!$K$84)-SUM($K204:L204),(Input!$K$50-Input!$K$84)/A10taxstdlife))</f>
        <v>0</v>
      </c>
      <c r="N204" s="68">
        <f>IF(A10taxstdlife="n/a","n/a",IF(N$3&gt;(A10taxstdlife+$E204),(Input!$K$50-Input!$K$84)-SUM($K204:M204),(Input!$K$50-Input!$K$84)/A10taxstdlife))</f>
        <v>0</v>
      </c>
      <c r="O204" s="68">
        <f>IF(A10taxstdlife="n/a","n/a",IF(O$3&gt;(A10taxstdlife+$E204),(Input!$K$50-Input!$K$84)-SUM($K204:N204),(Input!$K$50-Input!$K$84)/A10taxstdlife))</f>
        <v>0</v>
      </c>
      <c r="P204" s="68">
        <f>IF(A10taxstdlife="n/a","n/a",IF(P$3&gt;(A10taxstdlife+$E204),(Input!$K$50-Input!$K$84)-SUM($K204:O204),(Input!$K$50-Input!$K$84)/A10taxstdlife))</f>
        <v>0</v>
      </c>
      <c r="Q204" s="68">
        <f>IF(A10taxstdlife="n/a","n/a",IF(Q$3&gt;(A10taxstdlife+$E204),(Input!$K$50-Input!$K$84)-SUM($K204:P204),(Input!$K$50-Input!$K$84)/A10taxstdlife))</f>
        <v>0</v>
      </c>
      <c r="R204" s="68"/>
      <c r="S204" s="103"/>
      <c r="T204" s="103"/>
      <c r="U204" s="103"/>
      <c r="V204" s="103"/>
      <c r="W204" s="103"/>
      <c r="X204" s="103"/>
      <c r="Y204" s="103"/>
      <c r="Z204" s="103"/>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216"/>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26"/>
      <c r="D205" s="672"/>
      <c r="E205" s="86">
        <v>6</v>
      </c>
      <c r="F205" s="27"/>
      <c r="G205" s="208"/>
      <c r="H205" s="150"/>
      <c r="I205" s="150"/>
      <c r="J205" s="150"/>
      <c r="K205" s="150"/>
      <c r="L205" s="149"/>
      <c r="M205" s="68">
        <f>IF(A10taxstdlife="n/a","n/a",IF(M$3&gt;(A10taxstdlife+$E205),(Input!$L$50-Input!$L$84)-SUM($L205:L205),(Input!$L$50-Input!$L$84)/A10taxstdlife))</f>
        <v>0</v>
      </c>
      <c r="N205" s="68">
        <f>IF(A10taxstdlife="n/a","n/a",IF(N$3&gt;(A10taxstdlife+$E205),(Input!$L$50-Input!$L$84)-SUM($L205:M205),(Input!$L$50-Input!$L$84)/A10taxstdlife))</f>
        <v>0</v>
      </c>
      <c r="O205" s="68">
        <f>IF(A10taxstdlife="n/a","n/a",IF(O$3&gt;(A10taxstdlife+$E205),(Input!$L$50-Input!$L$84)-SUM($L205:N205),(Input!$L$50-Input!$L$84)/A10taxstdlife))</f>
        <v>0</v>
      </c>
      <c r="P205" s="68">
        <f>IF(A10taxstdlife="n/a","n/a",IF(P$3&gt;(A10taxstdlife+$E205),(Input!$L$50-Input!$L$84)-SUM($L205:O205),(Input!$L$50-Input!$L$84)/A10taxstdlife))</f>
        <v>0</v>
      </c>
      <c r="Q205" s="68">
        <f>IF(A10taxstdlife="n/a","n/a",IF(Q$3&gt;(A10taxstdlife+$E205),(Input!$L$50-Input!$L$84)-SUM($L205:P205),(Input!$L$50-Input!$L$84)/A10taxstdlife))</f>
        <v>0</v>
      </c>
      <c r="R205" s="68"/>
      <c r="S205" s="103"/>
      <c r="T205" s="103"/>
      <c r="U205" s="103"/>
      <c r="V205" s="103"/>
      <c r="W205" s="103"/>
      <c r="X205" s="103"/>
      <c r="Y205" s="103"/>
      <c r="Z205" s="103"/>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26"/>
      <c r="D206" s="672"/>
      <c r="E206" s="86">
        <v>7</v>
      </c>
      <c r="F206" s="27"/>
      <c r="G206" s="208"/>
      <c r="H206" s="150"/>
      <c r="I206" s="150"/>
      <c r="J206" s="150"/>
      <c r="K206" s="150"/>
      <c r="L206" s="150"/>
      <c r="M206" s="149"/>
      <c r="N206" s="68">
        <f>IF(A10taxstdlife="n/a","n/a",IF(N$3&gt;(A10taxstdlife+$E206),(Input!$M$50-Input!$M$84)-SUM($M206:M206),(Input!$M$50-Input!$M$84)/A10taxstdlife))</f>
        <v>0</v>
      </c>
      <c r="O206" s="68">
        <f>IF(A10taxstdlife="n/a","n/a",IF(O$3&gt;(A10taxstdlife+$E206),(Input!$M$50-Input!$M$84)-SUM($M206:N206),(Input!$M$50-Input!$M$84)/A10taxstdlife))</f>
        <v>0</v>
      </c>
      <c r="P206" s="68">
        <f>IF(A10taxstdlife="n/a","n/a",IF(P$3&gt;(A10taxstdlife+$E206),(Input!$M$50-Input!$M$84)-SUM($M206:O206),(Input!$M$50-Input!$M$84)/A10taxstdlife))</f>
        <v>0</v>
      </c>
      <c r="Q206" s="68">
        <f>IF(A10taxstdlife="n/a","n/a",IF(Q$3&gt;(A10taxstdlife+$E206),(Input!$M$50-Input!$M$84)-SUM($M206:P206),(Input!$M$50-Input!$M$84)/A10taxstdlife))</f>
        <v>0</v>
      </c>
      <c r="R206" s="68"/>
      <c r="S206" s="103"/>
      <c r="T206" s="103"/>
      <c r="U206" s="103"/>
      <c r="V206" s="103"/>
      <c r="W206" s="103"/>
      <c r="X206" s="103"/>
      <c r="Y206" s="103"/>
      <c r="Z206" s="103"/>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216"/>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26"/>
      <c r="D207" s="672"/>
      <c r="E207" s="86">
        <v>8</v>
      </c>
      <c r="F207" s="27"/>
      <c r="G207" s="208"/>
      <c r="H207" s="150"/>
      <c r="I207" s="150"/>
      <c r="J207" s="150"/>
      <c r="K207" s="150"/>
      <c r="L207" s="150"/>
      <c r="M207" s="150"/>
      <c r="N207" s="149"/>
      <c r="O207" s="68">
        <f>IF(A10taxstdlife="n/a","n/a",IF(O$3&gt;(A10taxstdlife+$E207),(Input!$N$50-Input!$N$84)-SUM($N207:N207),(Input!$N$50-Input!$N$84)/A10taxstdlife))</f>
        <v>0</v>
      </c>
      <c r="P207" s="68">
        <f>IF(A10taxstdlife="n/a","n/a",IF(P$3&gt;(A10taxstdlife+$E207),(Input!$N$50-Input!$N$84)-SUM($N207:O207),(Input!$N$50-Input!$N$84)/A10taxstdlife))</f>
        <v>0</v>
      </c>
      <c r="Q207" s="68">
        <f>IF(A10taxstdlife="n/a","n/a",IF(Q$3&gt;(A10taxstdlife+$E207),(Input!$N$50-Input!$N$84)-SUM($N207:P207),(Input!$N$50-Input!$N$84)/A10taxstdlife))</f>
        <v>0</v>
      </c>
      <c r="R207" s="68"/>
      <c r="S207" s="103"/>
      <c r="T207" s="103"/>
      <c r="U207" s="103"/>
      <c r="V207" s="103"/>
      <c r="W207" s="103"/>
      <c r="X207" s="103"/>
      <c r="Y207" s="103"/>
      <c r="Z207" s="103"/>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216"/>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26"/>
      <c r="D208" s="672"/>
      <c r="E208" s="86">
        <v>9</v>
      </c>
      <c r="F208" s="27"/>
      <c r="G208" s="208"/>
      <c r="H208" s="150"/>
      <c r="I208" s="150"/>
      <c r="J208" s="150"/>
      <c r="K208" s="150"/>
      <c r="L208" s="150"/>
      <c r="M208" s="150"/>
      <c r="N208" s="150"/>
      <c r="O208" s="149"/>
      <c r="P208" s="68">
        <f>IF(A10taxstdlife="n/a","n/a",IF(P$3&gt;(A10taxstdlife+$E208),(Input!$O$50-Input!$O$84)-SUM($O208:O208),(Input!$O$50-Input!$O$84)/A10taxstdlife))</f>
        <v>0</v>
      </c>
      <c r="Q208" s="68">
        <f>IF(A10taxstdlife="n/a","n/a",IF(Q$3&gt;(A10taxstdlife+$E208),(Input!$O$50-Input!$O$84)-SUM($O208:P208),(Input!$O$50-Input!$O$84)/A10taxstdlife))</f>
        <v>0</v>
      </c>
      <c r="R208" s="68"/>
      <c r="S208" s="103"/>
      <c r="T208" s="103"/>
      <c r="U208" s="103"/>
      <c r="V208" s="103"/>
      <c r="W208" s="103"/>
      <c r="X208" s="103"/>
      <c r="Y208" s="103"/>
      <c r="Z208" s="103"/>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19"/>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26"/>
      <c r="D209" s="672"/>
      <c r="E209" s="86">
        <v>10</v>
      </c>
      <c r="F209" s="27"/>
      <c r="G209" s="208"/>
      <c r="H209" s="150"/>
      <c r="I209" s="150"/>
      <c r="J209" s="150"/>
      <c r="K209" s="150"/>
      <c r="L209" s="150"/>
      <c r="M209" s="150"/>
      <c r="N209" s="150"/>
      <c r="O209" s="150"/>
      <c r="P209" s="149"/>
      <c r="Q209" s="68">
        <f>IF(A10taxstdlife="n/a","n/a",IF(Q$3&gt;(A10taxstdlife+$E209),(Input!$P$50-Input!$P$84)-SUM($P209:P209),(Input!$P$50-Input!$P$84)/A10taxstdlife))</f>
        <v>0</v>
      </c>
      <c r="R209" s="68"/>
      <c r="S209" s="103"/>
      <c r="T209" s="103"/>
      <c r="U209" s="103"/>
      <c r="V209" s="103"/>
      <c r="W209" s="103"/>
      <c r="X209" s="103"/>
      <c r="Y209" s="103"/>
      <c r="Z209" s="103"/>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26"/>
      <c r="D210" s="672"/>
      <c r="E210" s="87">
        <v>11</v>
      </c>
      <c r="F210" s="27"/>
      <c r="G210" s="208"/>
      <c r="H210" s="150"/>
      <c r="I210" s="150"/>
      <c r="J210" s="150"/>
      <c r="K210" s="150"/>
      <c r="L210" s="150"/>
      <c r="M210" s="150"/>
      <c r="N210" s="150"/>
      <c r="O210" s="150"/>
      <c r="P210" s="189"/>
      <c r="Q210" s="149"/>
      <c r="R210" s="68"/>
      <c r="S210" s="103"/>
      <c r="T210" s="103"/>
      <c r="U210" s="103"/>
      <c r="V210" s="103"/>
      <c r="W210" s="103"/>
      <c r="X210" s="103"/>
      <c r="Y210" s="103"/>
      <c r="Z210" s="103"/>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216"/>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1">
      <c r="A211" s="9"/>
      <c r="B211" s="9"/>
      <c r="C211" s="26">
        <f>Asset10</f>
        <v>0</v>
      </c>
      <c r="D211" s="9"/>
      <c r="E211" s="9"/>
      <c r="F211" s="23"/>
      <c r="G211" s="209">
        <f t="shared" ref="G211:L211" si="44">-SUM(G198:G210)</f>
        <v>0</v>
      </c>
      <c r="H211" s="166">
        <f t="shared" si="44"/>
        <v>0</v>
      </c>
      <c r="I211" s="166">
        <f t="shared" si="44"/>
        <v>0</v>
      </c>
      <c r="J211" s="166">
        <f t="shared" si="44"/>
        <v>0</v>
      </c>
      <c r="K211" s="166">
        <f t="shared" si="44"/>
        <v>0</v>
      </c>
      <c r="L211" s="166">
        <f t="shared" si="44"/>
        <v>0</v>
      </c>
      <c r="M211" s="166">
        <f>IF(Input!M173&gt;0, -SUM(M198:M210), 0)</f>
        <v>0</v>
      </c>
      <c r="N211" s="166">
        <f>IF(Input!N173&gt;0, -SUM(N198:N210), 0)</f>
        <v>0</v>
      </c>
      <c r="O211" s="166">
        <f>IF(Input!O173&gt;0, -SUM(O198:O210), 0)</f>
        <v>0</v>
      </c>
      <c r="P211" s="166">
        <f>IF(Input!P173&gt;0, -SUM(P198:P210), 0)</f>
        <v>0</v>
      </c>
      <c r="Q211" s="166">
        <f>IF(Input!Q173&gt;0, -SUM(Q198:Q210), 0)</f>
        <v>0</v>
      </c>
      <c r="R211" s="64"/>
      <c r="S211" s="102"/>
      <c r="T211" s="102"/>
      <c r="U211" s="102"/>
      <c r="V211" s="102"/>
      <c r="W211" s="102"/>
      <c r="X211" s="102"/>
      <c r="Y211" s="102"/>
      <c r="Z211" s="102"/>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2">
      <c r="A212" s="9"/>
      <c r="B212" s="32">
        <f>Asset11</f>
        <v>0</v>
      </c>
      <c r="C212" s="33"/>
      <c r="D212" s="34" t="s">
        <v>67</v>
      </c>
      <c r="E212" s="33"/>
      <c r="F212" s="35"/>
      <c r="G212" s="205">
        <f>IF(G$3&gt;A11taxremlife,A11taxvalue-SUM($F212:F212),IF(A11taxremlife="N/A","n/a",A11taxvalue/A11taxremlife))</f>
        <v>0</v>
      </c>
      <c r="H212" s="67">
        <f>IF(H$3&gt;A11taxremlife,A11taxvalue-SUM($F212:G212),IF(A11taxremlife="N/A","n/a",A11taxvalue/A11taxremlife))</f>
        <v>0</v>
      </c>
      <c r="I212" s="67">
        <f>IF(I$3&gt;A11taxremlife,A11taxvalue-SUM($F212:H212),IF(A11taxremlife="N/A","n/a",A11taxvalue/A11taxremlife))</f>
        <v>0</v>
      </c>
      <c r="J212" s="67">
        <f>IF(J$3&gt;A11taxremlife,A11taxvalue-SUM($F212:I212),IF(A11taxremlife="N/A","n/a",A11taxvalue/A11taxremlife))</f>
        <v>0</v>
      </c>
      <c r="K212" s="67">
        <f>IF(K$3&gt;A11taxremlife,A11taxvalue-SUM($F212:J212),IF(A11taxremlife="N/A","n/a",A11taxvalue/A11taxremlife))</f>
        <v>0</v>
      </c>
      <c r="L212" s="67">
        <f>IF(L$3&gt;A11taxremlife,A11taxvalue-SUM($F212:K212),IF(A11taxremlife="N/A","n/a",A11taxvalue/A11taxremlife))</f>
        <v>0</v>
      </c>
      <c r="M212" s="67">
        <f>IF(M$3&gt;A11taxremlife,A11taxvalue-SUM($F212:L212),IF(A11taxremlife="N/A","n/a",A11taxvalue/A11taxremlife))</f>
        <v>0</v>
      </c>
      <c r="N212" s="67">
        <f>IF(N$3&gt;A11taxremlife,A11taxvalue-SUM($F212:M212),IF(A11taxremlife="N/A","n/a",A11taxvalue/A11taxremlife))</f>
        <v>0</v>
      </c>
      <c r="O212" s="67">
        <f>IF(O$3&gt;A11taxremlife,A11taxvalue-SUM($F212:N212),IF(A11taxremlife="N/A","n/a",A11taxvalue/A11taxremlife))</f>
        <v>0</v>
      </c>
      <c r="P212" s="67">
        <f>IF(P$3&gt;A11taxremlife,A11taxvalue-SUM($F212:O212),IF(A11taxremlife="N/A","n/a",A11taxvalue/A11taxremlife))</f>
        <v>0</v>
      </c>
      <c r="Q212" s="67">
        <f>IF(Q$3&gt;A11taxremlife,A11taxvalue-SUM($F212:P212),IF(A11taxremlife="N/A","n/a",A11taxvalue/A11taxremlife))</f>
        <v>0</v>
      </c>
      <c r="R212" s="67"/>
      <c r="S212" s="103"/>
      <c r="T212" s="103"/>
      <c r="U212" s="103"/>
      <c r="V212" s="103"/>
      <c r="W212" s="103"/>
      <c r="X212" s="103"/>
      <c r="Y212" s="103"/>
      <c r="Z212" s="103"/>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216"/>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26"/>
      <c r="D213" s="671" t="s">
        <v>84</v>
      </c>
      <c r="E213" s="86">
        <v>0</v>
      </c>
      <c r="F213" s="27"/>
      <c r="G213" s="206"/>
      <c r="H213" s="68"/>
      <c r="I213" s="68"/>
      <c r="J213" s="68"/>
      <c r="K213" s="68"/>
      <c r="L213" s="68"/>
      <c r="M213" s="68"/>
      <c r="N213" s="68"/>
      <c r="O213" s="68"/>
      <c r="P213" s="68"/>
      <c r="Q213" s="68"/>
      <c r="R213" s="68"/>
      <c r="S213" s="103"/>
      <c r="T213" s="103"/>
      <c r="U213" s="103"/>
      <c r="V213" s="103"/>
      <c r="W213" s="103"/>
      <c r="X213" s="103"/>
      <c r="Y213" s="103"/>
      <c r="Z213" s="103"/>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26"/>
      <c r="D214" s="672"/>
      <c r="E214" s="86">
        <v>1</v>
      </c>
      <c r="F214" s="27"/>
      <c r="G214" s="207"/>
      <c r="H214" s="68">
        <f>IF(A11taxstdlife="n/a","n/a",IF(H$3&gt;(A11taxstdlife+$E214),(Input!$G$51-Input!$G$85)-SUM($G214:G214),(Input!$G$51-Input!$G$85)/A11taxstdlife))</f>
        <v>0</v>
      </c>
      <c r="I214" s="68">
        <f>IF(A11taxstdlife="n/a","n/a",IF(I$3&gt;(A11taxstdlife+$E214),(Input!$G$51-Input!$G$85)-SUM($G214:H214),(Input!$G$51-Input!$G$85)/A11taxstdlife))</f>
        <v>0</v>
      </c>
      <c r="J214" s="68">
        <f>IF(A11taxstdlife="n/a","n/a",IF(J$3&gt;(A11taxstdlife+$E214),(Input!$G$51-Input!$G$85)-SUM($G214:I214),(Input!$G$51-Input!$G$85)/A11taxstdlife))</f>
        <v>0</v>
      </c>
      <c r="K214" s="68">
        <f>IF(A11taxstdlife="n/a","n/a",IF(K$3&gt;(A11taxstdlife+$E214),(Input!$G$51-Input!$G$85)-SUM($G214:J214),(Input!$G$51-Input!$G$85)/A11taxstdlife))</f>
        <v>0</v>
      </c>
      <c r="L214" s="68">
        <f>IF(A11taxstdlife="n/a","n/a",IF(L$3&gt;(A11taxstdlife+$E214),(Input!$G$51-Input!$G$85)-SUM($G214:K214),(Input!$G$51-Input!$G$85)/A11taxstdlife))</f>
        <v>0</v>
      </c>
      <c r="M214" s="68">
        <f>IF(A11taxstdlife="n/a","n/a",IF(M$3&gt;(A11taxstdlife+$E214),(Input!$G$51-Input!$G$85)-SUM($G214:L214),(Input!$G$51-Input!$G$85)/A11taxstdlife))</f>
        <v>0</v>
      </c>
      <c r="N214" s="68">
        <f>IF(A11taxstdlife="n/a","n/a",IF(N$3&gt;(A11taxstdlife+$E214),(Input!$G$51-Input!$G$85)-SUM($G214:M214),(Input!$G$51-Input!$G$85)/A11taxstdlife))</f>
        <v>0</v>
      </c>
      <c r="O214" s="68">
        <f>IF(A11taxstdlife="n/a","n/a",IF(O$3&gt;(A11taxstdlife+$E214),(Input!$G$51-Input!$G$85)-SUM($G214:N214),(Input!$G$51-Input!$G$85)/A11taxstdlife))</f>
        <v>0</v>
      </c>
      <c r="P214" s="68">
        <f>IF(A11taxstdlife="n/a","n/a",IF(P$3&gt;(A11taxstdlife+$E214),(Input!$G$51-Input!$G$85)-SUM($G214:O214),(Input!$G$51-Input!$G$85)/A11taxstdlife))</f>
        <v>0</v>
      </c>
      <c r="Q214" s="68">
        <f>IF(A11taxstdlife="n/a","n/a",IF(Q$3&gt;(A11taxstdlife+$E214),(Input!$G$51-Input!$G$85)-SUM($G214:P214),(Input!$G$51-Input!$G$85)/A11taxstdlife))</f>
        <v>0</v>
      </c>
      <c r="R214" s="68"/>
      <c r="S214" s="103"/>
      <c r="T214" s="103"/>
      <c r="U214" s="103"/>
      <c r="V214" s="103"/>
      <c r="W214" s="103"/>
      <c r="X214" s="103"/>
      <c r="Y214" s="103"/>
      <c r="Z214" s="103"/>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26"/>
      <c r="D215" s="672"/>
      <c r="E215" s="86">
        <v>2</v>
      </c>
      <c r="F215" s="27"/>
      <c r="G215" s="208"/>
      <c r="H215" s="149"/>
      <c r="I215" s="68">
        <f>IF(A11taxstdlife="n/a","n/a",IF(I$3&gt;(A11taxstdlife+$E215),(Input!$H$51-Input!$H$85)-SUM($H215:H215),(Input!$H$51-Input!$H$85)/A11taxstdlife))</f>
        <v>0</v>
      </c>
      <c r="J215" s="68">
        <f>IF(A11taxstdlife="n/a","n/a",IF(J$3&gt;(A11taxstdlife+$E215),(Input!$H$51-Input!$H$85)-SUM($H215:I215),(Input!$H$51-Input!$H$85)/A11taxstdlife))</f>
        <v>0</v>
      </c>
      <c r="K215" s="68">
        <f>IF(A11taxstdlife="n/a","n/a",IF(K$3&gt;(A11taxstdlife+$E215),(Input!$H$51-Input!$H$85)-SUM($H215:J215),(Input!$H$51-Input!$H$85)/A11taxstdlife))</f>
        <v>0</v>
      </c>
      <c r="L215" s="68">
        <f>IF(A11taxstdlife="n/a","n/a",IF(L$3&gt;(A11taxstdlife+$E215),(Input!$H$51-Input!$H$85)-SUM($H215:K215),(Input!$H$51-Input!$H$85)/A11taxstdlife))</f>
        <v>0</v>
      </c>
      <c r="M215" s="68">
        <f>IF(A11taxstdlife="n/a","n/a",IF(M$3&gt;(A11taxstdlife+$E215),(Input!$H$51-Input!$H$85)-SUM($H215:L215),(Input!$H$51-Input!$H$85)/A11taxstdlife))</f>
        <v>0</v>
      </c>
      <c r="N215" s="68">
        <f>IF(A11taxstdlife="n/a","n/a",IF(N$3&gt;(A11taxstdlife+$E215),(Input!$H$51-Input!$H$85)-SUM($H215:M215),(Input!$H$51-Input!$H$85)/A11taxstdlife))</f>
        <v>0</v>
      </c>
      <c r="O215" s="68">
        <f>IF(A11taxstdlife="n/a","n/a",IF(O$3&gt;(A11taxstdlife+$E215),(Input!$H$51-Input!$H$85)-SUM($H215:N215),(Input!$H$51-Input!$H$85)/A11taxstdlife))</f>
        <v>0</v>
      </c>
      <c r="P215" s="68">
        <f>IF(A11taxstdlife="n/a","n/a",IF(P$3&gt;(A11taxstdlife+$E215),(Input!$H$51-Input!$H$85)-SUM($H215:O215),(Input!$H$51-Input!$H$85)/A11taxstdlife))</f>
        <v>0</v>
      </c>
      <c r="Q215" s="68">
        <f>IF(A11taxstdlife="n/a","n/a",IF(Q$3&gt;(A11taxstdlife+$E215),(Input!$H$51-Input!$H$85)-SUM($H215:P215),(Input!$H$51-Input!$H$85)/A11taxstdlife))</f>
        <v>0</v>
      </c>
      <c r="R215" s="68"/>
      <c r="S215" s="103"/>
      <c r="T215" s="103"/>
      <c r="U215" s="103"/>
      <c r="V215" s="103"/>
      <c r="W215" s="103"/>
      <c r="X215" s="103"/>
      <c r="Y215" s="103"/>
      <c r="Z215" s="103"/>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26"/>
      <c r="D216" s="672"/>
      <c r="E216" s="86">
        <v>3</v>
      </c>
      <c r="F216" s="27"/>
      <c r="G216" s="208"/>
      <c r="H216" s="150"/>
      <c r="I216" s="149"/>
      <c r="J216" s="68">
        <f>IF(A11taxstdlife="n/a","n/a",IF(J$3&gt;(A11taxstdlife+$E216),(Input!$I$51-Input!$I$85)-SUM($I216:I216),(Input!$I$51-Input!$I$85)/A11taxstdlife))</f>
        <v>0</v>
      </c>
      <c r="K216" s="68">
        <f>IF(A11taxstdlife="n/a","n/a",IF(K$3&gt;(A11taxstdlife+$E216),(Input!$I$51-Input!$I$85)-SUM($I216:J216),(Input!$I$51-Input!$I$85)/A11taxstdlife))</f>
        <v>0</v>
      </c>
      <c r="L216" s="68">
        <f>IF(A11taxstdlife="n/a","n/a",IF(L$3&gt;(A11taxstdlife+$E216),(Input!$I$51-Input!$I$85)-SUM($I216:K216),(Input!$I$51-Input!$I$85)/A11taxstdlife))</f>
        <v>0</v>
      </c>
      <c r="M216" s="68">
        <f>IF(A11taxstdlife="n/a","n/a",IF(M$3&gt;(A11taxstdlife+$E216),(Input!$I$51-Input!$I$85)-SUM($I216:L216),(Input!$I$51-Input!$I$85)/A11taxstdlife))</f>
        <v>0</v>
      </c>
      <c r="N216" s="68">
        <f>IF(A11taxstdlife="n/a","n/a",IF(N$3&gt;(A11taxstdlife+$E216),(Input!$I$51-Input!$I$85)-SUM($I216:M216),(Input!$I$51-Input!$I$85)/A11taxstdlife))</f>
        <v>0</v>
      </c>
      <c r="O216" s="68">
        <f>IF(A11taxstdlife="n/a","n/a",IF(O$3&gt;(A11taxstdlife+$E216),(Input!$I$51-Input!$I$85)-SUM($I216:N216),(Input!$I$51-Input!$I$85)/A11taxstdlife))</f>
        <v>0</v>
      </c>
      <c r="P216" s="68">
        <f>IF(A11taxstdlife="n/a","n/a",IF(P$3&gt;(A11taxstdlife+$E216),(Input!$I$51-Input!$I$85)-SUM($I216:O216),(Input!$I$51-Input!$I$85)/A11taxstdlife))</f>
        <v>0</v>
      </c>
      <c r="Q216" s="68">
        <f>IF(A11taxstdlife="n/a","n/a",IF(Q$3&gt;(A11taxstdlife+$E216),(Input!$I$51-Input!$I$85)-SUM($I216:P216),(Input!$I$51-Input!$I$85)/A11taxstdlife))</f>
        <v>0</v>
      </c>
      <c r="R216" s="68"/>
      <c r="S216" s="103"/>
      <c r="T216" s="103"/>
      <c r="U216" s="103"/>
      <c r="V216" s="103"/>
      <c r="W216" s="103"/>
      <c r="X216" s="103"/>
      <c r="Y216" s="103"/>
      <c r="Z216" s="103"/>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26"/>
      <c r="D217" s="672"/>
      <c r="E217" s="86">
        <v>4</v>
      </c>
      <c r="F217" s="27"/>
      <c r="G217" s="208"/>
      <c r="H217" s="150"/>
      <c r="I217" s="150"/>
      <c r="J217" s="149"/>
      <c r="K217" s="68">
        <f>IF(A11taxstdlife="n/a","n/a",IF(K$3&gt;(A11taxstdlife+$E217),(Input!$J$51-Input!$J$85)-SUM($J217:J217),(Input!$J$51-Input!$J$85)/A11taxstdlife))</f>
        <v>0</v>
      </c>
      <c r="L217" s="68">
        <f>IF(A11taxstdlife="n/a","n/a",IF(L$3&gt;(A11taxstdlife+$E217),(Input!$J$51-Input!$J$85)-SUM($J217:K217),(Input!$J$51-Input!$J$85)/A11taxstdlife))</f>
        <v>0</v>
      </c>
      <c r="M217" s="68">
        <f>IF(A11taxstdlife="n/a","n/a",IF(M$3&gt;(A11taxstdlife+$E217),(Input!$J$51-Input!$J$85)-SUM($J217:L217),(Input!$J$51-Input!$J$85)/A11taxstdlife))</f>
        <v>0</v>
      </c>
      <c r="N217" s="68">
        <f>IF(A11taxstdlife="n/a","n/a",IF(N$3&gt;(A11taxstdlife+$E217),(Input!$J$51-Input!$J$85)-SUM($J217:M217),(Input!$J$51-Input!$J$85)/A11taxstdlife))</f>
        <v>0</v>
      </c>
      <c r="O217" s="68">
        <f>IF(A11taxstdlife="n/a","n/a",IF(O$3&gt;(A11taxstdlife+$E217),(Input!$J$51-Input!$J$85)-SUM($J217:N217),(Input!$J$51-Input!$J$85)/A11taxstdlife))</f>
        <v>0</v>
      </c>
      <c r="P217" s="68">
        <f>IF(A11taxstdlife="n/a","n/a",IF(P$3&gt;(A11taxstdlife+$E217),(Input!$J$51-Input!$J$85)-SUM($J217:O217),(Input!$J$51-Input!$J$85)/A11taxstdlife))</f>
        <v>0</v>
      </c>
      <c r="Q217" s="68">
        <f>IF(A11taxstdlife="n/a","n/a",IF(Q$3&gt;(A11taxstdlife+$E217),(Input!$J$51-Input!$J$85)-SUM($J217:P217),(Input!$J$51-Input!$J$85)/A11taxstdlife))</f>
        <v>0</v>
      </c>
      <c r="R217" s="68"/>
      <c r="S217" s="103"/>
      <c r="T217" s="103"/>
      <c r="U217" s="103"/>
      <c r="V217" s="103"/>
      <c r="W217" s="103"/>
      <c r="X217" s="103"/>
      <c r="Y217" s="103"/>
      <c r="Z217" s="103"/>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26"/>
      <c r="D218" s="672"/>
      <c r="E218" s="86">
        <v>5</v>
      </c>
      <c r="F218" s="27"/>
      <c r="G218" s="208"/>
      <c r="H218" s="150"/>
      <c r="I218" s="150"/>
      <c r="J218" s="150"/>
      <c r="K218" s="149"/>
      <c r="L218" s="68">
        <f>IF(A11taxstdlife="n/a","n/a",IF(L$3&gt;(A11taxstdlife+$E218),(Input!$K$51-Input!$K$85)-SUM($K218:K218),(Input!$K$51-Input!$K$85)/A11taxstdlife))</f>
        <v>0</v>
      </c>
      <c r="M218" s="68">
        <f>IF(A11taxstdlife="n/a","n/a",IF(M$3&gt;(A11taxstdlife+$E218),(Input!$K$51-Input!$K$85)-SUM($K218:L218),(Input!$K$51-Input!$K$85)/A11taxstdlife))</f>
        <v>0</v>
      </c>
      <c r="N218" s="68">
        <f>IF(A11taxstdlife="n/a","n/a",IF(N$3&gt;(A11taxstdlife+$E218),(Input!$K$51-Input!$K$85)-SUM($K218:M218),(Input!$K$51-Input!$K$85)/A11taxstdlife))</f>
        <v>0</v>
      </c>
      <c r="O218" s="68">
        <f>IF(A11taxstdlife="n/a","n/a",IF(O$3&gt;(A11taxstdlife+$E218),(Input!$K$51-Input!$K$85)-SUM($K218:N218),(Input!$K$51-Input!$K$85)/A11taxstdlife))</f>
        <v>0</v>
      </c>
      <c r="P218" s="68">
        <f>IF(A11taxstdlife="n/a","n/a",IF(P$3&gt;(A11taxstdlife+$E218),(Input!$K$51-Input!$K$85)-SUM($K218:O218),(Input!$K$51-Input!$K$85)/A11taxstdlife))</f>
        <v>0</v>
      </c>
      <c r="Q218" s="68">
        <f>IF(A11taxstdlife="n/a","n/a",IF(Q$3&gt;(A11taxstdlife+$E218),(Input!$K$51-Input!$K$85)-SUM($K218:P218),(Input!$K$51-Input!$K$85)/A11taxstdlife))</f>
        <v>0</v>
      </c>
      <c r="R218" s="68"/>
      <c r="S218" s="103"/>
      <c r="T218" s="103"/>
      <c r="U218" s="103"/>
      <c r="V218" s="103"/>
      <c r="W218" s="103"/>
      <c r="X218" s="103"/>
      <c r="Y218" s="103"/>
      <c r="Z218" s="103"/>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216"/>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26"/>
      <c r="D219" s="672"/>
      <c r="E219" s="86">
        <v>6</v>
      </c>
      <c r="F219" s="27"/>
      <c r="G219" s="208"/>
      <c r="H219" s="150"/>
      <c r="I219" s="150"/>
      <c r="J219" s="150"/>
      <c r="K219" s="150"/>
      <c r="L219" s="149"/>
      <c r="M219" s="68">
        <f>IF(A11taxstdlife="n/a","n/a",IF(M$3&gt;(A11taxstdlife+$E219),(Input!$L$51-Input!$L$85)-SUM($L219:L219),(Input!$L$51-Input!$L$85)/A11taxstdlife))</f>
        <v>0</v>
      </c>
      <c r="N219" s="68">
        <f>IF(A11taxstdlife="n/a","n/a",IF(N$3&gt;(A11taxstdlife+$E219),(Input!$L$51-Input!$L$85)-SUM($L219:M219),(Input!$L$51-Input!$L$85)/A11taxstdlife))</f>
        <v>0</v>
      </c>
      <c r="O219" s="68">
        <f>IF(A11taxstdlife="n/a","n/a",IF(O$3&gt;(A11taxstdlife+$E219),(Input!$L$51-Input!$L$85)-SUM($L219:N219),(Input!$L$51-Input!$L$85)/A11taxstdlife))</f>
        <v>0</v>
      </c>
      <c r="P219" s="68">
        <f>IF(A11taxstdlife="n/a","n/a",IF(P$3&gt;(A11taxstdlife+$E219),(Input!$L$51-Input!$L$85)-SUM($L219:O219),(Input!$L$51-Input!$L$85)/A11taxstdlife))</f>
        <v>0</v>
      </c>
      <c r="Q219" s="68">
        <f>IF(A11taxstdlife="n/a","n/a",IF(Q$3&gt;(A11taxstdlife+$E219),(Input!$L$51-Input!$L$85)-SUM($L219:P219),(Input!$L$51-Input!$L$85)/A11taxstdlife))</f>
        <v>0</v>
      </c>
      <c r="R219" s="68"/>
      <c r="S219" s="103"/>
      <c r="T219" s="103"/>
      <c r="U219" s="103"/>
      <c r="V219" s="103"/>
      <c r="W219" s="103"/>
      <c r="X219" s="103"/>
      <c r="Y219" s="103"/>
      <c r="Z219" s="103"/>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216"/>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26"/>
      <c r="D220" s="672"/>
      <c r="E220" s="86">
        <v>7</v>
      </c>
      <c r="F220" s="27"/>
      <c r="G220" s="208"/>
      <c r="H220" s="150"/>
      <c r="I220" s="150"/>
      <c r="J220" s="150"/>
      <c r="K220" s="150"/>
      <c r="L220" s="150"/>
      <c r="M220" s="149"/>
      <c r="N220" s="68">
        <f>IF(A11taxstdlife="n/a","n/a",IF(N$3&gt;(A11taxstdlife+$E220),(Input!$M$51-Input!$M$85)-SUM($M220:M220),(Input!$M$51-Input!$M$85)/A11taxstdlife))</f>
        <v>0</v>
      </c>
      <c r="O220" s="68">
        <f>IF(A11taxstdlife="n/a","n/a",IF(O$3&gt;(A11taxstdlife+$E220),(Input!$M$51-Input!$M$85)-SUM($M220:N220),(Input!$M$51-Input!$M$85)/A11taxstdlife))</f>
        <v>0</v>
      </c>
      <c r="P220" s="68">
        <f>IF(A11taxstdlife="n/a","n/a",IF(P$3&gt;(A11taxstdlife+$E220),(Input!$M$51-Input!$M$85)-SUM($M220:O220),(Input!$M$51-Input!$M$85)/A11taxstdlife))</f>
        <v>0</v>
      </c>
      <c r="Q220" s="68">
        <f>IF(A11taxstdlife="n/a","n/a",IF(Q$3&gt;(A11taxstdlife+$E220),(Input!$M$51-Input!$M$85)-SUM($M220:P220),(Input!$M$51-Input!$M$85)/A11taxstdlife))</f>
        <v>0</v>
      </c>
      <c r="R220" s="68"/>
      <c r="S220" s="103"/>
      <c r="T220" s="103"/>
      <c r="U220" s="103"/>
      <c r="V220" s="103"/>
      <c r="W220" s="103"/>
      <c r="X220" s="103"/>
      <c r="Y220" s="103"/>
      <c r="Z220" s="103"/>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187"/>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26"/>
      <c r="D221" s="672"/>
      <c r="E221" s="86">
        <v>8</v>
      </c>
      <c r="F221" s="27"/>
      <c r="G221" s="208"/>
      <c r="H221" s="150"/>
      <c r="I221" s="150"/>
      <c r="J221" s="150"/>
      <c r="K221" s="150"/>
      <c r="L221" s="150"/>
      <c r="M221" s="150"/>
      <c r="N221" s="149"/>
      <c r="O221" s="68">
        <f>IF(A11taxstdlife="n/a","n/a",IF(O$3&gt;(A11taxstdlife+$E221),(Input!$N$51-Input!$N$85)-SUM($N221:N221),(Input!$N$51-Input!$N$85)/A11taxstdlife))</f>
        <v>0</v>
      </c>
      <c r="P221" s="68">
        <f>IF(A11taxstdlife="n/a","n/a",IF(P$3&gt;(A11taxstdlife+$E221),(Input!$N$51-Input!$N$85)-SUM($N221:O221),(Input!$N$51-Input!$N$85)/A11taxstdlife))</f>
        <v>0</v>
      </c>
      <c r="Q221" s="68">
        <f>IF(A11taxstdlife="n/a","n/a",IF(Q$3&gt;(A11taxstdlife+$E221),(Input!$N$51-Input!$N$85)-SUM($N221:P221),(Input!$N$51-Input!$N$85)/A11taxstdlife))</f>
        <v>0</v>
      </c>
      <c r="R221" s="68"/>
      <c r="S221" s="103"/>
      <c r="T221" s="103"/>
      <c r="U221" s="103"/>
      <c r="V221" s="103"/>
      <c r="W221" s="103"/>
      <c r="X221" s="103"/>
      <c r="Y221" s="103"/>
      <c r="Z221" s="103"/>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26"/>
      <c r="D222" s="672"/>
      <c r="E222" s="86">
        <v>9</v>
      </c>
      <c r="F222" s="27"/>
      <c r="G222" s="208"/>
      <c r="H222" s="150"/>
      <c r="I222" s="150"/>
      <c r="J222" s="150"/>
      <c r="K222" s="150"/>
      <c r="L222" s="150"/>
      <c r="M222" s="150"/>
      <c r="N222" s="150"/>
      <c r="O222" s="149"/>
      <c r="P222" s="68">
        <f>IF(A11taxstdlife="n/a","n/a",IF(P$3&gt;(A11taxstdlife+$E222),(Input!$O$51-Input!$O$85)-SUM($O222:O222),(Input!$O$51-Input!$O$85)/A11taxstdlife))</f>
        <v>0</v>
      </c>
      <c r="Q222" s="68">
        <f>IF(A11taxstdlife="n/a","n/a",IF(Q$3&gt;(A11taxstdlife+$E222),(Input!$O$51-Input!$O$85)-SUM($O222:P222),(Input!$O$51-Input!$O$85)/A11taxstdlife))</f>
        <v>0</v>
      </c>
      <c r="R222" s="68"/>
      <c r="S222" s="103"/>
      <c r="T222" s="103"/>
      <c r="U222" s="103"/>
      <c r="V222" s="103"/>
      <c r="W222" s="103"/>
      <c r="X222" s="103"/>
      <c r="Y222" s="103"/>
      <c r="Z222" s="103"/>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26"/>
      <c r="D223" s="672"/>
      <c r="E223" s="86">
        <v>10</v>
      </c>
      <c r="F223" s="27"/>
      <c r="G223" s="208"/>
      <c r="H223" s="150"/>
      <c r="I223" s="150"/>
      <c r="J223" s="150"/>
      <c r="K223" s="150"/>
      <c r="L223" s="150"/>
      <c r="M223" s="150"/>
      <c r="N223" s="150"/>
      <c r="O223" s="150"/>
      <c r="P223" s="149"/>
      <c r="Q223" s="68">
        <f>IF(A11taxstdlife="n/a","n/a",IF(Q$3&gt;(A11taxstdlife+$E223),(Input!$P$51-Input!$P$85)-SUM($P223:P223),(Input!$P$51-Input!$P$85)/A11taxstdlife))</f>
        <v>0</v>
      </c>
      <c r="R223" s="68"/>
      <c r="S223" s="103"/>
      <c r="T223" s="103"/>
      <c r="U223" s="103"/>
      <c r="V223" s="103"/>
      <c r="W223" s="103"/>
      <c r="X223" s="103"/>
      <c r="Y223" s="103"/>
      <c r="Z223" s="103"/>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26"/>
      <c r="D224" s="672"/>
      <c r="E224" s="87">
        <v>11</v>
      </c>
      <c r="F224" s="27"/>
      <c r="G224" s="208"/>
      <c r="H224" s="150"/>
      <c r="I224" s="150"/>
      <c r="J224" s="150"/>
      <c r="K224" s="150"/>
      <c r="L224" s="150"/>
      <c r="M224" s="150"/>
      <c r="N224" s="150"/>
      <c r="O224" s="150"/>
      <c r="P224" s="189"/>
      <c r="Q224" s="149"/>
      <c r="R224" s="68"/>
      <c r="S224" s="103"/>
      <c r="T224" s="103"/>
      <c r="U224" s="103"/>
      <c r="V224" s="103"/>
      <c r="W224" s="103"/>
      <c r="X224" s="103"/>
      <c r="Y224" s="103"/>
      <c r="Z224" s="103"/>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 r="A225" s="9"/>
      <c r="B225" s="9"/>
      <c r="C225" s="26">
        <f>Asset11</f>
        <v>0</v>
      </c>
      <c r="D225" s="9"/>
      <c r="E225" s="9"/>
      <c r="F225" s="23"/>
      <c r="G225" s="209">
        <f t="shared" ref="G225:L225" si="45">-SUM(G212:G224)</f>
        <v>0</v>
      </c>
      <c r="H225" s="166">
        <f t="shared" si="45"/>
        <v>0</v>
      </c>
      <c r="I225" s="166">
        <f t="shared" si="45"/>
        <v>0</v>
      </c>
      <c r="J225" s="166">
        <f t="shared" si="45"/>
        <v>0</v>
      </c>
      <c r="K225" s="166">
        <f t="shared" si="45"/>
        <v>0</v>
      </c>
      <c r="L225" s="166">
        <f t="shared" si="45"/>
        <v>0</v>
      </c>
      <c r="M225" s="166">
        <f>IF(Input!M173&gt;0, -SUM(M212:M224), 0)</f>
        <v>0</v>
      </c>
      <c r="N225" s="166">
        <f>IF(Input!N173&gt;0, -SUM(N212:N224), 0)</f>
        <v>0</v>
      </c>
      <c r="O225" s="166">
        <f>IF(Input!O173&gt;0, -SUM(O212:O224), 0)</f>
        <v>0</v>
      </c>
      <c r="P225" s="166">
        <f>IF(Input!P173&gt;0, -SUM(P212:P224), 0)</f>
        <v>0</v>
      </c>
      <c r="Q225" s="166">
        <f>IF(Input!Q173&gt;0, -SUM(Q212:Q224), 0)</f>
        <v>0</v>
      </c>
      <c r="R225" s="64"/>
      <c r="S225" s="102"/>
      <c r="T225" s="102"/>
      <c r="U225" s="102"/>
      <c r="V225" s="102"/>
      <c r="W225" s="102"/>
      <c r="X225" s="102"/>
      <c r="Y225" s="102"/>
      <c r="Z225" s="102"/>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32">
        <f>Asset12</f>
        <v>0</v>
      </c>
      <c r="C226" s="33"/>
      <c r="D226" s="34" t="s">
        <v>67</v>
      </c>
      <c r="E226" s="33"/>
      <c r="F226" s="35"/>
      <c r="G226" s="205">
        <f>IF(G$3&gt;A12taxremlife,A12taxvalue-SUM($F226:F226),IF(A12taxremlife="N/A","n/a",A12taxvalue/A12taxremlife))</f>
        <v>0</v>
      </c>
      <c r="H226" s="67">
        <f>IF(H$3&gt;A12taxremlife,A12taxvalue-SUM($F226:G226),IF(A12taxremlife="N/A","n/a",A12taxvalue/A12taxremlife))</f>
        <v>0</v>
      </c>
      <c r="I226" s="67">
        <f>IF(I$3&gt;A12taxremlife,A12taxvalue-SUM($F226:H226),IF(A12taxremlife="N/A","n/a",A12taxvalue/A12taxremlife))</f>
        <v>0</v>
      </c>
      <c r="J226" s="67">
        <f>IF(J$3&gt;A12taxremlife,A12taxvalue-SUM($F226:I226),IF(A12taxremlife="N/A","n/a",A12taxvalue/A12taxremlife))</f>
        <v>0</v>
      </c>
      <c r="K226" s="67">
        <f>IF(K$3&gt;A12taxremlife,A12taxvalue-SUM($F226:J226),IF(A12taxremlife="N/A","n/a",A12taxvalue/A12taxremlife))</f>
        <v>0</v>
      </c>
      <c r="L226" s="67">
        <f>IF(L$3&gt;A12taxremlife,A12taxvalue-SUM($F226:K226),IF(A12taxremlife="N/A","n/a",A12taxvalue/A12taxremlife))</f>
        <v>0</v>
      </c>
      <c r="M226" s="67">
        <f>IF(M$3&gt;A12taxremlife,A12taxvalue-SUM($F226:L226),IF(A12taxremlife="N/A","n/a",A12taxvalue/A12taxremlife))</f>
        <v>0</v>
      </c>
      <c r="N226" s="67">
        <f>IF(N$3&gt;A12taxremlife,A12taxvalue-SUM($F226:M226),IF(A12taxremlife="N/A","n/a",A12taxvalue/A12taxremlife))</f>
        <v>0</v>
      </c>
      <c r="O226" s="67">
        <f>IF(O$3&gt;A12taxremlife,A12taxvalue-SUM($F226:N226),IF(A12taxremlife="N/A","n/a",A12taxvalue/A12taxremlife))</f>
        <v>0</v>
      </c>
      <c r="P226" s="67">
        <f>IF(P$3&gt;A12taxremlife,A12taxvalue-SUM($F226:O226),IF(A12taxremlife="N/A","n/a",A12taxvalue/A12taxremlife))</f>
        <v>0</v>
      </c>
      <c r="Q226" s="67">
        <f>IF(Q$3&gt;A12taxremlife,A12taxvalue-SUM($F226:P226),IF(A12taxremlife="N/A","n/a",A12taxvalue/A12taxremlife))</f>
        <v>0</v>
      </c>
      <c r="R226" s="67"/>
      <c r="S226" s="103"/>
      <c r="T226" s="103"/>
      <c r="U226" s="103"/>
      <c r="V226" s="103"/>
      <c r="W226" s="103"/>
      <c r="X226" s="103"/>
      <c r="Y226" s="103"/>
      <c r="Z226" s="103"/>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216"/>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26"/>
      <c r="D227" s="671" t="s">
        <v>84</v>
      </c>
      <c r="E227" s="86">
        <v>0</v>
      </c>
      <c r="F227" s="27"/>
      <c r="G227" s="206"/>
      <c r="H227" s="68"/>
      <c r="I227" s="68"/>
      <c r="J227" s="68"/>
      <c r="K227" s="68"/>
      <c r="L227" s="68"/>
      <c r="M227" s="68"/>
      <c r="N227" s="68"/>
      <c r="O227" s="68"/>
      <c r="P227" s="68"/>
      <c r="Q227" s="68"/>
      <c r="R227" s="68"/>
      <c r="S227" s="103"/>
      <c r="T227" s="103"/>
      <c r="U227" s="103"/>
      <c r="V227" s="103"/>
      <c r="W227" s="103"/>
      <c r="X227" s="103"/>
      <c r="Y227" s="103"/>
      <c r="Z227" s="103"/>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216"/>
      <c r="BE227" s="216"/>
      <c r="BF227" s="216"/>
      <c r="BG227" s="216"/>
      <c r="BH227" s="216"/>
      <c r="BI227" s="216"/>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26"/>
      <c r="D228" s="672"/>
      <c r="E228" s="86">
        <v>1</v>
      </c>
      <c r="F228" s="27"/>
      <c r="G228" s="207"/>
      <c r="H228" s="68">
        <f>IF(A12taxstdlife="n/a","n/a",IF(H$3&gt;(A12taxstdlife+$E228),(Input!$G$52-Input!$G$86)-SUM($G228:G228),(Input!$G$52-Input!$G$86)/A12taxstdlife))</f>
        <v>0</v>
      </c>
      <c r="I228" s="68">
        <f>IF(A12taxstdlife="n/a","n/a",IF(I$3&gt;(A12taxstdlife+$E228),(Input!$G$52-Input!$G$86)-SUM($G228:H228),(Input!$G$52-Input!$G$86)/A12taxstdlife))</f>
        <v>0</v>
      </c>
      <c r="J228" s="68">
        <f>IF(A12taxstdlife="n/a","n/a",IF(J$3&gt;(A12taxstdlife+$E228),(Input!$G$52-Input!$G$86)-SUM($G228:I228),(Input!$G$52-Input!$G$86)/A12taxstdlife))</f>
        <v>0</v>
      </c>
      <c r="K228" s="68">
        <f>IF(A12taxstdlife="n/a","n/a",IF(K$3&gt;(A12taxstdlife+$E228),(Input!$G$52-Input!$G$86)-SUM($G228:J228),(Input!$G$52-Input!$G$86)/A12taxstdlife))</f>
        <v>0</v>
      </c>
      <c r="L228" s="68">
        <f>IF(A12taxstdlife="n/a","n/a",IF(L$3&gt;(A12taxstdlife+$E228),(Input!$G$52-Input!$G$86)-SUM($G228:K228),(Input!$G$52-Input!$G$86)/A12taxstdlife))</f>
        <v>0</v>
      </c>
      <c r="M228" s="68">
        <f>IF(A12taxstdlife="n/a","n/a",IF(M$3&gt;(A12taxstdlife+$E228),(Input!$G$52-Input!$G$86)-SUM($G228:L228),(Input!$G$52-Input!$G$86)/A12taxstdlife))</f>
        <v>0</v>
      </c>
      <c r="N228" s="68">
        <f>IF(A12taxstdlife="n/a","n/a",IF(N$3&gt;(A12taxstdlife+$E228),(Input!$G$52-Input!$G$86)-SUM($G228:M228),(Input!$G$52-Input!$G$86)/A12taxstdlife))</f>
        <v>0</v>
      </c>
      <c r="O228" s="68">
        <f>IF(A12taxstdlife="n/a","n/a",IF(O$3&gt;(A12taxstdlife+$E228),(Input!$G$52-Input!$G$86)-SUM($G228:N228),(Input!$G$52-Input!$G$86)/A12taxstdlife))</f>
        <v>0</v>
      </c>
      <c r="P228" s="68">
        <f>IF(A12taxstdlife="n/a","n/a",IF(P$3&gt;(A12taxstdlife+$E228),(Input!$G$52-Input!$G$86)-SUM($G228:O228),(Input!$G$52-Input!$G$86)/A12taxstdlife))</f>
        <v>0</v>
      </c>
      <c r="Q228" s="68">
        <f>IF(A12taxstdlife="n/a","n/a",IF(Q$3&gt;(A12taxstdlife+$E228),(Input!$G$52-Input!$G$86)-SUM($G228:P228),(Input!$G$52-Input!$G$86)/A12taxstdlife))</f>
        <v>0</v>
      </c>
      <c r="R228" s="68"/>
      <c r="S228" s="103"/>
      <c r="T228" s="103"/>
      <c r="U228" s="103"/>
      <c r="V228" s="103"/>
      <c r="W228" s="103"/>
      <c r="X228" s="103"/>
      <c r="Y228" s="103"/>
      <c r="Z228" s="103"/>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216"/>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26"/>
      <c r="D229" s="672"/>
      <c r="E229" s="86">
        <v>2</v>
      </c>
      <c r="F229" s="27"/>
      <c r="G229" s="208"/>
      <c r="H229" s="149"/>
      <c r="I229" s="68">
        <f>IF(A12taxstdlife="n/a","n/a",IF(I$3&gt;(A12taxstdlife+$E229),(Input!$H$52-Input!$H$86)-SUM($H229:H229),(Input!$H$52-Input!$H$86)/A12taxstdlife))</f>
        <v>0</v>
      </c>
      <c r="J229" s="68">
        <f>IF(A12taxstdlife="n/a","n/a",IF(J$3&gt;(A12taxstdlife+$E229),(Input!$H$52-Input!$H$86)-SUM($H229:I229),(Input!$H$52-Input!$H$86)/A12taxstdlife))</f>
        <v>0</v>
      </c>
      <c r="K229" s="68">
        <f>IF(A12taxstdlife="n/a","n/a",IF(K$3&gt;(A12taxstdlife+$E229),(Input!$H$52-Input!$H$86)-SUM($H229:J229),(Input!$H$52-Input!$H$86)/A12taxstdlife))</f>
        <v>0</v>
      </c>
      <c r="L229" s="68">
        <f>IF(A12taxstdlife="n/a","n/a",IF(L$3&gt;(A12taxstdlife+$E229),(Input!$H$52-Input!$H$86)-SUM($H229:K229),(Input!$H$52-Input!$H$86)/A12taxstdlife))</f>
        <v>0</v>
      </c>
      <c r="M229" s="68">
        <f>IF(A12taxstdlife="n/a","n/a",IF(M$3&gt;(A12taxstdlife+$E229),(Input!$H$52-Input!$H$86)-SUM($H229:L229),(Input!$H$52-Input!$H$86)/A12taxstdlife))</f>
        <v>0</v>
      </c>
      <c r="N229" s="68">
        <f>IF(A12taxstdlife="n/a","n/a",IF(N$3&gt;(A12taxstdlife+$E229),(Input!$H$52-Input!$H$86)-SUM($H229:M229),(Input!$H$52-Input!$H$86)/A12taxstdlife))</f>
        <v>0</v>
      </c>
      <c r="O229" s="68">
        <f>IF(A12taxstdlife="n/a","n/a",IF(O$3&gt;(A12taxstdlife+$E229),(Input!$H$52-Input!$H$86)-SUM($H229:N229),(Input!$H$52-Input!$H$86)/A12taxstdlife))</f>
        <v>0</v>
      </c>
      <c r="P229" s="68">
        <f>IF(A12taxstdlife="n/a","n/a",IF(P$3&gt;(A12taxstdlife+$E229),(Input!$H$52-Input!$H$86)-SUM($H229:O229),(Input!$H$52-Input!$H$86)/A12taxstdlife))</f>
        <v>0</v>
      </c>
      <c r="Q229" s="68">
        <f>IF(A12taxstdlife="n/a","n/a",IF(Q$3&gt;(A12taxstdlife+$E229),(Input!$H$52-Input!$H$86)-SUM($H229:P229),(Input!$H$52-Input!$H$86)/A12taxstdlife))</f>
        <v>0</v>
      </c>
      <c r="R229" s="68"/>
      <c r="S229" s="103"/>
      <c r="T229" s="103"/>
      <c r="U229" s="103"/>
      <c r="V229" s="103"/>
      <c r="W229" s="103"/>
      <c r="X229" s="103"/>
      <c r="Y229" s="103"/>
      <c r="Z229" s="103"/>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216"/>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26"/>
      <c r="D230" s="672"/>
      <c r="E230" s="86">
        <v>3</v>
      </c>
      <c r="F230" s="27"/>
      <c r="G230" s="208"/>
      <c r="H230" s="150"/>
      <c r="I230" s="149"/>
      <c r="J230" s="68">
        <f>IF(A12taxstdlife="n/a","n/a",IF(J$3&gt;(A12taxstdlife+$E230),(Input!$I$52-Input!$I$86)-SUM($I230:I230),(Input!$I$52-Input!$I$86)/A12taxstdlife))</f>
        <v>0</v>
      </c>
      <c r="K230" s="68">
        <f>IF(A12taxstdlife="n/a","n/a",IF(K$3&gt;(A12taxstdlife+$E230),(Input!$I$52-Input!$I$86)-SUM($I230:J230),(Input!$I$52-Input!$I$86)/A12taxstdlife))</f>
        <v>0</v>
      </c>
      <c r="L230" s="68">
        <f>IF(A12taxstdlife="n/a","n/a",IF(L$3&gt;(A12taxstdlife+$E230),(Input!$I$52-Input!$I$86)-SUM($I230:K230),(Input!$I$52-Input!$I$86)/A12taxstdlife))</f>
        <v>0</v>
      </c>
      <c r="M230" s="68">
        <f>IF(A12taxstdlife="n/a","n/a",IF(M$3&gt;(A12taxstdlife+$E230),(Input!$I$52-Input!$I$86)-SUM($I230:L230),(Input!$I$52-Input!$I$86)/A12taxstdlife))</f>
        <v>0</v>
      </c>
      <c r="N230" s="68">
        <f>IF(A12taxstdlife="n/a","n/a",IF(N$3&gt;(A12taxstdlife+$E230),(Input!$I$52-Input!$I$86)-SUM($I230:M230),(Input!$I$52-Input!$I$86)/A12taxstdlife))</f>
        <v>0</v>
      </c>
      <c r="O230" s="68">
        <f>IF(A12taxstdlife="n/a","n/a",IF(O$3&gt;(A12taxstdlife+$E230),(Input!$I$52-Input!$I$86)-SUM($I230:N230),(Input!$I$52-Input!$I$86)/A12taxstdlife))</f>
        <v>0</v>
      </c>
      <c r="P230" s="68">
        <f>IF(A12taxstdlife="n/a","n/a",IF(P$3&gt;(A12taxstdlife+$E230),(Input!$I$52-Input!$I$86)-SUM($I230:O230),(Input!$I$52-Input!$I$86)/A12taxstdlife))</f>
        <v>0</v>
      </c>
      <c r="Q230" s="68">
        <f>IF(A12taxstdlife="n/a","n/a",IF(Q$3&gt;(A12taxstdlife+$E230),(Input!$I$52-Input!$I$86)-SUM($I230:P230),(Input!$I$52-Input!$I$86)/A12taxstdlife))</f>
        <v>0</v>
      </c>
      <c r="R230" s="68"/>
      <c r="S230" s="103"/>
      <c r="T230" s="103"/>
      <c r="U230" s="103"/>
      <c r="V230" s="103"/>
      <c r="W230" s="103"/>
      <c r="X230" s="103"/>
      <c r="Y230" s="103"/>
      <c r="Z230" s="103"/>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26"/>
      <c r="D231" s="672"/>
      <c r="E231" s="86">
        <v>4</v>
      </c>
      <c r="F231" s="27"/>
      <c r="G231" s="208"/>
      <c r="H231" s="150"/>
      <c r="I231" s="150"/>
      <c r="J231" s="149"/>
      <c r="K231" s="68">
        <f>IF(A12taxstdlife="n/a","n/a",IF(K$3&gt;(A12taxstdlife+$E231),(Input!$J$52-Input!$J$86)-SUM($J231:J231),(Input!$J$52-Input!$J$86)/A12taxstdlife))</f>
        <v>0</v>
      </c>
      <c r="L231" s="68">
        <f>IF(A12taxstdlife="n/a","n/a",IF(L$3&gt;(A12taxstdlife+$E231),(Input!$J$52-Input!$J$86)-SUM($J231:K231),(Input!$J$52-Input!$J$86)/A12taxstdlife))</f>
        <v>0</v>
      </c>
      <c r="M231" s="68">
        <f>IF(A12taxstdlife="n/a","n/a",IF(M$3&gt;(A12taxstdlife+$E231),(Input!$J$52-Input!$J$86)-SUM($J231:L231),(Input!$J$52-Input!$J$86)/A12taxstdlife))</f>
        <v>0</v>
      </c>
      <c r="N231" s="68">
        <f>IF(A12taxstdlife="n/a","n/a",IF(N$3&gt;(A12taxstdlife+$E231),(Input!$J$52-Input!$J$86)-SUM($J231:M231),(Input!$J$52-Input!$J$86)/A12taxstdlife))</f>
        <v>0</v>
      </c>
      <c r="O231" s="68">
        <f>IF(A12taxstdlife="n/a","n/a",IF(O$3&gt;(A12taxstdlife+$E231),(Input!$J$52-Input!$J$86)-SUM($J231:N231),(Input!$J$52-Input!$J$86)/A12taxstdlife))</f>
        <v>0</v>
      </c>
      <c r="P231" s="68">
        <f>IF(A12taxstdlife="n/a","n/a",IF(P$3&gt;(A12taxstdlife+$E231),(Input!$J$52-Input!$J$86)-SUM($J231:O231),(Input!$J$52-Input!$J$86)/A12taxstdlife))</f>
        <v>0</v>
      </c>
      <c r="Q231" s="68">
        <f>IF(A12taxstdlife="n/a","n/a",IF(Q$3&gt;(A12taxstdlife+$E231),(Input!$J$52-Input!$J$86)-SUM($J231:P231),(Input!$J$52-Input!$J$86)/A12taxstdlife))</f>
        <v>0</v>
      </c>
      <c r="R231" s="68"/>
      <c r="S231" s="103"/>
      <c r="T231" s="103"/>
      <c r="U231" s="103"/>
      <c r="V231" s="103"/>
      <c r="W231" s="103"/>
      <c r="X231" s="103"/>
      <c r="Y231" s="103"/>
      <c r="Z231" s="103"/>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26"/>
      <c r="D232" s="672"/>
      <c r="E232" s="86">
        <v>5</v>
      </c>
      <c r="F232" s="27"/>
      <c r="G232" s="208"/>
      <c r="H232" s="150"/>
      <c r="I232" s="150"/>
      <c r="J232" s="150"/>
      <c r="K232" s="149"/>
      <c r="L232" s="68">
        <f>IF(A12taxstdlife="n/a","n/a",IF(L$3&gt;(A12taxstdlife+$E232),(Input!$K$52-Input!$K$86)-SUM($K232:K232),(Input!$K$52-Input!$K$86)/A12taxstdlife))</f>
        <v>0</v>
      </c>
      <c r="M232" s="68">
        <f>IF(A12taxstdlife="n/a","n/a",IF(M$3&gt;(A12taxstdlife+$E232),(Input!$K$52-Input!$K$86)-SUM($K232:L232),(Input!$K$52-Input!$K$86)/A12taxstdlife))</f>
        <v>0</v>
      </c>
      <c r="N232" s="68">
        <f>IF(A12taxstdlife="n/a","n/a",IF(N$3&gt;(A12taxstdlife+$E232),(Input!$K$52-Input!$K$86)-SUM($K232:M232),(Input!$K$52-Input!$K$86)/A12taxstdlife))</f>
        <v>0</v>
      </c>
      <c r="O232" s="68">
        <f>IF(A12taxstdlife="n/a","n/a",IF(O$3&gt;(A12taxstdlife+$E232),(Input!$K$52-Input!$K$86)-SUM($K232:N232),(Input!$K$52-Input!$K$86)/A12taxstdlife))</f>
        <v>0</v>
      </c>
      <c r="P232" s="68">
        <f>IF(A12taxstdlife="n/a","n/a",IF(P$3&gt;(A12taxstdlife+$E232),(Input!$K$52-Input!$K$86)-SUM($K232:O232),(Input!$K$52-Input!$K$86)/A12taxstdlife))</f>
        <v>0</v>
      </c>
      <c r="Q232" s="68">
        <f>IF(A12taxstdlife="n/a","n/a",IF(Q$3&gt;(A12taxstdlife+$E232),(Input!$K$52-Input!$K$86)-SUM($K232:P232),(Input!$K$52-Input!$K$86)/A12taxstdlife))</f>
        <v>0</v>
      </c>
      <c r="R232" s="68"/>
      <c r="S232" s="103"/>
      <c r="T232" s="103"/>
      <c r="U232" s="103"/>
      <c r="V232" s="103"/>
      <c r="W232" s="103"/>
      <c r="X232" s="103"/>
      <c r="Y232" s="103"/>
      <c r="Z232" s="103"/>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216"/>
      <c r="BE232" s="216"/>
      <c r="BF232" s="216"/>
      <c r="BG232" s="216"/>
      <c r="BH232" s="216"/>
      <c r="BI232" s="216"/>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26"/>
      <c r="D233" s="672"/>
      <c r="E233" s="86">
        <v>6</v>
      </c>
      <c r="F233" s="27"/>
      <c r="G233" s="208"/>
      <c r="H233" s="150"/>
      <c r="I233" s="150"/>
      <c r="J233" s="150"/>
      <c r="K233" s="150"/>
      <c r="L233" s="149"/>
      <c r="M233" s="68">
        <f>IF(A12taxstdlife="n/a","n/a",IF(M$3&gt;(A12taxstdlife+$E233),(Input!$L$52-Input!$L$86)-SUM($L233:L233),(Input!$L$52-Input!$L$86)/A12taxstdlife))</f>
        <v>0</v>
      </c>
      <c r="N233" s="68">
        <f>IF(A12taxstdlife="n/a","n/a",IF(N$3&gt;(A12taxstdlife+$E233),(Input!$L$52-Input!$L$86)-SUM($L233:M233),(Input!$L$52-Input!$L$86)/A12taxstdlife))</f>
        <v>0</v>
      </c>
      <c r="O233" s="68">
        <f>IF(A12taxstdlife="n/a","n/a",IF(O$3&gt;(A12taxstdlife+$E233),(Input!$L$52-Input!$L$86)-SUM($L233:N233),(Input!$L$52-Input!$L$86)/A12taxstdlife))</f>
        <v>0</v>
      </c>
      <c r="P233" s="68">
        <f>IF(A12taxstdlife="n/a","n/a",IF(P$3&gt;(A12taxstdlife+$E233),(Input!$L$52-Input!$L$86)-SUM($L233:O233),(Input!$L$52-Input!$L$86)/A12taxstdlife))</f>
        <v>0</v>
      </c>
      <c r="Q233" s="68">
        <f>IF(A12taxstdlife="n/a","n/a",IF(Q$3&gt;(A12taxstdlife+$E233),(Input!$L$52-Input!$L$86)-SUM($L233:P233),(Input!$L$52-Input!$L$86)/A12taxstdlife))</f>
        <v>0</v>
      </c>
      <c r="R233" s="68"/>
      <c r="S233" s="103"/>
      <c r="T233" s="103"/>
      <c r="U233" s="103"/>
      <c r="V233" s="103"/>
      <c r="W233" s="103"/>
      <c r="X233" s="103"/>
      <c r="Y233" s="103"/>
      <c r="Z233" s="103"/>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26"/>
      <c r="D234" s="672"/>
      <c r="E234" s="86">
        <v>7</v>
      </c>
      <c r="F234" s="27"/>
      <c r="G234" s="208"/>
      <c r="H234" s="150"/>
      <c r="I234" s="150"/>
      <c r="J234" s="150"/>
      <c r="K234" s="150"/>
      <c r="L234" s="150"/>
      <c r="M234" s="149"/>
      <c r="N234" s="68">
        <f>IF(A12taxstdlife="n/a","n/a",IF(N$3&gt;(A12taxstdlife+$E234),(Input!$M$52-Input!$M$86)-SUM($M234:M234),(Input!$M$52-Input!$M$86)/A12taxstdlife))</f>
        <v>0</v>
      </c>
      <c r="O234" s="68">
        <f>IF(A12taxstdlife="n/a","n/a",IF(O$3&gt;(A12taxstdlife+$E234),(Input!$M$52-Input!$M$86)-SUM($M234:N234),(Input!$M$52-Input!$M$86)/A12taxstdlife))</f>
        <v>0</v>
      </c>
      <c r="P234" s="68">
        <f>IF(A12taxstdlife="n/a","n/a",IF(P$3&gt;(A12taxstdlife+$E234),(Input!$M$52-Input!$M$86)-SUM($M234:O234),(Input!$M$52-Input!$M$86)/A12taxstdlife))</f>
        <v>0</v>
      </c>
      <c r="Q234" s="68">
        <f>IF(A12taxstdlife="n/a","n/a",IF(Q$3&gt;(A12taxstdlife+$E234),(Input!$M$52-Input!$M$86)-SUM($M234:P234),(Input!$M$52-Input!$M$86)/A12taxstdlife))</f>
        <v>0</v>
      </c>
      <c r="R234" s="68"/>
      <c r="S234" s="103"/>
      <c r="T234" s="103"/>
      <c r="U234" s="103"/>
      <c r="V234" s="103"/>
      <c r="W234" s="103"/>
      <c r="X234" s="103"/>
      <c r="Y234" s="103"/>
      <c r="Z234" s="103"/>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216"/>
      <c r="BE234" s="216"/>
      <c r="BF234" s="216"/>
      <c r="BG234" s="216"/>
      <c r="BH234" s="216"/>
      <c r="BI234" s="216"/>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26"/>
      <c r="D235" s="672"/>
      <c r="E235" s="86">
        <v>8</v>
      </c>
      <c r="F235" s="27"/>
      <c r="G235" s="208"/>
      <c r="H235" s="150"/>
      <c r="I235" s="150"/>
      <c r="J235" s="150"/>
      <c r="K235" s="150"/>
      <c r="L235" s="150"/>
      <c r="M235" s="150"/>
      <c r="N235" s="149"/>
      <c r="O235" s="68">
        <f>IF(A12taxstdlife="n/a","n/a",IF(O$3&gt;(A12taxstdlife+$E235),(Input!$N$52-Input!$N$86)-SUM($N235:N235),(Input!$N$52-Input!$N$86)/A12taxstdlife))</f>
        <v>0</v>
      </c>
      <c r="P235" s="68">
        <f>IF(A12taxstdlife="n/a","n/a",IF(P$3&gt;(A12taxstdlife+$E235),(Input!$N$52-Input!$N$86)-SUM($N235:O235),(Input!$N$52-Input!$N$86)/A12taxstdlife))</f>
        <v>0</v>
      </c>
      <c r="Q235" s="68">
        <f>IF(A12taxstdlife="n/a","n/a",IF(Q$3&gt;(A12taxstdlife+$E235),(Input!$N$52-Input!$N$86)-SUM($N235:P235),(Input!$N$52-Input!$N$86)/A12taxstdlife))</f>
        <v>0</v>
      </c>
      <c r="R235" s="68"/>
      <c r="S235" s="103"/>
      <c r="T235" s="103"/>
      <c r="U235" s="103"/>
      <c r="V235" s="103"/>
      <c r="W235" s="103"/>
      <c r="X235" s="103"/>
      <c r="Y235" s="103"/>
      <c r="Z235" s="103"/>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216"/>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26"/>
      <c r="D236" s="672"/>
      <c r="E236" s="86">
        <v>9</v>
      </c>
      <c r="F236" s="27"/>
      <c r="G236" s="208"/>
      <c r="H236" s="150"/>
      <c r="I236" s="150"/>
      <c r="J236" s="150"/>
      <c r="K236" s="150"/>
      <c r="L236" s="150"/>
      <c r="M236" s="150"/>
      <c r="N236" s="150"/>
      <c r="O236" s="149"/>
      <c r="P236" s="68">
        <f>IF(A12taxstdlife="n/a","n/a",IF(P$3&gt;(A12taxstdlife+$E236),(Input!$O$52-Input!$O$86)-SUM($O236:O236),(Input!$O$52-Input!$O$86)/A12taxstdlife))</f>
        <v>0</v>
      </c>
      <c r="Q236" s="68">
        <f>IF(A12taxstdlife="n/a","n/a",IF(Q$3&gt;(A12taxstdlife+$E236),(Input!$O$52-Input!$O$86)-SUM($O236:P236),(Input!$O$52-Input!$O$86)/A12taxstdlife))</f>
        <v>0</v>
      </c>
      <c r="R236" s="68"/>
      <c r="S236" s="103"/>
      <c r="T236" s="103"/>
      <c r="U236" s="103"/>
      <c r="V236" s="103"/>
      <c r="W236" s="103"/>
      <c r="X236" s="103"/>
      <c r="Y236" s="103"/>
      <c r="Z236" s="103"/>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26"/>
      <c r="D237" s="672"/>
      <c r="E237" s="86">
        <v>10</v>
      </c>
      <c r="F237" s="27"/>
      <c r="G237" s="208"/>
      <c r="H237" s="150"/>
      <c r="I237" s="150"/>
      <c r="J237" s="150"/>
      <c r="K237" s="150"/>
      <c r="L237" s="150"/>
      <c r="M237" s="150"/>
      <c r="N237" s="150"/>
      <c r="O237" s="150"/>
      <c r="P237" s="149"/>
      <c r="Q237" s="68">
        <f>IF(A12taxstdlife="n/a","n/a",IF(Q$3&gt;(A12taxstdlife+$E237),(Input!$P$52-Input!$P$86)-SUM($P237:P237),(Input!$P$52-Input!$P$86)/A12taxstdlife))</f>
        <v>0</v>
      </c>
      <c r="R237" s="68"/>
      <c r="S237" s="103"/>
      <c r="T237" s="103"/>
      <c r="U237" s="103"/>
      <c r="V237" s="103"/>
      <c r="W237" s="103"/>
      <c r="X237" s="103"/>
      <c r="Y237" s="103"/>
      <c r="Z237" s="103"/>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2">
      <c r="A238" s="9"/>
      <c r="B238" s="9"/>
      <c r="C238" s="26"/>
      <c r="D238" s="672"/>
      <c r="E238" s="87">
        <v>11</v>
      </c>
      <c r="F238" s="27"/>
      <c r="G238" s="208"/>
      <c r="H238" s="150"/>
      <c r="I238" s="150"/>
      <c r="J238" s="150"/>
      <c r="K238" s="150"/>
      <c r="L238" s="150"/>
      <c r="M238" s="150"/>
      <c r="N238" s="150"/>
      <c r="O238" s="150"/>
      <c r="P238" s="189"/>
      <c r="Q238" s="149"/>
      <c r="R238" s="68"/>
      <c r="S238" s="103"/>
      <c r="T238" s="103"/>
      <c r="U238" s="103"/>
      <c r="V238" s="103"/>
      <c r="W238" s="103"/>
      <c r="X238" s="103"/>
      <c r="Y238" s="103"/>
      <c r="Z238" s="103"/>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187"/>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1">
      <c r="A239" s="9"/>
      <c r="B239" s="9"/>
      <c r="C239" s="26">
        <f>Asset12</f>
        <v>0</v>
      </c>
      <c r="D239" s="9"/>
      <c r="E239" s="9"/>
      <c r="F239" s="23"/>
      <c r="G239" s="209">
        <f t="shared" ref="G239:L239" si="46">-SUM(G226:G238)</f>
        <v>0</v>
      </c>
      <c r="H239" s="166">
        <f t="shared" si="46"/>
        <v>0</v>
      </c>
      <c r="I239" s="166">
        <f t="shared" si="46"/>
        <v>0</v>
      </c>
      <c r="J239" s="166">
        <f t="shared" si="46"/>
        <v>0</v>
      </c>
      <c r="K239" s="166">
        <f t="shared" si="46"/>
        <v>0</v>
      </c>
      <c r="L239" s="166">
        <f t="shared" si="46"/>
        <v>0</v>
      </c>
      <c r="M239" s="166">
        <f>IF(Input!M173&gt;0, -SUM(M226:M238), 0)</f>
        <v>0</v>
      </c>
      <c r="N239" s="166">
        <f>IF(Input!N173&gt;0, -SUM(N226:N238), 0)</f>
        <v>0</v>
      </c>
      <c r="O239" s="166">
        <f>IF(Input!O173&gt;0, -SUM(O226:O238), 0)</f>
        <v>0</v>
      </c>
      <c r="P239" s="166">
        <f>IF(Input!P173&gt;0, -SUM(P226:P238), 0)</f>
        <v>0</v>
      </c>
      <c r="Q239" s="166">
        <f>IF(Input!Q173&gt;0, -SUM(Q226:Q238), 0)</f>
        <v>0</v>
      </c>
      <c r="R239" s="64"/>
      <c r="S239" s="102"/>
      <c r="T239" s="102"/>
      <c r="U239" s="102"/>
      <c r="V239" s="102"/>
      <c r="W239" s="102"/>
      <c r="X239" s="102"/>
      <c r="Y239" s="102"/>
      <c r="Z239" s="102"/>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32">
        <f>Asset13</f>
        <v>0</v>
      </c>
      <c r="C240" s="33"/>
      <c r="D240" s="34" t="s">
        <v>67</v>
      </c>
      <c r="E240" s="33"/>
      <c r="F240" s="35"/>
      <c r="G240" s="205">
        <f>IF(G$3&gt;A13taxremlife,A13taxvalue-SUM($F240:F240),IF(A13taxremlife="N/A","n/a",A13taxvalue/A13taxremlife))</f>
        <v>0</v>
      </c>
      <c r="H240" s="67">
        <f>IF(H$3&gt;A13taxremlife,A13taxvalue-SUM($F240:G240),IF(A13taxremlife="N/A","n/a",A13taxvalue/A13taxremlife))</f>
        <v>0</v>
      </c>
      <c r="I240" s="67">
        <f>IF(I$3&gt;A13taxremlife,A13taxvalue-SUM($F240:H240),IF(A13taxremlife="N/A","n/a",A13taxvalue/A13taxremlife))</f>
        <v>0</v>
      </c>
      <c r="J240" s="67">
        <f>IF(J$3&gt;A13taxremlife,A13taxvalue-SUM($F240:I240),IF(A13taxremlife="N/A","n/a",A13taxvalue/A13taxremlife))</f>
        <v>0</v>
      </c>
      <c r="K240" s="67">
        <f>IF(K$3&gt;A13taxremlife,A13taxvalue-SUM($F240:J240),IF(A13taxremlife="N/A","n/a",A13taxvalue/A13taxremlife))</f>
        <v>0</v>
      </c>
      <c r="L240" s="67">
        <f>IF(L$3&gt;A13taxremlife,A13taxvalue-SUM($F240:K240),IF(A13taxremlife="N/A","n/a",A13taxvalue/A13taxremlife))</f>
        <v>0</v>
      </c>
      <c r="M240" s="67">
        <f>IF(M$3&gt;A13taxremlife,A13taxvalue-SUM($F240:L240),IF(A13taxremlife="N/A","n/a",A13taxvalue/A13taxremlife))</f>
        <v>0</v>
      </c>
      <c r="N240" s="67">
        <f>IF(N$3&gt;A13taxremlife,A13taxvalue-SUM($F240:M240),IF(A13taxremlife="N/A","n/a",A13taxvalue/A13taxremlife))</f>
        <v>0</v>
      </c>
      <c r="O240" s="67">
        <f>IF(O$3&gt;A13taxremlife,A13taxvalue-SUM($F240:N240),IF(A13taxremlife="N/A","n/a",A13taxvalue/A13taxremlife))</f>
        <v>0</v>
      </c>
      <c r="P240" s="67">
        <f>IF(P$3&gt;A13taxremlife,A13taxvalue-SUM($F240:O240),IF(A13taxremlife="N/A","n/a",A13taxvalue/A13taxremlife))</f>
        <v>0</v>
      </c>
      <c r="Q240" s="67">
        <f>IF(Q$3&gt;A13taxremlife,A13taxvalue-SUM($F240:P240),IF(A13taxremlife="N/A","n/a",A13taxvalue/A13taxremlife))</f>
        <v>0</v>
      </c>
      <c r="R240" s="67"/>
      <c r="S240" s="103"/>
      <c r="T240" s="103"/>
      <c r="U240" s="103"/>
      <c r="V240" s="103"/>
      <c r="W240" s="103"/>
      <c r="X240" s="103"/>
      <c r="Y240" s="103"/>
      <c r="Z240" s="103"/>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216"/>
      <c r="BE240" s="216"/>
      <c r="BF240" s="216"/>
      <c r="BG240" s="216"/>
      <c r="BH240" s="216"/>
      <c r="BI240" s="216"/>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26"/>
      <c r="D241" s="671" t="s">
        <v>84</v>
      </c>
      <c r="E241" s="86">
        <v>0</v>
      </c>
      <c r="F241" s="27"/>
      <c r="G241" s="206"/>
      <c r="H241" s="68"/>
      <c r="I241" s="68"/>
      <c r="J241" s="68"/>
      <c r="K241" s="68"/>
      <c r="L241" s="68"/>
      <c r="M241" s="68"/>
      <c r="N241" s="68"/>
      <c r="O241" s="68"/>
      <c r="P241" s="68"/>
      <c r="Q241" s="68"/>
      <c r="R241" s="68"/>
      <c r="S241" s="103"/>
      <c r="T241" s="103"/>
      <c r="U241" s="103"/>
      <c r="V241" s="103"/>
      <c r="W241" s="103"/>
      <c r="X241" s="103"/>
      <c r="Y241" s="103"/>
      <c r="Z241" s="103"/>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216"/>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26"/>
      <c r="D242" s="672"/>
      <c r="E242" s="86">
        <v>1</v>
      </c>
      <c r="F242" s="27"/>
      <c r="G242" s="207"/>
      <c r="H242" s="68">
        <f>IF(A13taxstdlife="n/a","n/a",IF(H$3&gt;(A13taxstdlife+$E242),(Input!$G$53-Input!$G$87)-SUM($G242:G242),(Input!$G$53-Input!$G$87)/A13taxstdlife))</f>
        <v>0</v>
      </c>
      <c r="I242" s="68">
        <f>IF(A13taxstdlife="n/a","n/a",IF(I$3&gt;(A13taxstdlife+$E242),(Input!$G$53-Input!$G$87)-SUM($G242:H242),(Input!$G$53-Input!$G$87)/A13taxstdlife))</f>
        <v>0</v>
      </c>
      <c r="J242" s="68">
        <f>IF(A13taxstdlife="n/a","n/a",IF(J$3&gt;(A13taxstdlife+$E242),(Input!$G$53-Input!$G$87)-SUM($G242:I242),(Input!$G$53-Input!$G$87)/A13taxstdlife))</f>
        <v>0</v>
      </c>
      <c r="K242" s="68">
        <f>IF(A13taxstdlife="n/a","n/a",IF(K$3&gt;(A13taxstdlife+$E242),(Input!$G$53-Input!$G$87)-SUM($G242:J242),(Input!$G$53-Input!$G$87)/A13taxstdlife))</f>
        <v>0</v>
      </c>
      <c r="L242" s="68">
        <f>IF(A13taxstdlife="n/a","n/a",IF(L$3&gt;(A13taxstdlife+$E242),(Input!$G$53-Input!$G$87)-SUM($G242:K242),(Input!$G$53-Input!$G$87)/A13taxstdlife))</f>
        <v>0</v>
      </c>
      <c r="M242" s="68">
        <f>IF(A13taxstdlife="n/a","n/a",IF(M$3&gt;(A13taxstdlife+$E242),(Input!$G$53-Input!$G$87)-SUM($G242:L242),(Input!$G$53-Input!$G$87)/A13taxstdlife))</f>
        <v>0</v>
      </c>
      <c r="N242" s="68">
        <f>IF(A13taxstdlife="n/a","n/a",IF(N$3&gt;(A13taxstdlife+$E242),(Input!$G$53-Input!$G$87)-SUM($G242:M242),(Input!$G$53-Input!$G$87)/A13taxstdlife))</f>
        <v>0</v>
      </c>
      <c r="O242" s="68">
        <f>IF(A13taxstdlife="n/a","n/a",IF(O$3&gt;(A13taxstdlife+$E242),(Input!$G$53-Input!$G$87)-SUM($G242:N242),(Input!$G$53-Input!$G$87)/A13taxstdlife))</f>
        <v>0</v>
      </c>
      <c r="P242" s="68">
        <f>IF(A13taxstdlife="n/a","n/a",IF(P$3&gt;(A13taxstdlife+$E242),(Input!$G$53-Input!$G$87)-SUM($G242:O242),(Input!$G$53-Input!$G$87)/A13taxstdlife))</f>
        <v>0</v>
      </c>
      <c r="Q242" s="68">
        <f>IF(A13taxstdlife="n/a","n/a",IF(Q$3&gt;(A13taxstdlife+$E242),(Input!$G$53-Input!$G$87)-SUM($G242:P242),(Input!$G$53-Input!$G$87)/A13taxstdlife))</f>
        <v>0</v>
      </c>
      <c r="R242" s="68"/>
      <c r="S242" s="103"/>
      <c r="T242" s="103"/>
      <c r="U242" s="103"/>
      <c r="V242" s="103"/>
      <c r="W242" s="103"/>
      <c r="X242" s="103"/>
      <c r="Y242" s="103"/>
      <c r="Z242" s="103"/>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216"/>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26"/>
      <c r="D243" s="672"/>
      <c r="E243" s="86">
        <v>2</v>
      </c>
      <c r="F243" s="27"/>
      <c r="G243" s="208"/>
      <c r="H243" s="149"/>
      <c r="I243" s="68">
        <f>IF(A13taxstdlife="n/a","n/a",IF(I$3&gt;(A13taxstdlife+$E243),(Input!$H$53-Input!$H$87)-SUM($H243:H243),(Input!$H$53-Input!$H$87)/A13taxstdlife))</f>
        <v>0</v>
      </c>
      <c r="J243" s="68">
        <f>IF(A13taxstdlife="n/a","n/a",IF(J$3&gt;(A13taxstdlife+$E243),(Input!$H$53-Input!$H$87)-SUM($H243:I243),(Input!$H$53-Input!$H$87)/A13taxstdlife))</f>
        <v>0</v>
      </c>
      <c r="K243" s="68">
        <f>IF(A13taxstdlife="n/a","n/a",IF(K$3&gt;(A13taxstdlife+$E243),(Input!$H$53-Input!$H$87)-SUM($H243:J243),(Input!$H$53-Input!$H$87)/A13taxstdlife))</f>
        <v>0</v>
      </c>
      <c r="L243" s="68">
        <f>IF(A13taxstdlife="n/a","n/a",IF(L$3&gt;(A13taxstdlife+$E243),(Input!$H$53-Input!$H$87)-SUM($H243:K243),(Input!$H$53-Input!$H$87)/A13taxstdlife))</f>
        <v>0</v>
      </c>
      <c r="M243" s="68">
        <f>IF(A13taxstdlife="n/a","n/a",IF(M$3&gt;(A13taxstdlife+$E243),(Input!$H$53-Input!$H$87)-SUM($H243:L243),(Input!$H$53-Input!$H$87)/A13taxstdlife))</f>
        <v>0</v>
      </c>
      <c r="N243" s="68">
        <f>IF(A13taxstdlife="n/a","n/a",IF(N$3&gt;(A13taxstdlife+$E243),(Input!$H$53-Input!$H$87)-SUM($H243:M243),(Input!$H$53-Input!$H$87)/A13taxstdlife))</f>
        <v>0</v>
      </c>
      <c r="O243" s="68">
        <f>IF(A13taxstdlife="n/a","n/a",IF(O$3&gt;(A13taxstdlife+$E243),(Input!$H$53-Input!$H$87)-SUM($H243:N243),(Input!$H$53-Input!$H$87)/A13taxstdlife))</f>
        <v>0</v>
      </c>
      <c r="P243" s="68">
        <f>IF(A13taxstdlife="n/a","n/a",IF(P$3&gt;(A13taxstdlife+$E243),(Input!$H$53-Input!$H$87)-SUM($H243:O243),(Input!$H$53-Input!$H$87)/A13taxstdlife))</f>
        <v>0</v>
      </c>
      <c r="Q243" s="68">
        <f>IF(A13taxstdlife="n/a","n/a",IF(Q$3&gt;(A13taxstdlife+$E243),(Input!$H$53-Input!$H$87)-SUM($H243:P243),(Input!$H$53-Input!$H$87)/A13taxstdlife))</f>
        <v>0</v>
      </c>
      <c r="R243" s="68"/>
      <c r="S243" s="103"/>
      <c r="T243" s="103"/>
      <c r="U243" s="103"/>
      <c r="V243" s="103"/>
      <c r="W243" s="103"/>
      <c r="X243" s="103"/>
      <c r="Y243" s="103"/>
      <c r="Z243" s="103"/>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26"/>
      <c r="D244" s="672"/>
      <c r="E244" s="86">
        <v>3</v>
      </c>
      <c r="F244" s="27"/>
      <c r="G244" s="208"/>
      <c r="H244" s="150"/>
      <c r="I244" s="149"/>
      <c r="J244" s="68">
        <f>IF(A13taxstdlife="n/a","n/a",IF(J$3&gt;(A13taxstdlife+$E244),(Input!$I$53-Input!$I$87)-SUM($I244:I244),(Input!$I$53-Input!$I$87)/A13taxstdlife))</f>
        <v>0</v>
      </c>
      <c r="K244" s="68">
        <f>IF(A13taxstdlife="n/a","n/a",IF(K$3&gt;(A13taxstdlife+$E244),(Input!$I$53-Input!$I$87)-SUM($I244:J244),(Input!$I$53-Input!$I$87)/A13taxstdlife))</f>
        <v>0</v>
      </c>
      <c r="L244" s="68">
        <f>IF(A13taxstdlife="n/a","n/a",IF(L$3&gt;(A13taxstdlife+$E244),(Input!$I$53-Input!$I$87)-SUM($I244:K244),(Input!$I$53-Input!$I$87)/A13taxstdlife))</f>
        <v>0</v>
      </c>
      <c r="M244" s="68">
        <f>IF(A13taxstdlife="n/a","n/a",IF(M$3&gt;(A13taxstdlife+$E244),(Input!$I$53-Input!$I$87)-SUM($I244:L244),(Input!$I$53-Input!$I$87)/A13taxstdlife))</f>
        <v>0</v>
      </c>
      <c r="N244" s="68">
        <f>IF(A13taxstdlife="n/a","n/a",IF(N$3&gt;(A13taxstdlife+$E244),(Input!$I$53-Input!$I$87)-SUM($I244:M244),(Input!$I$53-Input!$I$87)/A13taxstdlife))</f>
        <v>0</v>
      </c>
      <c r="O244" s="68">
        <f>IF(A13taxstdlife="n/a","n/a",IF(O$3&gt;(A13taxstdlife+$E244),(Input!$I$53-Input!$I$87)-SUM($I244:N244),(Input!$I$53-Input!$I$87)/A13taxstdlife))</f>
        <v>0</v>
      </c>
      <c r="P244" s="68">
        <f>IF(A13taxstdlife="n/a","n/a",IF(P$3&gt;(A13taxstdlife+$E244),(Input!$I$53-Input!$I$87)-SUM($I244:O244),(Input!$I$53-Input!$I$87)/A13taxstdlife))</f>
        <v>0</v>
      </c>
      <c r="Q244" s="68">
        <f>IF(A13taxstdlife="n/a","n/a",IF(Q$3&gt;(A13taxstdlife+$E244),(Input!$I$53-Input!$I$87)-SUM($I244:P244),(Input!$I$53-Input!$I$87)/A13taxstdlife))</f>
        <v>0</v>
      </c>
      <c r="R244" s="68"/>
      <c r="S244" s="103"/>
      <c r="T244" s="103"/>
      <c r="U244" s="103"/>
      <c r="V244" s="103"/>
      <c r="W244" s="103"/>
      <c r="X244" s="103"/>
      <c r="Y244" s="103"/>
      <c r="Z244" s="103"/>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26"/>
      <c r="D245" s="672"/>
      <c r="E245" s="86">
        <v>4</v>
      </c>
      <c r="F245" s="27"/>
      <c r="G245" s="208"/>
      <c r="H245" s="150"/>
      <c r="I245" s="150"/>
      <c r="J245" s="149"/>
      <c r="K245" s="68">
        <f>IF(A13taxstdlife="n/a","n/a",IF(K$3&gt;(A13taxstdlife+$E245),(Input!$J$53-Input!$J$87)-SUM($J245:J245),(Input!$J$53-Input!$J$87)/A13taxstdlife))</f>
        <v>0</v>
      </c>
      <c r="L245" s="68">
        <f>IF(A13taxstdlife="n/a","n/a",IF(L$3&gt;(A13taxstdlife+$E245),(Input!$J$53-Input!$J$87)-SUM($J245:K245),(Input!$J$53-Input!$J$87)/A13taxstdlife))</f>
        <v>0</v>
      </c>
      <c r="M245" s="68">
        <f>IF(A13taxstdlife="n/a","n/a",IF(M$3&gt;(A13taxstdlife+$E245),(Input!$J$53-Input!$J$87)-SUM($J245:L245),(Input!$J$53-Input!$J$87)/A13taxstdlife))</f>
        <v>0</v>
      </c>
      <c r="N245" s="68">
        <f>IF(A13taxstdlife="n/a","n/a",IF(N$3&gt;(A13taxstdlife+$E245),(Input!$J$53-Input!$J$87)-SUM($J245:M245),(Input!$J$53-Input!$J$87)/A13taxstdlife))</f>
        <v>0</v>
      </c>
      <c r="O245" s="68">
        <f>IF(A13taxstdlife="n/a","n/a",IF(O$3&gt;(A13taxstdlife+$E245),(Input!$J$53-Input!$J$87)-SUM($J245:N245),(Input!$J$53-Input!$J$87)/A13taxstdlife))</f>
        <v>0</v>
      </c>
      <c r="P245" s="68">
        <f>IF(A13taxstdlife="n/a","n/a",IF(P$3&gt;(A13taxstdlife+$E245),(Input!$J$53-Input!$J$87)-SUM($J245:O245),(Input!$J$53-Input!$J$87)/A13taxstdlife))</f>
        <v>0</v>
      </c>
      <c r="Q245" s="68">
        <f>IF(A13taxstdlife="n/a","n/a",IF(Q$3&gt;(A13taxstdlife+$E245),(Input!$J$53-Input!$J$87)-SUM($J245:P245),(Input!$J$53-Input!$J$87)/A13taxstdlife))</f>
        <v>0</v>
      </c>
      <c r="R245" s="68"/>
      <c r="S245" s="103"/>
      <c r="T245" s="103"/>
      <c r="U245" s="103"/>
      <c r="V245" s="103"/>
      <c r="W245" s="103"/>
      <c r="X245" s="103"/>
      <c r="Y245" s="103"/>
      <c r="Z245" s="103"/>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26"/>
      <c r="D246" s="672"/>
      <c r="E246" s="86">
        <v>5</v>
      </c>
      <c r="F246" s="27"/>
      <c r="G246" s="208"/>
      <c r="H246" s="150"/>
      <c r="I246" s="150"/>
      <c r="J246" s="150"/>
      <c r="K246" s="149"/>
      <c r="L246" s="68">
        <f>IF(A13taxstdlife="n/a","n/a",IF(L$3&gt;(A13taxstdlife+$E246),(Input!$K$53-Input!$K$87)-SUM($K246:K246),(Input!$K$53-Input!$K$87)/A13taxstdlife))</f>
        <v>0</v>
      </c>
      <c r="M246" s="68">
        <f>IF(A13taxstdlife="n/a","n/a",IF(M$3&gt;(A13taxstdlife+$E246),(Input!$K$53-Input!$K$87)-SUM($K246:L246),(Input!$K$53-Input!$K$87)/A13taxstdlife))</f>
        <v>0</v>
      </c>
      <c r="N246" s="68">
        <f>IF(A13taxstdlife="n/a","n/a",IF(N$3&gt;(A13taxstdlife+$E246),(Input!$K$53-Input!$K$87)-SUM($K246:M246),(Input!$K$53-Input!$K$87)/A13taxstdlife))</f>
        <v>0</v>
      </c>
      <c r="O246" s="68">
        <f>IF(A13taxstdlife="n/a","n/a",IF(O$3&gt;(A13taxstdlife+$E246),(Input!$K$53-Input!$K$87)-SUM($K246:N246),(Input!$K$53-Input!$K$87)/A13taxstdlife))</f>
        <v>0</v>
      </c>
      <c r="P246" s="68">
        <f>IF(A13taxstdlife="n/a","n/a",IF(P$3&gt;(A13taxstdlife+$E246),(Input!$K$53-Input!$K$87)-SUM($K246:O246),(Input!$K$53-Input!$K$87)/A13taxstdlife))</f>
        <v>0</v>
      </c>
      <c r="Q246" s="68">
        <f>IF(A13taxstdlife="n/a","n/a",IF(Q$3&gt;(A13taxstdlife+$E246),(Input!$K$53-Input!$K$87)-SUM($K246:P246),(Input!$K$53-Input!$K$87)/A13taxstdlife))</f>
        <v>0</v>
      </c>
      <c r="R246" s="68"/>
      <c r="S246" s="103"/>
      <c r="T246" s="103"/>
      <c r="U246" s="103"/>
      <c r="V246" s="103"/>
      <c r="W246" s="103"/>
      <c r="X246" s="103"/>
      <c r="Y246" s="103"/>
      <c r="Z246" s="103"/>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26"/>
      <c r="D247" s="672"/>
      <c r="E247" s="86">
        <v>6</v>
      </c>
      <c r="F247" s="27"/>
      <c r="G247" s="208"/>
      <c r="H247" s="150"/>
      <c r="I247" s="150"/>
      <c r="J247" s="150"/>
      <c r="K247" s="150"/>
      <c r="L247" s="149"/>
      <c r="M247" s="68">
        <f>IF(A13taxstdlife="n/a","n/a",IF(M$3&gt;(A13taxstdlife+$E247),(Input!$L$53-Input!$L$87)-SUM($L247:L247),(Input!$L$53-Input!$L$87)/A13taxstdlife))</f>
        <v>0</v>
      </c>
      <c r="N247" s="68">
        <f>IF(A13taxstdlife="n/a","n/a",IF(N$3&gt;(A13taxstdlife+$E247),(Input!$L$53-Input!$L$87)-SUM($L247:M247),(Input!$L$53-Input!$L$87)/A13taxstdlife))</f>
        <v>0</v>
      </c>
      <c r="O247" s="68">
        <f>IF(A13taxstdlife="n/a","n/a",IF(O$3&gt;(A13taxstdlife+$E247),(Input!$L$53-Input!$L$87)-SUM($L247:N247),(Input!$L$53-Input!$L$87)/A13taxstdlife))</f>
        <v>0</v>
      </c>
      <c r="P247" s="68">
        <f>IF(A13taxstdlife="n/a","n/a",IF(P$3&gt;(A13taxstdlife+$E247),(Input!$L$53-Input!$L$87)-SUM($L247:O247),(Input!$L$53-Input!$L$87)/A13taxstdlife))</f>
        <v>0</v>
      </c>
      <c r="Q247" s="68">
        <f>IF(A13taxstdlife="n/a","n/a",IF(Q$3&gt;(A13taxstdlife+$E247),(Input!$L$53-Input!$L$87)-SUM($L247:P247),(Input!$L$53-Input!$L$87)/A13taxstdlife))</f>
        <v>0</v>
      </c>
      <c r="R247" s="68"/>
      <c r="S247" s="103"/>
      <c r="T247" s="103"/>
      <c r="U247" s="103"/>
      <c r="V247" s="103"/>
      <c r="W247" s="103"/>
      <c r="X247" s="103"/>
      <c r="Y247" s="103"/>
      <c r="Z247" s="103"/>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26"/>
      <c r="D248" s="672"/>
      <c r="E248" s="86">
        <v>7</v>
      </c>
      <c r="F248" s="27"/>
      <c r="G248" s="208"/>
      <c r="H248" s="150"/>
      <c r="I248" s="150"/>
      <c r="J248" s="150"/>
      <c r="K248" s="150"/>
      <c r="L248" s="150"/>
      <c r="M248" s="149"/>
      <c r="N248" s="68">
        <f>IF(A13taxstdlife="n/a","n/a",IF(N$3&gt;(A13taxstdlife+$E248),(Input!$M$53-Input!$M$87)-SUM($M248:M248),(Input!$M$53-Input!$M$87)/A13taxstdlife))</f>
        <v>0</v>
      </c>
      <c r="O248" s="68">
        <f>IF(A13taxstdlife="n/a","n/a",IF(O$3&gt;(A13taxstdlife+$E248),(Input!$M$53-Input!$M$87)-SUM($M248:N248),(Input!$M$53-Input!$M$87)/A13taxstdlife))</f>
        <v>0</v>
      </c>
      <c r="P248" s="68">
        <f>IF(A13taxstdlife="n/a","n/a",IF(P$3&gt;(A13taxstdlife+$E248),(Input!$M$53-Input!$M$87)-SUM($M248:O248),(Input!$M$53-Input!$M$87)/A13taxstdlife))</f>
        <v>0</v>
      </c>
      <c r="Q248" s="68">
        <f>IF(A13taxstdlife="n/a","n/a",IF(Q$3&gt;(A13taxstdlife+$E248),(Input!$M$53-Input!$M$87)-SUM($M248:P248),(Input!$M$53-Input!$M$87)/A13taxstdlife))</f>
        <v>0</v>
      </c>
      <c r="R248" s="68"/>
      <c r="S248" s="103"/>
      <c r="T248" s="103"/>
      <c r="U248" s="103"/>
      <c r="V248" s="103"/>
      <c r="W248" s="103"/>
      <c r="X248" s="103"/>
      <c r="Y248" s="103"/>
      <c r="Z248" s="103"/>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26"/>
      <c r="D249" s="672"/>
      <c r="E249" s="86">
        <v>8</v>
      </c>
      <c r="F249" s="27"/>
      <c r="G249" s="208"/>
      <c r="H249" s="150"/>
      <c r="I249" s="150"/>
      <c r="J249" s="150"/>
      <c r="K249" s="150"/>
      <c r="L249" s="150"/>
      <c r="M249" s="150"/>
      <c r="N249" s="149"/>
      <c r="O249" s="68">
        <f>IF(A13taxstdlife="n/a","n/a",IF(O$3&gt;(A13taxstdlife+$E249),(Input!$N$53-Input!$N$87)-SUM($N249:N249),(Input!$N$53-Input!$N$87)/A13taxstdlife))</f>
        <v>0</v>
      </c>
      <c r="P249" s="68">
        <f>IF(A13taxstdlife="n/a","n/a",IF(P$3&gt;(A13taxstdlife+$E249),(Input!$N$53-Input!$N$87)-SUM($N249:O249),(Input!$N$53-Input!$N$87)/A13taxstdlife))</f>
        <v>0</v>
      </c>
      <c r="Q249" s="68">
        <f>IF(A13taxstdlife="n/a","n/a",IF(Q$3&gt;(A13taxstdlife+$E249),(Input!$N$53-Input!$N$87)-SUM($N249:P249),(Input!$N$53-Input!$N$87)/A13taxstdlife))</f>
        <v>0</v>
      </c>
      <c r="R249" s="68"/>
      <c r="S249" s="103"/>
      <c r="T249" s="103"/>
      <c r="U249" s="103"/>
      <c r="V249" s="103"/>
      <c r="W249" s="103"/>
      <c r="X249" s="103"/>
      <c r="Y249" s="103"/>
      <c r="Z249" s="103"/>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26"/>
      <c r="D250" s="672"/>
      <c r="E250" s="86">
        <v>9</v>
      </c>
      <c r="F250" s="27"/>
      <c r="G250" s="208"/>
      <c r="H250" s="150"/>
      <c r="I250" s="150"/>
      <c r="J250" s="150"/>
      <c r="K250" s="150"/>
      <c r="L250" s="150"/>
      <c r="M250" s="150"/>
      <c r="N250" s="150"/>
      <c r="O250" s="149"/>
      <c r="P250" s="68">
        <f>IF(A13taxstdlife="n/a","n/a",IF(P$3&gt;(A13taxstdlife+$E250),(Input!$O$53-Input!$O$87)-SUM($O250:O250),(Input!$O$53-Input!$O$87)/A13taxstdlife))</f>
        <v>0</v>
      </c>
      <c r="Q250" s="68">
        <f>IF(A13taxstdlife="n/a","n/a",IF(Q$3&gt;(A13taxstdlife+$E250),(Input!$O$53-Input!$O$87)-SUM($O250:P250),(Input!$O$53-Input!$O$87)/A13taxstdlife))</f>
        <v>0</v>
      </c>
      <c r="R250" s="68"/>
      <c r="S250" s="103"/>
      <c r="T250" s="103"/>
      <c r="U250" s="103"/>
      <c r="V250" s="103"/>
      <c r="W250" s="103"/>
      <c r="X250" s="103"/>
      <c r="Y250" s="103"/>
      <c r="Z250" s="103"/>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2">
      <c r="A251" s="9"/>
      <c r="B251" s="9"/>
      <c r="C251" s="26"/>
      <c r="D251" s="672"/>
      <c r="E251" s="86">
        <v>10</v>
      </c>
      <c r="F251" s="27"/>
      <c r="G251" s="208"/>
      <c r="H251" s="150"/>
      <c r="I251" s="150"/>
      <c r="J251" s="150"/>
      <c r="K251" s="150"/>
      <c r="L251" s="150"/>
      <c r="M251" s="150"/>
      <c r="N251" s="150"/>
      <c r="O251" s="150"/>
      <c r="P251" s="149"/>
      <c r="Q251" s="68">
        <f>IF(A13taxstdlife="n/a","n/a",IF(Q$3&gt;(A13taxstdlife+$E251),(Input!$P$53-Input!$P$87)-SUM($P251:P251),(Input!$P$53-Input!$P$87)/A13taxstdlife))</f>
        <v>0</v>
      </c>
      <c r="R251" s="68"/>
      <c r="S251" s="103"/>
      <c r="T251" s="103"/>
      <c r="U251" s="103"/>
      <c r="V251" s="103"/>
      <c r="W251" s="103"/>
      <c r="X251" s="103"/>
      <c r="Y251" s="103"/>
      <c r="Z251" s="103"/>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26"/>
      <c r="D252" s="672"/>
      <c r="E252" s="87">
        <v>11</v>
      </c>
      <c r="F252" s="27"/>
      <c r="G252" s="208"/>
      <c r="H252" s="150"/>
      <c r="I252" s="150"/>
      <c r="J252" s="150"/>
      <c r="K252" s="150"/>
      <c r="L252" s="150"/>
      <c r="M252" s="150"/>
      <c r="N252" s="150"/>
      <c r="O252" s="150"/>
      <c r="P252" s="189"/>
      <c r="Q252" s="149"/>
      <c r="R252" s="68"/>
      <c r="S252" s="103"/>
      <c r="T252" s="103"/>
      <c r="U252" s="103"/>
      <c r="V252" s="103"/>
      <c r="W252" s="103"/>
      <c r="X252" s="103"/>
      <c r="Y252" s="103"/>
      <c r="Z252" s="103"/>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1">
      <c r="A253" s="9"/>
      <c r="B253" s="9"/>
      <c r="C253" s="26">
        <f>Asset13</f>
        <v>0</v>
      </c>
      <c r="D253" s="9"/>
      <c r="E253" s="9"/>
      <c r="F253" s="23"/>
      <c r="G253" s="209">
        <f t="shared" ref="G253:L253" si="47">-SUM(G240:G252)</f>
        <v>0</v>
      </c>
      <c r="H253" s="166">
        <f t="shared" si="47"/>
        <v>0</v>
      </c>
      <c r="I253" s="166">
        <f t="shared" si="47"/>
        <v>0</v>
      </c>
      <c r="J253" s="166">
        <f t="shared" si="47"/>
        <v>0</v>
      </c>
      <c r="K253" s="166">
        <f t="shared" si="47"/>
        <v>0</v>
      </c>
      <c r="L253" s="166">
        <f t="shared" si="47"/>
        <v>0</v>
      </c>
      <c r="M253" s="166">
        <f>IF(Input!M173&gt;0, -SUM(M240:M252), 0)</f>
        <v>0</v>
      </c>
      <c r="N253" s="166">
        <f>IF(Input!N173&gt;0, -SUM(N240:N252), 0)</f>
        <v>0</v>
      </c>
      <c r="O253" s="166">
        <f>IF(Input!O173&gt;0, -SUM(O240:O252), 0)</f>
        <v>0</v>
      </c>
      <c r="P253" s="166">
        <f>IF(Input!P173&gt;0, -SUM(P240:P252), 0)</f>
        <v>0</v>
      </c>
      <c r="Q253" s="166">
        <f>IF(Input!Q173&gt;0, -SUM(Q240:Q252), 0)</f>
        <v>0</v>
      </c>
      <c r="R253" s="64"/>
      <c r="S253" s="102"/>
      <c r="T253" s="102"/>
      <c r="U253" s="102"/>
      <c r="V253" s="102"/>
      <c r="W253" s="102"/>
      <c r="X253" s="102"/>
      <c r="Y253" s="102"/>
      <c r="Z253" s="102"/>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32">
        <f>Asset14</f>
        <v>0</v>
      </c>
      <c r="C254" s="33"/>
      <c r="D254" s="34" t="s">
        <v>67</v>
      </c>
      <c r="E254" s="33"/>
      <c r="F254" s="35"/>
      <c r="G254" s="205">
        <f>IF(G$3&gt;A14taxremlife,A14taxvalue-SUM($F254:F254),IF(A14taxremlife="N/A","n/a",A14taxvalue/A14taxremlife))</f>
        <v>0</v>
      </c>
      <c r="H254" s="67">
        <f>IF(H$3&gt;A14taxremlife,A14taxvalue-SUM($F254:G254),IF(A14taxremlife="N/A","n/a",A14taxvalue/A14taxremlife))</f>
        <v>0</v>
      </c>
      <c r="I254" s="67">
        <f>IF(I$3&gt;A14taxremlife,A14taxvalue-SUM($F254:H254),IF(A14taxremlife="N/A","n/a",A14taxvalue/A14taxremlife))</f>
        <v>0</v>
      </c>
      <c r="J254" s="67">
        <f>IF(J$3&gt;A14taxremlife,A14taxvalue-SUM($F254:I254),IF(A14taxremlife="N/A","n/a",A14taxvalue/A14taxremlife))</f>
        <v>0</v>
      </c>
      <c r="K254" s="67">
        <f>IF(K$3&gt;A14taxremlife,A14taxvalue-SUM($F254:J254),IF(A14taxremlife="N/A","n/a",A14taxvalue/A14taxremlife))</f>
        <v>0</v>
      </c>
      <c r="L254" s="67">
        <f>IF(L$3&gt;A14taxremlife,A14taxvalue-SUM($F254:K254),IF(A14taxremlife="N/A","n/a",A14taxvalue/A14taxremlife))</f>
        <v>0</v>
      </c>
      <c r="M254" s="67">
        <f>IF(M$3&gt;A14taxremlife,A14taxvalue-SUM($F254:L254),IF(A14taxremlife="N/A","n/a",A14taxvalue/A14taxremlife))</f>
        <v>0</v>
      </c>
      <c r="N254" s="67">
        <f>IF(N$3&gt;A14taxremlife,A14taxvalue-SUM($F254:M254),IF(A14taxremlife="N/A","n/a",A14taxvalue/A14taxremlife))</f>
        <v>0</v>
      </c>
      <c r="O254" s="67">
        <f>IF(O$3&gt;A14taxremlife,A14taxvalue-SUM($F254:N254),IF(A14taxremlife="N/A","n/a",A14taxvalue/A14taxremlife))</f>
        <v>0</v>
      </c>
      <c r="P254" s="67">
        <f>IF(P$3&gt;A14taxremlife,A14taxvalue-SUM($F254:O254),IF(A14taxremlife="N/A","n/a",A14taxvalue/A14taxremlife))</f>
        <v>0</v>
      </c>
      <c r="Q254" s="67">
        <f>IF(Q$3&gt;A14taxremlife,A14taxvalue-SUM($F254:P254),IF(A14taxremlife="N/A","n/a",A14taxvalue/A14taxremlife))</f>
        <v>0</v>
      </c>
      <c r="R254" s="67"/>
      <c r="S254" s="103"/>
      <c r="T254" s="103"/>
      <c r="U254" s="103"/>
      <c r="V254" s="103"/>
      <c r="W254" s="103"/>
      <c r="X254" s="103"/>
      <c r="Y254" s="103"/>
      <c r="Z254" s="103"/>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26"/>
      <c r="D255" s="671" t="s">
        <v>84</v>
      </c>
      <c r="E255" s="86">
        <v>0</v>
      </c>
      <c r="F255" s="27"/>
      <c r="G255" s="206"/>
      <c r="H255" s="68"/>
      <c r="I255" s="68"/>
      <c r="J255" s="68"/>
      <c r="K255" s="68"/>
      <c r="L255" s="68"/>
      <c r="M255" s="68"/>
      <c r="N255" s="68"/>
      <c r="O255" s="68"/>
      <c r="P255" s="68"/>
      <c r="Q255" s="68"/>
      <c r="R255" s="68"/>
      <c r="S255" s="103"/>
      <c r="T255" s="103"/>
      <c r="U255" s="103"/>
      <c r="V255" s="103"/>
      <c r="W255" s="103"/>
      <c r="X255" s="103"/>
      <c r="Y255" s="103"/>
      <c r="Z255" s="103"/>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26"/>
      <c r="D256" s="672"/>
      <c r="E256" s="86">
        <v>1</v>
      </c>
      <c r="F256" s="27"/>
      <c r="G256" s="207"/>
      <c r="H256" s="68">
        <f>IF(A14taxstdlife="n/a","n/a",IF(H$3&gt;(A14taxstdlife+$E256),(Input!$G$54-Input!$G$88)-SUM($G256:G256),(Input!$G$54-Input!$G$88)/A14taxstdlife))</f>
        <v>0</v>
      </c>
      <c r="I256" s="68">
        <f>IF(A14taxstdlife="n/a","n/a",IF(I$3&gt;(A14taxstdlife+$E256),(Input!$G$54-Input!$G$88)-SUM($G256:H256),(Input!$G$54-Input!$G$88)/A14taxstdlife))</f>
        <v>0</v>
      </c>
      <c r="J256" s="68">
        <f>IF(A14taxstdlife="n/a","n/a",IF(J$3&gt;(A14taxstdlife+$E256),(Input!$G$54-Input!$G$88)-SUM($G256:I256),(Input!$G$54-Input!$G$88)/A14taxstdlife))</f>
        <v>0</v>
      </c>
      <c r="K256" s="68">
        <f>IF(A14taxstdlife="n/a","n/a",IF(K$3&gt;(A14taxstdlife+$E256),(Input!$G$54-Input!$G$88)-SUM($G256:J256),(Input!$G$54-Input!$G$88)/A14taxstdlife))</f>
        <v>0</v>
      </c>
      <c r="L256" s="68">
        <f>IF(A14taxstdlife="n/a","n/a",IF(L$3&gt;(A14taxstdlife+$E256),(Input!$G$54-Input!$G$88)-SUM($G256:K256),(Input!$G$54-Input!$G$88)/A14taxstdlife))</f>
        <v>0</v>
      </c>
      <c r="M256" s="68">
        <f>IF(A14taxstdlife="n/a","n/a",IF(M$3&gt;(A14taxstdlife+$E256),(Input!$G$54-Input!$G$88)-SUM($G256:L256),(Input!$G$54-Input!$G$88)/A14taxstdlife))</f>
        <v>0</v>
      </c>
      <c r="N256" s="68">
        <f>IF(A14taxstdlife="n/a","n/a",IF(N$3&gt;(A14taxstdlife+$E256),(Input!$G$54-Input!$G$88)-SUM($G256:M256),(Input!$G$54-Input!$G$88)/A14taxstdlife))</f>
        <v>0</v>
      </c>
      <c r="O256" s="68">
        <f>IF(A14taxstdlife="n/a","n/a",IF(O$3&gt;(A14taxstdlife+$E256),(Input!$G$54-Input!$G$88)-SUM($G256:N256),(Input!$G$54-Input!$G$88)/A14taxstdlife))</f>
        <v>0</v>
      </c>
      <c r="P256" s="68">
        <f>IF(A14taxstdlife="n/a","n/a",IF(P$3&gt;(A14taxstdlife+$E256),(Input!$G$54-Input!$G$88)-SUM($G256:O256),(Input!$G$54-Input!$G$88)/A14taxstdlife))</f>
        <v>0</v>
      </c>
      <c r="Q256" s="68">
        <f>IF(A14taxstdlife="n/a","n/a",IF(Q$3&gt;(A14taxstdlife+$E256),(Input!$G$54-Input!$G$88)-SUM($G256:P256),(Input!$G$54-Input!$G$88)/A14taxstdlife))</f>
        <v>0</v>
      </c>
      <c r="R256" s="68"/>
      <c r="S256" s="103"/>
      <c r="T256" s="103"/>
      <c r="U256" s="103"/>
      <c r="V256" s="103"/>
      <c r="W256" s="103"/>
      <c r="X256" s="103"/>
      <c r="Y256" s="103"/>
      <c r="Z256" s="103"/>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26"/>
      <c r="D257" s="672"/>
      <c r="E257" s="86">
        <v>2</v>
      </c>
      <c r="F257" s="27"/>
      <c r="G257" s="208"/>
      <c r="H257" s="149"/>
      <c r="I257" s="68">
        <f>IF(A14taxstdlife="n/a","n/a",IF(I$3&gt;(A14taxstdlife+$E257),(Input!$H$54-Input!$H$88)-SUM($H257:H257),(Input!$H$54-Input!$H$88)/A14taxstdlife))</f>
        <v>0</v>
      </c>
      <c r="J257" s="68">
        <f>IF(A14taxstdlife="n/a","n/a",IF(J$3&gt;(A14taxstdlife+$E257),(Input!$H$54-Input!$H$88)-SUM($H257:I257),(Input!$H$54-Input!$H$88)/A14taxstdlife))</f>
        <v>0</v>
      </c>
      <c r="K257" s="68">
        <f>IF(A14taxstdlife="n/a","n/a",IF(K$3&gt;(A14taxstdlife+$E257),(Input!$H$54-Input!$H$88)-SUM($H257:J257),(Input!$H$54-Input!$H$88)/A14taxstdlife))</f>
        <v>0</v>
      </c>
      <c r="L257" s="68">
        <f>IF(A14taxstdlife="n/a","n/a",IF(L$3&gt;(A14taxstdlife+$E257),(Input!$H$54-Input!$H$88)-SUM($H257:K257),(Input!$H$54-Input!$H$88)/A14taxstdlife))</f>
        <v>0</v>
      </c>
      <c r="M257" s="68">
        <f>IF(A14taxstdlife="n/a","n/a",IF(M$3&gt;(A14taxstdlife+$E257),(Input!$H$54-Input!$H$88)-SUM($H257:L257),(Input!$H$54-Input!$H$88)/A14taxstdlife))</f>
        <v>0</v>
      </c>
      <c r="N257" s="68">
        <f>IF(A14taxstdlife="n/a","n/a",IF(N$3&gt;(A14taxstdlife+$E257),(Input!$H$54-Input!$H$88)-SUM($H257:M257),(Input!$H$54-Input!$H$88)/A14taxstdlife))</f>
        <v>0</v>
      </c>
      <c r="O257" s="68">
        <f>IF(A14taxstdlife="n/a","n/a",IF(O$3&gt;(A14taxstdlife+$E257),(Input!$H$54-Input!$H$88)-SUM($H257:N257),(Input!$H$54-Input!$H$88)/A14taxstdlife))</f>
        <v>0</v>
      </c>
      <c r="P257" s="68">
        <f>IF(A14taxstdlife="n/a","n/a",IF(P$3&gt;(A14taxstdlife+$E257),(Input!$H$54-Input!$H$88)-SUM($H257:O257),(Input!$H$54-Input!$H$88)/A14taxstdlife))</f>
        <v>0</v>
      </c>
      <c r="Q257" s="68">
        <f>IF(A14taxstdlife="n/a","n/a",IF(Q$3&gt;(A14taxstdlife+$E257),(Input!$H$54-Input!$H$88)-SUM($H257:P257),(Input!$H$54-Input!$H$88)/A14taxstdlife))</f>
        <v>0</v>
      </c>
      <c r="R257" s="68"/>
      <c r="S257" s="103"/>
      <c r="T257" s="103"/>
      <c r="U257" s="103"/>
      <c r="V257" s="103"/>
      <c r="W257" s="103"/>
      <c r="X257" s="103"/>
      <c r="Y257" s="103"/>
      <c r="Z257" s="103"/>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26"/>
      <c r="D258" s="672"/>
      <c r="E258" s="86">
        <v>3</v>
      </c>
      <c r="F258" s="27"/>
      <c r="G258" s="208"/>
      <c r="H258" s="150"/>
      <c r="I258" s="149"/>
      <c r="J258" s="68">
        <f>IF(A14taxstdlife="n/a","n/a",IF(J$3&gt;(A14taxstdlife+$E258),(Input!$I$54-Input!$I$88)-SUM($I258:I258),(Input!$I$54-Input!$I$88)/A14taxstdlife))</f>
        <v>0</v>
      </c>
      <c r="K258" s="68">
        <f>IF(A14taxstdlife="n/a","n/a",IF(K$3&gt;(A14taxstdlife+$E258),(Input!$I$54-Input!$I$88)-SUM($I258:J258),(Input!$I$54-Input!$I$88)/A14taxstdlife))</f>
        <v>0</v>
      </c>
      <c r="L258" s="68">
        <f>IF(A14taxstdlife="n/a","n/a",IF(L$3&gt;(A14taxstdlife+$E258),(Input!$I$54-Input!$I$88)-SUM($I258:K258),(Input!$I$54-Input!$I$88)/A14taxstdlife))</f>
        <v>0</v>
      </c>
      <c r="M258" s="68">
        <f>IF(A14taxstdlife="n/a","n/a",IF(M$3&gt;(A14taxstdlife+$E258),(Input!$I$54-Input!$I$88)-SUM($I258:L258),(Input!$I$54-Input!$I$88)/A14taxstdlife))</f>
        <v>0</v>
      </c>
      <c r="N258" s="68">
        <f>IF(A14taxstdlife="n/a","n/a",IF(N$3&gt;(A14taxstdlife+$E258),(Input!$I$54-Input!$I$88)-SUM($I258:M258),(Input!$I$54-Input!$I$88)/A14taxstdlife))</f>
        <v>0</v>
      </c>
      <c r="O258" s="68">
        <f>IF(A14taxstdlife="n/a","n/a",IF(O$3&gt;(A14taxstdlife+$E258),(Input!$I$54-Input!$I$88)-SUM($I258:N258),(Input!$I$54-Input!$I$88)/A14taxstdlife))</f>
        <v>0</v>
      </c>
      <c r="P258" s="68">
        <f>IF(A14taxstdlife="n/a","n/a",IF(P$3&gt;(A14taxstdlife+$E258),(Input!$I$54-Input!$I$88)-SUM($I258:O258),(Input!$I$54-Input!$I$88)/A14taxstdlife))</f>
        <v>0</v>
      </c>
      <c r="Q258" s="68">
        <f>IF(A14taxstdlife="n/a","n/a",IF(Q$3&gt;(A14taxstdlife+$E258),(Input!$I$54-Input!$I$88)-SUM($I258:P258),(Input!$I$54-Input!$I$88)/A14taxstdlife))</f>
        <v>0</v>
      </c>
      <c r="R258" s="68"/>
      <c r="S258" s="103"/>
      <c r="T258" s="103"/>
      <c r="U258" s="103"/>
      <c r="V258" s="103"/>
      <c r="W258" s="103"/>
      <c r="X258" s="103"/>
      <c r="Y258" s="103"/>
      <c r="Z258" s="103"/>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26"/>
      <c r="D259" s="672"/>
      <c r="E259" s="86">
        <v>4</v>
      </c>
      <c r="F259" s="27"/>
      <c r="G259" s="208"/>
      <c r="H259" s="150"/>
      <c r="I259" s="150"/>
      <c r="J259" s="149"/>
      <c r="K259" s="68">
        <f>IF(A14taxstdlife="n/a","n/a",IF(K$3&gt;(A14taxstdlife+$E259),(Input!$J$54-Input!$J$88)-SUM($J259:J259),(Input!$J$54-Input!$J$88)/A14taxstdlife))</f>
        <v>0</v>
      </c>
      <c r="L259" s="68">
        <f>IF(A14taxstdlife="n/a","n/a",IF(L$3&gt;(A14taxstdlife+$E259),(Input!$J$54-Input!$J$88)-SUM($J259:K259),(Input!$J$54-Input!$J$88)/A14taxstdlife))</f>
        <v>0</v>
      </c>
      <c r="M259" s="68">
        <f>IF(A14taxstdlife="n/a","n/a",IF(M$3&gt;(A14taxstdlife+$E259),(Input!$J$54-Input!$J$88)-SUM($J259:L259),(Input!$J$54-Input!$J$88)/A14taxstdlife))</f>
        <v>0</v>
      </c>
      <c r="N259" s="68">
        <f>IF(A14taxstdlife="n/a","n/a",IF(N$3&gt;(A14taxstdlife+$E259),(Input!$J$54-Input!$J$88)-SUM($J259:M259),(Input!$J$54-Input!$J$88)/A14taxstdlife))</f>
        <v>0</v>
      </c>
      <c r="O259" s="68">
        <f>IF(A14taxstdlife="n/a","n/a",IF(O$3&gt;(A14taxstdlife+$E259),(Input!$J$54-Input!$J$88)-SUM($J259:N259),(Input!$J$54-Input!$J$88)/A14taxstdlife))</f>
        <v>0</v>
      </c>
      <c r="P259" s="68">
        <f>IF(A14taxstdlife="n/a","n/a",IF(P$3&gt;(A14taxstdlife+$E259),(Input!$J$54-Input!$J$88)-SUM($J259:O259),(Input!$J$54-Input!$J$88)/A14taxstdlife))</f>
        <v>0</v>
      </c>
      <c r="Q259" s="68">
        <f>IF(A14taxstdlife="n/a","n/a",IF(Q$3&gt;(A14taxstdlife+$E259),(Input!$J$54-Input!$J$88)-SUM($J259:P259),(Input!$J$54-Input!$J$88)/A14taxstdlife))</f>
        <v>0</v>
      </c>
      <c r="R259" s="68"/>
      <c r="S259" s="103"/>
      <c r="T259" s="103"/>
      <c r="U259" s="103"/>
      <c r="V259" s="103"/>
      <c r="W259" s="103"/>
      <c r="X259" s="103"/>
      <c r="Y259" s="103"/>
      <c r="Z259" s="103"/>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26"/>
      <c r="D260" s="672"/>
      <c r="E260" s="86">
        <v>5</v>
      </c>
      <c r="F260" s="27"/>
      <c r="G260" s="208"/>
      <c r="H260" s="150"/>
      <c r="I260" s="150"/>
      <c r="J260" s="150"/>
      <c r="K260" s="149"/>
      <c r="L260" s="68">
        <f>IF(A14taxstdlife="n/a","n/a",IF(L$3&gt;(A14taxstdlife+$E260),(Input!$K$54-Input!$K$88)-SUM($K260:K260),(Input!$K$54-Input!$K$88)/A14taxstdlife))</f>
        <v>0</v>
      </c>
      <c r="M260" s="68">
        <f>IF(A14taxstdlife="n/a","n/a",IF(M$3&gt;(A14taxstdlife+$E260),(Input!$K$54-Input!$K$88)-SUM($K260:L260),(Input!$K$54-Input!$K$88)/A14taxstdlife))</f>
        <v>0</v>
      </c>
      <c r="N260" s="68">
        <f>IF(A14taxstdlife="n/a","n/a",IF(N$3&gt;(A14taxstdlife+$E260),(Input!$K$54-Input!$K$88)-SUM($K260:M260),(Input!$K$54-Input!$K$88)/A14taxstdlife))</f>
        <v>0</v>
      </c>
      <c r="O260" s="68">
        <f>IF(A14taxstdlife="n/a","n/a",IF(O$3&gt;(A14taxstdlife+$E260),(Input!$K$54-Input!$K$88)-SUM($K260:N260),(Input!$K$54-Input!$K$88)/A14taxstdlife))</f>
        <v>0</v>
      </c>
      <c r="P260" s="68">
        <f>IF(A14taxstdlife="n/a","n/a",IF(P$3&gt;(A14taxstdlife+$E260),(Input!$K$54-Input!$K$88)-SUM($K260:O260),(Input!$K$54-Input!$K$88)/A14taxstdlife))</f>
        <v>0</v>
      </c>
      <c r="Q260" s="68">
        <f>IF(A14taxstdlife="n/a","n/a",IF(Q$3&gt;(A14taxstdlife+$E260),(Input!$K$54-Input!$K$88)-SUM($K260:P260),(Input!$K$54-Input!$K$88)/A14taxstdlife))</f>
        <v>0</v>
      </c>
      <c r="R260" s="68"/>
      <c r="S260" s="103"/>
      <c r="T260" s="103"/>
      <c r="U260" s="103"/>
      <c r="V260" s="103"/>
      <c r="W260" s="103"/>
      <c r="X260" s="103"/>
      <c r="Y260" s="103"/>
      <c r="Z260" s="103"/>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26"/>
      <c r="D261" s="672"/>
      <c r="E261" s="86">
        <v>6</v>
      </c>
      <c r="F261" s="27"/>
      <c r="G261" s="208"/>
      <c r="H261" s="150"/>
      <c r="I261" s="150"/>
      <c r="J261" s="150"/>
      <c r="K261" s="150"/>
      <c r="L261" s="149"/>
      <c r="M261" s="68">
        <f>IF(A14taxstdlife="n/a","n/a",IF(M$3&gt;(A14taxstdlife+$E261),(Input!$L$54-Input!$L$88)-SUM($L261:L261),(Input!$L$54-Input!$L$88)/A14taxstdlife))</f>
        <v>0</v>
      </c>
      <c r="N261" s="68">
        <f>IF(A14taxstdlife="n/a","n/a",IF(N$3&gt;(A14taxstdlife+$E261),(Input!$L$54-Input!$L$88)-SUM($L261:M261),(Input!$L$54-Input!$L$88)/A14taxstdlife))</f>
        <v>0</v>
      </c>
      <c r="O261" s="68">
        <f>IF(A14taxstdlife="n/a","n/a",IF(O$3&gt;(A14taxstdlife+$E261),(Input!$L$54-Input!$L$88)-SUM($L261:N261),(Input!$L$54-Input!$L$88)/A14taxstdlife))</f>
        <v>0</v>
      </c>
      <c r="P261" s="68">
        <f>IF(A14taxstdlife="n/a","n/a",IF(P$3&gt;(A14taxstdlife+$E261),(Input!$L$54-Input!$L$88)-SUM($L261:O261),(Input!$L$54-Input!$L$88)/A14taxstdlife))</f>
        <v>0</v>
      </c>
      <c r="Q261" s="68">
        <f>IF(A14taxstdlife="n/a","n/a",IF(Q$3&gt;(A14taxstdlife+$E261),(Input!$L$54-Input!$L$88)-SUM($L261:P261),(Input!$L$54-Input!$L$88)/A14taxstdlife))</f>
        <v>0</v>
      </c>
      <c r="R261" s="68"/>
      <c r="S261" s="103"/>
      <c r="T261" s="103"/>
      <c r="U261" s="103"/>
      <c r="V261" s="103"/>
      <c r="W261" s="103"/>
      <c r="X261" s="103"/>
      <c r="Y261" s="103"/>
      <c r="Z261" s="103"/>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26"/>
      <c r="D262" s="672"/>
      <c r="E262" s="86">
        <v>7</v>
      </c>
      <c r="F262" s="27"/>
      <c r="G262" s="208"/>
      <c r="H262" s="150"/>
      <c r="I262" s="150"/>
      <c r="J262" s="150"/>
      <c r="K262" s="150"/>
      <c r="L262" s="150"/>
      <c r="M262" s="149"/>
      <c r="N262" s="68">
        <f>IF(A14taxstdlife="n/a","n/a",IF(N$3&gt;(A14taxstdlife+$E262),(Input!$M$54-Input!$M$88)-SUM($M262:M262),(Input!$M$54-Input!$M$88)/A14taxstdlife))</f>
        <v>0</v>
      </c>
      <c r="O262" s="68">
        <f>IF(A14taxstdlife="n/a","n/a",IF(O$3&gt;(A14taxstdlife+$E262),(Input!$M$54-Input!$M$88)-SUM($M262:N262),(Input!$M$54-Input!$M$88)/A14taxstdlife))</f>
        <v>0</v>
      </c>
      <c r="P262" s="68">
        <f>IF(A14taxstdlife="n/a","n/a",IF(P$3&gt;(A14taxstdlife+$E262),(Input!$M$54-Input!$M$88)-SUM($M262:O262),(Input!$M$54-Input!$M$88)/A14taxstdlife))</f>
        <v>0</v>
      </c>
      <c r="Q262" s="68">
        <f>IF(A14taxstdlife="n/a","n/a",IF(Q$3&gt;(A14taxstdlife+$E262),(Input!$M$54-Input!$M$88)-SUM($M262:P262),(Input!$M$54-Input!$M$88)/A14taxstdlife))</f>
        <v>0</v>
      </c>
      <c r="R262" s="68"/>
      <c r="S262" s="103"/>
      <c r="T262" s="103"/>
      <c r="U262" s="103"/>
      <c r="V262" s="103"/>
      <c r="W262" s="103"/>
      <c r="X262" s="103"/>
      <c r="Y262" s="103"/>
      <c r="Z262" s="103"/>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26"/>
      <c r="D263" s="672"/>
      <c r="E263" s="86">
        <v>8</v>
      </c>
      <c r="F263" s="27"/>
      <c r="G263" s="208"/>
      <c r="H263" s="150"/>
      <c r="I263" s="150"/>
      <c r="J263" s="150"/>
      <c r="K263" s="150"/>
      <c r="L263" s="150"/>
      <c r="M263" s="150"/>
      <c r="N263" s="149"/>
      <c r="O263" s="68">
        <f>IF(A14taxstdlife="n/a","n/a",IF(O$3&gt;(A14taxstdlife+$E263),(Input!$N$54-Input!$N$88)-SUM($N263:N263),(Input!$N$54-Input!$N$88)/A14taxstdlife))</f>
        <v>0</v>
      </c>
      <c r="P263" s="68">
        <f>IF(A14taxstdlife="n/a","n/a",IF(P$3&gt;(A14taxstdlife+$E263),(Input!$N$54-Input!$N$88)-SUM($N263:O263),(Input!$N$54-Input!$N$88)/A14taxstdlife))</f>
        <v>0</v>
      </c>
      <c r="Q263" s="68">
        <f>IF(A14taxstdlife="n/a","n/a",IF(Q$3&gt;(A14taxstdlife+$E263),(Input!$N$54-Input!$N$88)-SUM($N263:P263),(Input!$N$54-Input!$N$88)/A14taxstdlife))</f>
        <v>0</v>
      </c>
      <c r="R263" s="68"/>
      <c r="S263" s="103"/>
      <c r="T263" s="103"/>
      <c r="U263" s="103"/>
      <c r="V263" s="103"/>
      <c r="W263" s="103"/>
      <c r="X263" s="103"/>
      <c r="Y263" s="103"/>
      <c r="Z263" s="103"/>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2">
      <c r="A264" s="9"/>
      <c r="B264" s="9"/>
      <c r="C264" s="26"/>
      <c r="D264" s="672"/>
      <c r="E264" s="86">
        <v>9</v>
      </c>
      <c r="F264" s="27"/>
      <c r="G264" s="208"/>
      <c r="H264" s="150"/>
      <c r="I264" s="150"/>
      <c r="J264" s="150"/>
      <c r="K264" s="150"/>
      <c r="L264" s="150"/>
      <c r="M264" s="150"/>
      <c r="N264" s="150"/>
      <c r="O264" s="149"/>
      <c r="P264" s="68">
        <f>IF(A14taxstdlife="n/a","n/a",IF(P$3&gt;(A14taxstdlife+$E264),(Input!$O$54-Input!$O$88)-SUM($O264:O264),(Input!$O$54-Input!$O$88)/A14taxstdlife))</f>
        <v>0</v>
      </c>
      <c r="Q264" s="68">
        <f>IF(A14taxstdlife="n/a","n/a",IF(Q$3&gt;(A14taxstdlife+$E264),(Input!$O$54-Input!$O$88)-SUM($O264:P264),(Input!$O$54-Input!$O$88)/A14taxstdlife))</f>
        <v>0</v>
      </c>
      <c r="R264" s="68"/>
      <c r="S264" s="103"/>
      <c r="T264" s="103"/>
      <c r="U264" s="103"/>
      <c r="V264" s="103"/>
      <c r="W264" s="103"/>
      <c r="X264" s="103"/>
      <c r="Y264" s="103"/>
      <c r="Z264" s="103"/>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26"/>
      <c r="D265" s="672"/>
      <c r="E265" s="86">
        <v>10</v>
      </c>
      <c r="F265" s="27"/>
      <c r="G265" s="208"/>
      <c r="H265" s="150"/>
      <c r="I265" s="150"/>
      <c r="J265" s="150"/>
      <c r="K265" s="150"/>
      <c r="L265" s="150"/>
      <c r="M265" s="150"/>
      <c r="N265" s="150"/>
      <c r="O265" s="150"/>
      <c r="P265" s="149"/>
      <c r="Q265" s="68">
        <f>IF(A14taxstdlife="n/a","n/a",IF(Q$3&gt;(A14taxstdlife+$E265),(Input!$P$54-Input!$P$88)-SUM($P265:P265),(Input!$P$54-Input!$P$88)/A14taxstdlife))</f>
        <v>0</v>
      </c>
      <c r="R265" s="68"/>
      <c r="S265" s="103"/>
      <c r="T265" s="103"/>
      <c r="U265" s="103"/>
      <c r="V265" s="103"/>
      <c r="W265" s="103"/>
      <c r="X265" s="103"/>
      <c r="Y265" s="103"/>
      <c r="Z265" s="103"/>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26"/>
      <c r="D266" s="672"/>
      <c r="E266" s="87">
        <v>11</v>
      </c>
      <c r="F266" s="27"/>
      <c r="G266" s="208"/>
      <c r="H266" s="150"/>
      <c r="I266" s="150"/>
      <c r="J266" s="150"/>
      <c r="K266" s="150"/>
      <c r="L266" s="150"/>
      <c r="M266" s="150"/>
      <c r="N266" s="150"/>
      <c r="O266" s="150"/>
      <c r="P266" s="189"/>
      <c r="Q266" s="149"/>
      <c r="R266" s="68"/>
      <c r="S266" s="103"/>
      <c r="T266" s="103"/>
      <c r="U266" s="103"/>
      <c r="V266" s="103"/>
      <c r="W266" s="103"/>
      <c r="X266" s="103"/>
      <c r="Y266" s="103"/>
      <c r="Z266" s="103"/>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1">
      <c r="A267" s="9"/>
      <c r="B267" s="9"/>
      <c r="C267" s="26">
        <f>Asset14</f>
        <v>0</v>
      </c>
      <c r="D267" s="9"/>
      <c r="E267" s="9"/>
      <c r="F267" s="23"/>
      <c r="G267" s="209">
        <f t="shared" ref="G267:L267" si="48">-SUM(G254:G266)</f>
        <v>0</v>
      </c>
      <c r="H267" s="166">
        <f t="shared" si="48"/>
        <v>0</v>
      </c>
      <c r="I267" s="166">
        <f t="shared" si="48"/>
        <v>0</v>
      </c>
      <c r="J267" s="166">
        <f t="shared" si="48"/>
        <v>0</v>
      </c>
      <c r="K267" s="166">
        <f t="shared" si="48"/>
        <v>0</v>
      </c>
      <c r="L267" s="166">
        <f t="shared" si="48"/>
        <v>0</v>
      </c>
      <c r="M267" s="166">
        <f>IF(Input!M173&gt;0, -SUM(M254:M266), 0)</f>
        <v>0</v>
      </c>
      <c r="N267" s="166">
        <f>IF(Input!N173&gt;0, -SUM(N254:N266), 0)</f>
        <v>0</v>
      </c>
      <c r="O267" s="166">
        <f>IF(Input!O173&gt;0, -SUM(O254:O266), 0)</f>
        <v>0</v>
      </c>
      <c r="P267" s="166">
        <f>IF(Input!P173&gt;0, -SUM(P254:P266), 0)</f>
        <v>0</v>
      </c>
      <c r="Q267" s="166">
        <f>IF(Input!Q173&gt;0, -SUM(Q254:Q266), 0)</f>
        <v>0</v>
      </c>
      <c r="R267" s="64"/>
      <c r="S267" s="102"/>
      <c r="T267" s="102"/>
      <c r="U267" s="102"/>
      <c r="V267" s="102"/>
      <c r="W267" s="102"/>
      <c r="X267" s="102"/>
      <c r="Y267" s="102"/>
      <c r="Z267" s="102"/>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32">
        <f>Asset15</f>
        <v>0</v>
      </c>
      <c r="C268" s="33"/>
      <c r="D268" s="34" t="s">
        <v>67</v>
      </c>
      <c r="E268" s="33"/>
      <c r="F268" s="35"/>
      <c r="G268" s="205">
        <f>IF(G$3&gt;A15taxremlife,A15taxvalue-SUM($F268:F268),IF(A15taxremlife="N/A","n/a",A15taxvalue/A15taxremlife))</f>
        <v>0</v>
      </c>
      <c r="H268" s="67">
        <f>IF(H$3&gt;A15taxremlife,A15taxvalue-SUM($F268:G268),IF(A15taxremlife="N/A","n/a",A15taxvalue/A15taxremlife))</f>
        <v>0</v>
      </c>
      <c r="I268" s="67">
        <f>IF(I$3&gt;A15taxremlife,A15taxvalue-SUM($F268:H268),IF(A15taxremlife="N/A","n/a",A15taxvalue/A15taxremlife))</f>
        <v>0</v>
      </c>
      <c r="J268" s="67">
        <f>IF(J$3&gt;A15taxremlife,A15taxvalue-SUM($F268:I268),IF(A15taxremlife="N/A","n/a",A15taxvalue/A15taxremlife))</f>
        <v>0</v>
      </c>
      <c r="K268" s="67">
        <f>IF(K$3&gt;A15taxremlife,A15taxvalue-SUM($F268:J268),IF(A15taxremlife="N/A","n/a",A15taxvalue/A15taxremlife))</f>
        <v>0</v>
      </c>
      <c r="L268" s="67">
        <f>IF(L$3&gt;A15taxremlife,A15taxvalue-SUM($F268:K268),IF(A15taxremlife="N/A","n/a",A15taxvalue/A15taxremlife))</f>
        <v>0</v>
      </c>
      <c r="M268" s="67">
        <f>IF(M$3&gt;A15taxremlife,A15taxvalue-SUM($F268:L268),IF(A15taxremlife="N/A","n/a",A15taxvalue/A15taxremlife))</f>
        <v>0</v>
      </c>
      <c r="N268" s="67">
        <f>IF(N$3&gt;A15taxremlife,A15taxvalue-SUM($F268:M268),IF(A15taxremlife="N/A","n/a",A15taxvalue/A15taxremlife))</f>
        <v>0</v>
      </c>
      <c r="O268" s="67">
        <f>IF(O$3&gt;A15taxremlife,A15taxvalue-SUM($F268:N268),IF(A15taxremlife="N/A","n/a",A15taxvalue/A15taxremlife))</f>
        <v>0</v>
      </c>
      <c r="P268" s="67">
        <f>IF(P$3&gt;A15taxremlife,A15taxvalue-SUM($F268:O268),IF(A15taxremlife="N/A","n/a",A15taxvalue/A15taxremlife))</f>
        <v>0</v>
      </c>
      <c r="Q268" s="67">
        <f>IF(Q$3&gt;A15taxremlife,A15taxvalue-SUM($F268:P268),IF(A15taxremlife="N/A","n/a",A15taxvalue/A15taxremlife))</f>
        <v>0</v>
      </c>
      <c r="R268" s="67"/>
      <c r="S268" s="103"/>
      <c r="T268" s="103"/>
      <c r="U268" s="103"/>
      <c r="V268" s="103"/>
      <c r="W268" s="103"/>
      <c r="X268" s="103"/>
      <c r="Y268" s="103"/>
      <c r="Z268" s="103"/>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26"/>
      <c r="D269" s="671" t="s">
        <v>84</v>
      </c>
      <c r="E269" s="86">
        <v>0</v>
      </c>
      <c r="F269" s="27"/>
      <c r="G269" s="206"/>
      <c r="H269" s="68"/>
      <c r="I269" s="68"/>
      <c r="J269" s="68"/>
      <c r="K269" s="68"/>
      <c r="L269" s="68"/>
      <c r="M269" s="68"/>
      <c r="N269" s="68"/>
      <c r="O269" s="68"/>
      <c r="P269" s="68"/>
      <c r="Q269" s="68"/>
      <c r="R269" s="68"/>
      <c r="S269" s="103"/>
      <c r="T269" s="103"/>
      <c r="U269" s="103"/>
      <c r="V269" s="103"/>
      <c r="W269" s="103"/>
      <c r="X269" s="103"/>
      <c r="Y269" s="103"/>
      <c r="Z269" s="103"/>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26"/>
      <c r="D270" s="672"/>
      <c r="E270" s="86">
        <v>1</v>
      </c>
      <c r="F270" s="27"/>
      <c r="G270" s="207"/>
      <c r="H270" s="68">
        <f>IF(A15taxstdlife="n/a","n/a",IF(H$3&gt;(A15taxstdlife+$E270),(Input!$G$55-Input!$G$89)-SUM($G270:G270),(Input!$G$55-Input!$G$89)/A15taxstdlife))</f>
        <v>0</v>
      </c>
      <c r="I270" s="68">
        <f>IF(A15taxstdlife="n/a","n/a",IF(I$3&gt;(A15taxstdlife+$E270),(Input!$G$55-Input!$G$89)-SUM($G270:H270),(Input!$G$55-Input!$G$89)/A15taxstdlife))</f>
        <v>0</v>
      </c>
      <c r="J270" s="68">
        <f>IF(A15taxstdlife="n/a","n/a",IF(J$3&gt;(A15taxstdlife+$E270),(Input!$G$55-Input!$G$89)-SUM($G270:I270),(Input!$G$55-Input!$G$89)/A15taxstdlife))</f>
        <v>0</v>
      </c>
      <c r="K270" s="68">
        <f>IF(A15taxstdlife="n/a","n/a",IF(K$3&gt;(A15taxstdlife+$E270),(Input!$G$55-Input!$G$89)-SUM($G270:J270),(Input!$G$55-Input!$G$89)/A15taxstdlife))</f>
        <v>0</v>
      </c>
      <c r="L270" s="68">
        <f>IF(A15taxstdlife="n/a","n/a",IF(L$3&gt;(A15taxstdlife+$E270),(Input!$G$55-Input!$G$89)-SUM($G270:K270),(Input!$G$55-Input!$G$89)/A15taxstdlife))</f>
        <v>0</v>
      </c>
      <c r="M270" s="68">
        <f>IF(A15taxstdlife="n/a","n/a",IF(M$3&gt;(A15taxstdlife+$E270),(Input!$G$55-Input!$G$89)-SUM($G270:L270),(Input!$G$55-Input!$G$89)/A15taxstdlife))</f>
        <v>0</v>
      </c>
      <c r="N270" s="68">
        <f>IF(A15taxstdlife="n/a","n/a",IF(N$3&gt;(A15taxstdlife+$E270),(Input!$G$55-Input!$G$89)-SUM($G270:M270),(Input!$G$55-Input!$G$89)/A15taxstdlife))</f>
        <v>0</v>
      </c>
      <c r="O270" s="68">
        <f>IF(A15taxstdlife="n/a","n/a",IF(O$3&gt;(A15taxstdlife+$E270),(Input!$G$55-Input!$G$89)-SUM($G270:N270),(Input!$G$55-Input!$G$89)/A15taxstdlife))</f>
        <v>0</v>
      </c>
      <c r="P270" s="68">
        <f>IF(A15taxstdlife="n/a","n/a",IF(P$3&gt;(A15taxstdlife+$E270),(Input!$G$55-Input!$G$89)-SUM($G270:O270),(Input!$G$55-Input!$G$89)/A15taxstdlife))</f>
        <v>0</v>
      </c>
      <c r="Q270" s="68">
        <f>IF(A15taxstdlife="n/a","n/a",IF(Q$3&gt;(A15taxstdlife+$E270),(Input!$G$55-Input!$G$89)-SUM($G270:P270),(Input!$G$55-Input!$G$89)/A15taxstdlife))</f>
        <v>0</v>
      </c>
      <c r="R270" s="68"/>
      <c r="S270" s="103"/>
      <c r="T270" s="103"/>
      <c r="U270" s="103"/>
      <c r="V270" s="103"/>
      <c r="W270" s="103"/>
      <c r="X270" s="103"/>
      <c r="Y270" s="103"/>
      <c r="Z270" s="103"/>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216"/>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26"/>
      <c r="D271" s="672"/>
      <c r="E271" s="86">
        <v>2</v>
      </c>
      <c r="F271" s="27"/>
      <c r="G271" s="208"/>
      <c r="H271" s="149"/>
      <c r="I271" s="68">
        <f>IF(A15taxstdlife="n/a","n/a",IF(I$3&gt;(A15taxstdlife+$E271),(Input!$H$55-Input!$H$89)-SUM($H271:H271),(Input!$H$55-Input!$H$89)/A15taxstdlife))</f>
        <v>0</v>
      </c>
      <c r="J271" s="68">
        <f>IF(A15taxstdlife="n/a","n/a",IF(J$3&gt;(A15taxstdlife+$E271),(Input!$H$55-Input!$H$89)-SUM($H271:I271),(Input!$H$55-Input!$H$89)/A15taxstdlife))</f>
        <v>0</v>
      </c>
      <c r="K271" s="68">
        <f>IF(A15taxstdlife="n/a","n/a",IF(K$3&gt;(A15taxstdlife+$E271),(Input!$H$55-Input!$H$89)-SUM($H271:J271),(Input!$H$55-Input!$H$89)/A15taxstdlife))</f>
        <v>0</v>
      </c>
      <c r="L271" s="68">
        <f>IF(A15taxstdlife="n/a","n/a",IF(L$3&gt;(A15taxstdlife+$E271),(Input!$H$55-Input!$H$89)-SUM($H271:K271),(Input!$H$55-Input!$H$89)/A15taxstdlife))</f>
        <v>0</v>
      </c>
      <c r="M271" s="68">
        <f>IF(A15taxstdlife="n/a","n/a",IF(M$3&gt;(A15taxstdlife+$E271),(Input!$H$55-Input!$H$89)-SUM($H271:L271),(Input!$H$55-Input!$H$89)/A15taxstdlife))</f>
        <v>0</v>
      </c>
      <c r="N271" s="68">
        <f>IF(A15taxstdlife="n/a","n/a",IF(N$3&gt;(A15taxstdlife+$E271),(Input!$H$55-Input!$H$89)-SUM($H271:M271),(Input!$H$55-Input!$H$89)/A15taxstdlife))</f>
        <v>0</v>
      </c>
      <c r="O271" s="68">
        <f>IF(A15taxstdlife="n/a","n/a",IF(O$3&gt;(A15taxstdlife+$E271),(Input!$H$55-Input!$H$89)-SUM($H271:N271),(Input!$H$55-Input!$H$89)/A15taxstdlife))</f>
        <v>0</v>
      </c>
      <c r="P271" s="68">
        <f>IF(A15taxstdlife="n/a","n/a",IF(P$3&gt;(A15taxstdlife+$E271),(Input!$H$55-Input!$H$89)-SUM($H271:O271),(Input!$H$55-Input!$H$89)/A15taxstdlife))</f>
        <v>0</v>
      </c>
      <c r="Q271" s="68">
        <f>IF(A15taxstdlife="n/a","n/a",IF(Q$3&gt;(A15taxstdlife+$E271),(Input!$H$55-Input!$H$89)-SUM($H271:P271),(Input!$H$55-Input!$H$89)/A15taxstdlife))</f>
        <v>0</v>
      </c>
      <c r="R271" s="68"/>
      <c r="S271" s="103"/>
      <c r="T271" s="103"/>
      <c r="U271" s="103"/>
      <c r="V271" s="103"/>
      <c r="W271" s="103"/>
      <c r="X271" s="103"/>
      <c r="Y271" s="103"/>
      <c r="Z271" s="103"/>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216"/>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26"/>
      <c r="D272" s="672"/>
      <c r="E272" s="86">
        <v>3</v>
      </c>
      <c r="F272" s="27"/>
      <c r="G272" s="208"/>
      <c r="H272" s="150"/>
      <c r="I272" s="149"/>
      <c r="J272" s="68">
        <f>IF(A15taxstdlife="n/a","n/a",IF(J$3&gt;(A15taxstdlife+$E272),(Input!$I$55-Input!$I$89)-SUM($I272:I272),(Input!$I$55-Input!$I$89)/A15taxstdlife))</f>
        <v>0</v>
      </c>
      <c r="K272" s="68">
        <f>IF(A15taxstdlife="n/a","n/a",IF(K$3&gt;(A15taxstdlife+$E272),(Input!$I$55-Input!$I$89)-SUM($I272:J272),(Input!$I$55-Input!$I$89)/A15taxstdlife))</f>
        <v>0</v>
      </c>
      <c r="L272" s="68">
        <f>IF(A15taxstdlife="n/a","n/a",IF(L$3&gt;(A15taxstdlife+$E272),(Input!$I$55-Input!$I$89)-SUM($I272:K272),(Input!$I$55-Input!$I$89)/A15taxstdlife))</f>
        <v>0</v>
      </c>
      <c r="M272" s="68">
        <f>IF(A15taxstdlife="n/a","n/a",IF(M$3&gt;(A15taxstdlife+$E272),(Input!$I$55-Input!$I$89)-SUM($I272:L272),(Input!$I$55-Input!$I$89)/A15taxstdlife))</f>
        <v>0</v>
      </c>
      <c r="N272" s="68">
        <f>IF(A15taxstdlife="n/a","n/a",IF(N$3&gt;(A15taxstdlife+$E272),(Input!$I$55-Input!$I$89)-SUM($I272:M272),(Input!$I$55-Input!$I$89)/A15taxstdlife))</f>
        <v>0</v>
      </c>
      <c r="O272" s="68">
        <f>IF(A15taxstdlife="n/a","n/a",IF(O$3&gt;(A15taxstdlife+$E272),(Input!$I$55-Input!$I$89)-SUM($I272:N272),(Input!$I$55-Input!$I$89)/A15taxstdlife))</f>
        <v>0</v>
      </c>
      <c r="P272" s="68">
        <f>IF(A15taxstdlife="n/a","n/a",IF(P$3&gt;(A15taxstdlife+$E272),(Input!$I$55-Input!$I$89)-SUM($I272:O272),(Input!$I$55-Input!$I$89)/A15taxstdlife))</f>
        <v>0</v>
      </c>
      <c r="Q272" s="68">
        <f>IF(A15taxstdlife="n/a","n/a",IF(Q$3&gt;(A15taxstdlife+$E272),(Input!$I$55-Input!$I$89)-SUM($I272:P272),(Input!$I$55-Input!$I$89)/A15taxstdlife))</f>
        <v>0</v>
      </c>
      <c r="R272" s="68"/>
      <c r="S272" s="103"/>
      <c r="T272" s="103"/>
      <c r="U272" s="103"/>
      <c r="V272" s="103"/>
      <c r="W272" s="103"/>
      <c r="X272" s="103"/>
      <c r="Y272" s="103"/>
      <c r="Z272" s="103"/>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216"/>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26"/>
      <c r="D273" s="672"/>
      <c r="E273" s="86">
        <v>4</v>
      </c>
      <c r="F273" s="27"/>
      <c r="G273" s="208"/>
      <c r="H273" s="150"/>
      <c r="I273" s="150"/>
      <c r="J273" s="149"/>
      <c r="K273" s="68">
        <f>IF(A15taxstdlife="n/a","n/a",IF(K$3&gt;(A15taxstdlife+$E273),(Input!$J$55-Input!$J$89)-SUM($J273:J273),(Input!$J$55-Input!$J$89)/A15taxstdlife))</f>
        <v>0</v>
      </c>
      <c r="L273" s="68">
        <f>IF(A15taxstdlife="n/a","n/a",IF(L$3&gt;(A15taxstdlife+$E273),(Input!$J$55-Input!$J$89)-SUM($J273:K273),(Input!$J$55-Input!$J$89)/A15taxstdlife))</f>
        <v>0</v>
      </c>
      <c r="M273" s="68">
        <f>IF(A15taxstdlife="n/a","n/a",IF(M$3&gt;(A15taxstdlife+$E273),(Input!$J$55-Input!$J$89)-SUM($J273:L273),(Input!$J$55-Input!$J$89)/A15taxstdlife))</f>
        <v>0</v>
      </c>
      <c r="N273" s="68">
        <f>IF(A15taxstdlife="n/a","n/a",IF(N$3&gt;(A15taxstdlife+$E273),(Input!$J$55-Input!$J$89)-SUM($J273:M273),(Input!$J$55-Input!$J$89)/A15taxstdlife))</f>
        <v>0</v>
      </c>
      <c r="O273" s="68">
        <f>IF(A15taxstdlife="n/a","n/a",IF(O$3&gt;(A15taxstdlife+$E273),(Input!$J$55-Input!$J$89)-SUM($J273:N273),(Input!$J$55-Input!$J$89)/A15taxstdlife))</f>
        <v>0</v>
      </c>
      <c r="P273" s="68">
        <f>IF(A15taxstdlife="n/a","n/a",IF(P$3&gt;(A15taxstdlife+$E273),(Input!$J$55-Input!$J$89)-SUM($J273:O273),(Input!$J$55-Input!$J$89)/A15taxstdlife))</f>
        <v>0</v>
      </c>
      <c r="Q273" s="68">
        <f>IF(A15taxstdlife="n/a","n/a",IF(Q$3&gt;(A15taxstdlife+$E273),(Input!$J$55-Input!$J$89)-SUM($J273:P273),(Input!$J$55-Input!$J$89)/A15taxstdlife))</f>
        <v>0</v>
      </c>
      <c r="R273" s="68"/>
      <c r="S273" s="103"/>
      <c r="T273" s="103"/>
      <c r="U273" s="103"/>
      <c r="V273" s="103"/>
      <c r="W273" s="103"/>
      <c r="X273" s="103"/>
      <c r="Y273" s="103"/>
      <c r="Z273" s="103"/>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216"/>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26"/>
      <c r="D274" s="672"/>
      <c r="E274" s="86">
        <v>5</v>
      </c>
      <c r="F274" s="27"/>
      <c r="G274" s="208"/>
      <c r="H274" s="150"/>
      <c r="I274" s="150"/>
      <c r="J274" s="150"/>
      <c r="K274" s="149"/>
      <c r="L274" s="68">
        <f>IF(A15taxstdlife="n/a","n/a",IF(L$3&gt;(A15taxstdlife+$E274),(Input!$K$55-Input!$K$89)-SUM($K274:K274),(Input!$K$55-Input!$K$89)/A15taxstdlife))</f>
        <v>0</v>
      </c>
      <c r="M274" s="68">
        <f>IF(A15taxstdlife="n/a","n/a",IF(M$3&gt;(A15taxstdlife+$E274),(Input!$K$55-Input!$K$89)-SUM($K274:L274),(Input!$K$55-Input!$K$89)/A15taxstdlife))</f>
        <v>0</v>
      </c>
      <c r="N274" s="68">
        <f>IF(A15taxstdlife="n/a","n/a",IF(N$3&gt;(A15taxstdlife+$E274),(Input!$K$55-Input!$K$89)-SUM($K274:M274),(Input!$K$55-Input!$K$89)/A15taxstdlife))</f>
        <v>0</v>
      </c>
      <c r="O274" s="68">
        <f>IF(A15taxstdlife="n/a","n/a",IF(O$3&gt;(A15taxstdlife+$E274),(Input!$K$55-Input!$K$89)-SUM($K274:N274),(Input!$K$55-Input!$K$89)/A15taxstdlife))</f>
        <v>0</v>
      </c>
      <c r="P274" s="68">
        <f>IF(A15taxstdlife="n/a","n/a",IF(P$3&gt;(A15taxstdlife+$E274),(Input!$K$55-Input!$K$89)-SUM($K274:O274),(Input!$K$55-Input!$K$89)/A15taxstdlife))</f>
        <v>0</v>
      </c>
      <c r="Q274" s="68">
        <f>IF(A15taxstdlife="n/a","n/a",IF(Q$3&gt;(A15taxstdlife+$E274),(Input!$K$55-Input!$K$89)-SUM($K274:P274),(Input!$K$55-Input!$K$89)/A15taxstdlife))</f>
        <v>0</v>
      </c>
      <c r="R274" s="68"/>
      <c r="S274" s="103"/>
      <c r="T274" s="103"/>
      <c r="U274" s="103"/>
      <c r="V274" s="103"/>
      <c r="W274" s="103"/>
      <c r="X274" s="103"/>
      <c r="Y274" s="103"/>
      <c r="Z274" s="103"/>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216"/>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26"/>
      <c r="D275" s="672"/>
      <c r="E275" s="86">
        <v>6</v>
      </c>
      <c r="F275" s="27"/>
      <c r="G275" s="208"/>
      <c r="H275" s="150"/>
      <c r="I275" s="150"/>
      <c r="J275" s="150"/>
      <c r="K275" s="150"/>
      <c r="L275" s="149"/>
      <c r="M275" s="68">
        <f>IF(A15taxstdlife="n/a","n/a",IF(M$3&gt;(A15taxstdlife+$E275),(Input!$L$55-Input!$L$89)-SUM($L275:L275),(Input!$L$55-Input!$L$89)/A15taxstdlife))</f>
        <v>0</v>
      </c>
      <c r="N275" s="68">
        <f>IF(A15taxstdlife="n/a","n/a",IF(N$3&gt;(A15taxstdlife+$E275),(Input!$L$55-Input!$L$89)-SUM($L275:M275),(Input!$L$55-Input!$L$89)/A15taxstdlife))</f>
        <v>0</v>
      </c>
      <c r="O275" s="68">
        <f>IF(A15taxstdlife="n/a","n/a",IF(O$3&gt;(A15taxstdlife+$E275),(Input!$L$55-Input!$L$89)-SUM($L275:N275),(Input!$L$55-Input!$L$89)/A15taxstdlife))</f>
        <v>0</v>
      </c>
      <c r="P275" s="68">
        <f>IF(A15taxstdlife="n/a","n/a",IF(P$3&gt;(A15taxstdlife+$E275),(Input!$L$55-Input!$L$89)-SUM($L275:O275),(Input!$L$55-Input!$L$89)/A15taxstdlife))</f>
        <v>0</v>
      </c>
      <c r="Q275" s="68">
        <f>IF(A15taxstdlife="n/a","n/a",IF(Q$3&gt;(A15taxstdlife+$E275),(Input!$L$55-Input!$L$89)-SUM($L275:P275),(Input!$L$55-Input!$L$89)/A15taxstdlife))</f>
        <v>0</v>
      </c>
      <c r="R275" s="68"/>
      <c r="S275" s="103"/>
      <c r="T275" s="103"/>
      <c r="U275" s="103"/>
      <c r="V275" s="103"/>
      <c r="W275" s="103"/>
      <c r="X275" s="103"/>
      <c r="Y275" s="103"/>
      <c r="Z275" s="103"/>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6"/>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26"/>
      <c r="D276" s="672"/>
      <c r="E276" s="86">
        <v>7</v>
      </c>
      <c r="F276" s="27"/>
      <c r="G276" s="208"/>
      <c r="H276" s="150"/>
      <c r="I276" s="150"/>
      <c r="J276" s="150"/>
      <c r="K276" s="150"/>
      <c r="L276" s="150"/>
      <c r="M276" s="149"/>
      <c r="N276" s="68">
        <f>IF(A15taxstdlife="n/a","n/a",IF(N$3&gt;(A15taxstdlife+$E276),(Input!$M$55-Input!$M$89)-SUM($M276:M276),(Input!$M$55-Input!$M$89)/A15taxstdlife))</f>
        <v>0</v>
      </c>
      <c r="O276" s="68">
        <f>IF(A15taxstdlife="n/a","n/a",IF(O$3&gt;(A15taxstdlife+$E276),(Input!$M$55-Input!$M$89)-SUM($M276:N276),(Input!$M$55-Input!$M$89)/A15taxstdlife))</f>
        <v>0</v>
      </c>
      <c r="P276" s="68">
        <f>IF(A15taxstdlife="n/a","n/a",IF(P$3&gt;(A15taxstdlife+$E276),(Input!$M$55-Input!$M$89)-SUM($M276:O276),(Input!$M$55-Input!$M$89)/A15taxstdlife))</f>
        <v>0</v>
      </c>
      <c r="Q276" s="68">
        <f>IF(A15taxstdlife="n/a","n/a",IF(Q$3&gt;(A15taxstdlife+$E276),(Input!$M$55-Input!$M$89)-SUM($M276:P276),(Input!$M$55-Input!$M$89)/A15taxstdlife))</f>
        <v>0</v>
      </c>
      <c r="R276" s="68"/>
      <c r="S276" s="103"/>
      <c r="T276" s="103"/>
      <c r="U276" s="103"/>
      <c r="V276" s="103"/>
      <c r="W276" s="103"/>
      <c r="X276" s="103"/>
      <c r="Y276" s="103"/>
      <c r="Z276" s="103"/>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216"/>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2">
      <c r="A277" s="9"/>
      <c r="B277" s="9"/>
      <c r="C277" s="26"/>
      <c r="D277" s="672"/>
      <c r="E277" s="86">
        <v>8</v>
      </c>
      <c r="F277" s="27"/>
      <c r="G277" s="208"/>
      <c r="H277" s="150"/>
      <c r="I277" s="150"/>
      <c r="J277" s="150"/>
      <c r="K277" s="150"/>
      <c r="L277" s="150"/>
      <c r="M277" s="150"/>
      <c r="N277" s="149"/>
      <c r="O277" s="68">
        <f>IF(A15taxstdlife="n/a","n/a",IF(O$3&gt;(A15taxstdlife+$E277),(Input!$N$55-Input!$N$89)-SUM($N277:N277),(Input!$N$55-Input!$N$89)/A15taxstdlife))</f>
        <v>0</v>
      </c>
      <c r="P277" s="68">
        <f>IF(A15taxstdlife="n/a","n/a",IF(P$3&gt;(A15taxstdlife+$E277),(Input!$N$55-Input!$N$89)-SUM($N277:O277),(Input!$N$55-Input!$N$89)/A15taxstdlife))</f>
        <v>0</v>
      </c>
      <c r="Q277" s="68">
        <f>IF(A15taxstdlife="n/a","n/a",IF(Q$3&gt;(A15taxstdlife+$E277),(Input!$N$55-Input!$N$89)-SUM($N277:P277),(Input!$N$55-Input!$N$89)/A15taxstdlife))</f>
        <v>0</v>
      </c>
      <c r="R277" s="68"/>
      <c r="S277" s="103"/>
      <c r="T277" s="103"/>
      <c r="U277" s="103"/>
      <c r="V277" s="103"/>
      <c r="W277" s="103"/>
      <c r="X277" s="103"/>
      <c r="Y277" s="103"/>
      <c r="Z277" s="103"/>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216"/>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26"/>
      <c r="D278" s="672"/>
      <c r="E278" s="86">
        <v>9</v>
      </c>
      <c r="F278" s="27"/>
      <c r="G278" s="208"/>
      <c r="H278" s="150"/>
      <c r="I278" s="150"/>
      <c r="J278" s="150"/>
      <c r="K278" s="150"/>
      <c r="L278" s="150"/>
      <c r="M278" s="150"/>
      <c r="N278" s="150"/>
      <c r="O278" s="149"/>
      <c r="P278" s="68">
        <f>IF(A15taxstdlife="n/a","n/a",IF(P$3&gt;(A15taxstdlife+$E278),(Input!$O$55-Input!$O$89)-SUM($O278:O278),(Input!$O$55-Input!$O$89)/A15taxstdlife))</f>
        <v>0</v>
      </c>
      <c r="Q278" s="68">
        <f>IF(A15taxstdlife="n/a","n/a",IF(Q$3&gt;(A15taxstdlife+$E278),(Input!$O$55-Input!$O$89)-SUM($O278:P278),(Input!$O$55-Input!$O$89)/A15taxstdlife))</f>
        <v>0</v>
      </c>
      <c r="R278" s="68"/>
      <c r="S278" s="103"/>
      <c r="T278" s="103"/>
      <c r="U278" s="103"/>
      <c r="V278" s="103"/>
      <c r="W278" s="103"/>
      <c r="X278" s="103"/>
      <c r="Y278" s="103"/>
      <c r="Z278" s="103"/>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26"/>
      <c r="D279" s="672"/>
      <c r="E279" s="86">
        <v>10</v>
      </c>
      <c r="F279" s="27"/>
      <c r="G279" s="208"/>
      <c r="H279" s="150"/>
      <c r="I279" s="150"/>
      <c r="J279" s="150"/>
      <c r="K279" s="150"/>
      <c r="L279" s="150"/>
      <c r="M279" s="150"/>
      <c r="N279" s="150"/>
      <c r="O279" s="150"/>
      <c r="P279" s="149"/>
      <c r="Q279" s="68">
        <f>IF(A15taxstdlife="n/a","n/a",IF(Q$3&gt;(A15taxstdlife+$E279),(Input!$P$55-Input!$P$89)-SUM($P279:P279),(Input!$P$55-Input!$P$89)/A15taxstdlife))</f>
        <v>0</v>
      </c>
      <c r="R279" s="68"/>
      <c r="S279" s="103"/>
      <c r="T279" s="103"/>
      <c r="U279" s="103"/>
      <c r="V279" s="103"/>
      <c r="W279" s="103"/>
      <c r="X279" s="103"/>
      <c r="Y279" s="103"/>
      <c r="Z279" s="103"/>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26"/>
      <c r="D280" s="672"/>
      <c r="E280" s="87">
        <v>11</v>
      </c>
      <c r="F280" s="27"/>
      <c r="G280" s="208"/>
      <c r="H280" s="150"/>
      <c r="I280" s="150"/>
      <c r="J280" s="150"/>
      <c r="K280" s="150"/>
      <c r="L280" s="150"/>
      <c r="M280" s="150"/>
      <c r="N280" s="150"/>
      <c r="O280" s="150"/>
      <c r="P280" s="189"/>
      <c r="Q280" s="149"/>
      <c r="R280" s="68"/>
      <c r="S280" s="103"/>
      <c r="T280" s="103"/>
      <c r="U280" s="103"/>
      <c r="V280" s="103"/>
      <c r="W280" s="103"/>
      <c r="X280" s="103"/>
      <c r="Y280" s="103"/>
      <c r="Z280" s="103"/>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1">
      <c r="A281" s="9"/>
      <c r="B281" s="9"/>
      <c r="C281" s="26">
        <f>Asset15</f>
        <v>0</v>
      </c>
      <c r="D281" s="9"/>
      <c r="E281" s="9"/>
      <c r="F281" s="23"/>
      <c r="G281" s="209">
        <f t="shared" ref="G281:L281" si="49">-SUM(G268:G280)</f>
        <v>0</v>
      </c>
      <c r="H281" s="166">
        <f t="shared" si="49"/>
        <v>0</v>
      </c>
      <c r="I281" s="166">
        <f t="shared" si="49"/>
        <v>0</v>
      </c>
      <c r="J281" s="166">
        <f t="shared" si="49"/>
        <v>0</v>
      </c>
      <c r="K281" s="166">
        <f t="shared" si="49"/>
        <v>0</v>
      </c>
      <c r="L281" s="166">
        <f t="shared" si="49"/>
        <v>0</v>
      </c>
      <c r="M281" s="166">
        <f>IF(Input!M173&gt;0, -SUM(M268:M280), 0)</f>
        <v>0</v>
      </c>
      <c r="N281" s="166">
        <f>IF(Input!N173&gt;0, -SUM(N268:N280), 0)</f>
        <v>0</v>
      </c>
      <c r="O281" s="166">
        <f>IF(Input!O173&gt;0, -SUM(O268:O280), 0)</f>
        <v>0</v>
      </c>
      <c r="P281" s="166">
        <f>IF(Input!P173&gt;0, -SUM(P268:P280), 0)</f>
        <v>0</v>
      </c>
      <c r="Q281" s="166">
        <f>IF(Input!Q173&gt;0, -SUM(Q268:Q280), 0)</f>
        <v>0</v>
      </c>
      <c r="R281" s="64"/>
      <c r="S281" s="102"/>
      <c r="T281" s="102"/>
      <c r="U281" s="102"/>
      <c r="V281" s="102"/>
      <c r="W281" s="102"/>
      <c r="X281" s="102"/>
      <c r="Y281" s="102"/>
      <c r="Z281" s="102"/>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32">
        <f>Asset16</f>
        <v>0</v>
      </c>
      <c r="C282" s="33"/>
      <c r="D282" s="34" t="s">
        <v>67</v>
      </c>
      <c r="E282" s="33"/>
      <c r="F282" s="35"/>
      <c r="G282" s="205">
        <f>IF(G$3&gt;A16taxremlife,A16taxvalue-SUM($F282:F282),IF(A16taxremlife="N/A","n/a",A16taxvalue/A16taxremlife))</f>
        <v>0</v>
      </c>
      <c r="H282" s="67">
        <f>IF(H$3&gt;A16taxremlife,A16taxvalue-SUM($F282:G282),IF(A16taxremlife="N/A","n/a",A16taxvalue/A16taxremlife))</f>
        <v>0</v>
      </c>
      <c r="I282" s="67">
        <f>IF(I$3&gt;A16taxremlife,A16taxvalue-SUM($F282:H282),IF(A16taxremlife="N/A","n/a",A16taxvalue/A16taxremlife))</f>
        <v>0</v>
      </c>
      <c r="J282" s="67">
        <f>IF(J$3&gt;A16taxremlife,A16taxvalue-SUM($F282:I282),IF(A16taxremlife="N/A","n/a",A16taxvalue/A16taxremlife))</f>
        <v>0</v>
      </c>
      <c r="K282" s="67">
        <f>IF(K$3&gt;A16taxremlife,A16taxvalue-SUM($F282:J282),IF(A16taxremlife="N/A","n/a",A16taxvalue/A16taxremlife))</f>
        <v>0</v>
      </c>
      <c r="L282" s="67">
        <f>IF(L$3&gt;A16taxremlife,A16taxvalue-SUM($F282:K282),IF(A16taxremlife="N/A","n/a",A16taxvalue/A16taxremlife))</f>
        <v>0</v>
      </c>
      <c r="M282" s="67">
        <f>IF(M$3&gt;A16taxremlife,A16taxvalue-SUM($F282:L282),IF(A16taxremlife="N/A","n/a",A16taxvalue/A16taxremlife))</f>
        <v>0</v>
      </c>
      <c r="N282" s="67">
        <f>IF(N$3&gt;A16taxremlife,A16taxvalue-SUM($F282:M282),IF(A16taxremlife="N/A","n/a",A16taxvalue/A16taxremlife))</f>
        <v>0</v>
      </c>
      <c r="O282" s="67">
        <f>IF(O$3&gt;A16taxremlife,A16taxvalue-SUM($F282:N282),IF(A16taxremlife="N/A","n/a",A16taxvalue/A16taxremlife))</f>
        <v>0</v>
      </c>
      <c r="P282" s="67">
        <f>IF(P$3&gt;A16taxremlife,A16taxvalue-SUM($F282:O282),IF(A16taxremlife="N/A","n/a",A16taxvalue/A16taxremlife))</f>
        <v>0</v>
      </c>
      <c r="Q282" s="67">
        <f>IF(Q$3&gt;A16taxremlife,A16taxvalue-SUM($F282:P282),IF(A16taxremlife="N/A","n/a",A16taxvalue/A16taxremlife))</f>
        <v>0</v>
      </c>
      <c r="R282" s="67"/>
      <c r="S282" s="103"/>
      <c r="T282" s="103"/>
      <c r="U282" s="103"/>
      <c r="V282" s="103"/>
      <c r="W282" s="103"/>
      <c r="X282" s="103"/>
      <c r="Y282" s="103"/>
      <c r="Z282" s="103"/>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26"/>
      <c r="D283" s="671" t="s">
        <v>84</v>
      </c>
      <c r="E283" s="86">
        <v>0</v>
      </c>
      <c r="F283" s="27"/>
      <c r="G283" s="206"/>
      <c r="H283" s="68"/>
      <c r="I283" s="68"/>
      <c r="J283" s="68"/>
      <c r="K283" s="68"/>
      <c r="L283" s="68"/>
      <c r="M283" s="68"/>
      <c r="N283" s="68"/>
      <c r="O283" s="68"/>
      <c r="P283" s="68"/>
      <c r="Q283" s="68"/>
      <c r="R283" s="68"/>
      <c r="S283" s="103"/>
      <c r="T283" s="103"/>
      <c r="U283" s="103"/>
      <c r="V283" s="103"/>
      <c r="W283" s="103"/>
      <c r="X283" s="103"/>
      <c r="Y283" s="103"/>
      <c r="Z283" s="103"/>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216"/>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26"/>
      <c r="D284" s="672"/>
      <c r="E284" s="86">
        <v>1</v>
      </c>
      <c r="F284" s="27"/>
      <c r="G284" s="207"/>
      <c r="H284" s="68">
        <f>IF(A16taxstdlife="n/a","n/a",IF(H$3&gt;(A16taxstdlife+$E284),(Input!$G$56-Input!$G$90)-SUM($G284:G284),(Input!$G$56-Input!$G$90)/A16taxstdlife))</f>
        <v>0</v>
      </c>
      <c r="I284" s="68">
        <f>IF(A16taxstdlife="n/a","n/a",IF(I$3&gt;(A16taxstdlife+$E284),(Input!$G$56-Input!$G$90)-SUM($G284:H284),(Input!$G$56-Input!$G$90)/A16taxstdlife))</f>
        <v>0</v>
      </c>
      <c r="J284" s="68">
        <f>IF(A16taxstdlife="n/a","n/a",IF(J$3&gt;(A16taxstdlife+$E284),(Input!$G$56-Input!$G$90)-SUM($G284:I284),(Input!$G$56-Input!$G$90)/A16taxstdlife))</f>
        <v>0</v>
      </c>
      <c r="K284" s="68">
        <f>IF(A16taxstdlife="n/a","n/a",IF(K$3&gt;(A16taxstdlife+$E284),(Input!$G$56-Input!$G$90)-SUM($G284:J284),(Input!$G$56-Input!$G$90)/A16taxstdlife))</f>
        <v>0</v>
      </c>
      <c r="L284" s="68">
        <f>IF(A16taxstdlife="n/a","n/a",IF(L$3&gt;(A16taxstdlife+$E284),(Input!$G$56-Input!$G$90)-SUM($G284:K284),(Input!$G$56-Input!$G$90)/A16taxstdlife))</f>
        <v>0</v>
      </c>
      <c r="M284" s="68">
        <f>IF(A16taxstdlife="n/a","n/a",IF(M$3&gt;(A16taxstdlife+$E284),(Input!$G$56-Input!$G$90)-SUM($G284:L284),(Input!$G$56-Input!$G$90)/A16taxstdlife))</f>
        <v>0</v>
      </c>
      <c r="N284" s="68">
        <f>IF(A16taxstdlife="n/a","n/a",IF(N$3&gt;(A16taxstdlife+$E284),(Input!$G$56-Input!$G$90)-SUM($G284:M284),(Input!$G$56-Input!$G$90)/A16taxstdlife))</f>
        <v>0</v>
      </c>
      <c r="O284" s="68">
        <f>IF(A16taxstdlife="n/a","n/a",IF(O$3&gt;(A16taxstdlife+$E284),(Input!$G$56-Input!$G$90)-SUM($G284:N284),(Input!$G$56-Input!$G$90)/A16taxstdlife))</f>
        <v>0</v>
      </c>
      <c r="P284" s="68">
        <f>IF(A16taxstdlife="n/a","n/a",IF(P$3&gt;(A16taxstdlife+$E284),(Input!$G$56-Input!$G$90)-SUM($G284:O284),(Input!$G$56-Input!$G$90)/A16taxstdlife))</f>
        <v>0</v>
      </c>
      <c r="Q284" s="68">
        <f>IF(A16taxstdlife="n/a","n/a",IF(Q$3&gt;(A16taxstdlife+$E284),(Input!$G$56-Input!$G$90)-SUM($G284:P284),(Input!$G$56-Input!$G$90)/A16taxstdlife))</f>
        <v>0</v>
      </c>
      <c r="R284" s="68"/>
      <c r="S284" s="103"/>
      <c r="T284" s="103"/>
      <c r="U284" s="103"/>
      <c r="V284" s="103"/>
      <c r="W284" s="103"/>
      <c r="X284" s="103"/>
      <c r="Y284" s="103"/>
      <c r="Z284" s="103"/>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216"/>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26"/>
      <c r="D285" s="672"/>
      <c r="E285" s="86">
        <v>2</v>
      </c>
      <c r="F285" s="27"/>
      <c r="G285" s="208"/>
      <c r="H285" s="149"/>
      <c r="I285" s="68">
        <f>IF(A16taxstdlife="n/a","n/a",IF(I$3&gt;(A16taxstdlife+$E285),(Input!$H$56-Input!$H$90)-SUM($H285:H285),(Input!$H$56-Input!$H$90)/A16taxstdlife))</f>
        <v>0</v>
      </c>
      <c r="J285" s="68">
        <f>IF(A16taxstdlife="n/a","n/a",IF(J$3&gt;(A16taxstdlife+$E285),(Input!$H$56-Input!$H$90)-SUM($H285:I285),(Input!$H$56-Input!$H$90)/A16taxstdlife))</f>
        <v>0</v>
      </c>
      <c r="K285" s="68">
        <f>IF(A16taxstdlife="n/a","n/a",IF(K$3&gt;(A16taxstdlife+$E285),(Input!$H$56-Input!$H$90)-SUM($H285:J285),(Input!$H$56-Input!$H$90)/A16taxstdlife))</f>
        <v>0</v>
      </c>
      <c r="L285" s="68">
        <f>IF(A16taxstdlife="n/a","n/a",IF(L$3&gt;(A16taxstdlife+$E285),(Input!$H$56-Input!$H$90)-SUM($H285:K285),(Input!$H$56-Input!$H$90)/A16taxstdlife))</f>
        <v>0</v>
      </c>
      <c r="M285" s="68">
        <f>IF(A16taxstdlife="n/a","n/a",IF(M$3&gt;(A16taxstdlife+$E285),(Input!$H$56-Input!$H$90)-SUM($H285:L285),(Input!$H$56-Input!$H$90)/A16taxstdlife))</f>
        <v>0</v>
      </c>
      <c r="N285" s="68">
        <f>IF(A16taxstdlife="n/a","n/a",IF(N$3&gt;(A16taxstdlife+$E285),(Input!$H$56-Input!$H$90)-SUM($H285:M285),(Input!$H$56-Input!$H$90)/A16taxstdlife))</f>
        <v>0</v>
      </c>
      <c r="O285" s="68">
        <f>IF(A16taxstdlife="n/a","n/a",IF(O$3&gt;(A16taxstdlife+$E285),(Input!$H$56-Input!$H$90)-SUM($H285:N285),(Input!$H$56-Input!$H$90)/A16taxstdlife))</f>
        <v>0</v>
      </c>
      <c r="P285" s="68">
        <f>IF(A16taxstdlife="n/a","n/a",IF(P$3&gt;(A16taxstdlife+$E285),(Input!$H$56-Input!$H$90)-SUM($H285:O285),(Input!$H$56-Input!$H$90)/A16taxstdlife))</f>
        <v>0</v>
      </c>
      <c r="Q285" s="68">
        <f>IF(A16taxstdlife="n/a","n/a",IF(Q$3&gt;(A16taxstdlife+$E285),(Input!$H$56-Input!$H$90)-SUM($H285:P285),(Input!$H$56-Input!$H$90)/A16taxstdlife))</f>
        <v>0</v>
      </c>
      <c r="R285" s="68"/>
      <c r="S285" s="103"/>
      <c r="T285" s="103"/>
      <c r="U285" s="103"/>
      <c r="V285" s="103"/>
      <c r="W285" s="103"/>
      <c r="X285" s="103"/>
      <c r="Y285" s="103"/>
      <c r="Z285" s="103"/>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216"/>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26"/>
      <c r="D286" s="672"/>
      <c r="E286" s="86">
        <v>3</v>
      </c>
      <c r="F286" s="27"/>
      <c r="G286" s="208"/>
      <c r="H286" s="150"/>
      <c r="I286" s="149"/>
      <c r="J286" s="68">
        <f>IF(A16taxstdlife="n/a","n/a",IF(J$3&gt;(A16taxstdlife+$E286),(Input!$I$56-Input!$I$90)-SUM($I286:I286),(Input!$I$56-Input!$I$90)/A16taxstdlife))</f>
        <v>0</v>
      </c>
      <c r="K286" s="68">
        <f>IF(A16taxstdlife="n/a","n/a",IF(K$3&gt;(A16taxstdlife+$E286),(Input!$I$56-Input!$I$90)-SUM($I286:J286),(Input!$I$56-Input!$I$90)/A16taxstdlife))</f>
        <v>0</v>
      </c>
      <c r="L286" s="68">
        <f>IF(A16taxstdlife="n/a","n/a",IF(L$3&gt;(A16taxstdlife+$E286),(Input!$I$56-Input!$I$90)-SUM($I286:K286),(Input!$I$56-Input!$I$90)/A16taxstdlife))</f>
        <v>0</v>
      </c>
      <c r="M286" s="68">
        <f>IF(A16taxstdlife="n/a","n/a",IF(M$3&gt;(A16taxstdlife+$E286),(Input!$I$56-Input!$I$90)-SUM($I286:L286),(Input!$I$56-Input!$I$90)/A16taxstdlife))</f>
        <v>0</v>
      </c>
      <c r="N286" s="68">
        <f>IF(A16taxstdlife="n/a","n/a",IF(N$3&gt;(A16taxstdlife+$E286),(Input!$I$56-Input!$I$90)-SUM($I286:M286),(Input!$I$56-Input!$I$90)/A16taxstdlife))</f>
        <v>0</v>
      </c>
      <c r="O286" s="68">
        <f>IF(A16taxstdlife="n/a","n/a",IF(O$3&gt;(A16taxstdlife+$E286),(Input!$I$56-Input!$I$90)-SUM($I286:N286),(Input!$I$56-Input!$I$90)/A16taxstdlife))</f>
        <v>0</v>
      </c>
      <c r="P286" s="68">
        <f>IF(A16taxstdlife="n/a","n/a",IF(P$3&gt;(A16taxstdlife+$E286),(Input!$I$56-Input!$I$90)-SUM($I286:O286),(Input!$I$56-Input!$I$90)/A16taxstdlife))</f>
        <v>0</v>
      </c>
      <c r="Q286" s="68">
        <f>IF(A16taxstdlife="n/a","n/a",IF(Q$3&gt;(A16taxstdlife+$E286),(Input!$I$56-Input!$I$90)-SUM($I286:P286),(Input!$I$56-Input!$I$90)/A16taxstdlife))</f>
        <v>0</v>
      </c>
      <c r="R286" s="68"/>
      <c r="S286" s="103"/>
      <c r="T286" s="103"/>
      <c r="U286" s="103"/>
      <c r="V286" s="103"/>
      <c r="W286" s="103"/>
      <c r="X286" s="103"/>
      <c r="Y286" s="103"/>
      <c r="Z286" s="103"/>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216"/>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26"/>
      <c r="D287" s="672"/>
      <c r="E287" s="86">
        <v>4</v>
      </c>
      <c r="F287" s="27"/>
      <c r="G287" s="208"/>
      <c r="H287" s="150"/>
      <c r="I287" s="150"/>
      <c r="J287" s="149"/>
      <c r="K287" s="68">
        <f>IF(A16taxstdlife="n/a","n/a",IF(K$3&gt;(A16taxstdlife+$E287),(Input!$J$56-Input!$J$90)-SUM($J287:J287),(Input!$J$56-Input!$J$90)/A16taxstdlife))</f>
        <v>0</v>
      </c>
      <c r="L287" s="68">
        <f>IF(A16taxstdlife="n/a","n/a",IF(L$3&gt;(A16taxstdlife+$E287),(Input!$J$56-Input!$J$90)-SUM($J287:K287),(Input!$J$56-Input!$J$90)/A16taxstdlife))</f>
        <v>0</v>
      </c>
      <c r="M287" s="68">
        <f>IF(A16taxstdlife="n/a","n/a",IF(M$3&gt;(A16taxstdlife+$E287),(Input!$J$56-Input!$J$90)-SUM($J287:L287),(Input!$J$56-Input!$J$90)/A16taxstdlife))</f>
        <v>0</v>
      </c>
      <c r="N287" s="68">
        <f>IF(A16taxstdlife="n/a","n/a",IF(N$3&gt;(A16taxstdlife+$E287),(Input!$J$56-Input!$J$90)-SUM($J287:M287),(Input!$J$56-Input!$J$90)/A16taxstdlife))</f>
        <v>0</v>
      </c>
      <c r="O287" s="68">
        <f>IF(A16taxstdlife="n/a","n/a",IF(O$3&gt;(A16taxstdlife+$E287),(Input!$J$56-Input!$J$90)-SUM($J287:N287),(Input!$J$56-Input!$J$90)/A16taxstdlife))</f>
        <v>0</v>
      </c>
      <c r="P287" s="68">
        <f>IF(A16taxstdlife="n/a","n/a",IF(P$3&gt;(A16taxstdlife+$E287),(Input!$J$56-Input!$J$90)-SUM($J287:O287),(Input!$J$56-Input!$J$90)/A16taxstdlife))</f>
        <v>0</v>
      </c>
      <c r="Q287" s="68">
        <f>IF(A16taxstdlife="n/a","n/a",IF(Q$3&gt;(A16taxstdlife+$E287),(Input!$J$56-Input!$J$90)-SUM($J287:P287),(Input!$J$56-Input!$J$90)/A16taxstdlife))</f>
        <v>0</v>
      </c>
      <c r="R287" s="68"/>
      <c r="S287" s="103"/>
      <c r="T287" s="103"/>
      <c r="U287" s="103"/>
      <c r="V287" s="103"/>
      <c r="W287" s="103"/>
      <c r="X287" s="103"/>
      <c r="Y287" s="103"/>
      <c r="Z287" s="103"/>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26"/>
      <c r="D288" s="672"/>
      <c r="E288" s="86">
        <v>5</v>
      </c>
      <c r="F288" s="27"/>
      <c r="G288" s="208"/>
      <c r="H288" s="150"/>
      <c r="I288" s="150"/>
      <c r="J288" s="150"/>
      <c r="K288" s="149"/>
      <c r="L288" s="68">
        <f>IF(A16taxstdlife="n/a","n/a",IF(L$3&gt;(A16taxstdlife+$E288),(Input!$K$56-Input!$K$90)-SUM($K288:K288),(Input!$K$56-Input!$K$90)/A16taxstdlife))</f>
        <v>0</v>
      </c>
      <c r="M288" s="68">
        <f>IF(A16taxstdlife="n/a","n/a",IF(M$3&gt;(A16taxstdlife+$E288),(Input!$K$56-Input!$K$90)-SUM($K288:L288),(Input!$K$56-Input!$K$90)/A16taxstdlife))</f>
        <v>0</v>
      </c>
      <c r="N288" s="68">
        <f>IF(A16taxstdlife="n/a","n/a",IF(N$3&gt;(A16taxstdlife+$E288),(Input!$K$56-Input!$K$90)-SUM($K288:M288),(Input!$K$56-Input!$K$90)/A16taxstdlife))</f>
        <v>0</v>
      </c>
      <c r="O288" s="68">
        <f>IF(A16taxstdlife="n/a","n/a",IF(O$3&gt;(A16taxstdlife+$E288),(Input!$K$56-Input!$K$90)-SUM($K288:N288),(Input!$K$56-Input!$K$90)/A16taxstdlife))</f>
        <v>0</v>
      </c>
      <c r="P288" s="68">
        <f>IF(A16taxstdlife="n/a","n/a",IF(P$3&gt;(A16taxstdlife+$E288),(Input!$K$56-Input!$K$90)-SUM($K288:O288),(Input!$K$56-Input!$K$90)/A16taxstdlife))</f>
        <v>0</v>
      </c>
      <c r="Q288" s="68">
        <f>IF(A16taxstdlife="n/a","n/a",IF(Q$3&gt;(A16taxstdlife+$E288),(Input!$K$56-Input!$K$90)-SUM($K288:P288),(Input!$K$56-Input!$K$90)/A16taxstdlife))</f>
        <v>0</v>
      </c>
      <c r="R288" s="68"/>
      <c r="S288" s="103"/>
      <c r="T288" s="103"/>
      <c r="U288" s="103"/>
      <c r="V288" s="103"/>
      <c r="W288" s="103"/>
      <c r="X288" s="103"/>
      <c r="Y288" s="103"/>
      <c r="Z288" s="103"/>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26"/>
      <c r="D289" s="672"/>
      <c r="E289" s="86">
        <v>6</v>
      </c>
      <c r="F289" s="27"/>
      <c r="G289" s="208"/>
      <c r="H289" s="150"/>
      <c r="I289" s="150"/>
      <c r="J289" s="150"/>
      <c r="K289" s="150"/>
      <c r="L289" s="149"/>
      <c r="M289" s="68">
        <f>IF(A16taxstdlife="n/a","n/a",IF(M$3&gt;(A16taxstdlife+$E289),(Input!$L$56-Input!$L$90)-SUM($L289:L289),(Input!$L$56-Input!$L$90)/A16taxstdlife))</f>
        <v>0</v>
      </c>
      <c r="N289" s="68">
        <f>IF(A16taxstdlife="n/a","n/a",IF(N$3&gt;(A16taxstdlife+$E289),(Input!$L$56-Input!$L$90)-SUM($L289:M289),(Input!$L$56-Input!$L$90)/A16taxstdlife))</f>
        <v>0</v>
      </c>
      <c r="O289" s="68">
        <f>IF(A16taxstdlife="n/a","n/a",IF(O$3&gt;(A16taxstdlife+$E289),(Input!$L$56-Input!$L$90)-SUM($L289:N289),(Input!$L$56-Input!$L$90)/A16taxstdlife))</f>
        <v>0</v>
      </c>
      <c r="P289" s="68">
        <f>IF(A16taxstdlife="n/a","n/a",IF(P$3&gt;(A16taxstdlife+$E289),(Input!$L$56-Input!$L$90)-SUM($L289:O289),(Input!$L$56-Input!$L$90)/A16taxstdlife))</f>
        <v>0</v>
      </c>
      <c r="Q289" s="68">
        <f>IF(A16taxstdlife="n/a","n/a",IF(Q$3&gt;(A16taxstdlife+$E289),(Input!$L$56-Input!$L$90)-SUM($L289:P289),(Input!$L$56-Input!$L$90)/A16taxstdlife))</f>
        <v>0</v>
      </c>
      <c r="R289" s="68"/>
      <c r="S289" s="103"/>
      <c r="T289" s="103"/>
      <c r="U289" s="103"/>
      <c r="V289" s="103"/>
      <c r="W289" s="103"/>
      <c r="X289" s="103"/>
      <c r="Y289" s="103"/>
      <c r="Z289" s="103"/>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2">
      <c r="A290" s="9"/>
      <c r="B290" s="9"/>
      <c r="C290" s="26"/>
      <c r="D290" s="672"/>
      <c r="E290" s="86">
        <v>7</v>
      </c>
      <c r="F290" s="27"/>
      <c r="G290" s="208"/>
      <c r="H290" s="150"/>
      <c r="I290" s="150"/>
      <c r="J290" s="150"/>
      <c r="K290" s="150"/>
      <c r="L290" s="150"/>
      <c r="M290" s="149"/>
      <c r="N290" s="68">
        <f>IF(A16taxstdlife="n/a","n/a",IF(N$3&gt;(A16taxstdlife+$E290),(Input!$M$56-Input!$M$90)-SUM($M290:M290),(Input!$M$56-Input!$M$90)/A16taxstdlife))</f>
        <v>0</v>
      </c>
      <c r="O290" s="68">
        <f>IF(A16taxstdlife="n/a","n/a",IF(O$3&gt;(A16taxstdlife+$E290),(Input!$M$56-Input!$M$90)-SUM($M290:N290),(Input!$M$56-Input!$M$90)/A16taxstdlife))</f>
        <v>0</v>
      </c>
      <c r="P290" s="68">
        <f>IF(A16taxstdlife="n/a","n/a",IF(P$3&gt;(A16taxstdlife+$E290),(Input!$M$56-Input!$M$90)-SUM($M290:O290),(Input!$M$56-Input!$M$90)/A16taxstdlife))</f>
        <v>0</v>
      </c>
      <c r="Q290" s="68">
        <f>IF(A16taxstdlife="n/a","n/a",IF(Q$3&gt;(A16taxstdlife+$E290),(Input!$M$56-Input!$M$90)-SUM($M290:P290),(Input!$M$56-Input!$M$90)/A16taxstdlife))</f>
        <v>0</v>
      </c>
      <c r="R290" s="68"/>
      <c r="S290" s="103"/>
      <c r="T290" s="103"/>
      <c r="U290" s="103"/>
      <c r="V290" s="103"/>
      <c r="W290" s="103"/>
      <c r="X290" s="103"/>
      <c r="Y290" s="103"/>
      <c r="Z290" s="103"/>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216"/>
      <c r="BJ290" s="218"/>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26"/>
      <c r="D291" s="672"/>
      <c r="E291" s="86">
        <v>8</v>
      </c>
      <c r="F291" s="27"/>
      <c r="G291" s="208"/>
      <c r="H291" s="150"/>
      <c r="I291" s="150"/>
      <c r="J291" s="150"/>
      <c r="K291" s="150"/>
      <c r="L291" s="150"/>
      <c r="M291" s="150"/>
      <c r="N291" s="149"/>
      <c r="O291" s="68">
        <f>IF(A16taxstdlife="n/a","n/a",IF(O$3&gt;(A16taxstdlife+$E291),(Input!$N$56-Input!$N$90)-SUM($N291:N291),(Input!$N$56-Input!$N$90)/A16taxstdlife))</f>
        <v>0</v>
      </c>
      <c r="P291" s="68">
        <f>IF(A16taxstdlife="n/a","n/a",IF(P$3&gt;(A16taxstdlife+$E291),(Input!$N$56-Input!$N$90)-SUM($N291:O291),(Input!$N$56-Input!$N$90)/A16taxstdlife))</f>
        <v>0</v>
      </c>
      <c r="Q291" s="68">
        <f>IF(A16taxstdlife="n/a","n/a",IF(Q$3&gt;(A16taxstdlife+$E291),(Input!$N$56-Input!$N$90)-SUM($N291:P291),(Input!$N$56-Input!$N$90)/A16taxstdlife))</f>
        <v>0</v>
      </c>
      <c r="R291" s="68"/>
      <c r="S291" s="103"/>
      <c r="T291" s="103"/>
      <c r="U291" s="103"/>
      <c r="V291" s="103"/>
      <c r="W291" s="103"/>
      <c r="X291" s="103"/>
      <c r="Y291" s="103"/>
      <c r="Z291" s="103"/>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216"/>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26"/>
      <c r="D292" s="672"/>
      <c r="E292" s="86">
        <v>9</v>
      </c>
      <c r="F292" s="27"/>
      <c r="G292" s="208"/>
      <c r="H292" s="150"/>
      <c r="I292" s="150"/>
      <c r="J292" s="150"/>
      <c r="K292" s="150"/>
      <c r="L292" s="150"/>
      <c r="M292" s="150"/>
      <c r="N292" s="150"/>
      <c r="O292" s="149"/>
      <c r="P292" s="68">
        <f>IF(A16taxstdlife="n/a","n/a",IF(P$3&gt;(A16taxstdlife+$E292),(Input!$O$56-Input!$O$90)-SUM($O292:O292),(Input!$O$56-Input!$O$90)/A16taxstdlife))</f>
        <v>0</v>
      </c>
      <c r="Q292" s="68">
        <f>IF(A16taxstdlife="n/a","n/a",IF(Q$3&gt;(A16taxstdlife+$E292),(Input!$O$56-Input!$O$90)-SUM($O292:P292),(Input!$O$56-Input!$O$90)/A16taxstdlife))</f>
        <v>0</v>
      </c>
      <c r="R292" s="68"/>
      <c r="S292" s="103"/>
      <c r="T292" s="103"/>
      <c r="U292" s="103"/>
      <c r="V292" s="103"/>
      <c r="W292" s="103"/>
      <c r="X292" s="103"/>
      <c r="Y292" s="103"/>
      <c r="Z292" s="103"/>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216"/>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26"/>
      <c r="D293" s="672"/>
      <c r="E293" s="86">
        <v>10</v>
      </c>
      <c r="F293" s="27"/>
      <c r="G293" s="208"/>
      <c r="H293" s="150"/>
      <c r="I293" s="150"/>
      <c r="J293" s="150"/>
      <c r="K293" s="150"/>
      <c r="L293" s="150"/>
      <c r="M293" s="150"/>
      <c r="N293" s="150"/>
      <c r="O293" s="150"/>
      <c r="P293" s="149"/>
      <c r="Q293" s="68">
        <f>IF(A16taxstdlife="n/a","n/a",IF(Q$3&gt;(A16taxstdlife+$E293),(Input!$P$56-Input!$P$90)-SUM($P293:P293),(Input!$P$56-Input!$P$90)/A16taxstdlife))</f>
        <v>0</v>
      </c>
      <c r="R293" s="68"/>
      <c r="S293" s="103"/>
      <c r="T293" s="103"/>
      <c r="U293" s="103"/>
      <c r="V293" s="103"/>
      <c r="W293" s="103"/>
      <c r="X293" s="103"/>
      <c r="Y293" s="103"/>
      <c r="Z293" s="103"/>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216"/>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26"/>
      <c r="D294" s="672"/>
      <c r="E294" s="87">
        <v>11</v>
      </c>
      <c r="F294" s="27"/>
      <c r="G294" s="208"/>
      <c r="H294" s="150"/>
      <c r="I294" s="150"/>
      <c r="J294" s="150"/>
      <c r="K294" s="150"/>
      <c r="L294" s="150"/>
      <c r="M294" s="150"/>
      <c r="N294" s="150"/>
      <c r="O294" s="150"/>
      <c r="P294" s="189"/>
      <c r="Q294" s="149"/>
      <c r="R294" s="68"/>
      <c r="S294" s="103"/>
      <c r="T294" s="103"/>
      <c r="U294" s="103"/>
      <c r="V294" s="103"/>
      <c r="W294" s="103"/>
      <c r="X294" s="103"/>
      <c r="Y294" s="103"/>
      <c r="Z294" s="103"/>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1">
      <c r="A295" s="9"/>
      <c r="B295" s="9"/>
      <c r="C295" s="26">
        <f>Asset16</f>
        <v>0</v>
      </c>
      <c r="D295" s="9"/>
      <c r="E295" s="9"/>
      <c r="F295" s="23"/>
      <c r="G295" s="209">
        <f t="shared" ref="G295:L295" si="50">-SUM(G282:G294)</f>
        <v>0</v>
      </c>
      <c r="H295" s="166">
        <f t="shared" si="50"/>
        <v>0</v>
      </c>
      <c r="I295" s="166">
        <f t="shared" si="50"/>
        <v>0</v>
      </c>
      <c r="J295" s="166">
        <f t="shared" si="50"/>
        <v>0</v>
      </c>
      <c r="K295" s="166">
        <f t="shared" si="50"/>
        <v>0</v>
      </c>
      <c r="L295" s="166">
        <f t="shared" si="50"/>
        <v>0</v>
      </c>
      <c r="M295" s="166">
        <f>IF(Input!M173&gt;0, -SUM(M282:M294), 0)</f>
        <v>0</v>
      </c>
      <c r="N295" s="166">
        <f>IF(Input!N173&gt;0, -SUM(N282:N294), 0)</f>
        <v>0</v>
      </c>
      <c r="O295" s="166">
        <f>IF(Input!O173&gt;0, -SUM(O282:O294), 0)</f>
        <v>0</v>
      </c>
      <c r="P295" s="166">
        <f>IF(Input!P173&gt;0, -SUM(P282:P294), 0)</f>
        <v>0</v>
      </c>
      <c r="Q295" s="166">
        <f>IF(Input!Q173&gt;0, -SUM(Q282:Q294), 0)</f>
        <v>0</v>
      </c>
      <c r="R295" s="64"/>
      <c r="S295" s="102"/>
      <c r="T295" s="102"/>
      <c r="U295" s="102"/>
      <c r="V295" s="102"/>
      <c r="W295" s="102"/>
      <c r="X295" s="102"/>
      <c r="Y295" s="102"/>
      <c r="Z295" s="102"/>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188">
        <f>Asset17</f>
        <v>0</v>
      </c>
      <c r="C296" s="33"/>
      <c r="D296" s="34" t="s">
        <v>67</v>
      </c>
      <c r="E296" s="33"/>
      <c r="F296" s="35"/>
      <c r="G296" s="205">
        <f>IF(G$3&gt;A17taxremlife,A17taxvalue-SUM($F296:F296),IF(A17taxremlife="N/A","n/a",A17taxvalue/A17taxremlife))</f>
        <v>0</v>
      </c>
      <c r="H296" s="67">
        <f>IF(H$3&gt;A17taxremlife,A17taxvalue-SUM($F296:G296),IF(A17taxremlife="N/A","n/a",A17taxvalue/A17taxremlife))</f>
        <v>0</v>
      </c>
      <c r="I296" s="67">
        <f>IF(I$3&gt;A17taxremlife,A17taxvalue-SUM($F296:H296),IF(A17taxremlife="N/A","n/a",A17taxvalue/A17taxremlife))</f>
        <v>0</v>
      </c>
      <c r="J296" s="67">
        <f>IF(J$3&gt;A17taxremlife,A17taxvalue-SUM($F296:I296),IF(A17taxremlife="N/A","n/a",A17taxvalue/A17taxremlife))</f>
        <v>0</v>
      </c>
      <c r="K296" s="67">
        <f>IF(K$3&gt;A17taxremlife,A17taxvalue-SUM($F296:J296),IF(A17taxremlife="N/A","n/a",A17taxvalue/A17taxremlife))</f>
        <v>0</v>
      </c>
      <c r="L296" s="67">
        <f>IF(L$3&gt;A17taxremlife,A17taxvalue-SUM($F296:K296),IF(A17taxremlife="N/A","n/a",A17taxvalue/A17taxremlife))</f>
        <v>0</v>
      </c>
      <c r="M296" s="67">
        <f>IF(M$3&gt;A17taxremlife,A17taxvalue-SUM($F296:L296),IF(A17taxremlife="N/A","n/a",A17taxvalue/A17taxremlife))</f>
        <v>0</v>
      </c>
      <c r="N296" s="67">
        <f>IF(N$3&gt;A17taxremlife,A17taxvalue-SUM($F296:M296),IF(A17taxremlife="N/A","n/a",A17taxvalue/A17taxremlife))</f>
        <v>0</v>
      </c>
      <c r="O296" s="67">
        <f>IF(O$3&gt;A17taxremlife,A17taxvalue-SUM($F296:N296),IF(A17taxremlife="N/A","n/a",A17taxvalue/A17taxremlife))</f>
        <v>0</v>
      </c>
      <c r="P296" s="67">
        <f>IF(P$3&gt;A17taxremlife,A17taxvalue-SUM($F296:O296),IF(A17taxremlife="N/A","n/a",A17taxvalue/A17taxremlife))</f>
        <v>0</v>
      </c>
      <c r="Q296" s="67">
        <f>IF(Q$3&gt;A17taxremlife,A17taxvalue-SUM($F296:P296),IF(A17taxremlife="N/A","n/a",A17taxvalue/A17taxremlife))</f>
        <v>0</v>
      </c>
      <c r="R296" s="67"/>
      <c r="S296" s="103"/>
      <c r="T296" s="103"/>
      <c r="U296" s="103"/>
      <c r="V296" s="103"/>
      <c r="W296" s="103"/>
      <c r="X296" s="103"/>
      <c r="Y296" s="103"/>
      <c r="Z296" s="103"/>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216"/>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26"/>
      <c r="D297" s="671" t="s">
        <v>84</v>
      </c>
      <c r="E297" s="86">
        <v>0</v>
      </c>
      <c r="F297" s="27"/>
      <c r="G297" s="206"/>
      <c r="H297" s="68"/>
      <c r="I297" s="68"/>
      <c r="J297" s="68"/>
      <c r="K297" s="68"/>
      <c r="L297" s="68"/>
      <c r="M297" s="68"/>
      <c r="N297" s="68"/>
      <c r="O297" s="68"/>
      <c r="P297" s="68"/>
      <c r="Q297" s="68"/>
      <c r="R297" s="68"/>
      <c r="S297" s="103"/>
      <c r="T297" s="103"/>
      <c r="U297" s="103"/>
      <c r="V297" s="103"/>
      <c r="W297" s="103"/>
      <c r="X297" s="103"/>
      <c r="Y297" s="103"/>
      <c r="Z297" s="103"/>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26"/>
      <c r="D298" s="672"/>
      <c r="E298" s="86">
        <v>1</v>
      </c>
      <c r="F298" s="27"/>
      <c r="G298" s="207"/>
      <c r="H298" s="68">
        <f>IF(A17taxstdlife="n/a","n/a",IF(H$3&gt;(A17taxstdlife+$E298),(Input!$G$57-Input!$G$91)-SUM($G298:G298),(Input!$G$57-Input!$G$91)/A17taxstdlife))</f>
        <v>0</v>
      </c>
      <c r="I298" s="68">
        <f>IF(A17taxstdlife="n/a","n/a",IF(I$3&gt;(A17taxstdlife+$E298),(Input!$G$57-Input!$G$91)-SUM($G298:H298),(Input!$G$57-Input!$G$91)/A17taxstdlife))</f>
        <v>0</v>
      </c>
      <c r="J298" s="68">
        <f>IF(A17taxstdlife="n/a","n/a",IF(J$3&gt;(A17taxstdlife+$E298),(Input!$G$57-Input!$G$91)-SUM($G298:I298),(Input!$G$57-Input!$G$91)/A17taxstdlife))</f>
        <v>0</v>
      </c>
      <c r="K298" s="68">
        <f>IF(A17taxstdlife="n/a","n/a",IF(K$3&gt;(A17taxstdlife+$E298),(Input!$G$57-Input!$G$91)-SUM($G298:J298),(Input!$G$57-Input!$G$91)/A17taxstdlife))</f>
        <v>0</v>
      </c>
      <c r="L298" s="68">
        <f>IF(A17taxstdlife="n/a","n/a",IF(L$3&gt;(A17taxstdlife+$E298),(Input!$G$57-Input!$G$91)-SUM($G298:K298),(Input!$G$57-Input!$G$91)/A17taxstdlife))</f>
        <v>0</v>
      </c>
      <c r="M298" s="68">
        <f>IF(A17taxstdlife="n/a","n/a",IF(M$3&gt;(A17taxstdlife+$E298),(Input!$G$57-Input!$G$91)-SUM($G298:L298),(Input!$G$57-Input!$G$91)/A17taxstdlife))</f>
        <v>0</v>
      </c>
      <c r="N298" s="68">
        <f>IF(A17taxstdlife="n/a","n/a",IF(N$3&gt;(A17taxstdlife+$E298),(Input!$G$57-Input!$G$91)-SUM($G298:M298),(Input!$G$57-Input!$G$91)/A17taxstdlife))</f>
        <v>0</v>
      </c>
      <c r="O298" s="68">
        <f>IF(A17taxstdlife="n/a","n/a",IF(O$3&gt;(A17taxstdlife+$E298),(Input!$G$57-Input!$G$91)-SUM($G298:N298),(Input!$G$57-Input!$G$91)/A17taxstdlife))</f>
        <v>0</v>
      </c>
      <c r="P298" s="68">
        <f>IF(A17taxstdlife="n/a","n/a",IF(P$3&gt;(A17taxstdlife+$E298),(Input!$G$57-Input!$G$91)-SUM($G298:O298),(Input!$G$57-Input!$G$91)/A17taxstdlife))</f>
        <v>0</v>
      </c>
      <c r="Q298" s="68">
        <f>IF(A17taxstdlife="n/a","n/a",IF(Q$3&gt;(A17taxstdlife+$E298),(Input!$G$57-Input!$G$91)-SUM($G298:P298),(Input!$G$57-Input!$G$91)/A17taxstdlife))</f>
        <v>0</v>
      </c>
      <c r="R298" s="68"/>
      <c r="S298" s="103"/>
      <c r="T298" s="103"/>
      <c r="U298" s="103"/>
      <c r="V298" s="103"/>
      <c r="W298" s="103"/>
      <c r="X298" s="103"/>
      <c r="Y298" s="103"/>
      <c r="Z298" s="103"/>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26"/>
      <c r="D299" s="672"/>
      <c r="E299" s="86">
        <v>2</v>
      </c>
      <c r="F299" s="27"/>
      <c r="G299" s="208"/>
      <c r="H299" s="149"/>
      <c r="I299" s="68">
        <f>IF(A17taxstdlife="n/a","n/a",IF(I$3&gt;(A17taxstdlife+$E299),(Input!$H$57-Input!$H$91)-SUM($H299:H299),(Input!$H$57-Input!$H$91)/A17taxstdlife))</f>
        <v>0</v>
      </c>
      <c r="J299" s="68">
        <f>IF(A17taxstdlife="n/a","n/a",IF(J$3&gt;(A17taxstdlife+$E299),(Input!$H$57-Input!$H$91)-SUM($H299:I299),(Input!$H$57-Input!$H$91)/A17taxstdlife))</f>
        <v>0</v>
      </c>
      <c r="K299" s="68">
        <f>IF(A17taxstdlife="n/a","n/a",IF(K$3&gt;(A17taxstdlife+$E299),(Input!$H$57-Input!$H$91)-SUM($H299:J299),(Input!$H$57-Input!$H$91)/A17taxstdlife))</f>
        <v>0</v>
      </c>
      <c r="L299" s="68">
        <f>IF(A17taxstdlife="n/a","n/a",IF(L$3&gt;(A17taxstdlife+$E299),(Input!$H$57-Input!$H$91)-SUM($H299:K299),(Input!$H$57-Input!$H$91)/A17taxstdlife))</f>
        <v>0</v>
      </c>
      <c r="M299" s="68">
        <f>IF(A17taxstdlife="n/a","n/a",IF(M$3&gt;(A17taxstdlife+$E299),(Input!$H$57-Input!$H$91)-SUM($H299:L299),(Input!$H$57-Input!$H$91)/A17taxstdlife))</f>
        <v>0</v>
      </c>
      <c r="N299" s="68">
        <f>IF(A17taxstdlife="n/a","n/a",IF(N$3&gt;(A17taxstdlife+$E299),(Input!$H$57-Input!$H$91)-SUM($H299:M299),(Input!$H$57-Input!$H$91)/A17taxstdlife))</f>
        <v>0</v>
      </c>
      <c r="O299" s="68">
        <f>IF(A17taxstdlife="n/a","n/a",IF(O$3&gt;(A17taxstdlife+$E299),(Input!$H$57-Input!$H$91)-SUM($H299:N299),(Input!$H$57-Input!$H$91)/A17taxstdlife))</f>
        <v>0</v>
      </c>
      <c r="P299" s="68">
        <f>IF(A17taxstdlife="n/a","n/a",IF(P$3&gt;(A17taxstdlife+$E299),(Input!$H$57-Input!$H$91)-SUM($H299:O299),(Input!$H$57-Input!$H$91)/A17taxstdlife))</f>
        <v>0</v>
      </c>
      <c r="Q299" s="68">
        <f>IF(A17taxstdlife="n/a","n/a",IF(Q$3&gt;(A17taxstdlife+$E299),(Input!$H$57-Input!$H$91)-SUM($H299:P299),(Input!$H$57-Input!$H$91)/A17taxstdlife))</f>
        <v>0</v>
      </c>
      <c r="R299" s="68"/>
      <c r="S299" s="103"/>
      <c r="T299" s="103"/>
      <c r="U299" s="103"/>
      <c r="V299" s="103"/>
      <c r="W299" s="103"/>
      <c r="X299" s="103"/>
      <c r="Y299" s="103"/>
      <c r="Z299" s="103"/>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26"/>
      <c r="D300" s="672"/>
      <c r="E300" s="86">
        <v>3</v>
      </c>
      <c r="F300" s="27"/>
      <c r="G300" s="208"/>
      <c r="H300" s="150"/>
      <c r="I300" s="149"/>
      <c r="J300" s="68">
        <f>IF(A17taxstdlife="n/a","n/a",IF(J$3&gt;(A17taxstdlife+$E300),(Input!$I$57-Input!$I$91)-SUM($I300:I300),(Input!$I$57-Input!$I$91)/A17taxstdlife))</f>
        <v>0</v>
      </c>
      <c r="K300" s="68">
        <f>IF(A17taxstdlife="n/a","n/a",IF(K$3&gt;(A17taxstdlife+$E300),(Input!$I$57-Input!$I$91)-SUM($I300:J300),(Input!$I$57-Input!$I$91)/A17taxstdlife))</f>
        <v>0</v>
      </c>
      <c r="L300" s="68">
        <f>IF(A17taxstdlife="n/a","n/a",IF(L$3&gt;(A17taxstdlife+$E300),(Input!$I$57-Input!$I$91)-SUM($I300:K300),(Input!$I$57-Input!$I$91)/A17taxstdlife))</f>
        <v>0</v>
      </c>
      <c r="M300" s="68">
        <f>IF(A17taxstdlife="n/a","n/a",IF(M$3&gt;(A17taxstdlife+$E300),(Input!$I$57-Input!$I$91)-SUM($I300:L300),(Input!$I$57-Input!$I$91)/A17taxstdlife))</f>
        <v>0</v>
      </c>
      <c r="N300" s="68">
        <f>IF(A17taxstdlife="n/a","n/a",IF(N$3&gt;(A17taxstdlife+$E300),(Input!$I$57-Input!$I$91)-SUM($I300:M300),(Input!$I$57-Input!$I$91)/A17taxstdlife))</f>
        <v>0</v>
      </c>
      <c r="O300" s="68">
        <f>IF(A17taxstdlife="n/a","n/a",IF(O$3&gt;(A17taxstdlife+$E300),(Input!$I$57-Input!$I$91)-SUM($I300:N300),(Input!$I$57-Input!$I$91)/A17taxstdlife))</f>
        <v>0</v>
      </c>
      <c r="P300" s="68">
        <f>IF(A17taxstdlife="n/a","n/a",IF(P$3&gt;(A17taxstdlife+$E300),(Input!$I$57-Input!$I$91)-SUM($I300:O300),(Input!$I$57-Input!$I$91)/A17taxstdlife))</f>
        <v>0</v>
      </c>
      <c r="Q300" s="68">
        <f>IF(A17taxstdlife="n/a","n/a",IF(Q$3&gt;(A17taxstdlife+$E300),(Input!$I$57-Input!$I$91)-SUM($I300:P300),(Input!$I$57-Input!$I$91)/A17taxstdlife))</f>
        <v>0</v>
      </c>
      <c r="R300" s="68"/>
      <c r="S300" s="103"/>
      <c r="T300" s="103"/>
      <c r="U300" s="103"/>
      <c r="V300" s="103"/>
      <c r="W300" s="103"/>
      <c r="X300" s="103"/>
      <c r="Y300" s="103"/>
      <c r="Z300" s="103"/>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216"/>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26"/>
      <c r="D301" s="672"/>
      <c r="E301" s="86">
        <v>4</v>
      </c>
      <c r="F301" s="27"/>
      <c r="G301" s="208"/>
      <c r="H301" s="150"/>
      <c r="I301" s="150"/>
      <c r="J301" s="149"/>
      <c r="K301" s="68">
        <f>IF(A17taxstdlife="n/a","n/a",IF(K$3&gt;(A17taxstdlife+$E301),(Input!$J$57-Input!$J$91)-SUM($J301:J301),(Input!$J$57-Input!$J$91)/A17taxstdlife))</f>
        <v>0</v>
      </c>
      <c r="L301" s="68">
        <f>IF(A17taxstdlife="n/a","n/a",IF(L$3&gt;(A17taxstdlife+$E301),(Input!$J$57-Input!$J$91)-SUM($J301:K301),(Input!$J$57-Input!$J$91)/A17taxstdlife))</f>
        <v>0</v>
      </c>
      <c r="M301" s="68">
        <f>IF(A17taxstdlife="n/a","n/a",IF(M$3&gt;(A17taxstdlife+$E301),(Input!$J$57-Input!$J$91)-SUM($J301:L301),(Input!$J$57-Input!$J$91)/A17taxstdlife))</f>
        <v>0</v>
      </c>
      <c r="N301" s="68">
        <f>IF(A17taxstdlife="n/a","n/a",IF(N$3&gt;(A17taxstdlife+$E301),(Input!$J$57-Input!$J$91)-SUM($J301:M301),(Input!$J$57-Input!$J$91)/A17taxstdlife))</f>
        <v>0</v>
      </c>
      <c r="O301" s="68">
        <f>IF(A17taxstdlife="n/a","n/a",IF(O$3&gt;(A17taxstdlife+$E301),(Input!$J$57-Input!$J$91)-SUM($J301:N301),(Input!$J$57-Input!$J$91)/A17taxstdlife))</f>
        <v>0</v>
      </c>
      <c r="P301" s="68">
        <f>IF(A17taxstdlife="n/a","n/a",IF(P$3&gt;(A17taxstdlife+$E301),(Input!$J$57-Input!$J$91)-SUM($J301:O301),(Input!$J$57-Input!$J$91)/A17taxstdlife))</f>
        <v>0</v>
      </c>
      <c r="Q301" s="68">
        <f>IF(A17taxstdlife="n/a","n/a",IF(Q$3&gt;(A17taxstdlife+$E301),(Input!$J$57-Input!$J$91)-SUM($J301:P301),(Input!$J$57-Input!$J$91)/A17taxstdlife))</f>
        <v>0</v>
      </c>
      <c r="R301" s="68"/>
      <c r="S301" s="103"/>
      <c r="T301" s="103"/>
      <c r="U301" s="103"/>
      <c r="V301" s="103"/>
      <c r="W301" s="103"/>
      <c r="X301" s="103"/>
      <c r="Y301" s="103"/>
      <c r="Z301" s="103"/>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216"/>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26"/>
      <c r="D302" s="672"/>
      <c r="E302" s="86">
        <v>5</v>
      </c>
      <c r="F302" s="27"/>
      <c r="G302" s="208"/>
      <c r="H302" s="150"/>
      <c r="I302" s="150"/>
      <c r="J302" s="150"/>
      <c r="K302" s="149"/>
      <c r="L302" s="68">
        <f>IF(A17taxstdlife="n/a","n/a",IF(L$3&gt;(A17taxstdlife+$E302),(Input!$K$57-Input!$K$91)-SUM($K302:K302),(Input!$K$57-Input!$K$91)/A17taxstdlife))</f>
        <v>0</v>
      </c>
      <c r="M302" s="68">
        <f>IF(A17taxstdlife="n/a","n/a",IF(M$3&gt;(A17taxstdlife+$E302),(Input!$K$57-Input!$K$91)-SUM($K302:L302),(Input!$K$57-Input!$K$91)/A17taxstdlife))</f>
        <v>0</v>
      </c>
      <c r="N302" s="68">
        <f>IF(A17taxstdlife="n/a","n/a",IF(N$3&gt;(A17taxstdlife+$E302),(Input!$K$57-Input!$K$91)-SUM($K302:M302),(Input!$K$57-Input!$K$91)/A17taxstdlife))</f>
        <v>0</v>
      </c>
      <c r="O302" s="68">
        <f>IF(A17taxstdlife="n/a","n/a",IF(O$3&gt;(A17taxstdlife+$E302),(Input!$K$57-Input!$K$91)-SUM($K302:N302),(Input!$K$57-Input!$K$91)/A17taxstdlife))</f>
        <v>0</v>
      </c>
      <c r="P302" s="68">
        <f>IF(A17taxstdlife="n/a","n/a",IF(P$3&gt;(A17taxstdlife+$E302),(Input!$K$57-Input!$K$91)-SUM($K302:O302),(Input!$K$57-Input!$K$91)/A17taxstdlife))</f>
        <v>0</v>
      </c>
      <c r="Q302" s="68">
        <f>IF(A17taxstdlife="n/a","n/a",IF(Q$3&gt;(A17taxstdlife+$E302),(Input!$K$57-Input!$K$91)-SUM($K302:P302),(Input!$K$57-Input!$K$91)/A17taxstdlife))</f>
        <v>0</v>
      </c>
      <c r="R302" s="68"/>
      <c r="S302" s="103"/>
      <c r="T302" s="103"/>
      <c r="U302" s="103"/>
      <c r="V302" s="103"/>
      <c r="W302" s="103"/>
      <c r="X302" s="103"/>
      <c r="Y302" s="103"/>
      <c r="Z302" s="103"/>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216"/>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2">
      <c r="A303" s="9"/>
      <c r="B303" s="9"/>
      <c r="C303" s="26"/>
      <c r="D303" s="672"/>
      <c r="E303" s="86">
        <v>6</v>
      </c>
      <c r="F303" s="27"/>
      <c r="G303" s="208"/>
      <c r="H303" s="150"/>
      <c r="I303" s="150"/>
      <c r="J303" s="150"/>
      <c r="K303" s="150"/>
      <c r="L303" s="149"/>
      <c r="M303" s="68">
        <f>IF(A17taxstdlife="n/a","n/a",IF(M$3&gt;(A17taxstdlife+$E303),(Input!$L$57-Input!$L$91)-SUM($L303:L303),(Input!$L$57-Input!$L$91)/A17taxstdlife))</f>
        <v>0</v>
      </c>
      <c r="N303" s="68">
        <f>IF(A17taxstdlife="n/a","n/a",IF(N$3&gt;(A17taxstdlife+$E303),(Input!$L$57-Input!$L$91)-SUM($L303:M303),(Input!$L$57-Input!$L$91)/A17taxstdlife))</f>
        <v>0</v>
      </c>
      <c r="O303" s="68">
        <f>IF(A17taxstdlife="n/a","n/a",IF(O$3&gt;(A17taxstdlife+$E303),(Input!$L$57-Input!$L$91)-SUM($L303:N303),(Input!$L$57-Input!$L$91)/A17taxstdlife))</f>
        <v>0</v>
      </c>
      <c r="P303" s="68">
        <f>IF(A17taxstdlife="n/a","n/a",IF(P$3&gt;(A17taxstdlife+$E303),(Input!$L$57-Input!$L$91)-SUM($L303:O303),(Input!$L$57-Input!$L$91)/A17taxstdlife))</f>
        <v>0</v>
      </c>
      <c r="Q303" s="68">
        <f>IF(A17taxstdlife="n/a","n/a",IF(Q$3&gt;(A17taxstdlife+$E303),(Input!$L$57-Input!$L$91)-SUM($L303:P303),(Input!$L$57-Input!$L$91)/A17taxstdlife))</f>
        <v>0</v>
      </c>
      <c r="R303" s="68"/>
      <c r="S303" s="103"/>
      <c r="T303" s="103"/>
      <c r="U303" s="103"/>
      <c r="V303" s="103"/>
      <c r="W303" s="103"/>
      <c r="X303" s="103"/>
      <c r="Y303" s="103"/>
      <c r="Z303" s="103"/>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216"/>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customHeight="1" outlineLevel="2">
      <c r="A304" s="9"/>
      <c r="B304" s="9"/>
      <c r="C304" s="26"/>
      <c r="D304" s="672"/>
      <c r="E304" s="86">
        <v>7</v>
      </c>
      <c r="F304" s="27"/>
      <c r="G304" s="208"/>
      <c r="H304" s="150"/>
      <c r="I304" s="150"/>
      <c r="J304" s="150"/>
      <c r="K304" s="150"/>
      <c r="L304" s="150"/>
      <c r="M304" s="149"/>
      <c r="N304" s="68">
        <f>IF(A17taxstdlife="n/a","n/a",IF(N$3&gt;(A17taxstdlife+$E304),(Input!$M$57-Input!$M$91)-SUM($M304:M304),(Input!$M$57-Input!$M$91)/A17taxstdlife))</f>
        <v>0</v>
      </c>
      <c r="O304" s="68">
        <f>IF(A17taxstdlife="n/a","n/a",IF(O$3&gt;(A17taxstdlife+$E304),(Input!$M$57-Input!$M$91)-SUM($M304:N304),(Input!$M$57-Input!$M$91)/A17taxstdlife))</f>
        <v>0</v>
      </c>
      <c r="P304" s="68">
        <f>IF(A17taxstdlife="n/a","n/a",IF(P$3&gt;(A17taxstdlife+$E304),(Input!$M$57-Input!$M$91)-SUM($M304:O304),(Input!$M$57-Input!$M$91)/A17taxstdlife))</f>
        <v>0</v>
      </c>
      <c r="Q304" s="68">
        <f>IF(A17taxstdlife="n/a","n/a",IF(Q$3&gt;(A17taxstdlife+$E304),(Input!$M$57-Input!$M$91)-SUM($M304:P304),(Input!$M$57-Input!$M$91)/A17taxstdlife))</f>
        <v>0</v>
      </c>
      <c r="R304" s="68"/>
      <c r="S304" s="103"/>
      <c r="T304" s="103"/>
      <c r="U304" s="103"/>
      <c r="V304" s="103"/>
      <c r="W304" s="103"/>
      <c r="X304" s="103"/>
      <c r="Y304" s="103"/>
      <c r="Z304" s="103"/>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216"/>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customHeight="1" outlineLevel="2">
      <c r="A305" s="9"/>
      <c r="B305" s="9"/>
      <c r="C305" s="26"/>
      <c r="D305" s="672"/>
      <c r="E305" s="86">
        <v>8</v>
      </c>
      <c r="F305" s="27"/>
      <c r="G305" s="208"/>
      <c r="H305" s="150"/>
      <c r="I305" s="150"/>
      <c r="J305" s="150"/>
      <c r="K305" s="150"/>
      <c r="L305" s="150"/>
      <c r="M305" s="150"/>
      <c r="N305" s="149"/>
      <c r="O305" s="68">
        <f>IF(A17taxstdlife="n/a","n/a",IF(O$3&gt;(A17taxstdlife+$E305),(Input!$N$57-Input!$N$91)-SUM($N305:N305),(Input!$N$57-Input!$N$91)/A17taxstdlife))</f>
        <v>0</v>
      </c>
      <c r="P305" s="68">
        <f>IF(A17taxstdlife="n/a","n/a",IF(P$3&gt;(A17taxstdlife+$E305),(Input!$N$57-Input!$N$91)-SUM($N305:O305),(Input!$N$57-Input!$N$91)/A17taxstdlife))</f>
        <v>0</v>
      </c>
      <c r="Q305" s="68">
        <f>IF(A17taxstdlife="n/a","n/a",IF(Q$3&gt;(A17taxstdlife+$E305),(Input!$N$57-Input!$N$91)-SUM($N305:P305),(Input!$N$57-Input!$N$91)/A17taxstdlife))</f>
        <v>0</v>
      </c>
      <c r="R305" s="68"/>
      <c r="S305" s="103"/>
      <c r="T305" s="103"/>
      <c r="U305" s="103"/>
      <c r="V305" s="103"/>
      <c r="W305" s="103"/>
      <c r="X305" s="103"/>
      <c r="Y305" s="103"/>
      <c r="Z305" s="103"/>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216"/>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customHeight="1" outlineLevel="2">
      <c r="A306" s="9"/>
      <c r="B306" s="9"/>
      <c r="C306" s="26"/>
      <c r="D306" s="672"/>
      <c r="E306" s="86">
        <v>9</v>
      </c>
      <c r="F306" s="27"/>
      <c r="G306" s="208"/>
      <c r="H306" s="150"/>
      <c r="I306" s="150"/>
      <c r="J306" s="150"/>
      <c r="K306" s="150"/>
      <c r="L306" s="150"/>
      <c r="M306" s="150"/>
      <c r="N306" s="150"/>
      <c r="O306" s="149"/>
      <c r="P306" s="68">
        <f>IF(A17taxstdlife="n/a","n/a",IF(P$3&gt;(A17taxstdlife+$E306),(Input!$O$57-Input!$O$91)-SUM($O306:O306),(Input!$O$57-Input!$O$91)/A17taxstdlife))</f>
        <v>0</v>
      </c>
      <c r="Q306" s="68">
        <f>IF(A17taxstdlife="n/a","n/a",IF(Q$3&gt;(A17taxstdlife+$E306),(Input!$O$57-Input!$O$91)-SUM($O306:P306),(Input!$O$57-Input!$O$91)/A17taxstdlife))</f>
        <v>0</v>
      </c>
      <c r="R306" s="68"/>
      <c r="S306" s="103"/>
      <c r="T306" s="103"/>
      <c r="U306" s="103"/>
      <c r="V306" s="103"/>
      <c r="W306" s="103"/>
      <c r="X306" s="103"/>
      <c r="Y306" s="103"/>
      <c r="Z306" s="103"/>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216"/>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customHeight="1" outlineLevel="2">
      <c r="A307" s="9"/>
      <c r="B307" s="9"/>
      <c r="C307" s="26"/>
      <c r="D307" s="672"/>
      <c r="E307" s="86">
        <v>10</v>
      </c>
      <c r="F307" s="27"/>
      <c r="G307" s="208"/>
      <c r="H307" s="150"/>
      <c r="I307" s="150"/>
      <c r="J307" s="150"/>
      <c r="K307" s="150"/>
      <c r="L307" s="150"/>
      <c r="M307" s="150"/>
      <c r="N307" s="150"/>
      <c r="O307" s="150"/>
      <c r="P307" s="149"/>
      <c r="Q307" s="68">
        <f>IF(A17taxstdlife="n/a","n/a",IF(Q$3&gt;(A17taxstdlife+$E307),(Input!$P$57-Input!$P$91)-SUM($P307:P307),(Input!$P$57-Input!$P$91)/A17taxstdlife))</f>
        <v>0</v>
      </c>
      <c r="R307" s="68"/>
      <c r="S307" s="103"/>
      <c r="T307" s="103"/>
      <c r="U307" s="103"/>
      <c r="V307" s="103"/>
      <c r="W307" s="103"/>
      <c r="X307" s="103"/>
      <c r="Y307" s="103"/>
      <c r="Z307" s="103"/>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customHeight="1" outlineLevel="2">
      <c r="A308" s="9"/>
      <c r="B308" s="9"/>
      <c r="C308" s="26"/>
      <c r="D308" s="672"/>
      <c r="E308" s="87">
        <v>11</v>
      </c>
      <c r="F308" s="27"/>
      <c r="G308" s="208"/>
      <c r="H308" s="150"/>
      <c r="I308" s="150"/>
      <c r="J308" s="150"/>
      <c r="K308" s="150"/>
      <c r="L308" s="150"/>
      <c r="M308" s="150"/>
      <c r="N308" s="150"/>
      <c r="O308" s="150"/>
      <c r="P308" s="189"/>
      <c r="Q308" s="149"/>
      <c r="R308" s="68"/>
      <c r="S308" s="103"/>
      <c r="T308" s="103"/>
      <c r="U308" s="103"/>
      <c r="V308" s="103"/>
      <c r="W308" s="103"/>
      <c r="X308" s="103"/>
      <c r="Y308" s="103"/>
      <c r="Z308" s="103"/>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26">
        <f>Asset17</f>
        <v>0</v>
      </c>
      <c r="D309" s="9"/>
      <c r="E309" s="9"/>
      <c r="F309" s="23"/>
      <c r="G309" s="209">
        <f t="shared" ref="G309:L309" si="51">-SUM(G296:G308)</f>
        <v>0</v>
      </c>
      <c r="H309" s="166">
        <f t="shared" si="51"/>
        <v>0</v>
      </c>
      <c r="I309" s="166">
        <f t="shared" si="51"/>
        <v>0</v>
      </c>
      <c r="J309" s="166">
        <f t="shared" si="51"/>
        <v>0</v>
      </c>
      <c r="K309" s="166">
        <f t="shared" si="51"/>
        <v>0</v>
      </c>
      <c r="L309" s="166">
        <f t="shared" si="51"/>
        <v>0</v>
      </c>
      <c r="M309" s="166">
        <f>IF(Input!M173&gt;0, -SUM(M296:M308), 0)</f>
        <v>0</v>
      </c>
      <c r="N309" s="166">
        <f>IF(Input!N173&gt;0, -SUM(N296:N308), 0)</f>
        <v>0</v>
      </c>
      <c r="O309" s="166">
        <f>IF(Input!O173&gt;0, -SUM(O296:O308), 0)</f>
        <v>0</v>
      </c>
      <c r="P309" s="166">
        <f>IF(Input!P173&gt;0, -SUM(P296:P308), 0)</f>
        <v>0</v>
      </c>
      <c r="Q309" s="166">
        <f>IF(Input!Q173&gt;0, -SUM(Q296:Q308), 0)</f>
        <v>0</v>
      </c>
      <c r="R309" s="64"/>
      <c r="S309" s="102"/>
      <c r="T309" s="102"/>
      <c r="U309" s="102"/>
      <c r="V309" s="102"/>
      <c r="W309" s="102"/>
      <c r="X309" s="102"/>
      <c r="Y309" s="102"/>
      <c r="Z309" s="102"/>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customHeight="1" outlineLevel="2">
      <c r="A310" s="9"/>
      <c r="B310" s="188">
        <f>Asset18</f>
        <v>0</v>
      </c>
      <c r="C310" s="33"/>
      <c r="D310" s="34" t="s">
        <v>67</v>
      </c>
      <c r="E310" s="33"/>
      <c r="F310" s="35"/>
      <c r="G310" s="205">
        <f>IF(G$3&gt;A18taxremlife,A18taxvalue-SUM($F310:F310),IF(A18taxremlife="N/A","n/a",A18taxvalue/A18taxremlife))</f>
        <v>0</v>
      </c>
      <c r="H310" s="67">
        <f>IF(H$3&gt;A18taxremlife,A18taxvalue-SUM($F310:G310),IF(A18taxremlife="N/A","n/a",A18taxvalue/A18taxremlife))</f>
        <v>0</v>
      </c>
      <c r="I310" s="67">
        <f>IF(I$3&gt;A18taxremlife,A18taxvalue-SUM($F310:H310),IF(A18taxremlife="N/A","n/a",A18taxvalue/A18taxremlife))</f>
        <v>0</v>
      </c>
      <c r="J310" s="67">
        <f>IF(J$3&gt;A18taxremlife,A18taxvalue-SUM($F310:I310),IF(A18taxremlife="N/A","n/a",A18taxvalue/A18taxremlife))</f>
        <v>0</v>
      </c>
      <c r="K310" s="67">
        <f>IF(K$3&gt;A18taxremlife,A18taxvalue-SUM($F310:J310),IF(A18taxremlife="N/A","n/a",A18taxvalue/A18taxremlife))</f>
        <v>0</v>
      </c>
      <c r="L310" s="67">
        <f>IF(L$3&gt;A18taxremlife,A18taxvalue-SUM($F310:K310),IF(A18taxremlife="N/A","n/a",A18taxvalue/A18taxremlife))</f>
        <v>0</v>
      </c>
      <c r="M310" s="67">
        <f>IF(M$3&gt;A18taxremlife,A18taxvalue-SUM($F310:L310),IF(A18taxremlife="N/A","n/a",A18taxvalue/A18taxremlife))</f>
        <v>0</v>
      </c>
      <c r="N310" s="67">
        <f>IF(N$3&gt;A18taxremlife,A18taxvalue-SUM($F310:M310),IF(A18taxremlife="N/A","n/a",A18taxvalue/A18taxremlife))</f>
        <v>0</v>
      </c>
      <c r="O310" s="67">
        <f>IF(O$3&gt;A18taxremlife,A18taxvalue-SUM($F310:N310),IF(A18taxremlife="N/A","n/a",A18taxvalue/A18taxremlife))</f>
        <v>0</v>
      </c>
      <c r="P310" s="67">
        <f>IF(P$3&gt;A18taxremlife,A18taxvalue-SUM($F310:O310),IF(A18taxremlife="N/A","n/a",A18taxvalue/A18taxremlife))</f>
        <v>0</v>
      </c>
      <c r="Q310" s="67">
        <f>IF(Q$3&gt;A18taxremlife,A18taxvalue-SUM($F310:P310),IF(A18taxremlife="N/A","n/a",A18taxvalue/A18taxremlife))</f>
        <v>0</v>
      </c>
      <c r="R310" s="67"/>
      <c r="S310" s="103"/>
      <c r="T310" s="103"/>
      <c r="U310" s="103"/>
      <c r="V310" s="103"/>
      <c r="W310" s="103"/>
      <c r="X310" s="103"/>
      <c r="Y310" s="103"/>
      <c r="Z310" s="103"/>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216"/>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26"/>
      <c r="D311" s="671" t="s">
        <v>84</v>
      </c>
      <c r="E311" s="86">
        <v>0</v>
      </c>
      <c r="F311" s="27"/>
      <c r="G311" s="206"/>
      <c r="H311" s="68"/>
      <c r="I311" s="68"/>
      <c r="J311" s="68"/>
      <c r="K311" s="68"/>
      <c r="L311" s="68"/>
      <c r="M311" s="68"/>
      <c r="N311" s="68"/>
      <c r="O311" s="68"/>
      <c r="P311" s="68"/>
      <c r="Q311" s="68"/>
      <c r="R311" s="68"/>
      <c r="S311" s="103"/>
      <c r="T311" s="103"/>
      <c r="U311" s="103"/>
      <c r="V311" s="103"/>
      <c r="W311" s="103"/>
      <c r="X311" s="103"/>
      <c r="Y311" s="103"/>
      <c r="Z311" s="103"/>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216"/>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customHeight="1" outlineLevel="2">
      <c r="A312" s="9"/>
      <c r="B312" s="9"/>
      <c r="C312" s="26"/>
      <c r="D312" s="672"/>
      <c r="E312" s="86">
        <v>1</v>
      </c>
      <c r="F312" s="27"/>
      <c r="G312" s="207"/>
      <c r="H312" s="68">
        <f>IF(A18taxstdlife="n/a","n/a",IF(H$3&gt;(A18taxstdlife+$E312),(Input!$G$58-Input!$G$92)-SUM($G312:G312),(Input!$G$58-Input!$G$92)/A18taxstdlife))</f>
        <v>0</v>
      </c>
      <c r="I312" s="68">
        <f>IF(A18taxstdlife="n/a","n/a",IF(I$3&gt;(A18taxstdlife+$E312),(Input!$G$58-Input!$G$92)-SUM($G312:H312),(Input!$G$58-Input!$G$92)/A18taxstdlife))</f>
        <v>0</v>
      </c>
      <c r="J312" s="68">
        <f>IF(A18taxstdlife="n/a","n/a",IF(J$3&gt;(A18taxstdlife+$E312),(Input!$G$58-Input!$G$92)-SUM($G312:I312),(Input!$G$58-Input!$G$92)/A18taxstdlife))</f>
        <v>0</v>
      </c>
      <c r="K312" s="68">
        <f>IF(A18taxstdlife="n/a","n/a",IF(K$3&gt;(A18taxstdlife+$E312),(Input!$G$58-Input!$G$92)-SUM($G312:J312),(Input!$G$58-Input!$G$92)/A18taxstdlife))</f>
        <v>0</v>
      </c>
      <c r="L312" s="68">
        <f>IF(A18taxstdlife="n/a","n/a",IF(L$3&gt;(A18taxstdlife+$E312),(Input!$G$58-Input!$G$92)-SUM($G312:K312),(Input!$G$58-Input!$G$92)/A18taxstdlife))</f>
        <v>0</v>
      </c>
      <c r="M312" s="68">
        <f>IF(A18taxstdlife="n/a","n/a",IF(M$3&gt;(A18taxstdlife+$E312),(Input!$G$58-Input!$G$92)-SUM($G312:L312),(Input!$G$58-Input!$G$92)/A18taxstdlife))</f>
        <v>0</v>
      </c>
      <c r="N312" s="68">
        <f>IF(A18taxstdlife="n/a","n/a",IF(N$3&gt;(A18taxstdlife+$E312),(Input!$G$58-Input!$G$92)-SUM($G312:M312),(Input!$G$58-Input!$G$92)/A18taxstdlife))</f>
        <v>0</v>
      </c>
      <c r="O312" s="68">
        <f>IF(A18taxstdlife="n/a","n/a",IF(O$3&gt;(A18taxstdlife+$E312),(Input!$G$58-Input!$G$92)-SUM($G312:N312),(Input!$G$58-Input!$G$92)/A18taxstdlife))</f>
        <v>0</v>
      </c>
      <c r="P312" s="68">
        <f>IF(A18taxstdlife="n/a","n/a",IF(P$3&gt;(A18taxstdlife+$E312),(Input!$G$58-Input!$G$92)-SUM($G312:O312),(Input!$G$58-Input!$G$92)/A18taxstdlife))</f>
        <v>0</v>
      </c>
      <c r="Q312" s="68">
        <f>IF(A18taxstdlife="n/a","n/a",IF(Q$3&gt;(A18taxstdlife+$E312),(Input!$G$58-Input!$G$92)-SUM($G312:P312),(Input!$G$58-Input!$G$92)/A18taxstdlife))</f>
        <v>0</v>
      </c>
      <c r="R312" s="68"/>
      <c r="S312" s="103"/>
      <c r="T312" s="103"/>
      <c r="U312" s="103"/>
      <c r="V312" s="103"/>
      <c r="W312" s="103"/>
      <c r="X312" s="103"/>
      <c r="Y312" s="103"/>
      <c r="Z312" s="103"/>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customHeight="1" outlineLevel="2">
      <c r="A313" s="9"/>
      <c r="B313" s="9"/>
      <c r="C313" s="26"/>
      <c r="D313" s="672"/>
      <c r="E313" s="86">
        <v>2</v>
      </c>
      <c r="F313" s="27"/>
      <c r="G313" s="208"/>
      <c r="H313" s="149"/>
      <c r="I313" s="68">
        <f>IF(A18taxstdlife="n/a","n/a",IF(I$3&gt;(A18taxstdlife+$E313),(Input!$H$58-Input!$H$92)-SUM($H313:H313),(Input!$H$58-Input!$H$92)/A18taxstdlife))</f>
        <v>0</v>
      </c>
      <c r="J313" s="68">
        <f>IF(A18taxstdlife="n/a","n/a",IF(J$3&gt;(A18taxstdlife+$E313),(Input!$H$58-Input!$H$92)-SUM($H313:I313),(Input!$H$58-Input!$H$92)/A18taxstdlife))</f>
        <v>0</v>
      </c>
      <c r="K313" s="68">
        <f>IF(A18taxstdlife="n/a","n/a",IF(K$3&gt;(A18taxstdlife+$E313),(Input!$H$58-Input!$H$92)-SUM($H313:J313),(Input!$H$58-Input!$H$92)/A18taxstdlife))</f>
        <v>0</v>
      </c>
      <c r="L313" s="68">
        <f>IF(A18taxstdlife="n/a","n/a",IF(L$3&gt;(A18taxstdlife+$E313),(Input!$H$58-Input!$H$92)-SUM($H313:K313),(Input!$H$58-Input!$H$92)/A18taxstdlife))</f>
        <v>0</v>
      </c>
      <c r="M313" s="68">
        <f>IF(A18taxstdlife="n/a","n/a",IF(M$3&gt;(A18taxstdlife+$E313),(Input!$H$58-Input!$H$92)-SUM($H313:L313),(Input!$H$58-Input!$H$92)/A18taxstdlife))</f>
        <v>0</v>
      </c>
      <c r="N313" s="68">
        <f>IF(A18taxstdlife="n/a","n/a",IF(N$3&gt;(A18taxstdlife+$E313),(Input!$H$58-Input!$H$92)-SUM($H313:M313),(Input!$H$58-Input!$H$92)/A18taxstdlife))</f>
        <v>0</v>
      </c>
      <c r="O313" s="68">
        <f>IF(A18taxstdlife="n/a","n/a",IF(O$3&gt;(A18taxstdlife+$E313),(Input!$H$58-Input!$H$92)-SUM($H313:N313),(Input!$H$58-Input!$H$92)/A18taxstdlife))</f>
        <v>0</v>
      </c>
      <c r="P313" s="68">
        <f>IF(A18taxstdlife="n/a","n/a",IF(P$3&gt;(A18taxstdlife+$E313),(Input!$H$58-Input!$H$92)-SUM($H313:O313),(Input!$H$58-Input!$H$92)/A18taxstdlife))</f>
        <v>0</v>
      </c>
      <c r="Q313" s="68">
        <f>IF(A18taxstdlife="n/a","n/a",IF(Q$3&gt;(A18taxstdlife+$E313),(Input!$H$58-Input!$H$92)-SUM($H313:P313),(Input!$H$58-Input!$H$92)/A18taxstdlife))</f>
        <v>0</v>
      </c>
      <c r="R313" s="68"/>
      <c r="S313" s="103"/>
      <c r="T313" s="103"/>
      <c r="U313" s="103"/>
      <c r="V313" s="103"/>
      <c r="W313" s="103"/>
      <c r="X313" s="103"/>
      <c r="Y313" s="103"/>
      <c r="Z313" s="103"/>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216"/>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customHeight="1" outlineLevel="2">
      <c r="A314" s="9"/>
      <c r="B314" s="9"/>
      <c r="C314" s="26"/>
      <c r="D314" s="672"/>
      <c r="E314" s="86">
        <v>3</v>
      </c>
      <c r="F314" s="27"/>
      <c r="G314" s="208"/>
      <c r="H314" s="150"/>
      <c r="I314" s="149"/>
      <c r="J314" s="68">
        <f>IF(A18taxstdlife="n/a","n/a",IF(J$3&gt;(A18taxstdlife+$E314),(Input!$I$58-Input!$I$92)-SUM($I314:I314),(Input!$I$58-Input!$I$92)/A18taxstdlife))</f>
        <v>0</v>
      </c>
      <c r="K314" s="68">
        <f>IF(A18taxstdlife="n/a","n/a",IF(K$3&gt;(A18taxstdlife+$E314),(Input!$I$58-Input!$I$92)-SUM($I314:J314),(Input!$I$58-Input!$I$92)/A18taxstdlife))</f>
        <v>0</v>
      </c>
      <c r="L314" s="68">
        <f>IF(A18taxstdlife="n/a","n/a",IF(L$3&gt;(A18taxstdlife+$E314),(Input!$I$58-Input!$I$92)-SUM($I314:K314),(Input!$I$58-Input!$I$92)/A18taxstdlife))</f>
        <v>0</v>
      </c>
      <c r="M314" s="68">
        <f>IF(A18taxstdlife="n/a","n/a",IF(M$3&gt;(A18taxstdlife+$E314),(Input!$I$58-Input!$I$92)-SUM($I314:L314),(Input!$I$58-Input!$I$92)/A18taxstdlife))</f>
        <v>0</v>
      </c>
      <c r="N314" s="68">
        <f>IF(A18taxstdlife="n/a","n/a",IF(N$3&gt;(A18taxstdlife+$E314),(Input!$I$58-Input!$I$92)-SUM($I314:M314),(Input!$I$58-Input!$I$92)/A18taxstdlife))</f>
        <v>0</v>
      </c>
      <c r="O314" s="68">
        <f>IF(A18taxstdlife="n/a","n/a",IF(O$3&gt;(A18taxstdlife+$E314),(Input!$I$58-Input!$I$92)-SUM($I314:N314),(Input!$I$58-Input!$I$92)/A18taxstdlife))</f>
        <v>0</v>
      </c>
      <c r="P314" s="68">
        <f>IF(A18taxstdlife="n/a","n/a",IF(P$3&gt;(A18taxstdlife+$E314),(Input!$I$58-Input!$I$92)-SUM($I314:O314),(Input!$I$58-Input!$I$92)/A18taxstdlife))</f>
        <v>0</v>
      </c>
      <c r="Q314" s="68">
        <f>IF(A18taxstdlife="n/a","n/a",IF(Q$3&gt;(A18taxstdlife+$E314),(Input!$I$58-Input!$I$92)-SUM($I314:P314),(Input!$I$58-Input!$I$92)/A18taxstdlife))</f>
        <v>0</v>
      </c>
      <c r="R314" s="68"/>
      <c r="S314" s="103"/>
      <c r="T314" s="103"/>
      <c r="U314" s="103"/>
      <c r="V314" s="103"/>
      <c r="W314" s="103"/>
      <c r="X314" s="103"/>
      <c r="Y314" s="103"/>
      <c r="Z314" s="103"/>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216"/>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customHeight="1" outlineLevel="2">
      <c r="A315" s="9"/>
      <c r="B315" s="9"/>
      <c r="C315" s="26"/>
      <c r="D315" s="672"/>
      <c r="E315" s="86">
        <v>4</v>
      </c>
      <c r="F315" s="27"/>
      <c r="G315" s="208"/>
      <c r="H315" s="150"/>
      <c r="I315" s="150"/>
      <c r="J315" s="149"/>
      <c r="K315" s="68">
        <f>IF(A18taxstdlife="n/a","n/a",IF(K$3&gt;(A18taxstdlife+$E315),(Input!$J$58-Input!$J$92)-SUM($J315:J315),(Input!$J$58-Input!$J$92)/A18taxstdlife))</f>
        <v>0</v>
      </c>
      <c r="L315" s="68">
        <f>IF(A18taxstdlife="n/a","n/a",IF(L$3&gt;(A18taxstdlife+$E315),(Input!$J$58-Input!$J$92)-SUM($J315:K315),(Input!$J$58-Input!$J$92)/A18taxstdlife))</f>
        <v>0</v>
      </c>
      <c r="M315" s="68">
        <f>IF(A18taxstdlife="n/a","n/a",IF(M$3&gt;(A18taxstdlife+$E315),(Input!$J$58-Input!$J$92)-SUM($J315:L315),(Input!$J$58-Input!$J$92)/A18taxstdlife))</f>
        <v>0</v>
      </c>
      <c r="N315" s="68">
        <f>IF(A18taxstdlife="n/a","n/a",IF(N$3&gt;(A18taxstdlife+$E315),(Input!$J$58-Input!$J$92)-SUM($J315:M315),(Input!$J$58-Input!$J$92)/A18taxstdlife))</f>
        <v>0</v>
      </c>
      <c r="O315" s="68">
        <f>IF(A18taxstdlife="n/a","n/a",IF(O$3&gt;(A18taxstdlife+$E315),(Input!$J$58-Input!$J$92)-SUM($J315:N315),(Input!$J$58-Input!$J$92)/A18taxstdlife))</f>
        <v>0</v>
      </c>
      <c r="P315" s="68">
        <f>IF(A18taxstdlife="n/a","n/a",IF(P$3&gt;(A18taxstdlife+$E315),(Input!$J$58-Input!$J$92)-SUM($J315:O315),(Input!$J$58-Input!$J$92)/A18taxstdlife))</f>
        <v>0</v>
      </c>
      <c r="Q315" s="68">
        <f>IF(A18taxstdlife="n/a","n/a",IF(Q$3&gt;(A18taxstdlife+$E315),(Input!$J$58-Input!$J$92)-SUM($J315:P315),(Input!$J$58-Input!$J$92)/A18taxstdlife))</f>
        <v>0</v>
      </c>
      <c r="R315" s="68"/>
      <c r="S315" s="103"/>
      <c r="T315" s="103"/>
      <c r="U315" s="103"/>
      <c r="V315" s="103"/>
      <c r="W315" s="103"/>
      <c r="X315" s="103"/>
      <c r="Y315" s="103"/>
      <c r="Z315" s="103"/>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216"/>
      <c r="BE315" s="216"/>
      <c r="BF315" s="216"/>
      <c r="BG315" s="216"/>
      <c r="BH315" s="216"/>
      <c r="BI315" s="216"/>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customHeight="1" outlineLevel="2">
      <c r="A316" s="9"/>
      <c r="B316" s="9"/>
      <c r="C316" s="26"/>
      <c r="D316" s="672"/>
      <c r="E316" s="86">
        <v>5</v>
      </c>
      <c r="F316" s="27"/>
      <c r="G316" s="208"/>
      <c r="H316" s="150"/>
      <c r="I316" s="150"/>
      <c r="J316" s="150"/>
      <c r="K316" s="149"/>
      <c r="L316" s="68">
        <f>IF(A18taxstdlife="n/a","n/a",IF(L$3&gt;(A18taxstdlife+$E316),(Input!$K$58-Input!$K$92)-SUM($K316:K316),(Input!$K$58-Input!$K$92)/A18taxstdlife))</f>
        <v>0</v>
      </c>
      <c r="M316" s="68">
        <f>IF(A18taxstdlife="n/a","n/a",IF(M$3&gt;(A18taxstdlife+$E316),(Input!$K$58-Input!$K$92)-SUM($K316:L316),(Input!$K$58-Input!$K$92)/A18taxstdlife))</f>
        <v>0</v>
      </c>
      <c r="N316" s="68">
        <f>IF(A18taxstdlife="n/a","n/a",IF(N$3&gt;(A18taxstdlife+$E316),(Input!$K$58-Input!$K$92)-SUM($K316:M316),(Input!$K$58-Input!$K$92)/A18taxstdlife))</f>
        <v>0</v>
      </c>
      <c r="O316" s="68">
        <f>IF(A18taxstdlife="n/a","n/a",IF(O$3&gt;(A18taxstdlife+$E316),(Input!$K$58-Input!$K$92)-SUM($K316:N316),(Input!$K$58-Input!$K$92)/A18taxstdlife))</f>
        <v>0</v>
      </c>
      <c r="P316" s="68">
        <f>IF(A18taxstdlife="n/a","n/a",IF(P$3&gt;(A18taxstdlife+$E316),(Input!$K$58-Input!$K$92)-SUM($K316:O316),(Input!$K$58-Input!$K$92)/A18taxstdlife))</f>
        <v>0</v>
      </c>
      <c r="Q316" s="68">
        <f>IF(A18taxstdlife="n/a","n/a",IF(Q$3&gt;(A18taxstdlife+$E316),(Input!$K$58-Input!$K$92)-SUM($K316:P316),(Input!$K$58-Input!$K$92)/A18taxstdlife))</f>
        <v>0</v>
      </c>
      <c r="R316" s="68"/>
      <c r="S316" s="103"/>
      <c r="T316" s="103"/>
      <c r="U316" s="103"/>
      <c r="V316" s="103"/>
      <c r="W316" s="103"/>
      <c r="X316" s="103"/>
      <c r="Y316" s="103"/>
      <c r="Z316" s="103"/>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customHeight="1" outlineLevel="2">
      <c r="A317" s="9"/>
      <c r="B317" s="9"/>
      <c r="C317" s="26"/>
      <c r="D317" s="672"/>
      <c r="E317" s="86">
        <v>6</v>
      </c>
      <c r="F317" s="27"/>
      <c r="G317" s="208"/>
      <c r="H317" s="150"/>
      <c r="I317" s="150"/>
      <c r="J317" s="150"/>
      <c r="K317" s="150"/>
      <c r="L317" s="149"/>
      <c r="M317" s="68">
        <f>IF(A18taxstdlife="n/a","n/a",IF(M$3&gt;(A18taxstdlife+$E317),(Input!$L$58-Input!$L$92)-SUM($L317:L317),(Input!$L$58-Input!$L$92)/A18taxstdlife))</f>
        <v>0</v>
      </c>
      <c r="N317" s="68">
        <f>IF(A18taxstdlife="n/a","n/a",IF(N$3&gt;(A18taxstdlife+$E317),(Input!$L$58-Input!$L$92)-SUM($L317:M317),(Input!$L$58-Input!$L$92)/A18taxstdlife))</f>
        <v>0</v>
      </c>
      <c r="O317" s="68">
        <f>IF(A18taxstdlife="n/a","n/a",IF(O$3&gt;(A18taxstdlife+$E317),(Input!$L$58-Input!$L$92)-SUM($L317:N317),(Input!$L$58-Input!$L$92)/A18taxstdlife))</f>
        <v>0</v>
      </c>
      <c r="P317" s="68">
        <f>IF(A18taxstdlife="n/a","n/a",IF(P$3&gt;(A18taxstdlife+$E317),(Input!$L$58-Input!$L$92)-SUM($L317:O317),(Input!$L$58-Input!$L$92)/A18taxstdlife))</f>
        <v>0</v>
      </c>
      <c r="Q317" s="68">
        <f>IF(A18taxstdlife="n/a","n/a",IF(Q$3&gt;(A18taxstdlife+$E317),(Input!$L$58-Input!$L$92)-SUM($L317:P317),(Input!$L$58-Input!$L$92)/A18taxstdlife))</f>
        <v>0</v>
      </c>
      <c r="R317" s="68"/>
      <c r="S317" s="103"/>
      <c r="T317" s="103"/>
      <c r="U317" s="103"/>
      <c r="V317" s="103"/>
      <c r="W317" s="103"/>
      <c r="X317" s="103"/>
      <c r="Y317" s="103"/>
      <c r="Z317" s="103"/>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216"/>
      <c r="BE317" s="216"/>
      <c r="BF317" s="216"/>
      <c r="BG317" s="216"/>
      <c r="BH317" s="216"/>
      <c r="BI317" s="216"/>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customHeight="1" outlineLevel="2">
      <c r="A318" s="9"/>
      <c r="B318" s="9"/>
      <c r="C318" s="26"/>
      <c r="D318" s="672"/>
      <c r="E318" s="86">
        <v>7</v>
      </c>
      <c r="F318" s="27"/>
      <c r="G318" s="208"/>
      <c r="H318" s="150"/>
      <c r="I318" s="150"/>
      <c r="J318" s="150"/>
      <c r="K318" s="150"/>
      <c r="L318" s="150"/>
      <c r="M318" s="149"/>
      <c r="N318" s="68">
        <f>IF(A18taxstdlife="n/a","n/a",IF(N$3&gt;(A18taxstdlife+$E318),(Input!$M$58-Input!$M$92)-SUM($M318:M318),(Input!$M$58-Input!$M$92)/A18taxstdlife))</f>
        <v>0</v>
      </c>
      <c r="O318" s="68">
        <f>IF(A18taxstdlife="n/a","n/a",IF(O$3&gt;(A18taxstdlife+$E318),(Input!$M$58-Input!$M$92)-SUM($M318:N318),(Input!$M$58-Input!$M$92)/A18taxstdlife))</f>
        <v>0</v>
      </c>
      <c r="P318" s="68">
        <f>IF(A18taxstdlife="n/a","n/a",IF(P$3&gt;(A18taxstdlife+$E318),(Input!$M$58-Input!$M$92)-SUM($M318:O318),(Input!$M$58-Input!$M$92)/A18taxstdlife))</f>
        <v>0</v>
      </c>
      <c r="Q318" s="68">
        <f>IF(A18taxstdlife="n/a","n/a",IF(Q$3&gt;(A18taxstdlife+$E318),(Input!$M$58-Input!$M$92)-SUM($M318:P318),(Input!$M$58-Input!$M$92)/A18taxstdlife))</f>
        <v>0</v>
      </c>
      <c r="R318" s="68"/>
      <c r="S318" s="103"/>
      <c r="T318" s="103"/>
      <c r="U318" s="103"/>
      <c r="V318" s="103"/>
      <c r="W318" s="103"/>
      <c r="X318" s="103"/>
      <c r="Y318" s="103"/>
      <c r="Z318" s="103"/>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216"/>
      <c r="BE318" s="216"/>
      <c r="BF318" s="216"/>
      <c r="BG318" s="216"/>
      <c r="BH318" s="216"/>
      <c r="BI318" s="216"/>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customHeight="1" outlineLevel="2">
      <c r="A319" s="9"/>
      <c r="B319" s="9"/>
      <c r="C319" s="26"/>
      <c r="D319" s="672"/>
      <c r="E319" s="86">
        <v>8</v>
      </c>
      <c r="F319" s="27"/>
      <c r="G319" s="208"/>
      <c r="H319" s="150"/>
      <c r="I319" s="150"/>
      <c r="J319" s="150"/>
      <c r="K319" s="150"/>
      <c r="L319" s="150"/>
      <c r="M319" s="150"/>
      <c r="N319" s="149"/>
      <c r="O319" s="68">
        <f>IF(A18taxstdlife="n/a","n/a",IF(O$3&gt;(A18taxstdlife+$E319),(Input!$N$58-Input!$N$92)-SUM($N319:N319),(Input!$N$58-Input!$N$92)/A18taxstdlife))</f>
        <v>0</v>
      </c>
      <c r="P319" s="68">
        <f>IF(A18taxstdlife="n/a","n/a",IF(P$3&gt;(A18taxstdlife+$E319),(Input!$N$58-Input!$N$92)-SUM($N319:O319),(Input!$N$58-Input!$N$92)/A18taxstdlife))</f>
        <v>0</v>
      </c>
      <c r="Q319" s="68">
        <f>IF(A18taxstdlife="n/a","n/a",IF(Q$3&gt;(A18taxstdlife+$E319),(Input!$N$58-Input!$N$92)-SUM($N319:P319),(Input!$N$58-Input!$N$92)/A18taxstdlife))</f>
        <v>0</v>
      </c>
      <c r="R319" s="68"/>
      <c r="S319" s="103"/>
      <c r="T319" s="103"/>
      <c r="U319" s="103"/>
      <c r="V319" s="103"/>
      <c r="W319" s="103"/>
      <c r="X319" s="103"/>
      <c r="Y319" s="103"/>
      <c r="Z319" s="103"/>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customHeight="1" outlineLevel="2">
      <c r="A320" s="9"/>
      <c r="B320" s="9"/>
      <c r="C320" s="26"/>
      <c r="D320" s="672"/>
      <c r="E320" s="86">
        <v>9</v>
      </c>
      <c r="F320" s="27"/>
      <c r="G320" s="208"/>
      <c r="H320" s="150"/>
      <c r="I320" s="150"/>
      <c r="J320" s="150"/>
      <c r="K320" s="150"/>
      <c r="L320" s="150"/>
      <c r="M320" s="150"/>
      <c r="N320" s="150"/>
      <c r="O320" s="149"/>
      <c r="P320" s="68">
        <f>IF(A18taxstdlife="n/a","n/a",IF(P$3&gt;(A18taxstdlife+$E320),(Input!$O$58-Input!$O$92)-SUM($O320:O320),(Input!$O$58-Input!$O$92)/A18taxstdlife))</f>
        <v>0</v>
      </c>
      <c r="Q320" s="68">
        <f>IF(A18taxstdlife="n/a","n/a",IF(Q$3&gt;(A18taxstdlife+$E320),(Input!$O$58-Input!$O$92)-SUM($O320:P320),(Input!$O$58-Input!$O$92)/A18taxstdlife))</f>
        <v>0</v>
      </c>
      <c r="R320" s="68"/>
      <c r="S320" s="103"/>
      <c r="T320" s="103"/>
      <c r="U320" s="103"/>
      <c r="V320" s="103"/>
      <c r="W320" s="103"/>
      <c r="X320" s="103"/>
      <c r="Y320" s="103"/>
      <c r="Z320" s="103"/>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187"/>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customHeight="1" outlineLevel="2">
      <c r="A321" s="9"/>
      <c r="B321" s="9"/>
      <c r="C321" s="26"/>
      <c r="D321" s="672"/>
      <c r="E321" s="86">
        <v>10</v>
      </c>
      <c r="F321" s="27"/>
      <c r="G321" s="208"/>
      <c r="H321" s="150"/>
      <c r="I321" s="150"/>
      <c r="J321" s="150"/>
      <c r="K321" s="150"/>
      <c r="L321" s="150"/>
      <c r="M321" s="150"/>
      <c r="N321" s="150"/>
      <c r="O321" s="150"/>
      <c r="P321" s="149"/>
      <c r="Q321" s="68">
        <f>IF(A18taxstdlife="n/a","n/a",IF(Q$3&gt;(A18taxstdlife+$E321),(Input!$P$58-Input!$P$92)-SUM($P321:P321),(Input!$P$58-Input!$P$92)/A18taxstdlife))</f>
        <v>0</v>
      </c>
      <c r="R321" s="68"/>
      <c r="S321" s="103"/>
      <c r="T321" s="103"/>
      <c r="U321" s="103"/>
      <c r="V321" s="103"/>
      <c r="W321" s="103"/>
      <c r="X321" s="103"/>
      <c r="Y321" s="103"/>
      <c r="Z321" s="103"/>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customHeight="1" outlineLevel="2">
      <c r="A322" s="9"/>
      <c r="B322" s="9"/>
      <c r="C322" s="26"/>
      <c r="D322" s="672"/>
      <c r="E322" s="87">
        <v>11</v>
      </c>
      <c r="F322" s="27"/>
      <c r="G322" s="208"/>
      <c r="H322" s="150"/>
      <c r="I322" s="150"/>
      <c r="J322" s="150"/>
      <c r="K322" s="150"/>
      <c r="L322" s="150"/>
      <c r="M322" s="150"/>
      <c r="N322" s="150"/>
      <c r="O322" s="150"/>
      <c r="P322" s="189"/>
      <c r="Q322" s="149"/>
      <c r="R322" s="68"/>
      <c r="S322" s="103"/>
      <c r="T322" s="103"/>
      <c r="U322" s="103"/>
      <c r="V322" s="103"/>
      <c r="W322" s="103"/>
      <c r="X322" s="103"/>
      <c r="Y322" s="103"/>
      <c r="Z322" s="103"/>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216"/>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1">
      <c r="A323" s="9"/>
      <c r="B323" s="9"/>
      <c r="C323" s="26">
        <f>Asset18</f>
        <v>0</v>
      </c>
      <c r="D323" s="9"/>
      <c r="E323" s="9"/>
      <c r="F323" s="23"/>
      <c r="G323" s="209">
        <f t="shared" ref="G323:L323" si="52">-SUM(G310:G322)</f>
        <v>0</v>
      </c>
      <c r="H323" s="166">
        <f t="shared" si="52"/>
        <v>0</v>
      </c>
      <c r="I323" s="166">
        <f t="shared" si="52"/>
        <v>0</v>
      </c>
      <c r="J323" s="166">
        <f t="shared" si="52"/>
        <v>0</v>
      </c>
      <c r="K323" s="166">
        <f t="shared" si="52"/>
        <v>0</v>
      </c>
      <c r="L323" s="166">
        <f t="shared" si="52"/>
        <v>0</v>
      </c>
      <c r="M323" s="166">
        <f>IF(Input!M173&gt;0, -SUM(M310:M322), 0)</f>
        <v>0</v>
      </c>
      <c r="N323" s="166">
        <f>IF(Input!N173&gt;0, -SUM(N310:N322), 0)</f>
        <v>0</v>
      </c>
      <c r="O323" s="166">
        <f>IF(Input!O173&gt;0, -SUM(O310:O322), 0)</f>
        <v>0</v>
      </c>
      <c r="P323" s="166">
        <f>IF(Input!P173&gt;0, -SUM(P310:P322), 0)</f>
        <v>0</v>
      </c>
      <c r="Q323" s="166">
        <f>IF(Input!Q173&gt;0, -SUM(Q310:Q322), 0)</f>
        <v>0</v>
      </c>
      <c r="R323" s="64"/>
      <c r="S323" s="102"/>
      <c r="T323" s="102"/>
      <c r="U323" s="102"/>
      <c r="V323" s="102"/>
      <c r="W323" s="102"/>
      <c r="X323" s="102"/>
      <c r="Y323" s="102"/>
      <c r="Z323" s="102"/>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188">
        <f>Asset19</f>
        <v>0</v>
      </c>
      <c r="C324" s="33"/>
      <c r="D324" s="34" t="s">
        <v>67</v>
      </c>
      <c r="E324" s="33"/>
      <c r="F324" s="35"/>
      <c r="G324" s="205">
        <f>IF(G$3&gt;A19taxremlife,A19taxvalue-SUM($F324:F324),IF(A19taxremlife="N/A","n/a",A19taxvalue/A19taxremlife))</f>
        <v>0</v>
      </c>
      <c r="H324" s="67">
        <f>IF(H$3&gt;A19taxremlife,A19taxvalue-SUM($F324:G324),IF(A19taxremlife="N/A","n/a",A19taxvalue/A19taxremlife))</f>
        <v>0</v>
      </c>
      <c r="I324" s="67">
        <f>IF(I$3&gt;A19taxremlife,A19taxvalue-SUM($F324:H324),IF(A19taxremlife="N/A","n/a",A19taxvalue/A19taxremlife))</f>
        <v>0</v>
      </c>
      <c r="J324" s="67">
        <f>IF(J$3&gt;A19taxremlife,A19taxvalue-SUM($F324:I324),IF(A19taxremlife="N/A","n/a",A19taxvalue/A19taxremlife))</f>
        <v>0</v>
      </c>
      <c r="K324" s="67">
        <f>IF(K$3&gt;A19taxremlife,A19taxvalue-SUM($F324:J324),IF(A19taxremlife="N/A","n/a",A19taxvalue/A19taxremlife))</f>
        <v>0</v>
      </c>
      <c r="L324" s="67">
        <f>IF(L$3&gt;A19taxremlife,A19taxvalue-SUM($F324:K324),IF(A19taxremlife="N/A","n/a",A19taxvalue/A19taxremlife))</f>
        <v>0</v>
      </c>
      <c r="M324" s="67">
        <f>IF(M$3&gt;A19taxremlife,A19taxvalue-SUM($F324:L324),IF(A19taxremlife="N/A","n/a",A19taxvalue/A19taxremlife))</f>
        <v>0</v>
      </c>
      <c r="N324" s="67">
        <f>IF(N$3&gt;A19taxremlife,A19taxvalue-SUM($F324:M324),IF(A19taxremlife="N/A","n/a",A19taxvalue/A19taxremlife))</f>
        <v>0</v>
      </c>
      <c r="O324" s="67">
        <f>IF(O$3&gt;A19taxremlife,A19taxvalue-SUM($F324:N324),IF(A19taxremlife="N/A","n/a",A19taxvalue/A19taxremlife))</f>
        <v>0</v>
      </c>
      <c r="P324" s="67">
        <f>IF(P$3&gt;A19taxremlife,A19taxvalue-SUM($F324:O324),IF(A19taxremlife="N/A","n/a",A19taxvalue/A19taxremlife))</f>
        <v>0</v>
      </c>
      <c r="Q324" s="67">
        <f>IF(Q$3&gt;A19taxremlife,A19taxvalue-SUM($F324:P324),IF(A19taxremlife="N/A","n/a",A19taxvalue/A19taxremlife))</f>
        <v>0</v>
      </c>
      <c r="R324" s="67"/>
      <c r="S324" s="103"/>
      <c r="T324" s="103"/>
      <c r="U324" s="103"/>
      <c r="V324" s="103"/>
      <c r="W324" s="103"/>
      <c r="X324" s="103"/>
      <c r="Y324" s="103"/>
      <c r="Z324" s="103"/>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216"/>
      <c r="BE324" s="216"/>
      <c r="BF324" s="216"/>
      <c r="BG324" s="216"/>
      <c r="BH324" s="216"/>
      <c r="BI324" s="216"/>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customHeight="1" outlineLevel="2">
      <c r="A325" s="9"/>
      <c r="B325" s="9"/>
      <c r="C325" s="26"/>
      <c r="D325" s="671" t="s">
        <v>84</v>
      </c>
      <c r="E325" s="86">
        <v>0</v>
      </c>
      <c r="F325" s="27"/>
      <c r="G325" s="206"/>
      <c r="H325" s="68"/>
      <c r="I325" s="68"/>
      <c r="J325" s="68"/>
      <c r="K325" s="68"/>
      <c r="L325" s="68"/>
      <c r="M325" s="68"/>
      <c r="N325" s="68"/>
      <c r="O325" s="68"/>
      <c r="P325" s="68"/>
      <c r="Q325" s="68"/>
      <c r="R325" s="68"/>
      <c r="S325" s="103"/>
      <c r="T325" s="103"/>
      <c r="U325" s="103"/>
      <c r="V325" s="103"/>
      <c r="W325" s="103"/>
      <c r="X325" s="103"/>
      <c r="Y325" s="103"/>
      <c r="Z325" s="103"/>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216"/>
      <c r="BE325" s="216"/>
      <c r="BF325" s="216"/>
      <c r="BG325" s="216"/>
      <c r="BH325" s="216"/>
      <c r="BI325" s="216"/>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customHeight="1" outlineLevel="2">
      <c r="A326" s="9"/>
      <c r="B326" s="9"/>
      <c r="C326" s="26"/>
      <c r="D326" s="672"/>
      <c r="E326" s="86">
        <v>1</v>
      </c>
      <c r="F326" s="27"/>
      <c r="G326" s="207"/>
      <c r="H326" s="68">
        <f>IF(A19taxstdlife="n/a","n/a",IF(H$3&gt;(A19taxstdlife+$E326),(Input!$G$59-Input!$G$93)-SUM($G326:G326),(Input!$G$59-Input!$G$93)/A19taxstdlife))</f>
        <v>0</v>
      </c>
      <c r="I326" s="68">
        <f>IF(A19taxstdlife="n/a","n/a",IF(I$3&gt;(A19taxstdlife+$E326),(Input!$G$59-Input!$G$93)-SUM($G326:H326),(Input!$G$59-Input!$G$93)/A19taxstdlife))</f>
        <v>0</v>
      </c>
      <c r="J326" s="68">
        <f>IF(A19taxstdlife="n/a","n/a",IF(J$3&gt;(A19taxstdlife+$E326),(Input!$G$59-Input!$G$93)-SUM($G326:I326),(Input!$G$59-Input!$G$93)/A19taxstdlife))</f>
        <v>0</v>
      </c>
      <c r="K326" s="68">
        <f>IF(A19taxstdlife="n/a","n/a",IF(K$3&gt;(A19taxstdlife+$E326),(Input!$G$59-Input!$G$93)-SUM($G326:J326),(Input!$G$59-Input!$G$93)/A19taxstdlife))</f>
        <v>0</v>
      </c>
      <c r="L326" s="68">
        <f>IF(A19taxstdlife="n/a","n/a",IF(L$3&gt;(A19taxstdlife+$E326),(Input!$G$59-Input!$G$93)-SUM($G326:K326),(Input!$G$59-Input!$G$93)/A19taxstdlife))</f>
        <v>0</v>
      </c>
      <c r="M326" s="68">
        <f>IF(A19taxstdlife="n/a","n/a",IF(M$3&gt;(A19taxstdlife+$E326),(Input!$G$59-Input!$G$93)-SUM($G326:L326),(Input!$G$59-Input!$G$93)/A19taxstdlife))</f>
        <v>0</v>
      </c>
      <c r="N326" s="68">
        <f>IF(A19taxstdlife="n/a","n/a",IF(N$3&gt;(A19taxstdlife+$E326),(Input!$G$59-Input!$G$93)-SUM($G326:M326),(Input!$G$59-Input!$G$93)/A19taxstdlife))</f>
        <v>0</v>
      </c>
      <c r="O326" s="68">
        <f>IF(A19taxstdlife="n/a","n/a",IF(O$3&gt;(A19taxstdlife+$E326),(Input!$G$59-Input!$G$93)-SUM($G326:N326),(Input!$G$59-Input!$G$93)/A19taxstdlife))</f>
        <v>0</v>
      </c>
      <c r="P326" s="68">
        <f>IF(A19taxstdlife="n/a","n/a",IF(P$3&gt;(A19taxstdlife+$E326),(Input!$G$59-Input!$G$93)-SUM($G326:O326),(Input!$G$59-Input!$G$93)/A19taxstdlife))</f>
        <v>0</v>
      </c>
      <c r="Q326" s="68">
        <f>IF(A19taxstdlife="n/a","n/a",IF(Q$3&gt;(A19taxstdlife+$E326),(Input!$G$59-Input!$G$93)-SUM($G326:P326),(Input!$G$59-Input!$G$93)/A19taxstdlife))</f>
        <v>0</v>
      </c>
      <c r="R326" s="68"/>
      <c r="S326" s="103"/>
      <c r="T326" s="103"/>
      <c r="U326" s="103"/>
      <c r="V326" s="103"/>
      <c r="W326" s="103"/>
      <c r="X326" s="103"/>
      <c r="Y326" s="103"/>
      <c r="Z326" s="103"/>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216"/>
      <c r="BE326" s="216"/>
      <c r="BF326" s="216"/>
      <c r="BG326" s="216"/>
      <c r="BH326" s="216"/>
      <c r="BI326" s="216"/>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customHeight="1" outlineLevel="2">
      <c r="A327" s="9"/>
      <c r="B327" s="9"/>
      <c r="C327" s="26"/>
      <c r="D327" s="672"/>
      <c r="E327" s="86">
        <v>2</v>
      </c>
      <c r="F327" s="27"/>
      <c r="G327" s="208"/>
      <c r="H327" s="149"/>
      <c r="I327" s="68">
        <f>IF(A19taxstdlife="n/a","n/a",IF(I$3&gt;(A19taxstdlife+$E327),(Input!$H$59-Input!$H$93)-SUM($H327:H327),(Input!$H$59-Input!$H$93)/A19taxstdlife))</f>
        <v>0</v>
      </c>
      <c r="J327" s="68">
        <f>IF(A19taxstdlife="n/a","n/a",IF(J$3&gt;(A19taxstdlife+$E327),(Input!$H$59-Input!$H$93)-SUM($H327:I327),(Input!$H$59-Input!$H$93)/A19taxstdlife))</f>
        <v>0</v>
      </c>
      <c r="K327" s="68">
        <f>IF(A19taxstdlife="n/a","n/a",IF(K$3&gt;(A19taxstdlife+$E327),(Input!$H$59-Input!$H$93)-SUM($H327:J327),(Input!$H$59-Input!$H$93)/A19taxstdlife))</f>
        <v>0</v>
      </c>
      <c r="L327" s="68">
        <f>IF(A19taxstdlife="n/a","n/a",IF(L$3&gt;(A19taxstdlife+$E327),(Input!$H$59-Input!$H$93)-SUM($H327:K327),(Input!$H$59-Input!$H$93)/A19taxstdlife))</f>
        <v>0</v>
      </c>
      <c r="M327" s="68">
        <f>IF(A19taxstdlife="n/a","n/a",IF(M$3&gt;(A19taxstdlife+$E327),(Input!$H$59-Input!$H$93)-SUM($H327:L327),(Input!$H$59-Input!$H$93)/A19taxstdlife))</f>
        <v>0</v>
      </c>
      <c r="N327" s="68">
        <f>IF(A19taxstdlife="n/a","n/a",IF(N$3&gt;(A19taxstdlife+$E327),(Input!$H$59-Input!$H$93)-SUM($H327:M327),(Input!$H$59-Input!$H$93)/A19taxstdlife))</f>
        <v>0</v>
      </c>
      <c r="O327" s="68">
        <f>IF(A19taxstdlife="n/a","n/a",IF(O$3&gt;(A19taxstdlife+$E327),(Input!$H$59-Input!$H$93)-SUM($H327:N327),(Input!$H$59-Input!$H$93)/A19taxstdlife))</f>
        <v>0</v>
      </c>
      <c r="P327" s="68">
        <f>IF(A19taxstdlife="n/a","n/a",IF(P$3&gt;(A19taxstdlife+$E327),(Input!$H$59-Input!$H$93)-SUM($H327:O327),(Input!$H$59-Input!$H$93)/A19taxstdlife))</f>
        <v>0</v>
      </c>
      <c r="Q327" s="68">
        <f>IF(A19taxstdlife="n/a","n/a",IF(Q$3&gt;(A19taxstdlife+$E327),(Input!$H$59-Input!$H$93)-SUM($H327:P327),(Input!$H$59-Input!$H$93)/A19taxstdlife))</f>
        <v>0</v>
      </c>
      <c r="R327" s="68"/>
      <c r="S327" s="103"/>
      <c r="T327" s="103"/>
      <c r="U327" s="103"/>
      <c r="V327" s="103"/>
      <c r="W327" s="103"/>
      <c r="X327" s="103"/>
      <c r="Y327" s="103"/>
      <c r="Z327" s="103"/>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216"/>
      <c r="BE327" s="216"/>
      <c r="BF327" s="216"/>
      <c r="BG327" s="216"/>
      <c r="BH327" s="216"/>
      <c r="BI327" s="216"/>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customHeight="1" outlineLevel="2">
      <c r="A328" s="9"/>
      <c r="B328" s="9"/>
      <c r="C328" s="26"/>
      <c r="D328" s="672"/>
      <c r="E328" s="86">
        <v>3</v>
      </c>
      <c r="F328" s="27"/>
      <c r="G328" s="208"/>
      <c r="H328" s="150"/>
      <c r="I328" s="149"/>
      <c r="J328" s="68">
        <f>IF(A19taxstdlife="n/a","n/a",IF(J$3&gt;(A19taxstdlife+$E328),(Input!$I$59-Input!$I$93)-SUM($I328:I328),(Input!$I$59-Input!$I$93)/A19taxstdlife))</f>
        <v>0</v>
      </c>
      <c r="K328" s="68">
        <f>IF(A19taxstdlife="n/a","n/a",IF(K$3&gt;(A19taxstdlife+$E328),(Input!$I$59-Input!$I$93)-SUM($I328:J328),(Input!$I$59-Input!$I$93)/A19taxstdlife))</f>
        <v>0</v>
      </c>
      <c r="L328" s="68">
        <f>IF(A19taxstdlife="n/a","n/a",IF(L$3&gt;(A19taxstdlife+$E328),(Input!$I$59-Input!$I$93)-SUM($I328:K328),(Input!$I$59-Input!$I$93)/A19taxstdlife))</f>
        <v>0</v>
      </c>
      <c r="M328" s="68">
        <f>IF(A19taxstdlife="n/a","n/a",IF(M$3&gt;(A19taxstdlife+$E328),(Input!$I$59-Input!$I$93)-SUM($I328:L328),(Input!$I$59-Input!$I$93)/A19taxstdlife))</f>
        <v>0</v>
      </c>
      <c r="N328" s="68">
        <f>IF(A19taxstdlife="n/a","n/a",IF(N$3&gt;(A19taxstdlife+$E328),(Input!$I$59-Input!$I$93)-SUM($I328:M328),(Input!$I$59-Input!$I$93)/A19taxstdlife))</f>
        <v>0</v>
      </c>
      <c r="O328" s="68">
        <f>IF(A19taxstdlife="n/a","n/a",IF(O$3&gt;(A19taxstdlife+$E328),(Input!$I$59-Input!$I$93)-SUM($I328:N328),(Input!$I$59-Input!$I$93)/A19taxstdlife))</f>
        <v>0</v>
      </c>
      <c r="P328" s="68">
        <f>IF(A19taxstdlife="n/a","n/a",IF(P$3&gt;(A19taxstdlife+$E328),(Input!$I$59-Input!$I$93)-SUM($I328:O328),(Input!$I$59-Input!$I$93)/A19taxstdlife))</f>
        <v>0</v>
      </c>
      <c r="Q328" s="68">
        <f>IF(A19taxstdlife="n/a","n/a",IF(Q$3&gt;(A19taxstdlife+$E328),(Input!$I$59-Input!$I$93)-SUM($I328:P328),(Input!$I$59-Input!$I$93)/A19taxstdlife))</f>
        <v>0</v>
      </c>
      <c r="R328" s="68"/>
      <c r="S328" s="103"/>
      <c r="T328" s="103"/>
      <c r="U328" s="103"/>
      <c r="V328" s="103"/>
      <c r="W328" s="103"/>
      <c r="X328" s="103"/>
      <c r="Y328" s="103"/>
      <c r="Z328" s="103"/>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216"/>
      <c r="BE328" s="216"/>
      <c r="BF328" s="216"/>
      <c r="BG328" s="216"/>
      <c r="BH328" s="216"/>
      <c r="BI328" s="216"/>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customHeight="1" outlineLevel="2">
      <c r="A329" s="9"/>
      <c r="B329" s="9"/>
      <c r="C329" s="26"/>
      <c r="D329" s="672"/>
      <c r="E329" s="86">
        <v>4</v>
      </c>
      <c r="F329" s="27"/>
      <c r="G329" s="208"/>
      <c r="H329" s="150"/>
      <c r="I329" s="150"/>
      <c r="J329" s="149"/>
      <c r="K329" s="68">
        <f>IF(A19taxstdlife="n/a","n/a",IF(K$3&gt;(A19taxstdlife+$E329),(Input!$J$59-Input!$J$93)-SUM($J329:J329),(Input!$J$59-Input!$J$93)/A19taxstdlife))</f>
        <v>0</v>
      </c>
      <c r="L329" s="68">
        <f>IF(A19taxstdlife="n/a","n/a",IF(L$3&gt;(A19taxstdlife+$E329),(Input!$J$59-Input!$J$93)-SUM($J329:K329),(Input!$J$59-Input!$J$93)/A19taxstdlife))</f>
        <v>0</v>
      </c>
      <c r="M329" s="68">
        <f>IF(A19taxstdlife="n/a","n/a",IF(M$3&gt;(A19taxstdlife+$E329),(Input!$J$59-Input!$J$93)-SUM($J329:L329),(Input!$J$59-Input!$J$93)/A19taxstdlife))</f>
        <v>0</v>
      </c>
      <c r="N329" s="68">
        <f>IF(A19taxstdlife="n/a","n/a",IF(N$3&gt;(A19taxstdlife+$E329),(Input!$J$59-Input!$J$93)-SUM($J329:M329),(Input!$J$59-Input!$J$93)/A19taxstdlife))</f>
        <v>0</v>
      </c>
      <c r="O329" s="68">
        <f>IF(A19taxstdlife="n/a","n/a",IF(O$3&gt;(A19taxstdlife+$E329),(Input!$J$59-Input!$J$93)-SUM($J329:N329),(Input!$J$59-Input!$J$93)/A19taxstdlife))</f>
        <v>0</v>
      </c>
      <c r="P329" s="68">
        <f>IF(A19taxstdlife="n/a","n/a",IF(P$3&gt;(A19taxstdlife+$E329),(Input!$J$59-Input!$J$93)-SUM($J329:O329),(Input!$J$59-Input!$J$93)/A19taxstdlife))</f>
        <v>0</v>
      </c>
      <c r="Q329" s="68">
        <f>IF(A19taxstdlife="n/a","n/a",IF(Q$3&gt;(A19taxstdlife+$E329),(Input!$J$59-Input!$J$93)-SUM($J329:P329),(Input!$J$59-Input!$J$93)/A19taxstdlife))</f>
        <v>0</v>
      </c>
      <c r="R329" s="68"/>
      <c r="S329" s="103"/>
      <c r="T329" s="103"/>
      <c r="U329" s="103"/>
      <c r="V329" s="103"/>
      <c r="W329" s="103"/>
      <c r="X329" s="103"/>
      <c r="Y329" s="103"/>
      <c r="Z329" s="103"/>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216"/>
      <c r="BE329" s="216"/>
      <c r="BF329" s="216"/>
      <c r="BG329" s="216"/>
      <c r="BH329" s="216"/>
      <c r="BI329" s="216"/>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customHeight="1" outlineLevel="2">
      <c r="A330" s="9"/>
      <c r="B330" s="9"/>
      <c r="C330" s="26"/>
      <c r="D330" s="672"/>
      <c r="E330" s="86">
        <v>5</v>
      </c>
      <c r="F330" s="27"/>
      <c r="G330" s="208"/>
      <c r="H330" s="150"/>
      <c r="I330" s="150"/>
      <c r="J330" s="150"/>
      <c r="K330" s="149"/>
      <c r="L330" s="68">
        <f>IF(A19taxstdlife="n/a","n/a",IF(L$3&gt;(A19taxstdlife+$E330),(Input!$K$59-Input!$K$93)-SUM($K330:K330),(Input!$K$59-Input!$K$93)/A19taxstdlife))</f>
        <v>0</v>
      </c>
      <c r="M330" s="68">
        <f>IF(A19taxstdlife="n/a","n/a",IF(M$3&gt;(A19taxstdlife+$E330),(Input!$K$59-Input!$K$93)-SUM($K330:L330),(Input!$K$59-Input!$K$93)/A19taxstdlife))</f>
        <v>0</v>
      </c>
      <c r="N330" s="68">
        <f>IF(A19taxstdlife="n/a","n/a",IF(N$3&gt;(A19taxstdlife+$E330),(Input!$K$59-Input!$K$93)-SUM($K330:M330),(Input!$K$59-Input!$K$93)/A19taxstdlife))</f>
        <v>0</v>
      </c>
      <c r="O330" s="68">
        <f>IF(A19taxstdlife="n/a","n/a",IF(O$3&gt;(A19taxstdlife+$E330),(Input!$K$59-Input!$K$93)-SUM($K330:N330),(Input!$K$59-Input!$K$93)/A19taxstdlife))</f>
        <v>0</v>
      </c>
      <c r="P330" s="68">
        <f>IF(A19taxstdlife="n/a","n/a",IF(P$3&gt;(A19taxstdlife+$E330),(Input!$K$59-Input!$K$93)-SUM($K330:O330),(Input!$K$59-Input!$K$93)/A19taxstdlife))</f>
        <v>0</v>
      </c>
      <c r="Q330" s="68">
        <f>IF(A19taxstdlife="n/a","n/a",IF(Q$3&gt;(A19taxstdlife+$E330),(Input!$K$59-Input!$K$93)-SUM($K330:P330),(Input!$K$59-Input!$K$93)/A19taxstdlife))</f>
        <v>0</v>
      </c>
      <c r="R330" s="68"/>
      <c r="S330" s="103"/>
      <c r="T330" s="103"/>
      <c r="U330" s="103"/>
      <c r="V330" s="103"/>
      <c r="W330" s="103"/>
      <c r="X330" s="103"/>
      <c r="Y330" s="103"/>
      <c r="Z330" s="103"/>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216"/>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customHeight="1" outlineLevel="2">
      <c r="A331" s="9"/>
      <c r="B331" s="9"/>
      <c r="C331" s="26"/>
      <c r="D331" s="672"/>
      <c r="E331" s="86">
        <v>6</v>
      </c>
      <c r="F331" s="27"/>
      <c r="G331" s="208"/>
      <c r="H331" s="150"/>
      <c r="I331" s="150"/>
      <c r="J331" s="150"/>
      <c r="K331" s="150"/>
      <c r="L331" s="149"/>
      <c r="M331" s="68">
        <f>IF(A19taxstdlife="n/a","n/a",IF(M$3&gt;(A19taxstdlife+$E331),(Input!$L$59-Input!$L$93)-SUM($L331:L331),(Input!$L$59-Input!$L$93)/A19taxstdlife))</f>
        <v>0</v>
      </c>
      <c r="N331" s="68">
        <f>IF(A19taxstdlife="n/a","n/a",IF(N$3&gt;(A19taxstdlife+$E331),(Input!$L$59-Input!$L$93)-SUM($L331:M331),(Input!$L$59-Input!$L$93)/A19taxstdlife))</f>
        <v>0</v>
      </c>
      <c r="O331" s="68">
        <f>IF(A19taxstdlife="n/a","n/a",IF(O$3&gt;(A19taxstdlife+$E331),(Input!$L$59-Input!$L$93)-SUM($L331:N331),(Input!$L$59-Input!$L$93)/A19taxstdlife))</f>
        <v>0</v>
      </c>
      <c r="P331" s="68">
        <f>IF(A19taxstdlife="n/a","n/a",IF(P$3&gt;(A19taxstdlife+$E331),(Input!$L$59-Input!$L$93)-SUM($L331:O331),(Input!$L$59-Input!$L$93)/A19taxstdlife))</f>
        <v>0</v>
      </c>
      <c r="Q331" s="68">
        <f>IF(A19taxstdlife="n/a","n/a",IF(Q$3&gt;(A19taxstdlife+$E331),(Input!$L$59-Input!$L$93)-SUM($L331:P331),(Input!$L$59-Input!$L$93)/A19taxstdlife))</f>
        <v>0</v>
      </c>
      <c r="R331" s="68"/>
      <c r="S331" s="103"/>
      <c r="T331" s="103"/>
      <c r="U331" s="103"/>
      <c r="V331" s="103"/>
      <c r="W331" s="103"/>
      <c r="X331" s="103"/>
      <c r="Y331" s="103"/>
      <c r="Z331" s="103"/>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216"/>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customHeight="1" outlineLevel="2">
      <c r="A332" s="9"/>
      <c r="B332" s="9"/>
      <c r="C332" s="26"/>
      <c r="D332" s="672"/>
      <c r="E332" s="86">
        <v>7</v>
      </c>
      <c r="F332" s="27"/>
      <c r="G332" s="208"/>
      <c r="H332" s="150"/>
      <c r="I332" s="150"/>
      <c r="J332" s="150"/>
      <c r="K332" s="150"/>
      <c r="L332" s="150"/>
      <c r="M332" s="149"/>
      <c r="N332" s="68">
        <f>IF(A19taxstdlife="n/a","n/a",IF(N$3&gt;(A19taxstdlife+$E332),(Input!$M$59-Input!$M$93)-SUM($M332:M332),(Input!$M$59-Input!$M$93)/A19taxstdlife))</f>
        <v>0</v>
      </c>
      <c r="O332" s="68">
        <f>IF(A19taxstdlife="n/a","n/a",IF(O$3&gt;(A19taxstdlife+$E332),(Input!$M$59-Input!$M$93)-SUM($M332:N332),(Input!$M$59-Input!$M$93)/A19taxstdlife))</f>
        <v>0</v>
      </c>
      <c r="P332" s="68">
        <f>IF(A19taxstdlife="n/a","n/a",IF(P$3&gt;(A19taxstdlife+$E332),(Input!$M$59-Input!$M$93)-SUM($M332:O332),(Input!$M$59-Input!$M$93)/A19taxstdlife))</f>
        <v>0</v>
      </c>
      <c r="Q332" s="68">
        <f>IF(A19taxstdlife="n/a","n/a",IF(Q$3&gt;(A19taxstdlife+$E332),(Input!$M$59-Input!$M$93)-SUM($M332:P332),(Input!$M$59-Input!$M$93)/A19taxstdlife))</f>
        <v>0</v>
      </c>
      <c r="R332" s="68"/>
      <c r="S332" s="103"/>
      <c r="T332" s="103"/>
      <c r="U332" s="103"/>
      <c r="V332" s="103"/>
      <c r="W332" s="103"/>
      <c r="X332" s="103"/>
      <c r="Y332" s="103"/>
      <c r="Z332" s="103"/>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customHeight="1" outlineLevel="2">
      <c r="A333" s="9"/>
      <c r="B333" s="9"/>
      <c r="C333" s="26"/>
      <c r="D333" s="672"/>
      <c r="E333" s="86">
        <v>8</v>
      </c>
      <c r="F333" s="27"/>
      <c r="G333" s="208"/>
      <c r="H333" s="150"/>
      <c r="I333" s="150"/>
      <c r="J333" s="150"/>
      <c r="K333" s="150"/>
      <c r="L333" s="150"/>
      <c r="M333" s="150"/>
      <c r="N333" s="149"/>
      <c r="O333" s="68">
        <f>IF(A19taxstdlife="n/a","n/a",IF(O$3&gt;(A19taxstdlife+$E333),(Input!$N$59-Input!$N$93)-SUM($N333:N333),(Input!$N$59-Input!$N$93)/A19taxstdlife))</f>
        <v>0</v>
      </c>
      <c r="P333" s="68">
        <f>IF(A19taxstdlife="n/a","n/a",IF(P$3&gt;(A19taxstdlife+$E333),(Input!$N$59-Input!$N$93)-SUM($N333:O333),(Input!$N$59-Input!$N$93)/A19taxstdlife))</f>
        <v>0</v>
      </c>
      <c r="Q333" s="68">
        <f>IF(A19taxstdlife="n/a","n/a",IF(Q$3&gt;(A19taxstdlife+$E333),(Input!$N$59-Input!$N$93)-SUM($N333:P333),(Input!$N$59-Input!$N$93)/A19taxstdlife))</f>
        <v>0</v>
      </c>
      <c r="R333" s="68"/>
      <c r="S333" s="103"/>
      <c r="T333" s="103"/>
      <c r="U333" s="103"/>
      <c r="V333" s="103"/>
      <c r="W333" s="103"/>
      <c r="X333" s="103"/>
      <c r="Y333" s="103"/>
      <c r="Z333" s="103"/>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customHeight="1" outlineLevel="2">
      <c r="A334" s="9"/>
      <c r="B334" s="9"/>
      <c r="C334" s="26"/>
      <c r="D334" s="672"/>
      <c r="E334" s="86">
        <v>9</v>
      </c>
      <c r="F334" s="27"/>
      <c r="G334" s="208"/>
      <c r="H334" s="150"/>
      <c r="I334" s="150"/>
      <c r="J334" s="150"/>
      <c r="K334" s="150"/>
      <c r="L334" s="150"/>
      <c r="M334" s="150"/>
      <c r="N334" s="150"/>
      <c r="O334" s="149"/>
      <c r="P334" s="68">
        <f>IF(A19taxstdlife="n/a","n/a",IF(P$3&gt;(A19taxstdlife+$E334),(Input!$O$59-Input!$O$93)-SUM($O334:O334),(Input!$O$59-Input!$O$93)/A19taxstdlife))</f>
        <v>0</v>
      </c>
      <c r="Q334" s="68">
        <f>IF(A19taxstdlife="n/a","n/a",IF(Q$3&gt;(A19taxstdlife+$E334),(Input!$O$59-Input!$O$93)-SUM($O334:P334),(Input!$O$59-Input!$O$93)/A19taxstdlife))</f>
        <v>0</v>
      </c>
      <c r="R334" s="68"/>
      <c r="S334" s="103"/>
      <c r="T334" s="103"/>
      <c r="U334" s="103"/>
      <c r="V334" s="103"/>
      <c r="W334" s="103"/>
      <c r="X334" s="103"/>
      <c r="Y334" s="103"/>
      <c r="Z334" s="103"/>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customHeight="1" outlineLevel="2">
      <c r="A335" s="9"/>
      <c r="B335" s="9"/>
      <c r="C335" s="26"/>
      <c r="D335" s="672"/>
      <c r="E335" s="86">
        <v>10</v>
      </c>
      <c r="F335" s="27"/>
      <c r="G335" s="208"/>
      <c r="H335" s="150"/>
      <c r="I335" s="150"/>
      <c r="J335" s="150"/>
      <c r="K335" s="150"/>
      <c r="L335" s="150"/>
      <c r="M335" s="150"/>
      <c r="N335" s="150"/>
      <c r="O335" s="150"/>
      <c r="P335" s="149"/>
      <c r="Q335" s="68">
        <f>IF(A19taxstdlife="n/a","n/a",IF(Q$3&gt;(A19taxstdlife+$E335),(Input!$P$59-Input!$P$93)-SUM($P335:P335),(Input!$P$59-Input!$P$93)/A19taxstdlife))</f>
        <v>0</v>
      </c>
      <c r="R335" s="68"/>
      <c r="S335" s="103"/>
      <c r="T335" s="103"/>
      <c r="U335" s="103"/>
      <c r="V335" s="103"/>
      <c r="W335" s="103"/>
      <c r="X335" s="103"/>
      <c r="Y335" s="103"/>
      <c r="Z335" s="103"/>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customHeight="1" outlineLevel="2">
      <c r="A336" s="9"/>
      <c r="B336" s="9"/>
      <c r="C336" s="26"/>
      <c r="D336" s="672"/>
      <c r="E336" s="87">
        <v>11</v>
      </c>
      <c r="F336" s="27"/>
      <c r="G336" s="208"/>
      <c r="H336" s="150"/>
      <c r="I336" s="150"/>
      <c r="J336" s="150"/>
      <c r="K336" s="150"/>
      <c r="L336" s="150"/>
      <c r="M336" s="150"/>
      <c r="N336" s="150"/>
      <c r="O336" s="150"/>
      <c r="P336" s="189"/>
      <c r="Q336" s="149"/>
      <c r="R336" s="68"/>
      <c r="S336" s="103"/>
      <c r="T336" s="103"/>
      <c r="U336" s="103"/>
      <c r="V336" s="103"/>
      <c r="W336" s="103"/>
      <c r="X336" s="103"/>
      <c r="Y336" s="103"/>
      <c r="Z336" s="103"/>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216"/>
      <c r="BE336" s="216"/>
      <c r="BF336" s="216"/>
      <c r="BG336" s="216"/>
      <c r="BH336" s="216"/>
      <c r="BI336" s="216"/>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1">
      <c r="A337" s="9"/>
      <c r="B337" s="9"/>
      <c r="C337" s="26">
        <f>Asset19</f>
        <v>0</v>
      </c>
      <c r="D337" s="9"/>
      <c r="E337" s="9"/>
      <c r="F337" s="23"/>
      <c r="G337" s="209">
        <f t="shared" ref="G337:L337" si="53">-SUM(G324:G336)</f>
        <v>0</v>
      </c>
      <c r="H337" s="166">
        <f t="shared" si="53"/>
        <v>0</v>
      </c>
      <c r="I337" s="166">
        <f t="shared" si="53"/>
        <v>0</v>
      </c>
      <c r="J337" s="166">
        <f t="shared" si="53"/>
        <v>0</v>
      </c>
      <c r="K337" s="166">
        <f t="shared" si="53"/>
        <v>0</v>
      </c>
      <c r="L337" s="166">
        <f t="shared" si="53"/>
        <v>0</v>
      </c>
      <c r="M337" s="166">
        <f>IF(Input!M173&gt;0, -SUM(M324:M336), 0)</f>
        <v>0</v>
      </c>
      <c r="N337" s="166">
        <f>IF(Input!N173&gt;0, -SUM(N324:N336), 0)</f>
        <v>0</v>
      </c>
      <c r="O337" s="166">
        <f>IF(Input!O173&gt;0, -SUM(O324:O336), 0)</f>
        <v>0</v>
      </c>
      <c r="P337" s="166">
        <f>IF(Input!P173&gt;0, -SUM(P324:P336), 0)</f>
        <v>0</v>
      </c>
      <c r="Q337" s="166">
        <f>IF(Input!Q173&gt;0, -SUM(Q324:Q336), 0)</f>
        <v>0</v>
      </c>
      <c r="R337" s="64"/>
      <c r="S337" s="102"/>
      <c r="T337" s="102"/>
      <c r="U337" s="102"/>
      <c r="V337" s="102"/>
      <c r="W337" s="102"/>
      <c r="X337" s="102"/>
      <c r="Y337" s="102"/>
      <c r="Z337" s="102"/>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customHeight="1" outlineLevel="2">
      <c r="A338" s="9"/>
      <c r="B338" s="188">
        <f>Asset20</f>
        <v>0</v>
      </c>
      <c r="C338" s="33"/>
      <c r="D338" s="34" t="s">
        <v>67</v>
      </c>
      <c r="E338" s="33"/>
      <c r="F338" s="35"/>
      <c r="G338" s="205">
        <f>IF(G$3&gt;A20taxremlife,A20taxvalue-SUM($F338:F338),IF(A20taxremlife="N/A","n/a",A20taxvalue/A20taxremlife))</f>
        <v>0</v>
      </c>
      <c r="H338" s="67">
        <f>IF(H$3&gt;A20taxremlife,A20taxvalue-SUM($F338:G338),IF(A20taxremlife="N/A","n/a",A20taxvalue/A20taxremlife))</f>
        <v>0</v>
      </c>
      <c r="I338" s="67">
        <f>IF(I$3&gt;A20taxremlife,A20taxvalue-SUM($F338:H338),IF(A20taxremlife="N/A","n/a",A20taxvalue/A20taxremlife))</f>
        <v>0</v>
      </c>
      <c r="J338" s="67">
        <f>IF(J$3&gt;A20taxremlife,A20taxvalue-SUM($F338:I338),IF(A20taxremlife="N/A","n/a",A20taxvalue/A20taxremlife))</f>
        <v>0</v>
      </c>
      <c r="K338" s="67">
        <f>IF(K$3&gt;A20taxremlife,A20taxvalue-SUM($F338:J338),IF(A20taxremlife="N/A","n/a",A20taxvalue/A20taxremlife))</f>
        <v>0</v>
      </c>
      <c r="L338" s="67">
        <f>IF(L$3&gt;A20taxremlife,A20taxvalue-SUM($F338:K338),IF(A20taxremlife="N/A","n/a",A20taxvalue/A20taxremlife))</f>
        <v>0</v>
      </c>
      <c r="M338" s="67">
        <f>IF(M$3&gt;A20taxremlife,A20taxvalue-SUM($F338:L338),IF(A20taxremlife="N/A","n/a",A20taxvalue/A20taxremlife))</f>
        <v>0</v>
      </c>
      <c r="N338" s="67">
        <f>IF(N$3&gt;A20taxremlife,A20taxvalue-SUM($F338:M338),IF(A20taxremlife="N/A","n/a",A20taxvalue/A20taxremlife))</f>
        <v>0</v>
      </c>
      <c r="O338" s="67">
        <f>IF(O$3&gt;A20taxremlife,A20taxvalue-SUM($F338:N338),IF(A20taxremlife="N/A","n/a",A20taxvalue/A20taxremlife))</f>
        <v>0</v>
      </c>
      <c r="P338" s="67">
        <f>IF(P$3&gt;A20taxremlife,A20taxvalue-SUM($F338:O338),IF(A20taxremlife="N/A","n/a",A20taxvalue/A20taxremlife))</f>
        <v>0</v>
      </c>
      <c r="Q338" s="67">
        <f>IF(Q$3&gt;A20taxremlife,A20taxvalue-SUM($F338:P338),IF(A20taxremlife="N/A","n/a",A20taxvalue/A20taxremlife))</f>
        <v>0</v>
      </c>
      <c r="R338" s="67"/>
      <c r="S338" s="103"/>
      <c r="T338" s="103"/>
      <c r="U338" s="103"/>
      <c r="V338" s="103"/>
      <c r="W338" s="103"/>
      <c r="X338" s="103"/>
      <c r="Y338" s="103"/>
      <c r="Z338" s="103"/>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216"/>
      <c r="BE338" s="216"/>
      <c r="BF338" s="216"/>
      <c r="BG338" s="216"/>
      <c r="BH338" s="216"/>
      <c r="BI338" s="216"/>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customHeight="1" outlineLevel="2">
      <c r="A339" s="9"/>
      <c r="B339" s="9"/>
      <c r="C339" s="26"/>
      <c r="D339" s="671" t="s">
        <v>84</v>
      </c>
      <c r="E339" s="86">
        <v>0</v>
      </c>
      <c r="F339" s="27"/>
      <c r="G339" s="206"/>
      <c r="H339" s="68"/>
      <c r="I339" s="68"/>
      <c r="J339" s="68"/>
      <c r="K339" s="68"/>
      <c r="L339" s="68"/>
      <c r="M339" s="68"/>
      <c r="N339" s="68"/>
      <c r="O339" s="68"/>
      <c r="P339" s="68"/>
      <c r="Q339" s="68"/>
      <c r="R339" s="68"/>
      <c r="S339" s="103"/>
      <c r="T339" s="103"/>
      <c r="U339" s="103"/>
      <c r="V339" s="103"/>
      <c r="W339" s="103"/>
      <c r="X339" s="103"/>
      <c r="Y339" s="103"/>
      <c r="Z339" s="103"/>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216"/>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customHeight="1" outlineLevel="2">
      <c r="A340" s="9"/>
      <c r="B340" s="9"/>
      <c r="C340" s="26"/>
      <c r="D340" s="672"/>
      <c r="E340" s="86">
        <v>1</v>
      </c>
      <c r="F340" s="27"/>
      <c r="G340" s="207"/>
      <c r="H340" s="68">
        <f>IF(A20taxstdlife="n/a","n/a",IF(H$3&gt;(A20taxstdlife+$E340),(Input!$G$60-Input!$G$94)-SUM($G340:G340),(Input!$G$60-Input!$G$94)/A20taxstdlife))</f>
        <v>0</v>
      </c>
      <c r="I340" s="68">
        <f>IF(A20taxstdlife="n/a","n/a",IF(I$3&gt;(A20taxstdlife+$E340),(Input!$G$60-Input!$G$94)-SUM($G340:H340),(Input!$G$60-Input!$G$94)/A20taxstdlife))</f>
        <v>0</v>
      </c>
      <c r="J340" s="68">
        <f>IF(A20taxstdlife="n/a","n/a",IF(J$3&gt;(A20taxstdlife+$E340),(Input!$G$60-Input!$G$94)-SUM($G340:I340),(Input!$G$60-Input!$G$94)/A20taxstdlife))</f>
        <v>0</v>
      </c>
      <c r="K340" s="68">
        <f>IF(A20taxstdlife="n/a","n/a",IF(K$3&gt;(A20taxstdlife+$E340),(Input!$G$60-Input!$G$94)-SUM($G340:J340),(Input!$G$60-Input!$G$94)/A20taxstdlife))</f>
        <v>0</v>
      </c>
      <c r="L340" s="68">
        <f>IF(A20taxstdlife="n/a","n/a",IF(L$3&gt;(A20taxstdlife+$E340),(Input!$G$60-Input!$G$94)-SUM($G340:K340),(Input!$G$60-Input!$G$94)/A20taxstdlife))</f>
        <v>0</v>
      </c>
      <c r="M340" s="68">
        <f>IF(A20taxstdlife="n/a","n/a",IF(M$3&gt;(A20taxstdlife+$E340),(Input!$G$60-Input!$G$94)-SUM($G340:L340),(Input!$G$60-Input!$G$94)/A20taxstdlife))</f>
        <v>0</v>
      </c>
      <c r="N340" s="68">
        <f>IF(A20taxstdlife="n/a","n/a",IF(N$3&gt;(A20taxstdlife+$E340),(Input!$G$60-Input!$G$94)-SUM($G340:M340),(Input!$G$60-Input!$G$94)/A20taxstdlife))</f>
        <v>0</v>
      </c>
      <c r="O340" s="68">
        <f>IF(A20taxstdlife="n/a","n/a",IF(O$3&gt;(A20taxstdlife+$E340),(Input!$G$60-Input!$G$94)-SUM($G340:N340),(Input!$G$60-Input!$G$94)/A20taxstdlife))</f>
        <v>0</v>
      </c>
      <c r="P340" s="68">
        <f>IF(A20taxstdlife="n/a","n/a",IF(P$3&gt;(A20taxstdlife+$E340),(Input!$G$60-Input!$G$94)-SUM($G340:O340),(Input!$G$60-Input!$G$94)/A20taxstdlife))</f>
        <v>0</v>
      </c>
      <c r="Q340" s="68">
        <f>IF(A20taxstdlife="n/a","n/a",IF(Q$3&gt;(A20taxstdlife+$E340),(Input!$G$60-Input!$G$94)-SUM($G340:P340),(Input!$G$60-Input!$G$94)/A20taxstdlife))</f>
        <v>0</v>
      </c>
      <c r="R340" s="68"/>
      <c r="S340" s="103"/>
      <c r="T340" s="103"/>
      <c r="U340" s="103"/>
      <c r="V340" s="103"/>
      <c r="W340" s="103"/>
      <c r="X340" s="103"/>
      <c r="Y340" s="103"/>
      <c r="Z340" s="103"/>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216"/>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customHeight="1" outlineLevel="2">
      <c r="A341" s="9"/>
      <c r="B341" s="9"/>
      <c r="C341" s="26"/>
      <c r="D341" s="672"/>
      <c r="E341" s="86">
        <v>2</v>
      </c>
      <c r="F341" s="27"/>
      <c r="G341" s="208"/>
      <c r="H341" s="149"/>
      <c r="I341" s="68">
        <f>IF(A20taxstdlife="n/a","n/a",IF(I$3&gt;(A20taxstdlife+$E341),(Input!$H$60-Input!$H$94)-SUM($H341:H341),(Input!$H$60-Input!$H$94)/A20taxstdlife))</f>
        <v>0</v>
      </c>
      <c r="J341" s="68">
        <f>IF(A20taxstdlife="n/a","n/a",IF(J$3&gt;(A20taxstdlife+$E341),(Input!$H$60-Input!$H$94)-SUM($H341:I341),(Input!$H$60-Input!$H$94)/A20taxstdlife))</f>
        <v>0</v>
      </c>
      <c r="K341" s="68">
        <f>IF(A20taxstdlife="n/a","n/a",IF(K$3&gt;(A20taxstdlife+$E341),(Input!$H$60-Input!$H$94)-SUM($H341:J341),(Input!$H$60-Input!$H$94)/A20taxstdlife))</f>
        <v>0</v>
      </c>
      <c r="L341" s="68">
        <f>IF(A20taxstdlife="n/a","n/a",IF(L$3&gt;(A20taxstdlife+$E341),(Input!$H$60-Input!$H$94)-SUM($H341:K341),(Input!$H$60-Input!$H$94)/A20taxstdlife))</f>
        <v>0</v>
      </c>
      <c r="M341" s="68">
        <f>IF(A20taxstdlife="n/a","n/a",IF(M$3&gt;(A20taxstdlife+$E341),(Input!$H$60-Input!$H$94)-SUM($H341:L341),(Input!$H$60-Input!$H$94)/A20taxstdlife))</f>
        <v>0</v>
      </c>
      <c r="N341" s="68">
        <f>IF(A20taxstdlife="n/a","n/a",IF(N$3&gt;(A20taxstdlife+$E341),(Input!$H$60-Input!$H$94)-SUM($H341:M341),(Input!$H$60-Input!$H$94)/A20taxstdlife))</f>
        <v>0</v>
      </c>
      <c r="O341" s="68">
        <f>IF(A20taxstdlife="n/a","n/a",IF(O$3&gt;(A20taxstdlife+$E341),(Input!$H$60-Input!$H$94)-SUM($H341:N341),(Input!$H$60-Input!$H$94)/A20taxstdlife))</f>
        <v>0</v>
      </c>
      <c r="P341" s="68">
        <f>IF(A20taxstdlife="n/a","n/a",IF(P$3&gt;(A20taxstdlife+$E341),(Input!$H$60-Input!$H$94)-SUM($H341:O341),(Input!$H$60-Input!$H$94)/A20taxstdlife))</f>
        <v>0</v>
      </c>
      <c r="Q341" s="68">
        <f>IF(A20taxstdlife="n/a","n/a",IF(Q$3&gt;(A20taxstdlife+$E341),(Input!$H$60-Input!$H$94)-SUM($H341:P341),(Input!$H$60-Input!$H$94)/A20taxstdlife))</f>
        <v>0</v>
      </c>
      <c r="R341" s="68"/>
      <c r="S341" s="103"/>
      <c r="T341" s="103"/>
      <c r="U341" s="103"/>
      <c r="V341" s="103"/>
      <c r="W341" s="103"/>
      <c r="X341" s="103"/>
      <c r="Y341" s="103"/>
      <c r="Z341" s="103"/>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216"/>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customHeight="1" outlineLevel="2">
      <c r="A342" s="9"/>
      <c r="B342" s="9"/>
      <c r="C342" s="26"/>
      <c r="D342" s="672"/>
      <c r="E342" s="86">
        <v>3</v>
      </c>
      <c r="F342" s="27"/>
      <c r="G342" s="208"/>
      <c r="H342" s="150"/>
      <c r="I342" s="149"/>
      <c r="J342" s="68">
        <f>IF(A20taxstdlife="n/a","n/a",IF(J$3&gt;(A20taxstdlife+$E342),(Input!$I$60-Input!$I$94)-SUM($I342:I342),(Input!$I$60-Input!$I$94)/A20taxstdlife))</f>
        <v>0</v>
      </c>
      <c r="K342" s="68">
        <f>IF(A20taxstdlife="n/a","n/a",IF(K$3&gt;(A20taxstdlife+$E342),(Input!$I$60-Input!$I$94)-SUM($I342:J342),(Input!$I$60-Input!$I$94)/A20taxstdlife))</f>
        <v>0</v>
      </c>
      <c r="L342" s="68">
        <f>IF(A20taxstdlife="n/a","n/a",IF(L$3&gt;(A20taxstdlife+$E342),(Input!$I$60-Input!$I$94)-SUM($I342:K342),(Input!$I$60-Input!$I$94)/A20taxstdlife))</f>
        <v>0</v>
      </c>
      <c r="M342" s="68">
        <f>IF(A20taxstdlife="n/a","n/a",IF(M$3&gt;(A20taxstdlife+$E342),(Input!$I$60-Input!$I$94)-SUM($I342:L342),(Input!$I$60-Input!$I$94)/A20taxstdlife))</f>
        <v>0</v>
      </c>
      <c r="N342" s="68">
        <f>IF(A20taxstdlife="n/a","n/a",IF(N$3&gt;(A20taxstdlife+$E342),(Input!$I$60-Input!$I$94)-SUM($I342:M342),(Input!$I$60-Input!$I$94)/A20taxstdlife))</f>
        <v>0</v>
      </c>
      <c r="O342" s="68">
        <f>IF(A20taxstdlife="n/a","n/a",IF(O$3&gt;(A20taxstdlife+$E342),(Input!$I$60-Input!$I$94)-SUM($I342:N342),(Input!$I$60-Input!$I$94)/A20taxstdlife))</f>
        <v>0</v>
      </c>
      <c r="P342" s="68">
        <f>IF(A20taxstdlife="n/a","n/a",IF(P$3&gt;(A20taxstdlife+$E342),(Input!$I$60-Input!$I$94)-SUM($I342:O342),(Input!$I$60-Input!$I$94)/A20taxstdlife))</f>
        <v>0</v>
      </c>
      <c r="Q342" s="68">
        <f>IF(A20taxstdlife="n/a","n/a",IF(Q$3&gt;(A20taxstdlife+$E342),(Input!$I$60-Input!$I$94)-SUM($I342:P342),(Input!$I$60-Input!$I$94)/A20taxstdlife))</f>
        <v>0</v>
      </c>
      <c r="R342" s="68"/>
      <c r="S342" s="103"/>
      <c r="T342" s="103"/>
      <c r="U342" s="103"/>
      <c r="V342" s="103"/>
      <c r="W342" s="103"/>
      <c r="X342" s="103"/>
      <c r="Y342" s="103"/>
      <c r="Z342" s="103"/>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216"/>
      <c r="BJ342" s="218"/>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customHeight="1" outlineLevel="2">
      <c r="A343" s="9"/>
      <c r="B343" s="9"/>
      <c r="C343" s="26"/>
      <c r="D343" s="672"/>
      <c r="E343" s="86">
        <v>4</v>
      </c>
      <c r="F343" s="27"/>
      <c r="G343" s="208"/>
      <c r="H343" s="150"/>
      <c r="I343" s="150"/>
      <c r="J343" s="149"/>
      <c r="K343" s="68">
        <f>IF(A20taxstdlife="n/a","n/a",IF(K$3&gt;(A20taxstdlife+$E343),(Input!$J$60-Input!$J$94)-SUM($J343:J343),(Input!$J$60-Input!$J$94)/A20taxstdlife))</f>
        <v>0</v>
      </c>
      <c r="L343" s="68">
        <f>IF(A20taxstdlife="n/a","n/a",IF(L$3&gt;(A20taxstdlife+$E343),(Input!$J$60-Input!$J$94)-SUM($J343:K343),(Input!$J$60-Input!$J$94)/A20taxstdlife))</f>
        <v>0</v>
      </c>
      <c r="M343" s="68">
        <f>IF(A20taxstdlife="n/a","n/a",IF(M$3&gt;(A20taxstdlife+$E343),(Input!$J$60-Input!$J$94)-SUM($J343:L343),(Input!$J$60-Input!$J$94)/A20taxstdlife))</f>
        <v>0</v>
      </c>
      <c r="N343" s="68">
        <f>IF(A20taxstdlife="n/a","n/a",IF(N$3&gt;(A20taxstdlife+$E343),(Input!$J$60-Input!$J$94)-SUM($J343:M343),(Input!$J$60-Input!$J$94)/A20taxstdlife))</f>
        <v>0</v>
      </c>
      <c r="O343" s="68">
        <f>IF(A20taxstdlife="n/a","n/a",IF(O$3&gt;(A20taxstdlife+$E343),(Input!$J$60-Input!$J$94)-SUM($J343:N343),(Input!$J$60-Input!$J$94)/A20taxstdlife))</f>
        <v>0</v>
      </c>
      <c r="P343" s="68">
        <f>IF(A20taxstdlife="n/a","n/a",IF(P$3&gt;(A20taxstdlife+$E343),(Input!$J$60-Input!$J$94)-SUM($J343:O343),(Input!$J$60-Input!$J$94)/A20taxstdlife))</f>
        <v>0</v>
      </c>
      <c r="Q343" s="68">
        <f>IF(A20taxstdlife="n/a","n/a",IF(Q$3&gt;(A20taxstdlife+$E343),(Input!$J$60-Input!$J$94)-SUM($J343:P343),(Input!$J$60-Input!$J$94)/A20taxstdlife))</f>
        <v>0</v>
      </c>
      <c r="R343" s="68"/>
      <c r="S343" s="103"/>
      <c r="T343" s="103"/>
      <c r="U343" s="103"/>
      <c r="V343" s="103"/>
      <c r="W343" s="103"/>
      <c r="X343" s="103"/>
      <c r="Y343" s="103"/>
      <c r="Z343" s="103"/>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216"/>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customHeight="1" outlineLevel="2">
      <c r="A344" s="9"/>
      <c r="B344" s="9"/>
      <c r="C344" s="26"/>
      <c r="D344" s="672"/>
      <c r="E344" s="86">
        <v>5</v>
      </c>
      <c r="F344" s="27"/>
      <c r="G344" s="208"/>
      <c r="H344" s="150"/>
      <c r="I344" s="150"/>
      <c r="J344" s="150"/>
      <c r="K344" s="149"/>
      <c r="L344" s="68">
        <f>IF(A20taxstdlife="n/a","n/a",IF(L$3&gt;(A20taxstdlife+$E344),(Input!$K$60-Input!$K$94)-SUM($K344:K344),(Input!$K$60-Input!$K$94)/A20taxstdlife))</f>
        <v>0</v>
      </c>
      <c r="M344" s="68">
        <f>IF(A20taxstdlife="n/a","n/a",IF(M$3&gt;(A20taxstdlife+$E344),(Input!$K$60-Input!$K$94)-SUM($K344:L344),(Input!$K$60-Input!$K$94)/A20taxstdlife))</f>
        <v>0</v>
      </c>
      <c r="N344" s="68">
        <f>IF(A20taxstdlife="n/a","n/a",IF(N$3&gt;(A20taxstdlife+$E344),(Input!$K$60-Input!$K$94)-SUM($K344:M344),(Input!$K$60-Input!$K$94)/A20taxstdlife))</f>
        <v>0</v>
      </c>
      <c r="O344" s="68">
        <f>IF(A20taxstdlife="n/a","n/a",IF(O$3&gt;(A20taxstdlife+$E344),(Input!$K$60-Input!$K$94)-SUM($K344:N344),(Input!$K$60-Input!$K$94)/A20taxstdlife))</f>
        <v>0</v>
      </c>
      <c r="P344" s="68">
        <f>IF(A20taxstdlife="n/a","n/a",IF(P$3&gt;(A20taxstdlife+$E344),(Input!$K$60-Input!$K$94)-SUM($K344:O344),(Input!$K$60-Input!$K$94)/A20taxstdlife))</f>
        <v>0</v>
      </c>
      <c r="Q344" s="68">
        <f>IF(A20taxstdlife="n/a","n/a",IF(Q$3&gt;(A20taxstdlife+$E344),(Input!$K$60-Input!$K$94)-SUM($K344:P344),(Input!$K$60-Input!$K$94)/A20taxstdlife))</f>
        <v>0</v>
      </c>
      <c r="R344" s="68"/>
      <c r="S344" s="103"/>
      <c r="T344" s="103"/>
      <c r="U344" s="103"/>
      <c r="V344" s="103"/>
      <c r="W344" s="103"/>
      <c r="X344" s="103"/>
      <c r="Y344" s="103"/>
      <c r="Z344" s="103"/>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customHeight="1" outlineLevel="2">
      <c r="A345" s="9"/>
      <c r="B345" s="9"/>
      <c r="C345" s="26"/>
      <c r="D345" s="672"/>
      <c r="E345" s="86">
        <v>6</v>
      </c>
      <c r="F345" s="27"/>
      <c r="G345" s="208"/>
      <c r="H345" s="150"/>
      <c r="I345" s="150"/>
      <c r="J345" s="150"/>
      <c r="K345" s="150"/>
      <c r="L345" s="149"/>
      <c r="M345" s="68">
        <f>IF(A20taxstdlife="n/a","n/a",IF(M$3&gt;(A20taxstdlife+$E345),(Input!$L$60-Input!$L$94)-SUM($L345:L345),(Input!$L$60-Input!$L$94)/A20taxstdlife))</f>
        <v>0</v>
      </c>
      <c r="N345" s="68">
        <f>IF(A20taxstdlife="n/a","n/a",IF(N$3&gt;(A20taxstdlife+$E345),(Input!$L$60-Input!$L$94)-SUM($L345:M345),(Input!$L$60-Input!$L$94)/A20taxstdlife))</f>
        <v>0</v>
      </c>
      <c r="O345" s="68">
        <f>IF(A20taxstdlife="n/a","n/a",IF(O$3&gt;(A20taxstdlife+$E345),(Input!$L$60-Input!$L$94)-SUM($L345:N345),(Input!$L$60-Input!$L$94)/A20taxstdlife))</f>
        <v>0</v>
      </c>
      <c r="P345" s="68">
        <f>IF(A20taxstdlife="n/a","n/a",IF(P$3&gt;(A20taxstdlife+$E345),(Input!$L$60-Input!$L$94)-SUM($L345:O345),(Input!$L$60-Input!$L$94)/A20taxstdlife))</f>
        <v>0</v>
      </c>
      <c r="Q345" s="68">
        <f>IF(A20taxstdlife="n/a","n/a",IF(Q$3&gt;(A20taxstdlife+$E345),(Input!$L$60-Input!$L$94)-SUM($L345:P345),(Input!$L$60-Input!$L$94)/A20taxstdlife))</f>
        <v>0</v>
      </c>
      <c r="R345" s="68"/>
      <c r="S345" s="103"/>
      <c r="T345" s="103"/>
      <c r="U345" s="103"/>
      <c r="V345" s="103"/>
      <c r="W345" s="103"/>
      <c r="X345" s="103"/>
      <c r="Y345" s="103"/>
      <c r="Z345" s="103"/>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216"/>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customHeight="1" outlineLevel="2">
      <c r="A346" s="9"/>
      <c r="B346" s="9"/>
      <c r="C346" s="26"/>
      <c r="D346" s="672"/>
      <c r="E346" s="86">
        <v>7</v>
      </c>
      <c r="F346" s="27"/>
      <c r="G346" s="208"/>
      <c r="H346" s="150"/>
      <c r="I346" s="150"/>
      <c r="J346" s="150"/>
      <c r="K346" s="150"/>
      <c r="L346" s="150"/>
      <c r="M346" s="149"/>
      <c r="N346" s="68">
        <f>IF(A20taxstdlife="n/a","n/a",IF(N$3&gt;(A20taxstdlife+$E346),(Input!$M$60-Input!$M$94)-SUM($M346:M346),(Input!$M$60-Input!$M$94)/A20taxstdlife))</f>
        <v>0</v>
      </c>
      <c r="O346" s="68">
        <f>IF(A20taxstdlife="n/a","n/a",IF(O$3&gt;(A20taxstdlife+$E346),(Input!$M$60-Input!$M$94)-SUM($M346:N346),(Input!$M$60-Input!$M$94)/A20taxstdlife))</f>
        <v>0</v>
      </c>
      <c r="P346" s="68">
        <f>IF(A20taxstdlife="n/a","n/a",IF(P$3&gt;(A20taxstdlife+$E346),(Input!$M$60-Input!$M$94)-SUM($M346:O346),(Input!$M$60-Input!$M$94)/A20taxstdlife))</f>
        <v>0</v>
      </c>
      <c r="Q346" s="68">
        <f>IF(A20taxstdlife="n/a","n/a",IF(Q$3&gt;(A20taxstdlife+$E346),(Input!$M$60-Input!$M$94)-SUM($M346:P346),(Input!$M$60-Input!$M$94)/A20taxstdlife))</f>
        <v>0</v>
      </c>
      <c r="R346" s="68"/>
      <c r="S346" s="103"/>
      <c r="T346" s="103"/>
      <c r="U346" s="103"/>
      <c r="V346" s="103"/>
      <c r="W346" s="103"/>
      <c r="X346" s="103"/>
      <c r="Y346" s="103"/>
      <c r="Z346" s="103"/>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216"/>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customHeight="1" outlineLevel="2">
      <c r="A347" s="9"/>
      <c r="B347" s="9"/>
      <c r="C347" s="26"/>
      <c r="D347" s="672"/>
      <c r="E347" s="86">
        <v>8</v>
      </c>
      <c r="F347" s="27"/>
      <c r="G347" s="208"/>
      <c r="H347" s="150"/>
      <c r="I347" s="150"/>
      <c r="J347" s="150"/>
      <c r="K347" s="150"/>
      <c r="L347" s="150"/>
      <c r="M347" s="150"/>
      <c r="N347" s="149"/>
      <c r="O347" s="68">
        <f>IF(A20taxstdlife="n/a","n/a",IF(O$3&gt;(A20taxstdlife+$E347),(Input!$N$60-Input!$N$94)-SUM($N347:N347),(Input!$N$60-Input!$N$94)/A20taxstdlife))</f>
        <v>0</v>
      </c>
      <c r="P347" s="68">
        <f>IF(A20taxstdlife="n/a","n/a",IF(P$3&gt;(A20taxstdlife+$E347),(Input!$N$60-Input!$N$94)-SUM($N347:O347),(Input!$N$60-Input!$N$94)/A20taxstdlife))</f>
        <v>0</v>
      </c>
      <c r="Q347" s="68">
        <f>IF(A20taxstdlife="n/a","n/a",IF(Q$3&gt;(A20taxstdlife+$E347),(Input!$N$60-Input!$N$94)-SUM($N347:P347),(Input!$N$60-Input!$N$94)/A20taxstdlife))</f>
        <v>0</v>
      </c>
      <c r="R347" s="68"/>
      <c r="S347" s="103"/>
      <c r="T347" s="103"/>
      <c r="U347" s="103"/>
      <c r="V347" s="103"/>
      <c r="W347" s="103"/>
      <c r="X347" s="103"/>
      <c r="Y347" s="103"/>
      <c r="Z347" s="103"/>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customHeight="1" outlineLevel="2">
      <c r="A348" s="9"/>
      <c r="B348" s="9"/>
      <c r="C348" s="26"/>
      <c r="D348" s="672"/>
      <c r="E348" s="86">
        <v>9</v>
      </c>
      <c r="F348" s="27"/>
      <c r="G348" s="208"/>
      <c r="H348" s="150"/>
      <c r="I348" s="150"/>
      <c r="J348" s="150"/>
      <c r="K348" s="150"/>
      <c r="L348" s="150"/>
      <c r="M348" s="150"/>
      <c r="N348" s="150"/>
      <c r="O348" s="149"/>
      <c r="P348" s="68">
        <f>IF(A20taxstdlife="n/a","n/a",IF(P$3&gt;(A20taxstdlife+$E348),(Input!$O$60-Input!$O$94)-SUM($O348:O348),(Input!$O$60-Input!$O$94)/A20taxstdlife))</f>
        <v>0</v>
      </c>
      <c r="Q348" s="68">
        <f>IF(A20taxstdlife="n/a","n/a",IF(Q$3&gt;(A20taxstdlife+$E348),(Input!$O$60-Input!$O$94)-SUM($O348:P348),(Input!$O$60-Input!$O$94)/A20taxstdlife))</f>
        <v>0</v>
      </c>
      <c r="R348" s="68"/>
      <c r="S348" s="103"/>
      <c r="T348" s="103"/>
      <c r="U348" s="103"/>
      <c r="V348" s="103"/>
      <c r="W348" s="103"/>
      <c r="X348" s="103"/>
      <c r="Y348" s="103"/>
      <c r="Z348" s="103"/>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216"/>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customHeight="1" outlineLevel="2">
      <c r="A349" s="9"/>
      <c r="B349" s="9"/>
      <c r="C349" s="26"/>
      <c r="D349" s="672"/>
      <c r="E349" s="86">
        <v>10</v>
      </c>
      <c r="F349" s="27"/>
      <c r="G349" s="208"/>
      <c r="H349" s="150"/>
      <c r="I349" s="150"/>
      <c r="J349" s="150"/>
      <c r="K349" s="150"/>
      <c r="L349" s="150"/>
      <c r="M349" s="150"/>
      <c r="N349" s="150"/>
      <c r="O349" s="150"/>
      <c r="P349" s="149"/>
      <c r="Q349" s="68">
        <f>IF(A20taxstdlife="n/a","n/a",IF(Q$3&gt;(A20taxstdlife+$E349),(Input!$P$60-Input!$P$94)-SUM($P349:P349),(Input!$P$60-Input!$P$94)/A20taxstdlife))</f>
        <v>0</v>
      </c>
      <c r="R349" s="68"/>
      <c r="S349" s="103"/>
      <c r="T349" s="103"/>
      <c r="U349" s="103"/>
      <c r="V349" s="103"/>
      <c r="W349" s="103"/>
      <c r="X349" s="103"/>
      <c r="Y349" s="103"/>
      <c r="Z349" s="103"/>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6"/>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26"/>
      <c r="D350" s="672"/>
      <c r="E350" s="87">
        <v>11</v>
      </c>
      <c r="F350" s="27"/>
      <c r="G350" s="208"/>
      <c r="H350" s="150"/>
      <c r="I350" s="150"/>
      <c r="J350" s="150"/>
      <c r="K350" s="150"/>
      <c r="L350" s="150"/>
      <c r="M350" s="150"/>
      <c r="N350" s="150"/>
      <c r="O350" s="150"/>
      <c r="P350" s="189"/>
      <c r="Q350" s="149"/>
      <c r="R350" s="68"/>
      <c r="S350" s="103"/>
      <c r="T350" s="103"/>
      <c r="U350" s="103"/>
      <c r="V350" s="103"/>
      <c r="W350" s="103"/>
      <c r="X350" s="103"/>
      <c r="Y350" s="103"/>
      <c r="Z350" s="103"/>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216"/>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1">
      <c r="A351" s="9"/>
      <c r="B351" s="9"/>
      <c r="C351" s="26">
        <f>Asset20</f>
        <v>0</v>
      </c>
      <c r="D351" s="9"/>
      <c r="E351" s="9"/>
      <c r="F351" s="23"/>
      <c r="G351" s="209">
        <f t="shared" ref="G351:L351" si="54">-SUM(G338:G350)</f>
        <v>0</v>
      </c>
      <c r="H351" s="166">
        <f t="shared" si="54"/>
        <v>0</v>
      </c>
      <c r="I351" s="166">
        <f t="shared" si="54"/>
        <v>0</v>
      </c>
      <c r="J351" s="166">
        <f t="shared" si="54"/>
        <v>0</v>
      </c>
      <c r="K351" s="166">
        <f t="shared" si="54"/>
        <v>0</v>
      </c>
      <c r="L351" s="166">
        <f t="shared" si="54"/>
        <v>0</v>
      </c>
      <c r="M351" s="166">
        <f>IF(Input!M173&gt;0, -SUM(M338:M350), 0)</f>
        <v>0</v>
      </c>
      <c r="N351" s="166">
        <f>IF(Input!N173&gt;0, -SUM(N338:N350), 0)</f>
        <v>0</v>
      </c>
      <c r="O351" s="166">
        <f>IF(Input!O173&gt;0, -SUM(O338:O350), 0)</f>
        <v>0</v>
      </c>
      <c r="P351" s="166">
        <f>IF(Input!P173&gt;0, -SUM(P338:P350), 0)</f>
        <v>0</v>
      </c>
      <c r="Q351" s="166">
        <f>IF(Input!Q173&gt;0, -SUM(Q338:Q350), 0)</f>
        <v>0</v>
      </c>
      <c r="R351" s="64"/>
      <c r="S351" s="102"/>
      <c r="T351" s="102"/>
      <c r="U351" s="102"/>
      <c r="V351" s="102"/>
      <c r="W351" s="102"/>
      <c r="X351" s="102"/>
      <c r="Y351" s="102"/>
      <c r="Z351" s="102"/>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customHeight="1" outlineLevel="2">
      <c r="A352" s="9"/>
      <c r="B352" s="188">
        <f>Asset21</f>
        <v>0</v>
      </c>
      <c r="C352" s="33"/>
      <c r="D352" s="34" t="s">
        <v>67</v>
      </c>
      <c r="E352" s="33"/>
      <c r="F352" s="35"/>
      <c r="G352" s="205">
        <f>IF(G$3&gt;A21taxremlife,A21taxvalue-SUM($F352:F352),IF(A21taxremlife="N/A","n/a",A21taxvalue/A21taxremlife))</f>
        <v>0</v>
      </c>
      <c r="H352" s="67">
        <f>IF(H$3&gt;A21taxremlife,A21taxvalue-SUM($F352:G352),IF(A21taxremlife="N/A","n/a",A21taxvalue/A21taxremlife))</f>
        <v>0</v>
      </c>
      <c r="I352" s="67">
        <f>IF(I$3&gt;A21taxremlife,A21taxvalue-SUM($F352:H352),IF(A21taxremlife="N/A","n/a",A21taxvalue/A21taxremlife))</f>
        <v>0</v>
      </c>
      <c r="J352" s="67">
        <f>IF(J$3&gt;A21taxremlife,A21taxvalue-SUM($F352:I352),IF(A21taxremlife="N/A","n/a",A21taxvalue/A21taxremlife))</f>
        <v>0</v>
      </c>
      <c r="K352" s="67">
        <f>IF(K$3&gt;A21taxremlife,A21taxvalue-SUM($F352:J352),IF(A21taxremlife="N/A","n/a",A21taxvalue/A21taxremlife))</f>
        <v>0</v>
      </c>
      <c r="L352" s="67">
        <f>IF(L$3&gt;A21taxremlife,A21taxvalue-SUM($F352:K352),IF(A21taxremlife="N/A","n/a",A21taxvalue/A21taxremlife))</f>
        <v>0</v>
      </c>
      <c r="M352" s="67">
        <f>IF(M$3&gt;A21taxremlife,A21taxvalue-SUM($F352:L352),IF(A21taxremlife="N/A","n/a",A21taxvalue/A21taxremlife))</f>
        <v>0</v>
      </c>
      <c r="N352" s="67">
        <f>IF(N$3&gt;A21taxremlife,A21taxvalue-SUM($F352:M352),IF(A21taxremlife="N/A","n/a",A21taxvalue/A21taxremlife))</f>
        <v>0</v>
      </c>
      <c r="O352" s="67">
        <f>IF(O$3&gt;A21taxremlife,A21taxvalue-SUM($F352:N352),IF(A21taxremlife="N/A","n/a",A21taxvalue/A21taxremlife))</f>
        <v>0</v>
      </c>
      <c r="P352" s="67">
        <f>IF(P$3&gt;A21taxremlife,A21taxvalue-SUM($F352:O352),IF(A21taxremlife="N/A","n/a",A21taxvalue/A21taxremlife))</f>
        <v>0</v>
      </c>
      <c r="Q352" s="67">
        <f>IF(Q$3&gt;A21taxremlife,A21taxvalue-SUM($F352:P352),IF(A21taxremlife="N/A","n/a",A21taxvalue/A21taxremlife))</f>
        <v>0</v>
      </c>
      <c r="R352" s="67"/>
      <c r="S352" s="103"/>
      <c r="T352" s="103"/>
      <c r="U352" s="103"/>
      <c r="V352" s="103"/>
      <c r="W352" s="103"/>
      <c r="X352" s="103"/>
      <c r="Y352" s="103"/>
      <c r="Z352" s="103"/>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216"/>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customHeight="1" outlineLevel="2">
      <c r="A353" s="9"/>
      <c r="B353" s="9"/>
      <c r="C353" s="26"/>
      <c r="D353" s="671" t="s">
        <v>84</v>
      </c>
      <c r="E353" s="86">
        <v>0</v>
      </c>
      <c r="F353" s="27"/>
      <c r="G353" s="206"/>
      <c r="H353" s="68"/>
      <c r="I353" s="68"/>
      <c r="J353" s="68"/>
      <c r="K353" s="68"/>
      <c r="L353" s="68"/>
      <c r="M353" s="68"/>
      <c r="N353" s="68"/>
      <c r="O353" s="68"/>
      <c r="P353" s="68"/>
      <c r="Q353" s="68"/>
      <c r="R353" s="68"/>
      <c r="S353" s="103"/>
      <c r="T353" s="103"/>
      <c r="U353" s="103"/>
      <c r="V353" s="103"/>
      <c r="W353" s="103"/>
      <c r="X353" s="103"/>
      <c r="Y353" s="103"/>
      <c r="Z353" s="103"/>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customHeight="1" outlineLevel="2">
      <c r="A354" s="9"/>
      <c r="B354" s="9"/>
      <c r="C354" s="26"/>
      <c r="D354" s="672"/>
      <c r="E354" s="86">
        <v>1</v>
      </c>
      <c r="F354" s="27"/>
      <c r="G354" s="207"/>
      <c r="H354" s="68">
        <f>IF(A21taxstdlife="n/a","n/a",IF(H$3&gt;(A21taxstdlife+$E354),(Input!$G$61-Input!$G$95)-SUM($G354:G354),(Input!$G$61-Input!$G$95)/A21taxstdlife))</f>
        <v>0</v>
      </c>
      <c r="I354" s="68">
        <f>IF(A21taxstdlife="n/a","n/a",IF(I$3&gt;(A21taxstdlife+$E354),(Input!$G$61-Input!$G$95)-SUM($G354:H354),(Input!$G$61-Input!$G$95)/A21taxstdlife))</f>
        <v>0</v>
      </c>
      <c r="J354" s="68">
        <f>IF(A21taxstdlife="n/a","n/a",IF(J$3&gt;(A21taxstdlife+$E354),(Input!$G$61-Input!$G$95)-SUM($G354:I354),(Input!$G$61-Input!$G$95)/A21taxstdlife))</f>
        <v>0</v>
      </c>
      <c r="K354" s="68">
        <f>IF(A21taxstdlife="n/a","n/a",IF(K$3&gt;(A21taxstdlife+$E354),(Input!$G$61-Input!$G$95)-SUM($G354:J354),(Input!$G$61-Input!$G$95)/A21taxstdlife))</f>
        <v>0</v>
      </c>
      <c r="L354" s="68">
        <f>IF(A21taxstdlife="n/a","n/a",IF(L$3&gt;(A21taxstdlife+$E354),(Input!$G$61-Input!$G$95)-SUM($G354:K354),(Input!$G$61-Input!$G$95)/A21taxstdlife))</f>
        <v>0</v>
      </c>
      <c r="M354" s="68">
        <f>IF(A21taxstdlife="n/a","n/a",IF(M$3&gt;(A21taxstdlife+$E354),(Input!$G$61-Input!$G$95)-SUM($G354:L354),(Input!$G$61-Input!$G$95)/A21taxstdlife))</f>
        <v>0</v>
      </c>
      <c r="N354" s="68">
        <f>IF(A21taxstdlife="n/a","n/a",IF(N$3&gt;(A21taxstdlife+$E354),(Input!$G$61-Input!$G$95)-SUM($G354:M354),(Input!$G$61-Input!$G$95)/A21taxstdlife))</f>
        <v>0</v>
      </c>
      <c r="O354" s="68">
        <f>IF(A21taxstdlife="n/a","n/a",IF(O$3&gt;(A21taxstdlife+$E354),(Input!$G$61-Input!$G$95)-SUM($G354:N354),(Input!$G$61-Input!$G$95)/A21taxstdlife))</f>
        <v>0</v>
      </c>
      <c r="P354" s="68">
        <f>IF(A21taxstdlife="n/a","n/a",IF(P$3&gt;(A21taxstdlife+$E354),(Input!$G$61-Input!$G$95)-SUM($G354:O354),(Input!$G$61-Input!$G$95)/A21taxstdlife))</f>
        <v>0</v>
      </c>
      <c r="Q354" s="68">
        <f>IF(A21taxstdlife="n/a","n/a",IF(Q$3&gt;(A21taxstdlife+$E354),(Input!$G$61-Input!$G$95)-SUM($G354:P354),(Input!$G$61-Input!$G$95)/A21taxstdlife))</f>
        <v>0</v>
      </c>
      <c r="R354" s="68"/>
      <c r="S354" s="103"/>
      <c r="T354" s="103"/>
      <c r="U354" s="103"/>
      <c r="V354" s="103"/>
      <c r="W354" s="103"/>
      <c r="X354" s="103"/>
      <c r="Y354" s="103"/>
      <c r="Z354" s="103"/>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216"/>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customHeight="1" outlineLevel="2">
      <c r="A355" s="9"/>
      <c r="B355" s="9"/>
      <c r="C355" s="26"/>
      <c r="D355" s="672"/>
      <c r="E355" s="86">
        <v>2</v>
      </c>
      <c r="F355" s="27"/>
      <c r="G355" s="208"/>
      <c r="H355" s="149"/>
      <c r="I355" s="68">
        <f>IF(A21taxstdlife="n/a","n/a",IF(I$3&gt;(A21taxstdlife+$E355),(Input!$H$61-Input!$H$95)-SUM($H355:H355),(Input!$H$61-Input!$H$95)/A21taxstdlife))</f>
        <v>0</v>
      </c>
      <c r="J355" s="68">
        <f>IF(A21taxstdlife="n/a","n/a",IF(J$3&gt;(A21taxstdlife+$E355),(Input!$H$61-Input!$H$95)-SUM($H355:I355),(Input!$H$61-Input!$H$95)/A21taxstdlife))</f>
        <v>0</v>
      </c>
      <c r="K355" s="68">
        <f>IF(A21taxstdlife="n/a","n/a",IF(K$3&gt;(A21taxstdlife+$E355),(Input!$H$61-Input!$H$95)-SUM($H355:J355),(Input!$H$61-Input!$H$95)/A21taxstdlife))</f>
        <v>0</v>
      </c>
      <c r="L355" s="68">
        <f>IF(A21taxstdlife="n/a","n/a",IF(L$3&gt;(A21taxstdlife+$E355),(Input!$H$61-Input!$H$95)-SUM($H355:K355),(Input!$H$61-Input!$H$95)/A21taxstdlife))</f>
        <v>0</v>
      </c>
      <c r="M355" s="68">
        <f>IF(A21taxstdlife="n/a","n/a",IF(M$3&gt;(A21taxstdlife+$E355),(Input!$H$61-Input!$H$95)-SUM($H355:L355),(Input!$H$61-Input!$H$95)/A21taxstdlife))</f>
        <v>0</v>
      </c>
      <c r="N355" s="68">
        <f>IF(A21taxstdlife="n/a","n/a",IF(N$3&gt;(A21taxstdlife+$E355),(Input!$H$61-Input!$H$95)-SUM($H355:M355),(Input!$H$61-Input!$H$95)/A21taxstdlife))</f>
        <v>0</v>
      </c>
      <c r="O355" s="68">
        <f>IF(A21taxstdlife="n/a","n/a",IF(O$3&gt;(A21taxstdlife+$E355),(Input!$H$61-Input!$H$95)-SUM($H355:N355),(Input!$H$61-Input!$H$95)/A21taxstdlife))</f>
        <v>0</v>
      </c>
      <c r="P355" s="68">
        <f>IF(A21taxstdlife="n/a","n/a",IF(P$3&gt;(A21taxstdlife+$E355),(Input!$H$61-Input!$H$95)-SUM($H355:O355),(Input!$H$61-Input!$H$95)/A21taxstdlife))</f>
        <v>0</v>
      </c>
      <c r="Q355" s="68">
        <f>IF(A21taxstdlife="n/a","n/a",IF(Q$3&gt;(A21taxstdlife+$E355),(Input!$H$61-Input!$H$95)-SUM($H355:P355),(Input!$H$61-Input!$H$95)/A21taxstdlife))</f>
        <v>0</v>
      </c>
      <c r="R355" s="68"/>
      <c r="S355" s="103"/>
      <c r="T355" s="103"/>
      <c r="U355" s="103"/>
      <c r="V355" s="103"/>
      <c r="W355" s="103"/>
      <c r="X355" s="103"/>
      <c r="Y355" s="103"/>
      <c r="Z355" s="103"/>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216"/>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customHeight="1" outlineLevel="2">
      <c r="A356" s="9"/>
      <c r="B356" s="9"/>
      <c r="C356" s="26"/>
      <c r="D356" s="672"/>
      <c r="E356" s="86">
        <v>3</v>
      </c>
      <c r="F356" s="27"/>
      <c r="G356" s="208"/>
      <c r="H356" s="150"/>
      <c r="I356" s="149"/>
      <c r="J356" s="68">
        <f>IF(A21taxstdlife="n/a","n/a",IF(J$3&gt;(A21taxstdlife+$E356),(Input!$I$61-Input!$I$95)-SUM($I356:I356),(Input!$I$61-Input!$I$95)/A21taxstdlife))</f>
        <v>0</v>
      </c>
      <c r="K356" s="68">
        <f>IF(A21taxstdlife="n/a","n/a",IF(K$3&gt;(A21taxstdlife+$E356),(Input!$I$61-Input!$I$95)-SUM($I356:J356),(Input!$I$61-Input!$I$95)/A21taxstdlife))</f>
        <v>0</v>
      </c>
      <c r="L356" s="68">
        <f>IF(A21taxstdlife="n/a","n/a",IF(L$3&gt;(A21taxstdlife+$E356),(Input!$I$61-Input!$I$95)-SUM($I356:K356),(Input!$I$61-Input!$I$95)/A21taxstdlife))</f>
        <v>0</v>
      </c>
      <c r="M356" s="68">
        <f>IF(A21taxstdlife="n/a","n/a",IF(M$3&gt;(A21taxstdlife+$E356),(Input!$I$61-Input!$I$95)-SUM($I356:L356),(Input!$I$61-Input!$I$95)/A21taxstdlife))</f>
        <v>0</v>
      </c>
      <c r="N356" s="68">
        <f>IF(A21taxstdlife="n/a","n/a",IF(N$3&gt;(A21taxstdlife+$E356),(Input!$I$61-Input!$I$95)-SUM($I356:M356),(Input!$I$61-Input!$I$95)/A21taxstdlife))</f>
        <v>0</v>
      </c>
      <c r="O356" s="68">
        <f>IF(A21taxstdlife="n/a","n/a",IF(O$3&gt;(A21taxstdlife+$E356),(Input!$I$61-Input!$I$95)-SUM($I356:N356),(Input!$I$61-Input!$I$95)/A21taxstdlife))</f>
        <v>0</v>
      </c>
      <c r="P356" s="68">
        <f>IF(A21taxstdlife="n/a","n/a",IF(P$3&gt;(A21taxstdlife+$E356),(Input!$I$61-Input!$I$95)-SUM($I356:O356),(Input!$I$61-Input!$I$95)/A21taxstdlife))</f>
        <v>0</v>
      </c>
      <c r="Q356" s="68">
        <f>IF(A21taxstdlife="n/a","n/a",IF(Q$3&gt;(A21taxstdlife+$E356),(Input!$I$61-Input!$I$95)-SUM($I356:P356),(Input!$I$61-Input!$I$95)/A21taxstdlife))</f>
        <v>0</v>
      </c>
      <c r="R356" s="68"/>
      <c r="S356" s="103"/>
      <c r="T356" s="103"/>
      <c r="U356" s="103"/>
      <c r="V356" s="103"/>
      <c r="W356" s="103"/>
      <c r="X356" s="103"/>
      <c r="Y356" s="103"/>
      <c r="Z356" s="103"/>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216"/>
      <c r="BJ356" s="218"/>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customHeight="1" outlineLevel="2">
      <c r="A357" s="9"/>
      <c r="B357" s="9"/>
      <c r="C357" s="26"/>
      <c r="D357" s="672"/>
      <c r="E357" s="86">
        <v>4</v>
      </c>
      <c r="F357" s="27"/>
      <c r="G357" s="208"/>
      <c r="H357" s="150"/>
      <c r="I357" s="150"/>
      <c r="J357" s="149"/>
      <c r="K357" s="68">
        <f>IF(A21taxstdlife="n/a","n/a",IF(K$3&gt;(A21taxstdlife+$E357),(Input!$J$61-Input!$J$95)-SUM($J357:J357),(Input!$J$61-Input!$J$95)/A21taxstdlife))</f>
        <v>0</v>
      </c>
      <c r="L357" s="68">
        <f>IF(A21taxstdlife="n/a","n/a",IF(L$3&gt;(A21taxstdlife+$E357),(Input!$J$61-Input!$J$95)-SUM($J357:K357),(Input!$J$61-Input!$J$95)/A21taxstdlife))</f>
        <v>0</v>
      </c>
      <c r="M357" s="68">
        <f>IF(A21taxstdlife="n/a","n/a",IF(M$3&gt;(A21taxstdlife+$E357),(Input!$J$61-Input!$J$95)-SUM($J357:L357),(Input!$J$61-Input!$J$95)/A21taxstdlife))</f>
        <v>0</v>
      </c>
      <c r="N357" s="68">
        <f>IF(A21taxstdlife="n/a","n/a",IF(N$3&gt;(A21taxstdlife+$E357),(Input!$J$61-Input!$J$95)-SUM($J357:M357),(Input!$J$61-Input!$J$95)/A21taxstdlife))</f>
        <v>0</v>
      </c>
      <c r="O357" s="68">
        <f>IF(A21taxstdlife="n/a","n/a",IF(O$3&gt;(A21taxstdlife+$E357),(Input!$J$61-Input!$J$95)-SUM($J357:N357),(Input!$J$61-Input!$J$95)/A21taxstdlife))</f>
        <v>0</v>
      </c>
      <c r="P357" s="68">
        <f>IF(A21taxstdlife="n/a","n/a",IF(P$3&gt;(A21taxstdlife+$E357),(Input!$J$61-Input!$J$95)-SUM($J357:O357),(Input!$J$61-Input!$J$95)/A21taxstdlife))</f>
        <v>0</v>
      </c>
      <c r="Q357" s="68">
        <f>IF(A21taxstdlife="n/a","n/a",IF(Q$3&gt;(A21taxstdlife+$E357),(Input!$J$61-Input!$J$95)-SUM($J357:P357),(Input!$J$61-Input!$J$95)/A21taxstdlife))</f>
        <v>0</v>
      </c>
      <c r="R357" s="68"/>
      <c r="S357" s="103"/>
      <c r="T357" s="103"/>
      <c r="U357" s="103"/>
      <c r="V357" s="103"/>
      <c r="W357" s="103"/>
      <c r="X357" s="103"/>
      <c r="Y357" s="103"/>
      <c r="Z357" s="103"/>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216"/>
      <c r="BE357" s="216"/>
      <c r="BF357" s="216"/>
      <c r="BG357" s="216"/>
      <c r="BH357" s="216"/>
      <c r="BI357" s="216"/>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customHeight="1" outlineLevel="2">
      <c r="A358" s="9"/>
      <c r="B358" s="9"/>
      <c r="C358" s="26"/>
      <c r="D358" s="672"/>
      <c r="E358" s="86">
        <v>5</v>
      </c>
      <c r="F358" s="27"/>
      <c r="G358" s="208"/>
      <c r="H358" s="150"/>
      <c r="I358" s="150"/>
      <c r="J358" s="150"/>
      <c r="K358" s="149"/>
      <c r="L358" s="68">
        <f>IF(A21taxstdlife="n/a","n/a",IF(L$3&gt;(A21taxstdlife+$E358),(Input!$K$61-Input!$K$95)-SUM($K358:K358),(Input!$K$61-Input!$K$95)/A21taxstdlife))</f>
        <v>0</v>
      </c>
      <c r="M358" s="68">
        <f>IF(A21taxstdlife="n/a","n/a",IF(M$3&gt;(A21taxstdlife+$E358),(Input!$K$61-Input!$K$95)-SUM($K358:L358),(Input!$K$61-Input!$K$95)/A21taxstdlife))</f>
        <v>0</v>
      </c>
      <c r="N358" s="68">
        <f>IF(A21taxstdlife="n/a","n/a",IF(N$3&gt;(A21taxstdlife+$E358),(Input!$K$61-Input!$K$95)-SUM($K358:M358),(Input!$K$61-Input!$K$95)/A21taxstdlife))</f>
        <v>0</v>
      </c>
      <c r="O358" s="68">
        <f>IF(A21taxstdlife="n/a","n/a",IF(O$3&gt;(A21taxstdlife+$E358),(Input!$K$61-Input!$K$95)-SUM($K358:N358),(Input!$K$61-Input!$K$95)/A21taxstdlife))</f>
        <v>0</v>
      </c>
      <c r="P358" s="68">
        <f>IF(A21taxstdlife="n/a","n/a",IF(P$3&gt;(A21taxstdlife+$E358),(Input!$K$61-Input!$K$95)-SUM($K358:O358),(Input!$K$61-Input!$K$95)/A21taxstdlife))</f>
        <v>0</v>
      </c>
      <c r="Q358" s="68">
        <f>IF(A21taxstdlife="n/a","n/a",IF(Q$3&gt;(A21taxstdlife+$E358),(Input!$K$61-Input!$K$95)-SUM($K358:P358),(Input!$K$61-Input!$K$95)/A21taxstdlife))</f>
        <v>0</v>
      </c>
      <c r="R358" s="68"/>
      <c r="S358" s="103"/>
      <c r="T358" s="103"/>
      <c r="U358" s="103"/>
      <c r="V358" s="103"/>
      <c r="W358" s="103"/>
      <c r="X358" s="103"/>
      <c r="Y358" s="103"/>
      <c r="Z358" s="103"/>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216"/>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customHeight="1" outlineLevel="2">
      <c r="A359" s="9"/>
      <c r="B359" s="9"/>
      <c r="C359" s="26"/>
      <c r="D359" s="672"/>
      <c r="E359" s="86">
        <v>6</v>
      </c>
      <c r="F359" s="27"/>
      <c r="G359" s="208"/>
      <c r="H359" s="150"/>
      <c r="I359" s="150"/>
      <c r="J359" s="150"/>
      <c r="K359" s="150"/>
      <c r="L359" s="149"/>
      <c r="M359" s="68">
        <f>IF(A21taxstdlife="n/a","n/a",IF(M$3&gt;(A21taxstdlife+$E359),(Input!$L$61-Input!$L$95)-SUM($L359:L359),(Input!$L$61-Input!$L$95)/A21taxstdlife))</f>
        <v>0</v>
      </c>
      <c r="N359" s="68">
        <f>IF(A21taxstdlife="n/a","n/a",IF(N$3&gt;(A21taxstdlife+$E359),(Input!$L$61-Input!$L$95)-SUM($L359:M359),(Input!$L$61-Input!$L$95)/A21taxstdlife))</f>
        <v>0</v>
      </c>
      <c r="O359" s="68">
        <f>IF(A21taxstdlife="n/a","n/a",IF(O$3&gt;(A21taxstdlife+$E359),(Input!$L$61-Input!$L$95)-SUM($L359:N359),(Input!$L$61-Input!$L$95)/A21taxstdlife))</f>
        <v>0</v>
      </c>
      <c r="P359" s="68">
        <f>IF(A21taxstdlife="n/a","n/a",IF(P$3&gt;(A21taxstdlife+$E359),(Input!$L$61-Input!$L$95)-SUM($L359:O359),(Input!$L$61-Input!$L$95)/A21taxstdlife))</f>
        <v>0</v>
      </c>
      <c r="Q359" s="68">
        <f>IF(A21taxstdlife="n/a","n/a",IF(Q$3&gt;(A21taxstdlife+$E359),(Input!$L$61-Input!$L$95)-SUM($L359:P359),(Input!$L$61-Input!$L$95)/A21taxstdlife))</f>
        <v>0</v>
      </c>
      <c r="R359" s="68"/>
      <c r="S359" s="103"/>
      <c r="T359" s="103"/>
      <c r="U359" s="103"/>
      <c r="V359" s="103"/>
      <c r="W359" s="103"/>
      <c r="X359" s="103"/>
      <c r="Y359" s="103"/>
      <c r="Z359" s="103"/>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216"/>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customHeight="1" outlineLevel="2">
      <c r="A360" s="9"/>
      <c r="B360" s="9"/>
      <c r="C360" s="26"/>
      <c r="D360" s="672"/>
      <c r="E360" s="86">
        <v>7</v>
      </c>
      <c r="F360" s="27"/>
      <c r="G360" s="208"/>
      <c r="H360" s="150"/>
      <c r="I360" s="150"/>
      <c r="J360" s="150"/>
      <c r="K360" s="150"/>
      <c r="L360" s="150"/>
      <c r="M360" s="149"/>
      <c r="N360" s="68">
        <f>IF(A21taxstdlife="n/a","n/a",IF(N$3&gt;(A21taxstdlife+$E360),(Input!$M$61-Input!$M$95)-SUM($M360:M360),(Input!$M$61-Input!$M$95)/A21taxstdlife))</f>
        <v>0</v>
      </c>
      <c r="O360" s="68">
        <f>IF(A21taxstdlife="n/a","n/a",IF(O$3&gt;(A21taxstdlife+$E360),(Input!$M$61-Input!$M$95)-SUM($M360:N360),(Input!$M$61-Input!$M$95)/A21taxstdlife))</f>
        <v>0</v>
      </c>
      <c r="P360" s="68">
        <f>IF(A21taxstdlife="n/a","n/a",IF(P$3&gt;(A21taxstdlife+$E360),(Input!$M$61-Input!$M$95)-SUM($M360:O360),(Input!$M$61-Input!$M$95)/A21taxstdlife))</f>
        <v>0</v>
      </c>
      <c r="Q360" s="68">
        <f>IF(A21taxstdlife="n/a","n/a",IF(Q$3&gt;(A21taxstdlife+$E360),(Input!$M$61-Input!$M$95)-SUM($M360:P360),(Input!$M$61-Input!$M$95)/A21taxstdlife))</f>
        <v>0</v>
      </c>
      <c r="R360" s="68"/>
      <c r="S360" s="103"/>
      <c r="T360" s="103"/>
      <c r="U360" s="103"/>
      <c r="V360" s="103"/>
      <c r="W360" s="103"/>
      <c r="X360" s="103"/>
      <c r="Y360" s="103"/>
      <c r="Z360" s="103"/>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216"/>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customHeight="1" outlineLevel="2">
      <c r="A361" s="9"/>
      <c r="B361" s="9"/>
      <c r="C361" s="26"/>
      <c r="D361" s="672"/>
      <c r="E361" s="86">
        <v>8</v>
      </c>
      <c r="F361" s="27"/>
      <c r="G361" s="208"/>
      <c r="H361" s="150"/>
      <c r="I361" s="150"/>
      <c r="J361" s="150"/>
      <c r="K361" s="150"/>
      <c r="L361" s="150"/>
      <c r="M361" s="150"/>
      <c r="N361" s="149"/>
      <c r="O361" s="68">
        <f>IF(A21taxstdlife="n/a","n/a",IF(O$3&gt;(A21taxstdlife+$E361),(Input!$N$61-Input!$N$95)-SUM($N361:N361),(Input!$N$61-Input!$N$95)/A21taxstdlife))</f>
        <v>0</v>
      </c>
      <c r="P361" s="68">
        <f>IF(A21taxstdlife="n/a","n/a",IF(P$3&gt;(A21taxstdlife+$E361),(Input!$N$61-Input!$N$95)-SUM($N361:O361),(Input!$N$61-Input!$N$95)/A21taxstdlife))</f>
        <v>0</v>
      </c>
      <c r="Q361" s="68">
        <f>IF(A21taxstdlife="n/a","n/a",IF(Q$3&gt;(A21taxstdlife+$E361),(Input!$N$61-Input!$N$95)-SUM($N361:P361),(Input!$N$61-Input!$N$95)/A21taxstdlife))</f>
        <v>0</v>
      </c>
      <c r="R361" s="68"/>
      <c r="S361" s="103"/>
      <c r="T361" s="103"/>
      <c r="U361" s="103"/>
      <c r="V361" s="103"/>
      <c r="W361" s="103"/>
      <c r="X361" s="103"/>
      <c r="Y361" s="103"/>
      <c r="Z361" s="103"/>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216"/>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6"/>
      <c r="D362" s="672"/>
      <c r="E362" s="86">
        <v>9</v>
      </c>
      <c r="F362" s="27"/>
      <c r="G362" s="208"/>
      <c r="H362" s="150"/>
      <c r="I362" s="150"/>
      <c r="J362" s="150"/>
      <c r="K362" s="150"/>
      <c r="L362" s="150"/>
      <c r="M362" s="150"/>
      <c r="N362" s="150"/>
      <c r="O362" s="149"/>
      <c r="P362" s="68">
        <f>IF(A21taxstdlife="n/a","n/a",IF(P$3&gt;(A21taxstdlife+$E362),(Input!$O$61-Input!$O$95)-SUM($O362:O362),(Input!$O$61-Input!$O$95)/A21taxstdlife))</f>
        <v>0</v>
      </c>
      <c r="Q362" s="68">
        <f>IF(A21taxstdlife="n/a","n/a",IF(Q$3&gt;(A21taxstdlife+$E362),(Input!$O$61-Input!$O$95)-SUM($O362:P362),(Input!$O$61-Input!$O$95)/A21taxstdlife))</f>
        <v>0</v>
      </c>
      <c r="R362" s="68"/>
      <c r="S362" s="103"/>
      <c r="T362" s="103"/>
      <c r="U362" s="103"/>
      <c r="V362" s="103"/>
      <c r="W362" s="103"/>
      <c r="X362" s="103"/>
      <c r="Y362" s="103"/>
      <c r="Z362" s="103"/>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6"/>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26"/>
      <c r="D363" s="672"/>
      <c r="E363" s="86">
        <v>10</v>
      </c>
      <c r="F363" s="27"/>
      <c r="G363" s="208"/>
      <c r="H363" s="150"/>
      <c r="I363" s="150"/>
      <c r="J363" s="150"/>
      <c r="K363" s="150"/>
      <c r="L363" s="150"/>
      <c r="M363" s="150"/>
      <c r="N363" s="150"/>
      <c r="O363" s="150"/>
      <c r="P363" s="149"/>
      <c r="Q363" s="68">
        <f>IF(A21taxstdlife="n/a","n/a",IF(Q$3&gt;(A21taxstdlife+$E363),(Input!$P$61-Input!$P$95)-SUM($P363:P363),(Input!$P$61-Input!$P$95)/A21taxstdlife))</f>
        <v>0</v>
      </c>
      <c r="R363" s="68"/>
      <c r="S363" s="103"/>
      <c r="T363" s="103"/>
      <c r="U363" s="103"/>
      <c r="V363" s="103"/>
      <c r="W363" s="103"/>
      <c r="X363" s="103"/>
      <c r="Y363" s="103"/>
      <c r="Z363" s="103"/>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216"/>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26"/>
      <c r="D364" s="672"/>
      <c r="E364" s="87">
        <v>11</v>
      </c>
      <c r="F364" s="27"/>
      <c r="G364" s="208"/>
      <c r="H364" s="150"/>
      <c r="I364" s="150"/>
      <c r="J364" s="150"/>
      <c r="K364" s="150"/>
      <c r="L364" s="150"/>
      <c r="M364" s="150"/>
      <c r="N364" s="150"/>
      <c r="O364" s="150"/>
      <c r="P364" s="189"/>
      <c r="Q364" s="149"/>
      <c r="R364" s="68"/>
      <c r="S364" s="103"/>
      <c r="T364" s="103"/>
      <c r="U364" s="103"/>
      <c r="V364" s="103"/>
      <c r="W364" s="103"/>
      <c r="X364" s="103"/>
      <c r="Y364" s="103"/>
      <c r="Z364" s="103"/>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216"/>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1">
      <c r="A365" s="9"/>
      <c r="B365" s="9"/>
      <c r="C365" s="26">
        <f>Asset21</f>
        <v>0</v>
      </c>
      <c r="D365" s="9"/>
      <c r="E365" s="9"/>
      <c r="F365" s="23"/>
      <c r="G365" s="209">
        <f t="shared" ref="G365:L365" si="55">-SUM(G352:G364)</f>
        <v>0</v>
      </c>
      <c r="H365" s="166">
        <f t="shared" si="55"/>
        <v>0</v>
      </c>
      <c r="I365" s="166">
        <f t="shared" si="55"/>
        <v>0</v>
      </c>
      <c r="J365" s="166">
        <f t="shared" si="55"/>
        <v>0</v>
      </c>
      <c r="K365" s="166">
        <f t="shared" si="55"/>
        <v>0</v>
      </c>
      <c r="L365" s="166">
        <f t="shared" si="55"/>
        <v>0</v>
      </c>
      <c r="M365" s="166">
        <f>IF(Input!M173&gt;0, -SUM(M352:M364), 0)</f>
        <v>0</v>
      </c>
      <c r="N365" s="166">
        <f>IF(Input!N173&gt;0, -SUM(N352:N364), 0)</f>
        <v>0</v>
      </c>
      <c r="O365" s="166">
        <f>IF(Input!O173&gt;0, -SUM(O352:O364), 0)</f>
        <v>0</v>
      </c>
      <c r="P365" s="166">
        <f>IF(Input!P173&gt;0, -SUM(P352:P364), 0)</f>
        <v>0</v>
      </c>
      <c r="Q365" s="166">
        <f>IF(Input!Q173&gt;0, -SUM(Q352:Q364), 0)</f>
        <v>0</v>
      </c>
      <c r="R365" s="64"/>
      <c r="S365" s="102"/>
      <c r="T365" s="102"/>
      <c r="U365" s="102"/>
      <c r="V365" s="102"/>
      <c r="W365" s="102"/>
      <c r="X365" s="102"/>
      <c r="Y365" s="102"/>
      <c r="Z365" s="102"/>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188">
        <f>Asset22</f>
        <v>0</v>
      </c>
      <c r="C366" s="33"/>
      <c r="D366" s="34" t="s">
        <v>67</v>
      </c>
      <c r="E366" s="33"/>
      <c r="F366" s="35"/>
      <c r="G366" s="205">
        <f>IF(G$3&gt;A22taxremlife,A22taxvalue-SUM($F366:F366),IF(A22taxremlife="N/A","n/a",A22taxvalue/A22taxremlife))</f>
        <v>0</v>
      </c>
      <c r="H366" s="67">
        <f>IF(H$3&gt;A22taxremlife,A22taxvalue-SUM($F366:G366),IF(A22taxremlife="N/A","n/a",A22taxvalue/A22taxremlife))</f>
        <v>0</v>
      </c>
      <c r="I366" s="67">
        <f>IF(I$3&gt;A22taxremlife,A22taxvalue-SUM($F366:H366),IF(A22taxremlife="N/A","n/a",A22taxvalue/A22taxremlife))</f>
        <v>0</v>
      </c>
      <c r="J366" s="67">
        <f>IF(J$3&gt;A22taxremlife,A22taxvalue-SUM($F366:I366),IF(A22taxremlife="N/A","n/a",A22taxvalue/A22taxremlife))</f>
        <v>0</v>
      </c>
      <c r="K366" s="67">
        <f>IF(K$3&gt;A22taxremlife,A22taxvalue-SUM($F366:J366),IF(A22taxremlife="N/A","n/a",A22taxvalue/A22taxremlife))</f>
        <v>0</v>
      </c>
      <c r="L366" s="67">
        <f>IF(L$3&gt;A22taxremlife,A22taxvalue-SUM($F366:K366),IF(A22taxremlife="N/A","n/a",A22taxvalue/A22taxremlife))</f>
        <v>0</v>
      </c>
      <c r="M366" s="67">
        <f>IF(M$3&gt;A22taxremlife,A22taxvalue-SUM($F366:L366),IF(A22taxremlife="N/A","n/a",A22taxvalue/A22taxremlife))</f>
        <v>0</v>
      </c>
      <c r="N366" s="67">
        <f>IF(N$3&gt;A22taxremlife,A22taxvalue-SUM($F366:M366),IF(A22taxremlife="N/A","n/a",A22taxvalue/A22taxremlife))</f>
        <v>0</v>
      </c>
      <c r="O366" s="67">
        <f>IF(O$3&gt;A22taxremlife,A22taxvalue-SUM($F366:N366),IF(A22taxremlife="N/A","n/a",A22taxvalue/A22taxremlife))</f>
        <v>0</v>
      </c>
      <c r="P366" s="67">
        <f>IF(P$3&gt;A22taxremlife,A22taxvalue-SUM($F366:O366),IF(A22taxremlife="N/A","n/a",A22taxvalue/A22taxremlife))</f>
        <v>0</v>
      </c>
      <c r="Q366" s="67">
        <f>IF(Q$3&gt;A22taxremlife,A22taxvalue-SUM($F366:P366),IF(A22taxremlife="N/A","n/a",A22taxvalue/A22taxremlife))</f>
        <v>0</v>
      </c>
      <c r="R366" s="67"/>
      <c r="S366" s="103"/>
      <c r="T366" s="103"/>
      <c r="U366" s="103"/>
      <c r="V366" s="103"/>
      <c r="W366" s="103"/>
      <c r="X366" s="103"/>
      <c r="Y366" s="103"/>
      <c r="Z366" s="103"/>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216"/>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26"/>
      <c r="D367" s="671" t="s">
        <v>84</v>
      </c>
      <c r="E367" s="86">
        <v>0</v>
      </c>
      <c r="F367" s="27"/>
      <c r="G367" s="206"/>
      <c r="H367" s="68"/>
      <c r="I367" s="68"/>
      <c r="J367" s="68"/>
      <c r="K367" s="68"/>
      <c r="L367" s="68"/>
      <c r="M367" s="68"/>
      <c r="N367" s="68"/>
      <c r="O367" s="68"/>
      <c r="P367" s="68"/>
      <c r="Q367" s="68"/>
      <c r="R367" s="68"/>
      <c r="S367" s="103"/>
      <c r="T367" s="103"/>
      <c r="U367" s="103"/>
      <c r="V367" s="103"/>
      <c r="W367" s="103"/>
      <c r="X367" s="103"/>
      <c r="Y367" s="103"/>
      <c r="Z367" s="103"/>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216"/>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26"/>
      <c r="D368" s="672"/>
      <c r="E368" s="86">
        <v>1</v>
      </c>
      <c r="F368" s="27"/>
      <c r="G368" s="207"/>
      <c r="H368" s="68">
        <f>IF(A22taxstdlife="n/a","n/a",IF(H$3&gt;(A22taxstdlife+$E368),(Input!$G$62-Input!$G$96)-SUM($G368:G368),(Input!$G$62-Input!$G$96)/A22taxstdlife))</f>
        <v>0</v>
      </c>
      <c r="I368" s="68">
        <f>IF(A22taxstdlife="n/a","n/a",IF(I$3&gt;(A22taxstdlife+$E368),(Input!$G$62-Input!$G$96)-SUM($G368:H368),(Input!$G$62-Input!$G$96)/A22taxstdlife))</f>
        <v>0</v>
      </c>
      <c r="J368" s="68">
        <f>IF(A22taxstdlife="n/a","n/a",IF(J$3&gt;(A22taxstdlife+$E368),(Input!$G$62-Input!$G$96)-SUM($G368:I368),(Input!$G$62-Input!$G$96)/A22taxstdlife))</f>
        <v>0</v>
      </c>
      <c r="K368" s="68">
        <f>IF(A22taxstdlife="n/a","n/a",IF(K$3&gt;(A22taxstdlife+$E368),(Input!$G$62-Input!$G$96)-SUM($G368:J368),(Input!$G$62-Input!$G$96)/A22taxstdlife))</f>
        <v>0</v>
      </c>
      <c r="L368" s="68">
        <f>IF(A22taxstdlife="n/a","n/a",IF(L$3&gt;(A22taxstdlife+$E368),(Input!$G$62-Input!$G$96)-SUM($G368:K368),(Input!$G$62-Input!$G$96)/A22taxstdlife))</f>
        <v>0</v>
      </c>
      <c r="M368" s="68">
        <f>IF(A22taxstdlife="n/a","n/a",IF(M$3&gt;(A22taxstdlife+$E368),(Input!$G$62-Input!$G$96)-SUM($G368:L368),(Input!$G$62-Input!$G$96)/A22taxstdlife))</f>
        <v>0</v>
      </c>
      <c r="N368" s="68">
        <f>IF(A22taxstdlife="n/a","n/a",IF(N$3&gt;(A22taxstdlife+$E368),(Input!$G$62-Input!$G$96)-SUM($G368:M368),(Input!$G$62-Input!$G$96)/A22taxstdlife))</f>
        <v>0</v>
      </c>
      <c r="O368" s="68">
        <f>IF(A22taxstdlife="n/a","n/a",IF(O$3&gt;(A22taxstdlife+$E368),(Input!$G$62-Input!$G$96)-SUM($G368:N368),(Input!$G$62-Input!$G$96)/A22taxstdlife))</f>
        <v>0</v>
      </c>
      <c r="P368" s="68">
        <f>IF(A22taxstdlife="n/a","n/a",IF(P$3&gt;(A22taxstdlife+$E368),(Input!$G$62-Input!$G$96)-SUM($G368:O368),(Input!$G$62-Input!$G$96)/A22taxstdlife))</f>
        <v>0</v>
      </c>
      <c r="Q368" s="68">
        <f>IF(A22taxstdlife="n/a","n/a",IF(Q$3&gt;(A22taxstdlife+$E368),(Input!$G$62-Input!$G$96)-SUM($G368:P368),(Input!$G$62-Input!$G$96)/A22taxstdlife))</f>
        <v>0</v>
      </c>
      <c r="R368" s="68"/>
      <c r="S368" s="103"/>
      <c r="T368" s="103"/>
      <c r="U368" s="103"/>
      <c r="V368" s="103"/>
      <c r="W368" s="103"/>
      <c r="X368" s="103"/>
      <c r="Y368" s="103"/>
      <c r="Z368" s="103"/>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216"/>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26"/>
      <c r="D369" s="672"/>
      <c r="E369" s="86">
        <v>2</v>
      </c>
      <c r="F369" s="27"/>
      <c r="G369" s="208"/>
      <c r="H369" s="149"/>
      <c r="I369" s="68">
        <f>IF(A22taxstdlife="n/a","n/a",IF(I$3&gt;(A22taxstdlife+$E369),(Input!$H$62-Input!$H$96)-SUM($H369:H369),(Input!$H$62-Input!$H$96)/A22taxstdlife))</f>
        <v>0</v>
      </c>
      <c r="J369" s="68">
        <f>IF(A22taxstdlife="n/a","n/a",IF(J$3&gt;(A22taxstdlife+$E369),(Input!$H$62-Input!$H$96)-SUM($H369:I369),(Input!$H$62-Input!$H$96)/A22taxstdlife))</f>
        <v>0</v>
      </c>
      <c r="K369" s="68">
        <f>IF(A22taxstdlife="n/a","n/a",IF(K$3&gt;(A22taxstdlife+$E369),(Input!$H$62-Input!$H$96)-SUM($H369:J369),(Input!$H$62-Input!$H$96)/A22taxstdlife))</f>
        <v>0</v>
      </c>
      <c r="L369" s="68">
        <f>IF(A22taxstdlife="n/a","n/a",IF(L$3&gt;(A22taxstdlife+$E369),(Input!$H$62-Input!$H$96)-SUM($H369:K369),(Input!$H$62-Input!$H$96)/A22taxstdlife))</f>
        <v>0</v>
      </c>
      <c r="M369" s="68">
        <f>IF(A22taxstdlife="n/a","n/a",IF(M$3&gt;(A22taxstdlife+$E369),(Input!$H$62-Input!$H$96)-SUM($H369:L369),(Input!$H$62-Input!$H$96)/A22taxstdlife))</f>
        <v>0</v>
      </c>
      <c r="N369" s="68">
        <f>IF(A22taxstdlife="n/a","n/a",IF(N$3&gt;(A22taxstdlife+$E369),(Input!$H$62-Input!$H$96)-SUM($H369:M369),(Input!$H$62-Input!$H$96)/A22taxstdlife))</f>
        <v>0</v>
      </c>
      <c r="O369" s="68">
        <f>IF(A22taxstdlife="n/a","n/a",IF(O$3&gt;(A22taxstdlife+$E369),(Input!$H$62-Input!$H$96)-SUM($H369:N369),(Input!$H$62-Input!$H$96)/A22taxstdlife))</f>
        <v>0</v>
      </c>
      <c r="P369" s="68">
        <f>IF(A22taxstdlife="n/a","n/a",IF(P$3&gt;(A22taxstdlife+$E369),(Input!$H$62-Input!$H$96)-SUM($H369:O369),(Input!$H$62-Input!$H$96)/A22taxstdlife))</f>
        <v>0</v>
      </c>
      <c r="Q369" s="68">
        <f>IF(A22taxstdlife="n/a","n/a",IF(Q$3&gt;(A22taxstdlife+$E369),(Input!$H$62-Input!$H$96)-SUM($H369:P369),(Input!$H$62-Input!$H$96)/A22taxstdlife))</f>
        <v>0</v>
      </c>
      <c r="R369" s="68"/>
      <c r="S369" s="103"/>
      <c r="T369" s="103"/>
      <c r="U369" s="103"/>
      <c r="V369" s="103"/>
      <c r="W369" s="103"/>
      <c r="X369" s="103"/>
      <c r="Y369" s="103"/>
      <c r="Z369" s="103"/>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216"/>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26"/>
      <c r="D370" s="672"/>
      <c r="E370" s="86">
        <v>3</v>
      </c>
      <c r="F370" s="27"/>
      <c r="G370" s="208"/>
      <c r="H370" s="150"/>
      <c r="I370" s="149"/>
      <c r="J370" s="68">
        <f>IF(A22taxstdlife="n/a","n/a",IF(J$3&gt;(A22taxstdlife+$E370),(Input!$I$62-Input!$I$96)-SUM($I370:I370),(Input!$I$62-Input!$I$96)/A22taxstdlife))</f>
        <v>0</v>
      </c>
      <c r="K370" s="68">
        <f>IF(A22taxstdlife="n/a","n/a",IF(K$3&gt;(A22taxstdlife+$E370),(Input!$I$62-Input!$I$96)-SUM($I370:J370),(Input!$I$62-Input!$I$96)/A22taxstdlife))</f>
        <v>0</v>
      </c>
      <c r="L370" s="68">
        <f>IF(A22taxstdlife="n/a","n/a",IF(L$3&gt;(A22taxstdlife+$E370),(Input!$I$62-Input!$I$96)-SUM($I370:K370),(Input!$I$62-Input!$I$96)/A22taxstdlife))</f>
        <v>0</v>
      </c>
      <c r="M370" s="68">
        <f>IF(A22taxstdlife="n/a","n/a",IF(M$3&gt;(A22taxstdlife+$E370),(Input!$I$62-Input!$I$96)-SUM($I370:L370),(Input!$I$62-Input!$I$96)/A22taxstdlife))</f>
        <v>0</v>
      </c>
      <c r="N370" s="68">
        <f>IF(A22taxstdlife="n/a","n/a",IF(N$3&gt;(A22taxstdlife+$E370),(Input!$I$62-Input!$I$96)-SUM($I370:M370),(Input!$I$62-Input!$I$96)/A22taxstdlife))</f>
        <v>0</v>
      </c>
      <c r="O370" s="68">
        <f>IF(A22taxstdlife="n/a","n/a",IF(O$3&gt;(A22taxstdlife+$E370),(Input!$I$62-Input!$I$96)-SUM($I370:N370),(Input!$I$62-Input!$I$96)/A22taxstdlife))</f>
        <v>0</v>
      </c>
      <c r="P370" s="68">
        <f>IF(A22taxstdlife="n/a","n/a",IF(P$3&gt;(A22taxstdlife+$E370),(Input!$I$62-Input!$I$96)-SUM($I370:O370),(Input!$I$62-Input!$I$96)/A22taxstdlife))</f>
        <v>0</v>
      </c>
      <c r="Q370" s="68">
        <f>IF(A22taxstdlife="n/a","n/a",IF(Q$3&gt;(A22taxstdlife+$E370),(Input!$I$62-Input!$I$96)-SUM($I370:P370),(Input!$I$62-Input!$I$96)/A22taxstdlife))</f>
        <v>0</v>
      </c>
      <c r="R370" s="68"/>
      <c r="S370" s="103"/>
      <c r="T370" s="103"/>
      <c r="U370" s="103"/>
      <c r="V370" s="103"/>
      <c r="W370" s="103"/>
      <c r="X370" s="103"/>
      <c r="Y370" s="103"/>
      <c r="Z370" s="103"/>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216"/>
      <c r="BE370" s="216"/>
      <c r="BF370" s="216"/>
      <c r="BG370" s="216"/>
      <c r="BH370" s="216"/>
      <c r="BI370" s="216"/>
      <c r="BJ370" s="218"/>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26"/>
      <c r="D371" s="672"/>
      <c r="E371" s="86">
        <v>4</v>
      </c>
      <c r="F371" s="27"/>
      <c r="G371" s="208"/>
      <c r="H371" s="150"/>
      <c r="I371" s="150"/>
      <c r="J371" s="149"/>
      <c r="K371" s="68">
        <f>IF(A22taxstdlife="n/a","n/a",IF(K$3&gt;(A22taxstdlife+$E371),(Input!$J$62-Input!$J$96)-SUM($J371:J371),(Input!$J$62-Input!$J$96)/A22taxstdlife))</f>
        <v>0</v>
      </c>
      <c r="L371" s="68">
        <f>IF(A22taxstdlife="n/a","n/a",IF(L$3&gt;(A22taxstdlife+$E371),(Input!$J$62-Input!$J$96)-SUM($J371:K371),(Input!$J$62-Input!$J$96)/A22taxstdlife))</f>
        <v>0</v>
      </c>
      <c r="M371" s="68">
        <f>IF(A22taxstdlife="n/a","n/a",IF(M$3&gt;(A22taxstdlife+$E371),(Input!$J$62-Input!$J$96)-SUM($J371:L371),(Input!$J$62-Input!$J$96)/A22taxstdlife))</f>
        <v>0</v>
      </c>
      <c r="N371" s="68">
        <f>IF(A22taxstdlife="n/a","n/a",IF(N$3&gt;(A22taxstdlife+$E371),(Input!$J$62-Input!$J$96)-SUM($J371:M371),(Input!$J$62-Input!$J$96)/A22taxstdlife))</f>
        <v>0</v>
      </c>
      <c r="O371" s="68">
        <f>IF(A22taxstdlife="n/a","n/a",IF(O$3&gt;(A22taxstdlife+$E371),(Input!$J$62-Input!$J$96)-SUM($J371:N371),(Input!$J$62-Input!$J$96)/A22taxstdlife))</f>
        <v>0</v>
      </c>
      <c r="P371" s="68">
        <f>IF(A22taxstdlife="n/a","n/a",IF(P$3&gt;(A22taxstdlife+$E371),(Input!$J$62-Input!$J$96)-SUM($J371:O371),(Input!$J$62-Input!$J$96)/A22taxstdlife))</f>
        <v>0</v>
      </c>
      <c r="Q371" s="68">
        <f>IF(A22taxstdlife="n/a","n/a",IF(Q$3&gt;(A22taxstdlife+$E371),(Input!$J$62-Input!$J$96)-SUM($J371:P371),(Input!$J$62-Input!$J$96)/A22taxstdlife))</f>
        <v>0</v>
      </c>
      <c r="R371" s="68"/>
      <c r="S371" s="103"/>
      <c r="T371" s="103"/>
      <c r="U371" s="103"/>
      <c r="V371" s="103"/>
      <c r="W371" s="103"/>
      <c r="X371" s="103"/>
      <c r="Y371" s="103"/>
      <c r="Z371" s="103"/>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216"/>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26"/>
      <c r="D372" s="672"/>
      <c r="E372" s="86">
        <v>5</v>
      </c>
      <c r="F372" s="27"/>
      <c r="G372" s="208"/>
      <c r="H372" s="150"/>
      <c r="I372" s="150"/>
      <c r="J372" s="150"/>
      <c r="K372" s="149"/>
      <c r="L372" s="68">
        <f>IF(A22taxstdlife="n/a","n/a",IF(L$3&gt;(A22taxstdlife+$E372),(Input!$K$62-Input!$K$96)-SUM($K372:K372),(Input!$K$62-Input!$K$96)/A22taxstdlife))</f>
        <v>0</v>
      </c>
      <c r="M372" s="68">
        <f>IF(A22taxstdlife="n/a","n/a",IF(M$3&gt;(A22taxstdlife+$E372),(Input!$K$62-Input!$K$96)-SUM($K372:L372),(Input!$K$62-Input!$K$96)/A22taxstdlife))</f>
        <v>0</v>
      </c>
      <c r="N372" s="68">
        <f>IF(A22taxstdlife="n/a","n/a",IF(N$3&gt;(A22taxstdlife+$E372),(Input!$K$62-Input!$K$96)-SUM($K372:M372),(Input!$K$62-Input!$K$96)/A22taxstdlife))</f>
        <v>0</v>
      </c>
      <c r="O372" s="68">
        <f>IF(A22taxstdlife="n/a","n/a",IF(O$3&gt;(A22taxstdlife+$E372),(Input!$K$62-Input!$K$96)-SUM($K372:N372),(Input!$K$62-Input!$K$96)/A22taxstdlife))</f>
        <v>0</v>
      </c>
      <c r="P372" s="68">
        <f>IF(A22taxstdlife="n/a","n/a",IF(P$3&gt;(A22taxstdlife+$E372),(Input!$K$62-Input!$K$96)-SUM($K372:O372),(Input!$K$62-Input!$K$96)/A22taxstdlife))</f>
        <v>0</v>
      </c>
      <c r="Q372" s="68">
        <f>IF(A22taxstdlife="n/a","n/a",IF(Q$3&gt;(A22taxstdlife+$E372),(Input!$K$62-Input!$K$96)-SUM($K372:P372),(Input!$K$62-Input!$K$96)/A22taxstdlife))</f>
        <v>0</v>
      </c>
      <c r="R372" s="68"/>
      <c r="S372" s="103"/>
      <c r="T372" s="103"/>
      <c r="U372" s="103"/>
      <c r="V372" s="103"/>
      <c r="W372" s="103"/>
      <c r="X372" s="103"/>
      <c r="Y372" s="103"/>
      <c r="Z372" s="103"/>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216"/>
      <c r="BJ372" s="187"/>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26"/>
      <c r="D373" s="672"/>
      <c r="E373" s="86">
        <v>6</v>
      </c>
      <c r="F373" s="27"/>
      <c r="G373" s="208"/>
      <c r="H373" s="150"/>
      <c r="I373" s="150"/>
      <c r="J373" s="150"/>
      <c r="K373" s="150"/>
      <c r="L373" s="149"/>
      <c r="M373" s="68">
        <f>IF(A22taxstdlife="n/a","n/a",IF(M$3&gt;(A22taxstdlife+$E373),(Input!$L$62-Input!$L$96)-SUM($L373:L373),(Input!$L$62-Input!$L$96)/A22taxstdlife))</f>
        <v>0</v>
      </c>
      <c r="N373" s="68">
        <f>IF(A22taxstdlife="n/a","n/a",IF(N$3&gt;(A22taxstdlife+$E373),(Input!$L$62-Input!$L$96)-SUM($L373:M373),(Input!$L$62-Input!$L$96)/A22taxstdlife))</f>
        <v>0</v>
      </c>
      <c r="O373" s="68">
        <f>IF(A22taxstdlife="n/a","n/a",IF(O$3&gt;(A22taxstdlife+$E373),(Input!$L$62-Input!$L$96)-SUM($L373:N373),(Input!$L$62-Input!$L$96)/A22taxstdlife))</f>
        <v>0</v>
      </c>
      <c r="P373" s="68">
        <f>IF(A22taxstdlife="n/a","n/a",IF(P$3&gt;(A22taxstdlife+$E373),(Input!$L$62-Input!$L$96)-SUM($L373:O373),(Input!$L$62-Input!$L$96)/A22taxstdlife))</f>
        <v>0</v>
      </c>
      <c r="Q373" s="68">
        <f>IF(A22taxstdlife="n/a","n/a",IF(Q$3&gt;(A22taxstdlife+$E373),(Input!$L$62-Input!$L$96)-SUM($L373:P373),(Input!$L$62-Input!$L$96)/A22taxstdlife))</f>
        <v>0</v>
      </c>
      <c r="R373" s="68"/>
      <c r="S373" s="103"/>
      <c r="T373" s="103"/>
      <c r="U373" s="103"/>
      <c r="V373" s="103"/>
      <c r="W373" s="103"/>
      <c r="X373" s="103"/>
      <c r="Y373" s="103"/>
      <c r="Z373" s="103"/>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216"/>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customHeight="1" outlineLevel="2">
      <c r="A374" s="9"/>
      <c r="B374" s="9"/>
      <c r="C374" s="26"/>
      <c r="D374" s="672"/>
      <c r="E374" s="86">
        <v>7</v>
      </c>
      <c r="F374" s="27"/>
      <c r="G374" s="208"/>
      <c r="H374" s="150"/>
      <c r="I374" s="150"/>
      <c r="J374" s="150"/>
      <c r="K374" s="150"/>
      <c r="L374" s="150"/>
      <c r="M374" s="149"/>
      <c r="N374" s="68">
        <f>IF(A22taxstdlife="n/a","n/a",IF(N$3&gt;(A22taxstdlife+$E374),(Input!$M$62-Input!$M$96)-SUM($M374:M374),(Input!$M$62-Input!$M$96)/A22taxstdlife))</f>
        <v>0</v>
      </c>
      <c r="O374" s="68">
        <f>IF(A22taxstdlife="n/a","n/a",IF(O$3&gt;(A22taxstdlife+$E374),(Input!$M$62-Input!$M$96)-SUM($M374:N374),(Input!$M$62-Input!$M$96)/A22taxstdlife))</f>
        <v>0</v>
      </c>
      <c r="P374" s="68">
        <f>IF(A22taxstdlife="n/a","n/a",IF(P$3&gt;(A22taxstdlife+$E374),(Input!$M$62-Input!$M$96)-SUM($M374:O374),(Input!$M$62-Input!$M$96)/A22taxstdlife))</f>
        <v>0</v>
      </c>
      <c r="Q374" s="68">
        <f>IF(A22taxstdlife="n/a","n/a",IF(Q$3&gt;(A22taxstdlife+$E374),(Input!$M$62-Input!$M$96)-SUM($M374:P374),(Input!$M$62-Input!$M$96)/A22taxstdlife))</f>
        <v>0</v>
      </c>
      <c r="R374" s="68"/>
      <c r="S374" s="103"/>
      <c r="T374" s="103"/>
      <c r="U374" s="103"/>
      <c r="V374" s="103"/>
      <c r="W374" s="103"/>
      <c r="X374" s="103"/>
      <c r="Y374" s="103"/>
      <c r="Z374" s="103"/>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216"/>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customHeight="1" outlineLevel="2">
      <c r="A375" s="9"/>
      <c r="B375" s="9"/>
      <c r="C375" s="26"/>
      <c r="D375" s="672"/>
      <c r="E375" s="86">
        <v>8</v>
      </c>
      <c r="F375" s="27"/>
      <c r="G375" s="208"/>
      <c r="H375" s="150"/>
      <c r="I375" s="150"/>
      <c r="J375" s="150"/>
      <c r="K375" s="150"/>
      <c r="L375" s="150"/>
      <c r="M375" s="150"/>
      <c r="N375" s="149"/>
      <c r="O375" s="68">
        <f>IF(A22taxstdlife="n/a","n/a",IF(O$3&gt;(A22taxstdlife+$E375),(Input!$N$62-Input!$N$96)-SUM($N375:N375),(Input!$N$62-Input!$N$96)/A22taxstdlife))</f>
        <v>0</v>
      </c>
      <c r="P375" s="68">
        <f>IF(A22taxstdlife="n/a","n/a",IF(P$3&gt;(A22taxstdlife+$E375),(Input!$N$62-Input!$N$96)-SUM($N375:O375),(Input!$N$62-Input!$N$96)/A22taxstdlife))</f>
        <v>0</v>
      </c>
      <c r="Q375" s="68">
        <f>IF(A22taxstdlife="n/a","n/a",IF(Q$3&gt;(A22taxstdlife+$E375),(Input!$N$62-Input!$N$96)-SUM($N375:P375),(Input!$N$62-Input!$N$96)/A22taxstdlife))</f>
        <v>0</v>
      </c>
      <c r="R375" s="68"/>
      <c r="S375" s="103"/>
      <c r="T375" s="103"/>
      <c r="U375" s="103"/>
      <c r="V375" s="103"/>
      <c r="W375" s="103"/>
      <c r="X375" s="103"/>
      <c r="Y375" s="103"/>
      <c r="Z375" s="103"/>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26"/>
      <c r="D376" s="672"/>
      <c r="E376" s="86">
        <v>9</v>
      </c>
      <c r="F376" s="27"/>
      <c r="G376" s="208"/>
      <c r="H376" s="150"/>
      <c r="I376" s="150"/>
      <c r="J376" s="150"/>
      <c r="K376" s="150"/>
      <c r="L376" s="150"/>
      <c r="M376" s="150"/>
      <c r="N376" s="150"/>
      <c r="O376" s="149"/>
      <c r="P376" s="68">
        <f>IF(A22taxstdlife="n/a","n/a",IF(P$3&gt;(A22taxstdlife+$E376),(Input!$O$62-Input!$O$96)-SUM($O376:O376),(Input!$O$62-Input!$O$96)/A22taxstdlife))</f>
        <v>0</v>
      </c>
      <c r="Q376" s="68">
        <f>IF(A22taxstdlife="n/a","n/a",IF(Q$3&gt;(A22taxstdlife+$E376),(Input!$O$62-Input!$O$96)-SUM($O376:P376),(Input!$O$62-Input!$O$96)/A22taxstdlife))</f>
        <v>0</v>
      </c>
      <c r="R376" s="68"/>
      <c r="S376" s="103"/>
      <c r="T376" s="103"/>
      <c r="U376" s="103"/>
      <c r="V376" s="103"/>
      <c r="W376" s="103"/>
      <c r="X376" s="103"/>
      <c r="Y376" s="103"/>
      <c r="Z376" s="103"/>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216"/>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customHeight="1" outlineLevel="2">
      <c r="A377" s="9"/>
      <c r="B377" s="9"/>
      <c r="C377" s="26"/>
      <c r="D377" s="672"/>
      <c r="E377" s="86">
        <v>10</v>
      </c>
      <c r="F377" s="27"/>
      <c r="G377" s="208"/>
      <c r="H377" s="150"/>
      <c r="I377" s="150"/>
      <c r="J377" s="150"/>
      <c r="K377" s="150"/>
      <c r="L377" s="150"/>
      <c r="M377" s="150"/>
      <c r="N377" s="150"/>
      <c r="O377" s="150"/>
      <c r="P377" s="149"/>
      <c r="Q377" s="68">
        <f>IF(A22taxstdlife="n/a","n/a",IF(Q$3&gt;(A22taxstdlife+$E377),(Input!$P$62-Input!$P$96)-SUM($P377:P377),(Input!$P$62-Input!$P$96)/A22taxstdlife))</f>
        <v>0</v>
      </c>
      <c r="R377" s="68"/>
      <c r="S377" s="103"/>
      <c r="T377" s="103"/>
      <c r="U377" s="103"/>
      <c r="V377" s="103"/>
      <c r="W377" s="103"/>
      <c r="X377" s="103"/>
      <c r="Y377" s="103"/>
      <c r="Z377" s="103"/>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216"/>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customHeight="1" outlineLevel="2">
      <c r="A378" s="9"/>
      <c r="B378" s="9"/>
      <c r="C378" s="26"/>
      <c r="D378" s="672"/>
      <c r="E378" s="87">
        <v>11</v>
      </c>
      <c r="F378" s="27"/>
      <c r="G378" s="208"/>
      <c r="H378" s="150"/>
      <c r="I378" s="150"/>
      <c r="J378" s="150"/>
      <c r="K378" s="150"/>
      <c r="L378" s="150"/>
      <c r="M378" s="150"/>
      <c r="N378" s="150"/>
      <c r="O378" s="150"/>
      <c r="P378" s="189"/>
      <c r="Q378" s="149"/>
      <c r="R378" s="68"/>
      <c r="S378" s="103"/>
      <c r="T378" s="103"/>
      <c r="U378" s="103"/>
      <c r="V378" s="103"/>
      <c r="W378" s="103"/>
      <c r="X378" s="103"/>
      <c r="Y378" s="103"/>
      <c r="Z378" s="103"/>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216"/>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1">
      <c r="A379" s="9"/>
      <c r="B379" s="9"/>
      <c r="C379" s="26">
        <f>Asset22</f>
        <v>0</v>
      </c>
      <c r="D379" s="9"/>
      <c r="E379" s="9"/>
      <c r="F379" s="23"/>
      <c r="G379" s="209">
        <f t="shared" ref="G379:L379" si="56">-SUM(G366:G378)</f>
        <v>0</v>
      </c>
      <c r="H379" s="166">
        <f t="shared" si="56"/>
        <v>0</v>
      </c>
      <c r="I379" s="166">
        <f t="shared" si="56"/>
        <v>0</v>
      </c>
      <c r="J379" s="166">
        <f t="shared" si="56"/>
        <v>0</v>
      </c>
      <c r="K379" s="166">
        <f t="shared" si="56"/>
        <v>0</v>
      </c>
      <c r="L379" s="166">
        <f t="shared" si="56"/>
        <v>0</v>
      </c>
      <c r="M379" s="166">
        <f>IF(Input!M173&gt;0, -SUM(M366:M378), 0)</f>
        <v>0</v>
      </c>
      <c r="N379" s="166">
        <f>IF(Input!N173&gt;0, -SUM(N366:N378), 0)</f>
        <v>0</v>
      </c>
      <c r="O379" s="166">
        <f>IF(Input!O173&gt;0, -SUM(O366:O378), 0)</f>
        <v>0</v>
      </c>
      <c r="P379" s="166">
        <f>IF(Input!P173&gt;0, -SUM(P366:P378), 0)</f>
        <v>0</v>
      </c>
      <c r="Q379" s="166">
        <f>IF(Input!Q173&gt;0, -SUM(Q366:Q378), 0)</f>
        <v>0</v>
      </c>
      <c r="R379" s="64"/>
      <c r="S379" s="102"/>
      <c r="T379" s="102"/>
      <c r="U379" s="102"/>
      <c r="V379" s="102"/>
      <c r="W379" s="102"/>
      <c r="X379" s="102"/>
      <c r="Y379" s="102"/>
      <c r="Z379" s="102"/>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customHeight="1" outlineLevel="2">
      <c r="A380" s="9"/>
      <c r="B380" s="188">
        <f>Asset23</f>
        <v>0</v>
      </c>
      <c r="C380" s="33"/>
      <c r="D380" s="34" t="s">
        <v>67</v>
      </c>
      <c r="E380" s="33"/>
      <c r="F380" s="35"/>
      <c r="G380" s="205">
        <f>IF(G$3&gt;A23taxremlife,A23taxvalue-SUM($F380:F380),IF(A23taxremlife="N/A","n/a",A23taxvalue/A23taxremlife))</f>
        <v>0</v>
      </c>
      <c r="H380" s="67">
        <f>IF(H$3&gt;A23taxremlife,A23taxvalue-SUM($F380:G380),IF(A23taxremlife="N/A","n/a",A23taxvalue/A23taxremlife))</f>
        <v>0</v>
      </c>
      <c r="I380" s="67">
        <f>IF(I$3&gt;A23taxremlife,A23taxvalue-SUM($F380:H380),IF(A23taxremlife="N/A","n/a",A23taxvalue/A23taxremlife))</f>
        <v>0</v>
      </c>
      <c r="J380" s="67">
        <f>IF(J$3&gt;A23taxremlife,A23taxvalue-SUM($F380:I380),IF(A23taxremlife="N/A","n/a",A23taxvalue/A23taxremlife))</f>
        <v>0</v>
      </c>
      <c r="K380" s="67">
        <f>IF(K$3&gt;A23taxremlife,A23taxvalue-SUM($F380:J380),IF(A23taxremlife="N/A","n/a",A23taxvalue/A23taxremlife))</f>
        <v>0</v>
      </c>
      <c r="L380" s="67">
        <f>IF(L$3&gt;A23taxremlife,A23taxvalue-SUM($F380:K380),IF(A23taxremlife="N/A","n/a",A23taxvalue/A23taxremlife))</f>
        <v>0</v>
      </c>
      <c r="M380" s="67">
        <f>IF(M$3&gt;A23taxremlife,A23taxvalue-SUM($F380:L380),IF(A23taxremlife="N/A","n/a",A23taxvalue/A23taxremlife))</f>
        <v>0</v>
      </c>
      <c r="N380" s="67">
        <f>IF(N$3&gt;A23taxremlife,A23taxvalue-SUM($F380:M380),IF(A23taxremlife="N/A","n/a",A23taxvalue/A23taxremlife))</f>
        <v>0</v>
      </c>
      <c r="O380" s="67">
        <f>IF(O$3&gt;A23taxremlife,A23taxvalue-SUM($F380:N380),IF(A23taxremlife="N/A","n/a",A23taxvalue/A23taxremlife))</f>
        <v>0</v>
      </c>
      <c r="P380" s="67">
        <f>IF(P$3&gt;A23taxremlife,A23taxvalue-SUM($F380:O380),IF(A23taxremlife="N/A","n/a",A23taxvalue/A23taxremlife))</f>
        <v>0</v>
      </c>
      <c r="Q380" s="67">
        <f>IF(Q$3&gt;A23taxremlife,A23taxvalue-SUM($F380:P380),IF(A23taxremlife="N/A","n/a",A23taxvalue/A23taxremlife))</f>
        <v>0</v>
      </c>
      <c r="R380" s="67"/>
      <c r="S380" s="103"/>
      <c r="T380" s="103"/>
      <c r="U380" s="103"/>
      <c r="V380" s="103"/>
      <c r="W380" s="103"/>
      <c r="X380" s="103"/>
      <c r="Y380" s="103"/>
      <c r="Z380" s="103"/>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216"/>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customHeight="1" outlineLevel="2">
      <c r="A381" s="9"/>
      <c r="B381" s="9"/>
      <c r="C381" s="26"/>
      <c r="D381" s="671" t="s">
        <v>84</v>
      </c>
      <c r="E381" s="86">
        <v>0</v>
      </c>
      <c r="F381" s="27"/>
      <c r="G381" s="206"/>
      <c r="H381" s="68"/>
      <c r="I381" s="68"/>
      <c r="J381" s="68"/>
      <c r="K381" s="68"/>
      <c r="L381" s="68"/>
      <c r="M381" s="68"/>
      <c r="N381" s="68"/>
      <c r="O381" s="68"/>
      <c r="P381" s="68"/>
      <c r="Q381" s="68"/>
      <c r="R381" s="68"/>
      <c r="S381" s="103"/>
      <c r="T381" s="103"/>
      <c r="U381" s="103"/>
      <c r="V381" s="103"/>
      <c r="W381" s="103"/>
      <c r="X381" s="103"/>
      <c r="Y381" s="103"/>
      <c r="Z381" s="103"/>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216"/>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customHeight="1" outlineLevel="2">
      <c r="A382" s="9"/>
      <c r="B382" s="9"/>
      <c r="C382" s="26"/>
      <c r="D382" s="672"/>
      <c r="E382" s="86">
        <v>1</v>
      </c>
      <c r="F382" s="27"/>
      <c r="G382" s="207"/>
      <c r="H382" s="68">
        <f>IF(A23taxstdlife="n/a","n/a",IF(H$3&gt;(A23taxstdlife+$E382),(Input!$G$63-Input!$G$97)-SUM($G382:G382),(Input!$G$63-Input!$G$97)/A23taxstdlife))</f>
        <v>0</v>
      </c>
      <c r="I382" s="68">
        <f>IF(A23taxstdlife="n/a","n/a",IF(I$3&gt;(A23taxstdlife+$E382),(Input!$G$63-Input!$G$97)-SUM($G382:H382),(Input!$G$63-Input!$G$97)/A23taxstdlife))</f>
        <v>0</v>
      </c>
      <c r="J382" s="68">
        <f>IF(A23taxstdlife="n/a","n/a",IF(J$3&gt;(A23taxstdlife+$E382),(Input!$G$63-Input!$G$97)-SUM($G382:I382),(Input!$G$63-Input!$G$97)/A23taxstdlife))</f>
        <v>0</v>
      </c>
      <c r="K382" s="68">
        <f>IF(A23taxstdlife="n/a","n/a",IF(K$3&gt;(A23taxstdlife+$E382),(Input!$G$63-Input!$G$97)-SUM($G382:J382),(Input!$G$63-Input!$G$97)/A23taxstdlife))</f>
        <v>0</v>
      </c>
      <c r="L382" s="68">
        <f>IF(A23taxstdlife="n/a","n/a",IF(L$3&gt;(A23taxstdlife+$E382),(Input!$G$63-Input!$G$97)-SUM($G382:K382),(Input!$G$63-Input!$G$97)/A23taxstdlife))</f>
        <v>0</v>
      </c>
      <c r="M382" s="68">
        <f>IF(A23taxstdlife="n/a","n/a",IF(M$3&gt;(A23taxstdlife+$E382),(Input!$G$63-Input!$G$97)-SUM($G382:L382),(Input!$G$63-Input!$G$97)/A23taxstdlife))</f>
        <v>0</v>
      </c>
      <c r="N382" s="68">
        <f>IF(A23taxstdlife="n/a","n/a",IF(N$3&gt;(A23taxstdlife+$E382),(Input!$G$63-Input!$G$97)-SUM($G382:M382),(Input!$G$63-Input!$G$97)/A23taxstdlife))</f>
        <v>0</v>
      </c>
      <c r="O382" s="68">
        <f>IF(A23taxstdlife="n/a","n/a",IF(O$3&gt;(A23taxstdlife+$E382),(Input!$G$63-Input!$G$97)-SUM($G382:N382),(Input!$G$63-Input!$G$97)/A23taxstdlife))</f>
        <v>0</v>
      </c>
      <c r="P382" s="68">
        <f>IF(A23taxstdlife="n/a","n/a",IF(P$3&gt;(A23taxstdlife+$E382),(Input!$G$63-Input!$G$97)-SUM($G382:O382),(Input!$G$63-Input!$G$97)/A23taxstdlife))</f>
        <v>0</v>
      </c>
      <c r="Q382" s="68">
        <f>IF(A23taxstdlife="n/a","n/a",IF(Q$3&gt;(A23taxstdlife+$E382),(Input!$G$63-Input!$G$97)-SUM($G382:P382),(Input!$G$63-Input!$G$97)/A23taxstdlife))</f>
        <v>0</v>
      </c>
      <c r="R382" s="68"/>
      <c r="S382" s="103"/>
      <c r="T382" s="103"/>
      <c r="U382" s="103"/>
      <c r="V382" s="103"/>
      <c r="W382" s="103"/>
      <c r="X382" s="103"/>
      <c r="Y382" s="103"/>
      <c r="Z382" s="103"/>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216"/>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customHeight="1" outlineLevel="2">
      <c r="A383" s="9"/>
      <c r="B383" s="9"/>
      <c r="C383" s="26"/>
      <c r="D383" s="672"/>
      <c r="E383" s="86">
        <v>2</v>
      </c>
      <c r="F383" s="27"/>
      <c r="G383" s="208"/>
      <c r="H383" s="149"/>
      <c r="I383" s="68">
        <f>IF(A23taxstdlife="n/a","n/a",IF(I$3&gt;(A23taxstdlife+$E383),(Input!$H$63-Input!$H$97)-SUM($H383:H383),(Input!$H$63-Input!$H$97)/A23taxstdlife))</f>
        <v>0</v>
      </c>
      <c r="J383" s="68">
        <f>IF(A23taxstdlife="n/a","n/a",IF(J$3&gt;(A23taxstdlife+$E383),(Input!$H$63-Input!$H$97)-SUM($H383:I383),(Input!$H$63-Input!$H$97)/A23taxstdlife))</f>
        <v>0</v>
      </c>
      <c r="K383" s="68">
        <f>IF(A23taxstdlife="n/a","n/a",IF(K$3&gt;(A23taxstdlife+$E383),(Input!$H$63-Input!$H$97)-SUM($H383:J383),(Input!$H$63-Input!$H$97)/A23taxstdlife))</f>
        <v>0</v>
      </c>
      <c r="L383" s="68">
        <f>IF(A23taxstdlife="n/a","n/a",IF(L$3&gt;(A23taxstdlife+$E383),(Input!$H$63-Input!$H$97)-SUM($H383:K383),(Input!$H$63-Input!$H$97)/A23taxstdlife))</f>
        <v>0</v>
      </c>
      <c r="M383" s="68">
        <f>IF(A23taxstdlife="n/a","n/a",IF(M$3&gt;(A23taxstdlife+$E383),(Input!$H$63-Input!$H$97)-SUM($H383:L383),(Input!$H$63-Input!$H$97)/A23taxstdlife))</f>
        <v>0</v>
      </c>
      <c r="N383" s="68">
        <f>IF(A23taxstdlife="n/a","n/a",IF(N$3&gt;(A23taxstdlife+$E383),(Input!$H$63-Input!$H$97)-SUM($H383:M383),(Input!$H$63-Input!$H$97)/A23taxstdlife))</f>
        <v>0</v>
      </c>
      <c r="O383" s="68">
        <f>IF(A23taxstdlife="n/a","n/a",IF(O$3&gt;(A23taxstdlife+$E383),(Input!$H$63-Input!$H$97)-SUM($H383:N383),(Input!$H$63-Input!$H$97)/A23taxstdlife))</f>
        <v>0</v>
      </c>
      <c r="P383" s="68">
        <f>IF(A23taxstdlife="n/a","n/a",IF(P$3&gt;(A23taxstdlife+$E383),(Input!$H$63-Input!$H$97)-SUM($H383:O383),(Input!$H$63-Input!$H$97)/A23taxstdlife))</f>
        <v>0</v>
      </c>
      <c r="Q383" s="68">
        <f>IF(A23taxstdlife="n/a","n/a",IF(Q$3&gt;(A23taxstdlife+$E383),(Input!$H$63-Input!$H$97)-SUM($H383:P383),(Input!$H$63-Input!$H$97)/A23taxstdlife))</f>
        <v>0</v>
      </c>
      <c r="R383" s="68"/>
      <c r="S383" s="103"/>
      <c r="T383" s="103"/>
      <c r="U383" s="103"/>
      <c r="V383" s="103"/>
      <c r="W383" s="103"/>
      <c r="X383" s="103"/>
      <c r="Y383" s="103"/>
      <c r="Z383" s="103"/>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216"/>
      <c r="BE383" s="216"/>
      <c r="BF383" s="216"/>
      <c r="BG383" s="216"/>
      <c r="BH383" s="216"/>
      <c r="BI383" s="216"/>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customHeight="1" outlineLevel="2">
      <c r="A384" s="9"/>
      <c r="B384" s="9"/>
      <c r="C384" s="26"/>
      <c r="D384" s="672"/>
      <c r="E384" s="86">
        <v>3</v>
      </c>
      <c r="F384" s="27"/>
      <c r="G384" s="208"/>
      <c r="H384" s="150"/>
      <c r="I384" s="149"/>
      <c r="J384" s="68">
        <f>IF(A23taxstdlife="n/a","n/a",IF(J$3&gt;(A23taxstdlife+$E384),(Input!$I$63-Input!$I$97)-SUM($I384:I384),(Input!$I$63-Input!$I$97)/A23taxstdlife))</f>
        <v>0</v>
      </c>
      <c r="K384" s="68">
        <f>IF(A23taxstdlife="n/a","n/a",IF(K$3&gt;(A23taxstdlife+$E384),(Input!$I$63-Input!$I$97)-SUM($I384:J384),(Input!$I$63-Input!$I$97)/A23taxstdlife))</f>
        <v>0</v>
      </c>
      <c r="L384" s="68">
        <f>IF(A23taxstdlife="n/a","n/a",IF(L$3&gt;(A23taxstdlife+$E384),(Input!$I$63-Input!$I$97)-SUM($I384:K384),(Input!$I$63-Input!$I$97)/A23taxstdlife))</f>
        <v>0</v>
      </c>
      <c r="M384" s="68">
        <f>IF(A23taxstdlife="n/a","n/a",IF(M$3&gt;(A23taxstdlife+$E384),(Input!$I$63-Input!$I$97)-SUM($I384:L384),(Input!$I$63-Input!$I$97)/A23taxstdlife))</f>
        <v>0</v>
      </c>
      <c r="N384" s="68">
        <f>IF(A23taxstdlife="n/a","n/a",IF(N$3&gt;(A23taxstdlife+$E384),(Input!$I$63-Input!$I$97)-SUM($I384:M384),(Input!$I$63-Input!$I$97)/A23taxstdlife))</f>
        <v>0</v>
      </c>
      <c r="O384" s="68">
        <f>IF(A23taxstdlife="n/a","n/a",IF(O$3&gt;(A23taxstdlife+$E384),(Input!$I$63-Input!$I$97)-SUM($I384:N384),(Input!$I$63-Input!$I$97)/A23taxstdlife))</f>
        <v>0</v>
      </c>
      <c r="P384" s="68">
        <f>IF(A23taxstdlife="n/a","n/a",IF(P$3&gt;(A23taxstdlife+$E384),(Input!$I$63-Input!$I$97)-SUM($I384:O384),(Input!$I$63-Input!$I$97)/A23taxstdlife))</f>
        <v>0</v>
      </c>
      <c r="Q384" s="68">
        <f>IF(A23taxstdlife="n/a","n/a",IF(Q$3&gt;(A23taxstdlife+$E384),(Input!$I$63-Input!$I$97)-SUM($I384:P384),(Input!$I$63-Input!$I$97)/A23taxstdlife))</f>
        <v>0</v>
      </c>
      <c r="R384" s="68"/>
      <c r="S384" s="103"/>
      <c r="T384" s="103"/>
      <c r="U384" s="103"/>
      <c r="V384" s="103"/>
      <c r="W384" s="103"/>
      <c r="X384" s="103"/>
      <c r="Y384" s="103"/>
      <c r="Z384" s="103"/>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8"/>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customHeight="1" outlineLevel="2">
      <c r="A385" s="9"/>
      <c r="B385" s="9"/>
      <c r="C385" s="26"/>
      <c r="D385" s="672"/>
      <c r="E385" s="86">
        <v>4</v>
      </c>
      <c r="F385" s="27"/>
      <c r="G385" s="208"/>
      <c r="H385" s="150"/>
      <c r="I385" s="150"/>
      <c r="J385" s="149"/>
      <c r="K385" s="68">
        <f>IF(A23taxstdlife="n/a","n/a",IF(K$3&gt;(A23taxstdlife+$E385),(Input!$J$63-Input!$J$97)-SUM($J385:J385),(Input!$J$63-Input!$J$97)/A23taxstdlife))</f>
        <v>0</v>
      </c>
      <c r="L385" s="68">
        <f>IF(A23taxstdlife="n/a","n/a",IF(L$3&gt;(A23taxstdlife+$E385),(Input!$J$63-Input!$J$97)-SUM($J385:K385),(Input!$J$63-Input!$J$97)/A23taxstdlife))</f>
        <v>0</v>
      </c>
      <c r="M385" s="68">
        <f>IF(A23taxstdlife="n/a","n/a",IF(M$3&gt;(A23taxstdlife+$E385),(Input!$J$63-Input!$J$97)-SUM($J385:L385),(Input!$J$63-Input!$J$97)/A23taxstdlife))</f>
        <v>0</v>
      </c>
      <c r="N385" s="68">
        <f>IF(A23taxstdlife="n/a","n/a",IF(N$3&gt;(A23taxstdlife+$E385),(Input!$J$63-Input!$J$97)-SUM($J385:M385),(Input!$J$63-Input!$J$97)/A23taxstdlife))</f>
        <v>0</v>
      </c>
      <c r="O385" s="68">
        <f>IF(A23taxstdlife="n/a","n/a",IF(O$3&gt;(A23taxstdlife+$E385),(Input!$J$63-Input!$J$97)-SUM($J385:N385),(Input!$J$63-Input!$J$97)/A23taxstdlife))</f>
        <v>0</v>
      </c>
      <c r="P385" s="68">
        <f>IF(A23taxstdlife="n/a","n/a",IF(P$3&gt;(A23taxstdlife+$E385),(Input!$J$63-Input!$J$97)-SUM($J385:O385),(Input!$J$63-Input!$J$97)/A23taxstdlife))</f>
        <v>0</v>
      </c>
      <c r="Q385" s="68">
        <f>IF(A23taxstdlife="n/a","n/a",IF(Q$3&gt;(A23taxstdlife+$E385),(Input!$J$63-Input!$J$97)-SUM($J385:P385),(Input!$J$63-Input!$J$97)/A23taxstdlife))</f>
        <v>0</v>
      </c>
      <c r="R385" s="68"/>
      <c r="S385" s="103"/>
      <c r="T385" s="103"/>
      <c r="U385" s="103"/>
      <c r="V385" s="103"/>
      <c r="W385" s="103"/>
      <c r="X385" s="103"/>
      <c r="Y385" s="103"/>
      <c r="Z385" s="103"/>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customHeight="1" outlineLevel="2">
      <c r="A386" s="9"/>
      <c r="B386" s="9"/>
      <c r="C386" s="26"/>
      <c r="D386" s="672"/>
      <c r="E386" s="86">
        <v>5</v>
      </c>
      <c r="F386" s="27"/>
      <c r="G386" s="208"/>
      <c r="H386" s="150"/>
      <c r="I386" s="150"/>
      <c r="J386" s="150"/>
      <c r="K386" s="149"/>
      <c r="L386" s="68">
        <f>IF(A23taxstdlife="n/a","n/a",IF(L$3&gt;(A23taxstdlife+$E386),(Input!$K$63-Input!$K$97)-SUM($K386:K386),(Input!$K$63-Input!$K$97)/A23taxstdlife))</f>
        <v>0</v>
      </c>
      <c r="M386" s="68">
        <f>IF(A23taxstdlife="n/a","n/a",IF(M$3&gt;(A23taxstdlife+$E386),(Input!$K$63-Input!$K$97)-SUM($K386:L386),(Input!$K$63-Input!$K$97)/A23taxstdlife))</f>
        <v>0</v>
      </c>
      <c r="N386" s="68">
        <f>IF(A23taxstdlife="n/a","n/a",IF(N$3&gt;(A23taxstdlife+$E386),(Input!$K$63-Input!$K$97)-SUM($K386:M386),(Input!$K$63-Input!$K$97)/A23taxstdlife))</f>
        <v>0</v>
      </c>
      <c r="O386" s="68">
        <f>IF(A23taxstdlife="n/a","n/a",IF(O$3&gt;(A23taxstdlife+$E386),(Input!$K$63-Input!$K$97)-SUM($K386:N386),(Input!$K$63-Input!$K$97)/A23taxstdlife))</f>
        <v>0</v>
      </c>
      <c r="P386" s="68">
        <f>IF(A23taxstdlife="n/a","n/a",IF(P$3&gt;(A23taxstdlife+$E386),(Input!$K$63-Input!$K$97)-SUM($K386:O386),(Input!$K$63-Input!$K$97)/A23taxstdlife))</f>
        <v>0</v>
      </c>
      <c r="Q386" s="68">
        <f>IF(A23taxstdlife="n/a","n/a",IF(Q$3&gt;(A23taxstdlife+$E386),(Input!$K$63-Input!$K$97)-SUM($K386:P386),(Input!$K$63-Input!$K$97)/A23taxstdlife))</f>
        <v>0</v>
      </c>
      <c r="R386" s="68"/>
      <c r="S386" s="103"/>
      <c r="T386" s="103"/>
      <c r="U386" s="103"/>
      <c r="V386" s="103"/>
      <c r="W386" s="103"/>
      <c r="X386" s="103"/>
      <c r="Y386" s="103"/>
      <c r="Z386" s="103"/>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216"/>
      <c r="BJ386" s="187"/>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customHeight="1" outlineLevel="2">
      <c r="A387" s="9"/>
      <c r="B387" s="9"/>
      <c r="C387" s="26"/>
      <c r="D387" s="672"/>
      <c r="E387" s="86">
        <v>6</v>
      </c>
      <c r="F387" s="27"/>
      <c r="G387" s="208"/>
      <c r="H387" s="150"/>
      <c r="I387" s="150"/>
      <c r="J387" s="150"/>
      <c r="K387" s="150"/>
      <c r="L387" s="149"/>
      <c r="M387" s="68">
        <f>IF(A23taxstdlife="n/a","n/a",IF(M$3&gt;(A23taxstdlife+$E387),(Input!$L$63-Input!$L$97)-SUM($L387:L387),(Input!$L$63-Input!$L$97)/A23taxstdlife))</f>
        <v>0</v>
      </c>
      <c r="N387" s="68">
        <f>IF(A23taxstdlife="n/a","n/a",IF(N$3&gt;(A23taxstdlife+$E387),(Input!$L$63-Input!$L$97)-SUM($L387:M387),(Input!$L$63-Input!$L$97)/A23taxstdlife))</f>
        <v>0</v>
      </c>
      <c r="O387" s="68">
        <f>IF(A23taxstdlife="n/a","n/a",IF(O$3&gt;(A23taxstdlife+$E387),(Input!$L$63-Input!$L$97)-SUM($L387:N387),(Input!$L$63-Input!$L$97)/A23taxstdlife))</f>
        <v>0</v>
      </c>
      <c r="P387" s="68">
        <f>IF(A23taxstdlife="n/a","n/a",IF(P$3&gt;(A23taxstdlife+$E387),(Input!$L$63-Input!$L$97)-SUM($L387:O387),(Input!$L$63-Input!$L$97)/A23taxstdlife))</f>
        <v>0</v>
      </c>
      <c r="Q387" s="68">
        <f>IF(A23taxstdlife="n/a","n/a",IF(Q$3&gt;(A23taxstdlife+$E387),(Input!$L$63-Input!$L$97)-SUM($L387:P387),(Input!$L$63-Input!$L$97)/A23taxstdlife))</f>
        <v>0</v>
      </c>
      <c r="R387" s="68"/>
      <c r="S387" s="103"/>
      <c r="T387" s="103"/>
      <c r="U387" s="103"/>
      <c r="V387" s="103"/>
      <c r="W387" s="103"/>
      <c r="X387" s="103"/>
      <c r="Y387" s="103"/>
      <c r="Z387" s="103"/>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216"/>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customHeight="1" outlineLevel="2">
      <c r="A388" s="9"/>
      <c r="B388" s="9"/>
      <c r="C388" s="26"/>
      <c r="D388" s="672"/>
      <c r="E388" s="86">
        <v>7</v>
      </c>
      <c r="F388" s="27"/>
      <c r="G388" s="208"/>
      <c r="H388" s="150"/>
      <c r="I388" s="150"/>
      <c r="J388" s="150"/>
      <c r="K388" s="150"/>
      <c r="L388" s="150"/>
      <c r="M388" s="149"/>
      <c r="N388" s="68">
        <f>IF(A23taxstdlife="n/a","n/a",IF(N$3&gt;(A23taxstdlife+$E388),(Input!$M$63-Input!$M$97)-SUM($M388:M388),(Input!$M$63-Input!$M$97)/A23taxstdlife))</f>
        <v>0</v>
      </c>
      <c r="O388" s="68">
        <f>IF(A23taxstdlife="n/a","n/a",IF(O$3&gt;(A23taxstdlife+$E388),(Input!$M$63-Input!$M$97)-SUM($M388:N388),(Input!$M$63-Input!$M$97)/A23taxstdlife))</f>
        <v>0</v>
      </c>
      <c r="P388" s="68">
        <f>IF(A23taxstdlife="n/a","n/a",IF(P$3&gt;(A23taxstdlife+$E388),(Input!$M$63-Input!$M$97)-SUM($M388:O388),(Input!$M$63-Input!$M$97)/A23taxstdlife))</f>
        <v>0</v>
      </c>
      <c r="Q388" s="68">
        <f>IF(A23taxstdlife="n/a","n/a",IF(Q$3&gt;(A23taxstdlife+$E388),(Input!$M$63-Input!$M$97)-SUM($M388:P388),(Input!$M$63-Input!$M$97)/A23taxstdlife))</f>
        <v>0</v>
      </c>
      <c r="R388" s="68"/>
      <c r="S388" s="103"/>
      <c r="T388" s="103"/>
      <c r="U388" s="103"/>
      <c r="V388" s="103"/>
      <c r="W388" s="103"/>
      <c r="X388" s="103"/>
      <c r="Y388" s="103"/>
      <c r="Z388" s="103"/>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6"/>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26"/>
      <c r="D389" s="672"/>
      <c r="E389" s="86">
        <v>8</v>
      </c>
      <c r="F389" s="27"/>
      <c r="G389" s="208"/>
      <c r="H389" s="150"/>
      <c r="I389" s="150"/>
      <c r="J389" s="150"/>
      <c r="K389" s="150"/>
      <c r="L389" s="150"/>
      <c r="M389" s="150"/>
      <c r="N389" s="149"/>
      <c r="O389" s="68">
        <f>IF(A23taxstdlife="n/a","n/a",IF(O$3&gt;(A23taxstdlife+$E389),(Input!$N$63-Input!$N$97)-SUM($N389:N389),(Input!$N$63-Input!$N$97)/A23taxstdlife))</f>
        <v>0</v>
      </c>
      <c r="P389" s="68">
        <f>IF(A23taxstdlife="n/a","n/a",IF(P$3&gt;(A23taxstdlife+$E389),(Input!$N$63-Input!$N$97)-SUM($N389:O389),(Input!$N$63-Input!$N$97)/A23taxstdlife))</f>
        <v>0</v>
      </c>
      <c r="Q389" s="68">
        <f>IF(A23taxstdlife="n/a","n/a",IF(Q$3&gt;(A23taxstdlife+$E389),(Input!$N$63-Input!$N$97)-SUM($N389:P389),(Input!$N$63-Input!$N$97)/A23taxstdlife))</f>
        <v>0</v>
      </c>
      <c r="R389" s="68"/>
      <c r="S389" s="103"/>
      <c r="T389" s="103"/>
      <c r="U389" s="103"/>
      <c r="V389" s="103"/>
      <c r="W389" s="103"/>
      <c r="X389" s="103"/>
      <c r="Y389" s="103"/>
      <c r="Z389" s="103"/>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216"/>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customHeight="1" outlineLevel="2">
      <c r="A390" s="9"/>
      <c r="B390" s="9"/>
      <c r="C390" s="26"/>
      <c r="D390" s="672"/>
      <c r="E390" s="86">
        <v>9</v>
      </c>
      <c r="F390" s="27"/>
      <c r="G390" s="208"/>
      <c r="H390" s="150"/>
      <c r="I390" s="150"/>
      <c r="J390" s="150"/>
      <c r="K390" s="150"/>
      <c r="L390" s="150"/>
      <c r="M390" s="150"/>
      <c r="N390" s="150"/>
      <c r="O390" s="149"/>
      <c r="P390" s="68">
        <f>IF(A23taxstdlife="n/a","n/a",IF(P$3&gt;(A23taxstdlife+$E390),(Input!$O$63-Input!$O$97)-SUM($O390:O390),(Input!$O$63-Input!$O$97)/A23taxstdlife))</f>
        <v>0</v>
      </c>
      <c r="Q390" s="68">
        <f>IF(A23taxstdlife="n/a","n/a",IF(Q$3&gt;(A23taxstdlife+$E390),(Input!$O$63-Input!$O$97)-SUM($O390:P390),(Input!$O$63-Input!$O$97)/A23taxstdlife))</f>
        <v>0</v>
      </c>
      <c r="R390" s="68"/>
      <c r="S390" s="103"/>
      <c r="T390" s="103"/>
      <c r="U390" s="103"/>
      <c r="V390" s="103"/>
      <c r="W390" s="103"/>
      <c r="X390" s="103"/>
      <c r="Y390" s="103"/>
      <c r="Z390" s="103"/>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216"/>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customHeight="1" outlineLevel="2">
      <c r="A391" s="9"/>
      <c r="B391" s="9"/>
      <c r="C391" s="26"/>
      <c r="D391" s="672"/>
      <c r="E391" s="86">
        <v>10</v>
      </c>
      <c r="F391" s="27"/>
      <c r="G391" s="208"/>
      <c r="H391" s="150"/>
      <c r="I391" s="150"/>
      <c r="J391" s="150"/>
      <c r="K391" s="150"/>
      <c r="L391" s="150"/>
      <c r="M391" s="150"/>
      <c r="N391" s="150"/>
      <c r="O391" s="150"/>
      <c r="P391" s="149"/>
      <c r="Q391" s="68">
        <f>IF(A23taxstdlife="n/a","n/a",IF(Q$3&gt;(A23taxstdlife+$E391),(Input!$P$63-Input!$P$97)-SUM($P391:P391),(Input!$P$63-Input!$P$97)/A23taxstdlife))</f>
        <v>0</v>
      </c>
      <c r="R391" s="68"/>
      <c r="S391" s="103"/>
      <c r="T391" s="103"/>
      <c r="U391" s="103"/>
      <c r="V391" s="103"/>
      <c r="W391" s="103"/>
      <c r="X391" s="103"/>
      <c r="Y391" s="103"/>
      <c r="Z391" s="103"/>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216"/>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customHeight="1" outlineLevel="2">
      <c r="A392" s="9"/>
      <c r="B392" s="9"/>
      <c r="C392" s="26"/>
      <c r="D392" s="672"/>
      <c r="E392" s="87">
        <v>11</v>
      </c>
      <c r="F392" s="27"/>
      <c r="G392" s="208"/>
      <c r="H392" s="150"/>
      <c r="I392" s="150"/>
      <c r="J392" s="150"/>
      <c r="K392" s="150"/>
      <c r="L392" s="150"/>
      <c r="M392" s="150"/>
      <c r="N392" s="150"/>
      <c r="O392" s="150"/>
      <c r="P392" s="189"/>
      <c r="Q392" s="149"/>
      <c r="R392" s="68"/>
      <c r="S392" s="103"/>
      <c r="T392" s="103"/>
      <c r="U392" s="103"/>
      <c r="V392" s="103"/>
      <c r="W392" s="103"/>
      <c r="X392" s="103"/>
      <c r="Y392" s="103"/>
      <c r="Z392" s="103"/>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1">
      <c r="A393" s="9"/>
      <c r="B393" s="9"/>
      <c r="C393" s="26">
        <f>Asset23</f>
        <v>0</v>
      </c>
      <c r="D393" s="9"/>
      <c r="E393" s="9"/>
      <c r="F393" s="23"/>
      <c r="G393" s="209">
        <f t="shared" ref="G393:L393" si="57">-SUM(G380:G392)</f>
        <v>0</v>
      </c>
      <c r="H393" s="166">
        <f t="shared" si="57"/>
        <v>0</v>
      </c>
      <c r="I393" s="166">
        <f t="shared" si="57"/>
        <v>0</v>
      </c>
      <c r="J393" s="166">
        <f t="shared" si="57"/>
        <v>0</v>
      </c>
      <c r="K393" s="166">
        <f t="shared" si="57"/>
        <v>0</v>
      </c>
      <c r="L393" s="166">
        <f t="shared" si="57"/>
        <v>0</v>
      </c>
      <c r="M393" s="166">
        <f>IF(Input!M173&gt;0, -SUM(M380:M392), 0)</f>
        <v>0</v>
      </c>
      <c r="N393" s="166">
        <f>IF(Input!N173&gt;0, -SUM(N380:N392), 0)</f>
        <v>0</v>
      </c>
      <c r="O393" s="166">
        <f>IF(Input!O173&gt;0, -SUM(O380:O392), 0)</f>
        <v>0</v>
      </c>
      <c r="P393" s="166">
        <f>IF(Input!P173&gt;0, -SUM(P380:P392), 0)</f>
        <v>0</v>
      </c>
      <c r="Q393" s="166">
        <f>IF(Input!Q173&gt;0, -SUM(Q380:Q392), 0)</f>
        <v>0</v>
      </c>
      <c r="R393" s="64"/>
      <c r="S393" s="102"/>
      <c r="T393" s="102"/>
      <c r="U393" s="102"/>
      <c r="V393" s="102"/>
      <c r="W393" s="102"/>
      <c r="X393" s="102"/>
      <c r="Y393" s="102"/>
      <c r="Z393" s="102"/>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customHeight="1" outlineLevel="2">
      <c r="A394" s="9"/>
      <c r="B394" s="188">
        <f>Asset24</f>
        <v>0</v>
      </c>
      <c r="C394" s="33"/>
      <c r="D394" s="34" t="s">
        <v>67</v>
      </c>
      <c r="E394" s="33"/>
      <c r="F394" s="35"/>
      <c r="G394" s="205">
        <f>IF(G$3&gt;A24taxremlife,A24taxvalue-SUM($F394:F394),IF(A24taxremlife="N/A","n/a",A24taxvalue/A24taxremlife))</f>
        <v>0</v>
      </c>
      <c r="H394" s="67">
        <f>IF(H$3&gt;A24taxremlife,A24taxvalue-SUM($F394:G394),IF(A24taxremlife="N/A","n/a",A24taxvalue/A24taxremlife))</f>
        <v>0</v>
      </c>
      <c r="I394" s="67">
        <f>IF(I$3&gt;A24taxremlife,A24taxvalue-SUM($F394:H394),IF(A24taxremlife="N/A","n/a",A24taxvalue/A24taxremlife))</f>
        <v>0</v>
      </c>
      <c r="J394" s="67">
        <f>IF(J$3&gt;A24taxremlife,A24taxvalue-SUM($F394:I394),IF(A24taxremlife="N/A","n/a",A24taxvalue/A24taxremlife))</f>
        <v>0</v>
      </c>
      <c r="K394" s="67">
        <f>IF(K$3&gt;A24taxremlife,A24taxvalue-SUM($F394:J394),IF(A24taxremlife="N/A","n/a",A24taxvalue/A24taxremlife))</f>
        <v>0</v>
      </c>
      <c r="L394" s="67">
        <f>IF(L$3&gt;A24taxremlife,A24taxvalue-SUM($F394:K394),IF(A24taxremlife="N/A","n/a",A24taxvalue/A24taxremlife))</f>
        <v>0</v>
      </c>
      <c r="M394" s="67">
        <f>IF(M$3&gt;A24taxremlife,A24taxvalue-SUM($F394:L394),IF(A24taxremlife="N/A","n/a",A24taxvalue/A24taxremlife))</f>
        <v>0</v>
      </c>
      <c r="N394" s="67">
        <f>IF(N$3&gt;A24taxremlife,A24taxvalue-SUM($F394:M394),IF(A24taxremlife="N/A","n/a",A24taxvalue/A24taxremlife))</f>
        <v>0</v>
      </c>
      <c r="O394" s="67">
        <f>IF(O$3&gt;A24taxremlife,A24taxvalue-SUM($F394:N394),IF(A24taxremlife="N/A","n/a",A24taxvalue/A24taxremlife))</f>
        <v>0</v>
      </c>
      <c r="P394" s="67">
        <f>IF(P$3&gt;A24taxremlife,A24taxvalue-SUM($F394:O394),IF(A24taxremlife="N/A","n/a",A24taxvalue/A24taxremlife))</f>
        <v>0</v>
      </c>
      <c r="Q394" s="67">
        <f>IF(Q$3&gt;A24taxremlife,A24taxvalue-SUM($F394:P394),IF(A24taxremlife="N/A","n/a",A24taxvalue/A24taxremlife))</f>
        <v>0</v>
      </c>
      <c r="R394" s="67"/>
      <c r="S394" s="103"/>
      <c r="T394" s="103"/>
      <c r="U394" s="103"/>
      <c r="V394" s="103"/>
      <c r="W394" s="103"/>
      <c r="X394" s="103"/>
      <c r="Y394" s="103"/>
      <c r="Z394" s="103"/>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216"/>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customHeight="1" outlineLevel="2">
      <c r="A395" s="9"/>
      <c r="B395" s="9"/>
      <c r="C395" s="26"/>
      <c r="D395" s="671" t="s">
        <v>84</v>
      </c>
      <c r="E395" s="86">
        <v>0</v>
      </c>
      <c r="F395" s="27"/>
      <c r="G395" s="206"/>
      <c r="H395" s="68"/>
      <c r="I395" s="68"/>
      <c r="J395" s="68"/>
      <c r="K395" s="68"/>
      <c r="L395" s="68"/>
      <c r="M395" s="68"/>
      <c r="N395" s="68"/>
      <c r="O395" s="68"/>
      <c r="P395" s="68"/>
      <c r="Q395" s="68"/>
      <c r="R395" s="68"/>
      <c r="S395" s="103"/>
      <c r="T395" s="103"/>
      <c r="U395" s="103"/>
      <c r="V395" s="103"/>
      <c r="W395" s="103"/>
      <c r="X395" s="103"/>
      <c r="Y395" s="103"/>
      <c r="Z395" s="103"/>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216"/>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customHeight="1" outlineLevel="2">
      <c r="A396" s="9"/>
      <c r="B396" s="9"/>
      <c r="C396" s="26"/>
      <c r="D396" s="672"/>
      <c r="E396" s="86">
        <v>1</v>
      </c>
      <c r="F396" s="27"/>
      <c r="G396" s="207"/>
      <c r="H396" s="68">
        <f>IF(A24taxstdlife="n/a","n/a",IF(H$3&gt;(A24taxstdlife+$E396),(Input!$G$64-Input!$G$98)-SUM($G396:G396),(Input!$G$64-Input!$G$98)/A24taxstdlife))</f>
        <v>0</v>
      </c>
      <c r="I396" s="68">
        <f>IF(A24taxstdlife="n/a","n/a",IF(I$3&gt;(A24taxstdlife+$E396),(Input!$G$64-Input!$G$98)-SUM($G396:H396),(Input!$G$64-Input!$G$98)/A24taxstdlife))</f>
        <v>0</v>
      </c>
      <c r="J396" s="68">
        <f>IF(A24taxstdlife="n/a","n/a",IF(J$3&gt;(A24taxstdlife+$E396),(Input!$G$64-Input!$G$98)-SUM($G396:I396),(Input!$G$64-Input!$G$98)/A24taxstdlife))</f>
        <v>0</v>
      </c>
      <c r="K396" s="68">
        <f>IF(A24taxstdlife="n/a","n/a",IF(K$3&gt;(A24taxstdlife+$E396),(Input!$G$64-Input!$G$98)-SUM($G396:J396),(Input!$G$64-Input!$G$98)/A24taxstdlife))</f>
        <v>0</v>
      </c>
      <c r="L396" s="68">
        <f>IF(A24taxstdlife="n/a","n/a",IF(L$3&gt;(A24taxstdlife+$E396),(Input!$G$64-Input!$G$98)-SUM($G396:K396),(Input!$G$64-Input!$G$98)/A24taxstdlife))</f>
        <v>0</v>
      </c>
      <c r="M396" s="68">
        <f>IF(A24taxstdlife="n/a","n/a",IF(M$3&gt;(A24taxstdlife+$E396),(Input!$G$64-Input!$G$98)-SUM($G396:L396),(Input!$G$64-Input!$G$98)/A24taxstdlife))</f>
        <v>0</v>
      </c>
      <c r="N396" s="68">
        <f>IF(A24taxstdlife="n/a","n/a",IF(N$3&gt;(A24taxstdlife+$E396),(Input!$G$64-Input!$G$98)-SUM($G396:M396),(Input!$G$64-Input!$G$98)/A24taxstdlife))</f>
        <v>0</v>
      </c>
      <c r="O396" s="68">
        <f>IF(A24taxstdlife="n/a","n/a",IF(O$3&gt;(A24taxstdlife+$E396),(Input!$G$64-Input!$G$98)-SUM($G396:N396),(Input!$G$64-Input!$G$98)/A24taxstdlife))</f>
        <v>0</v>
      </c>
      <c r="P396" s="68">
        <f>IF(A24taxstdlife="n/a","n/a",IF(P$3&gt;(A24taxstdlife+$E396),(Input!$G$64-Input!$G$98)-SUM($G396:O396),(Input!$G$64-Input!$G$98)/A24taxstdlife))</f>
        <v>0</v>
      </c>
      <c r="Q396" s="68">
        <f>IF(A24taxstdlife="n/a","n/a",IF(Q$3&gt;(A24taxstdlife+$E396),(Input!$G$64-Input!$G$98)-SUM($G396:P396),(Input!$G$64-Input!$G$98)/A24taxstdlife))</f>
        <v>0</v>
      </c>
      <c r="R396" s="68"/>
      <c r="S396" s="103"/>
      <c r="T396" s="103"/>
      <c r="U396" s="103"/>
      <c r="V396" s="103"/>
      <c r="W396" s="103"/>
      <c r="X396" s="103"/>
      <c r="Y396" s="103"/>
      <c r="Z396" s="103"/>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216"/>
      <c r="BE396" s="216"/>
      <c r="BF396" s="216"/>
      <c r="BG396" s="216"/>
      <c r="BH396" s="216"/>
      <c r="BI396" s="216"/>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customHeight="1" outlineLevel="2">
      <c r="A397" s="9"/>
      <c r="B397" s="9"/>
      <c r="C397" s="26"/>
      <c r="D397" s="672"/>
      <c r="E397" s="86">
        <v>2</v>
      </c>
      <c r="F397" s="27"/>
      <c r="G397" s="208"/>
      <c r="H397" s="149"/>
      <c r="I397" s="68">
        <f>IF(A24taxstdlife="n/a","n/a",IF(I$3&gt;(A24taxstdlife+$E397),(Input!$H$64-Input!$H$98)-SUM($H397:H397),(Input!$H$64-Input!$H$98)/A24taxstdlife))</f>
        <v>0</v>
      </c>
      <c r="J397" s="68">
        <f>IF(A24taxstdlife="n/a","n/a",IF(J$3&gt;(A24taxstdlife+$E397),(Input!$H$64-Input!$H$98)-SUM($H397:I397),(Input!$H$64-Input!$H$98)/A24taxstdlife))</f>
        <v>0</v>
      </c>
      <c r="K397" s="68">
        <f>IF(A24taxstdlife="n/a","n/a",IF(K$3&gt;(A24taxstdlife+$E397),(Input!$H$64-Input!$H$98)-SUM($H397:J397),(Input!$H$64-Input!$H$98)/A24taxstdlife))</f>
        <v>0</v>
      </c>
      <c r="L397" s="68">
        <f>IF(A24taxstdlife="n/a","n/a",IF(L$3&gt;(A24taxstdlife+$E397),(Input!$H$64-Input!$H$98)-SUM($H397:K397),(Input!$H$64-Input!$H$98)/A24taxstdlife))</f>
        <v>0</v>
      </c>
      <c r="M397" s="68">
        <f>IF(A24taxstdlife="n/a","n/a",IF(M$3&gt;(A24taxstdlife+$E397),(Input!$H$64-Input!$H$98)-SUM($H397:L397),(Input!$H$64-Input!$H$98)/A24taxstdlife))</f>
        <v>0</v>
      </c>
      <c r="N397" s="68">
        <f>IF(A24taxstdlife="n/a","n/a",IF(N$3&gt;(A24taxstdlife+$E397),(Input!$H$64-Input!$H$98)-SUM($H397:M397),(Input!$H$64-Input!$H$98)/A24taxstdlife))</f>
        <v>0</v>
      </c>
      <c r="O397" s="68">
        <f>IF(A24taxstdlife="n/a","n/a",IF(O$3&gt;(A24taxstdlife+$E397),(Input!$H$64-Input!$H$98)-SUM($H397:N397),(Input!$H$64-Input!$H$98)/A24taxstdlife))</f>
        <v>0</v>
      </c>
      <c r="P397" s="68">
        <f>IF(A24taxstdlife="n/a","n/a",IF(P$3&gt;(A24taxstdlife+$E397),(Input!$H$64-Input!$H$98)-SUM($H397:O397),(Input!$H$64-Input!$H$98)/A24taxstdlife))</f>
        <v>0</v>
      </c>
      <c r="Q397" s="68">
        <f>IF(A24taxstdlife="n/a","n/a",IF(Q$3&gt;(A24taxstdlife+$E397),(Input!$H$64-Input!$H$98)-SUM($H397:P397),(Input!$H$64-Input!$H$98)/A24taxstdlife))</f>
        <v>0</v>
      </c>
      <c r="R397" s="68"/>
      <c r="S397" s="103"/>
      <c r="T397" s="103"/>
      <c r="U397" s="103"/>
      <c r="V397" s="103"/>
      <c r="W397" s="103"/>
      <c r="X397" s="103"/>
      <c r="Y397" s="103"/>
      <c r="Z397" s="103"/>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216"/>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customHeight="1" outlineLevel="2">
      <c r="A398" s="9"/>
      <c r="B398" s="9"/>
      <c r="C398" s="26"/>
      <c r="D398" s="672"/>
      <c r="E398" s="86">
        <v>3</v>
      </c>
      <c r="F398" s="27"/>
      <c r="G398" s="208"/>
      <c r="H398" s="150"/>
      <c r="I398" s="149"/>
      <c r="J398" s="68">
        <f>IF(A24taxstdlife="n/a","n/a",IF(J$3&gt;(A24taxstdlife+$E398),(Input!$I$64-Input!$I$98)-SUM($I398:I398),(Input!$I$64-Input!$I$98)/A24taxstdlife))</f>
        <v>0</v>
      </c>
      <c r="K398" s="68">
        <f>IF(A24taxstdlife="n/a","n/a",IF(K$3&gt;(A24taxstdlife+$E398),(Input!$I$64-Input!$I$98)-SUM($I398:J398),(Input!$I$64-Input!$I$98)/A24taxstdlife))</f>
        <v>0</v>
      </c>
      <c r="L398" s="68">
        <f>IF(A24taxstdlife="n/a","n/a",IF(L$3&gt;(A24taxstdlife+$E398),(Input!$I$64-Input!$I$98)-SUM($I398:K398),(Input!$I$64-Input!$I$98)/A24taxstdlife))</f>
        <v>0</v>
      </c>
      <c r="M398" s="68">
        <f>IF(A24taxstdlife="n/a","n/a",IF(M$3&gt;(A24taxstdlife+$E398),(Input!$I$64-Input!$I$98)-SUM($I398:L398),(Input!$I$64-Input!$I$98)/A24taxstdlife))</f>
        <v>0</v>
      </c>
      <c r="N398" s="68">
        <f>IF(A24taxstdlife="n/a","n/a",IF(N$3&gt;(A24taxstdlife+$E398),(Input!$I$64-Input!$I$98)-SUM($I398:M398),(Input!$I$64-Input!$I$98)/A24taxstdlife))</f>
        <v>0</v>
      </c>
      <c r="O398" s="68">
        <f>IF(A24taxstdlife="n/a","n/a",IF(O$3&gt;(A24taxstdlife+$E398),(Input!$I$64-Input!$I$98)-SUM($I398:N398),(Input!$I$64-Input!$I$98)/A24taxstdlife))</f>
        <v>0</v>
      </c>
      <c r="P398" s="68">
        <f>IF(A24taxstdlife="n/a","n/a",IF(P$3&gt;(A24taxstdlife+$E398),(Input!$I$64-Input!$I$98)-SUM($I398:O398),(Input!$I$64-Input!$I$98)/A24taxstdlife))</f>
        <v>0</v>
      </c>
      <c r="Q398" s="68">
        <f>IF(A24taxstdlife="n/a","n/a",IF(Q$3&gt;(A24taxstdlife+$E398),(Input!$I$64-Input!$I$98)-SUM($I398:P398),(Input!$I$64-Input!$I$98)/A24taxstdlife))</f>
        <v>0</v>
      </c>
      <c r="R398" s="68"/>
      <c r="S398" s="103"/>
      <c r="T398" s="103"/>
      <c r="U398" s="103"/>
      <c r="V398" s="103"/>
      <c r="W398" s="103"/>
      <c r="X398" s="103"/>
      <c r="Y398" s="103"/>
      <c r="Z398" s="103"/>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216"/>
      <c r="BJ398" s="218"/>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customHeight="1" outlineLevel="2">
      <c r="A399" s="9"/>
      <c r="B399" s="9"/>
      <c r="C399" s="26"/>
      <c r="D399" s="672"/>
      <c r="E399" s="86">
        <v>4</v>
      </c>
      <c r="F399" s="27"/>
      <c r="G399" s="208"/>
      <c r="H399" s="150"/>
      <c r="I399" s="150"/>
      <c r="J399" s="149"/>
      <c r="K399" s="68">
        <f>IF(A24taxstdlife="n/a","n/a",IF(K$3&gt;(A24taxstdlife+$E399),(Input!$J$64-Input!$J$98)-SUM($J399:J399),(Input!$J$64-Input!$J$98)/A24taxstdlife))</f>
        <v>0</v>
      </c>
      <c r="L399" s="68">
        <f>IF(A24taxstdlife="n/a","n/a",IF(L$3&gt;(A24taxstdlife+$E399),(Input!$J$64-Input!$J$98)-SUM($J399:K399),(Input!$J$64-Input!$J$98)/A24taxstdlife))</f>
        <v>0</v>
      </c>
      <c r="M399" s="68">
        <f>IF(A24taxstdlife="n/a","n/a",IF(M$3&gt;(A24taxstdlife+$E399),(Input!$J$64-Input!$J$98)-SUM($J399:L399),(Input!$J$64-Input!$J$98)/A24taxstdlife))</f>
        <v>0</v>
      </c>
      <c r="N399" s="68">
        <f>IF(A24taxstdlife="n/a","n/a",IF(N$3&gt;(A24taxstdlife+$E399),(Input!$J$64-Input!$J$98)-SUM($J399:M399),(Input!$J$64-Input!$J$98)/A24taxstdlife))</f>
        <v>0</v>
      </c>
      <c r="O399" s="68">
        <f>IF(A24taxstdlife="n/a","n/a",IF(O$3&gt;(A24taxstdlife+$E399),(Input!$J$64-Input!$J$98)-SUM($J399:N399),(Input!$J$64-Input!$J$98)/A24taxstdlife))</f>
        <v>0</v>
      </c>
      <c r="P399" s="68">
        <f>IF(A24taxstdlife="n/a","n/a",IF(P$3&gt;(A24taxstdlife+$E399),(Input!$J$64-Input!$J$98)-SUM($J399:O399),(Input!$J$64-Input!$J$98)/A24taxstdlife))</f>
        <v>0</v>
      </c>
      <c r="Q399" s="68">
        <f>IF(A24taxstdlife="n/a","n/a",IF(Q$3&gt;(A24taxstdlife+$E399),(Input!$J$64-Input!$J$98)-SUM($J399:P399),(Input!$J$64-Input!$J$98)/A24taxstdlife))</f>
        <v>0</v>
      </c>
      <c r="R399" s="68"/>
      <c r="S399" s="103"/>
      <c r="T399" s="103"/>
      <c r="U399" s="103"/>
      <c r="V399" s="103"/>
      <c r="W399" s="103"/>
      <c r="X399" s="103"/>
      <c r="Y399" s="103"/>
      <c r="Z399" s="103"/>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216"/>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customHeight="1" outlineLevel="2">
      <c r="A400" s="9"/>
      <c r="B400" s="9"/>
      <c r="C400" s="26"/>
      <c r="D400" s="672"/>
      <c r="E400" s="86">
        <v>5</v>
      </c>
      <c r="F400" s="27"/>
      <c r="G400" s="208"/>
      <c r="H400" s="150"/>
      <c r="I400" s="150"/>
      <c r="J400" s="150"/>
      <c r="K400" s="149"/>
      <c r="L400" s="68">
        <f>IF(A24taxstdlife="n/a","n/a",IF(L$3&gt;(A24taxstdlife+$E400),(Input!$K$64-Input!$K$98)-SUM($K400:K400),(Input!$K$64-Input!$K$98)/A24taxstdlife))</f>
        <v>0</v>
      </c>
      <c r="M400" s="68">
        <f>IF(A24taxstdlife="n/a","n/a",IF(M$3&gt;(A24taxstdlife+$E400),(Input!$K$64-Input!$K$98)-SUM($K400:L400),(Input!$K$64-Input!$K$98)/A24taxstdlife))</f>
        <v>0</v>
      </c>
      <c r="N400" s="68">
        <f>IF(A24taxstdlife="n/a","n/a",IF(N$3&gt;(A24taxstdlife+$E400),(Input!$K$64-Input!$K$98)-SUM($K400:M400),(Input!$K$64-Input!$K$98)/A24taxstdlife))</f>
        <v>0</v>
      </c>
      <c r="O400" s="68">
        <f>IF(A24taxstdlife="n/a","n/a",IF(O$3&gt;(A24taxstdlife+$E400),(Input!$K$64-Input!$K$98)-SUM($K400:N400),(Input!$K$64-Input!$K$98)/A24taxstdlife))</f>
        <v>0</v>
      </c>
      <c r="P400" s="68">
        <f>IF(A24taxstdlife="n/a","n/a",IF(P$3&gt;(A24taxstdlife+$E400),(Input!$K$64-Input!$K$98)-SUM($K400:O400),(Input!$K$64-Input!$K$98)/A24taxstdlife))</f>
        <v>0</v>
      </c>
      <c r="Q400" s="68">
        <f>IF(A24taxstdlife="n/a","n/a",IF(Q$3&gt;(A24taxstdlife+$E400),(Input!$K$64-Input!$K$98)-SUM($K400:P400),(Input!$K$64-Input!$K$98)/A24taxstdlife))</f>
        <v>0</v>
      </c>
      <c r="R400" s="68"/>
      <c r="S400" s="103"/>
      <c r="T400" s="103"/>
      <c r="U400" s="103"/>
      <c r="V400" s="103"/>
      <c r="W400" s="103"/>
      <c r="X400" s="103"/>
      <c r="Y400" s="103"/>
      <c r="Z400" s="103"/>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216"/>
      <c r="BJ400" s="187"/>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customHeight="1" outlineLevel="2">
      <c r="A401" s="9"/>
      <c r="B401" s="9"/>
      <c r="C401" s="26"/>
      <c r="D401" s="672"/>
      <c r="E401" s="86">
        <v>6</v>
      </c>
      <c r="F401" s="27"/>
      <c r="G401" s="208"/>
      <c r="H401" s="150"/>
      <c r="I401" s="150"/>
      <c r="J401" s="150"/>
      <c r="K401" s="150"/>
      <c r="L401" s="149"/>
      <c r="M401" s="68">
        <f>IF(A24taxstdlife="n/a","n/a",IF(M$3&gt;(A24taxstdlife+$E401),(Input!$L$64-Input!$L$98)-SUM($L401:L401),(Input!$L$64-Input!$L$98)/A24taxstdlife))</f>
        <v>0</v>
      </c>
      <c r="N401" s="68">
        <f>IF(A24taxstdlife="n/a","n/a",IF(N$3&gt;(A24taxstdlife+$E401),(Input!$L$64-Input!$L$98)-SUM($L401:M401),(Input!$L$64-Input!$L$98)/A24taxstdlife))</f>
        <v>0</v>
      </c>
      <c r="O401" s="68">
        <f>IF(A24taxstdlife="n/a","n/a",IF(O$3&gt;(A24taxstdlife+$E401),(Input!$L$64-Input!$L$98)-SUM($L401:N401),(Input!$L$64-Input!$L$98)/A24taxstdlife))</f>
        <v>0</v>
      </c>
      <c r="P401" s="68">
        <f>IF(A24taxstdlife="n/a","n/a",IF(P$3&gt;(A24taxstdlife+$E401),(Input!$L$64-Input!$L$98)-SUM($L401:O401),(Input!$L$64-Input!$L$98)/A24taxstdlife))</f>
        <v>0</v>
      </c>
      <c r="Q401" s="68">
        <f>IF(A24taxstdlife="n/a","n/a",IF(Q$3&gt;(A24taxstdlife+$E401),(Input!$L$64-Input!$L$98)-SUM($L401:P401),(Input!$L$64-Input!$L$98)/A24taxstdlife))</f>
        <v>0</v>
      </c>
      <c r="R401" s="68"/>
      <c r="S401" s="103"/>
      <c r="T401" s="103"/>
      <c r="U401" s="103"/>
      <c r="V401" s="103"/>
      <c r="W401" s="103"/>
      <c r="X401" s="103"/>
      <c r="Y401" s="103"/>
      <c r="Z401" s="103"/>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6"/>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26"/>
      <c r="D402" s="672"/>
      <c r="E402" s="86">
        <v>7</v>
      </c>
      <c r="F402" s="27"/>
      <c r="G402" s="208"/>
      <c r="H402" s="150"/>
      <c r="I402" s="150"/>
      <c r="J402" s="150"/>
      <c r="K402" s="150"/>
      <c r="L402" s="150"/>
      <c r="M402" s="149"/>
      <c r="N402" s="68">
        <f>IF(A24taxstdlife="n/a","n/a",IF(N$3&gt;(A24taxstdlife+$E402),(Input!$M$64-Input!$M$98)-SUM($M402:M402),(Input!$M$64-Input!$M$98)/A24taxstdlife))</f>
        <v>0</v>
      </c>
      <c r="O402" s="68">
        <f>IF(A24taxstdlife="n/a","n/a",IF(O$3&gt;(A24taxstdlife+$E402),(Input!$M$64-Input!$M$98)-SUM($M402:N402),(Input!$M$64-Input!$M$98)/A24taxstdlife))</f>
        <v>0</v>
      </c>
      <c r="P402" s="68">
        <f>IF(A24taxstdlife="n/a","n/a",IF(P$3&gt;(A24taxstdlife+$E402),(Input!$M$64-Input!$M$98)-SUM($M402:O402),(Input!$M$64-Input!$M$98)/A24taxstdlife))</f>
        <v>0</v>
      </c>
      <c r="Q402" s="68">
        <f>IF(A24taxstdlife="n/a","n/a",IF(Q$3&gt;(A24taxstdlife+$E402),(Input!$M$64-Input!$M$98)-SUM($M402:P402),(Input!$M$64-Input!$M$98)/A24taxstdlife))</f>
        <v>0</v>
      </c>
      <c r="R402" s="68"/>
      <c r="S402" s="103"/>
      <c r="T402" s="103"/>
      <c r="U402" s="103"/>
      <c r="V402" s="103"/>
      <c r="W402" s="103"/>
      <c r="X402" s="103"/>
      <c r="Y402" s="103"/>
      <c r="Z402" s="103"/>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216"/>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customHeight="1" outlineLevel="2">
      <c r="A403" s="9"/>
      <c r="B403" s="9"/>
      <c r="C403" s="26"/>
      <c r="D403" s="672"/>
      <c r="E403" s="86">
        <v>8</v>
      </c>
      <c r="F403" s="27"/>
      <c r="G403" s="208"/>
      <c r="H403" s="150"/>
      <c r="I403" s="150"/>
      <c r="J403" s="150"/>
      <c r="K403" s="150"/>
      <c r="L403" s="150"/>
      <c r="M403" s="150"/>
      <c r="N403" s="149"/>
      <c r="O403" s="68">
        <f>IF(A24taxstdlife="n/a","n/a",IF(O$3&gt;(A24taxstdlife+$E403),(Input!$N$64-Input!$N$98)-SUM($N403:N403),(Input!$N$64-Input!$N$98)/A24taxstdlife))</f>
        <v>0</v>
      </c>
      <c r="P403" s="68">
        <f>IF(A24taxstdlife="n/a","n/a",IF(P$3&gt;(A24taxstdlife+$E403),(Input!$N$64-Input!$N$98)-SUM($N403:O403),(Input!$N$64-Input!$N$98)/A24taxstdlife))</f>
        <v>0</v>
      </c>
      <c r="Q403" s="68">
        <f>IF(A24taxstdlife="n/a","n/a",IF(Q$3&gt;(A24taxstdlife+$E403),(Input!$N$64-Input!$N$98)-SUM($N403:P403),(Input!$N$64-Input!$N$98)/A24taxstdlife))</f>
        <v>0</v>
      </c>
      <c r="R403" s="68"/>
      <c r="S403" s="103"/>
      <c r="T403" s="103"/>
      <c r="U403" s="103"/>
      <c r="V403" s="103"/>
      <c r="W403" s="103"/>
      <c r="X403" s="103"/>
      <c r="Y403" s="103"/>
      <c r="Z403" s="103"/>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216"/>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customHeight="1" outlineLevel="2">
      <c r="A404" s="9"/>
      <c r="B404" s="9"/>
      <c r="C404" s="26"/>
      <c r="D404" s="672"/>
      <c r="E404" s="86">
        <v>9</v>
      </c>
      <c r="F404" s="27"/>
      <c r="G404" s="208"/>
      <c r="H404" s="150"/>
      <c r="I404" s="150"/>
      <c r="J404" s="150"/>
      <c r="K404" s="150"/>
      <c r="L404" s="150"/>
      <c r="M404" s="150"/>
      <c r="N404" s="150"/>
      <c r="O404" s="149"/>
      <c r="P404" s="68">
        <f>IF(A24taxstdlife="n/a","n/a",IF(P$3&gt;(A24taxstdlife+$E404),(Input!$O$64-Input!$O$98)-SUM($O404:O404),(Input!$O$64-Input!$O$98)/A24taxstdlife))</f>
        <v>0</v>
      </c>
      <c r="Q404" s="68">
        <f>IF(A24taxstdlife="n/a","n/a",IF(Q$3&gt;(A24taxstdlife+$E404),(Input!$O$64-Input!$O$98)-SUM($O404:P404),(Input!$O$64-Input!$O$98)/A24taxstdlife))</f>
        <v>0</v>
      </c>
      <c r="R404" s="68"/>
      <c r="S404" s="103"/>
      <c r="T404" s="103"/>
      <c r="U404" s="103"/>
      <c r="V404" s="103"/>
      <c r="W404" s="103"/>
      <c r="X404" s="103"/>
      <c r="Y404" s="103"/>
      <c r="Z404" s="103"/>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216"/>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customHeight="1" outlineLevel="2">
      <c r="A405" s="9"/>
      <c r="B405" s="9"/>
      <c r="C405" s="26"/>
      <c r="D405" s="672"/>
      <c r="E405" s="86">
        <v>10</v>
      </c>
      <c r="F405" s="27"/>
      <c r="G405" s="208"/>
      <c r="H405" s="150"/>
      <c r="I405" s="150"/>
      <c r="J405" s="150"/>
      <c r="K405" s="150"/>
      <c r="L405" s="150"/>
      <c r="M405" s="150"/>
      <c r="N405" s="150"/>
      <c r="O405" s="150"/>
      <c r="P405" s="149"/>
      <c r="Q405" s="68">
        <f>IF(A24taxstdlife="n/a","n/a",IF(Q$3&gt;(A24taxstdlife+$E405),(Input!$P$64-Input!$P$98)-SUM($P405:P405),(Input!$P$64-Input!$P$98)/A24taxstdlife))</f>
        <v>0</v>
      </c>
      <c r="R405" s="68"/>
      <c r="S405" s="103"/>
      <c r="T405" s="103"/>
      <c r="U405" s="103"/>
      <c r="V405" s="103"/>
      <c r="W405" s="103"/>
      <c r="X405" s="103"/>
      <c r="Y405" s="103"/>
      <c r="Z405" s="103"/>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customHeight="1" outlineLevel="2">
      <c r="A406" s="9"/>
      <c r="B406" s="9"/>
      <c r="C406" s="26"/>
      <c r="D406" s="672"/>
      <c r="E406" s="87">
        <v>11</v>
      </c>
      <c r="F406" s="27"/>
      <c r="G406" s="208"/>
      <c r="H406" s="150"/>
      <c r="I406" s="150"/>
      <c r="J406" s="150"/>
      <c r="K406" s="150"/>
      <c r="L406" s="150"/>
      <c r="M406" s="150"/>
      <c r="N406" s="150"/>
      <c r="O406" s="150"/>
      <c r="P406" s="189"/>
      <c r="Q406" s="149"/>
      <c r="R406" s="68"/>
      <c r="S406" s="103"/>
      <c r="T406" s="103"/>
      <c r="U406" s="103"/>
      <c r="V406" s="103"/>
      <c r="W406" s="103"/>
      <c r="X406" s="103"/>
      <c r="Y406" s="103"/>
      <c r="Z406" s="103"/>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216"/>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26">
        <f>Asset24</f>
        <v>0</v>
      </c>
      <c r="D407" s="9"/>
      <c r="E407" s="9"/>
      <c r="F407" s="23"/>
      <c r="G407" s="209">
        <f t="shared" ref="G407:L407" si="58">-SUM(G394:G406)</f>
        <v>0</v>
      </c>
      <c r="H407" s="166">
        <f t="shared" si="58"/>
        <v>0</v>
      </c>
      <c r="I407" s="166">
        <f t="shared" si="58"/>
        <v>0</v>
      </c>
      <c r="J407" s="166">
        <f t="shared" si="58"/>
        <v>0</v>
      </c>
      <c r="K407" s="166">
        <f t="shared" si="58"/>
        <v>0</v>
      </c>
      <c r="L407" s="166">
        <f t="shared" si="58"/>
        <v>0</v>
      </c>
      <c r="M407" s="166">
        <f>IF(Input!M173&gt;0, -SUM(M394:M406), 0)</f>
        <v>0</v>
      </c>
      <c r="N407" s="166">
        <f>IF(Input!N173&gt;0, -SUM(N394:N406), 0)</f>
        <v>0</v>
      </c>
      <c r="O407" s="166">
        <f>IF(Input!O173&gt;0, -SUM(O394:O406), 0)</f>
        <v>0</v>
      </c>
      <c r="P407" s="166">
        <f>IF(Input!P173&gt;0, -SUM(P394:P406), 0)</f>
        <v>0</v>
      </c>
      <c r="Q407" s="166">
        <f>IF(Input!Q173&gt;0, -SUM(Q394:Q406), 0)</f>
        <v>0</v>
      </c>
      <c r="R407" s="64"/>
      <c r="S407" s="102"/>
      <c r="T407" s="102"/>
      <c r="U407" s="102"/>
      <c r="V407" s="102"/>
      <c r="W407" s="102"/>
      <c r="X407" s="102"/>
      <c r="Y407" s="102"/>
      <c r="Z407" s="102"/>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customHeight="1" outlineLevel="2">
      <c r="A408" s="9"/>
      <c r="B408" s="188">
        <f>Asset25</f>
        <v>0</v>
      </c>
      <c r="C408" s="33"/>
      <c r="D408" s="34" t="s">
        <v>67</v>
      </c>
      <c r="E408" s="33"/>
      <c r="F408" s="35"/>
      <c r="G408" s="205">
        <f>IF(G$3&gt;A25taxremlife,A25taxvalue-SUM($F408:F408),IF(A25taxremlife="N/A","n/a",A25taxvalue/A25taxremlife))</f>
        <v>0</v>
      </c>
      <c r="H408" s="67">
        <f>IF(H$3&gt;A25taxremlife,A25taxvalue-SUM($F408:G408),IF(A25taxremlife="N/A","n/a",A25taxvalue/A25taxremlife))</f>
        <v>0</v>
      </c>
      <c r="I408" s="67">
        <f>IF(I$3&gt;A25taxremlife,A25taxvalue-SUM($F408:H408),IF(A25taxremlife="N/A","n/a",A25taxvalue/A25taxremlife))</f>
        <v>0</v>
      </c>
      <c r="J408" s="67">
        <f>IF(J$3&gt;A25taxremlife,A25taxvalue-SUM($F408:I408),IF(A25taxremlife="N/A","n/a",A25taxvalue/A25taxremlife))</f>
        <v>0</v>
      </c>
      <c r="K408" s="67">
        <f>IF(K$3&gt;A25taxremlife,A25taxvalue-SUM($F408:J408),IF(A25taxremlife="N/A","n/a",A25taxvalue/A25taxremlife))</f>
        <v>0</v>
      </c>
      <c r="L408" s="67">
        <f>IF(L$3&gt;A25taxremlife,A25taxvalue-SUM($F408:K408),IF(A25taxremlife="N/A","n/a",A25taxvalue/A25taxremlife))</f>
        <v>0</v>
      </c>
      <c r="M408" s="67">
        <f>IF(M$3&gt;A25taxremlife,A25taxvalue-SUM($F408:L408),IF(A25taxremlife="N/A","n/a",A25taxvalue/A25taxremlife))</f>
        <v>0</v>
      </c>
      <c r="N408" s="67">
        <f>IF(N$3&gt;A25taxremlife,A25taxvalue-SUM($F408:M408),IF(A25taxremlife="N/A","n/a",A25taxvalue/A25taxremlife))</f>
        <v>0</v>
      </c>
      <c r="O408" s="67">
        <f>IF(O$3&gt;A25taxremlife,A25taxvalue-SUM($F408:N408),IF(A25taxremlife="N/A","n/a",A25taxvalue/A25taxremlife))</f>
        <v>0</v>
      </c>
      <c r="P408" s="67">
        <f>IF(P$3&gt;A25taxremlife,A25taxvalue-SUM($F408:O408),IF(A25taxremlife="N/A","n/a",A25taxvalue/A25taxremlife))</f>
        <v>0</v>
      </c>
      <c r="Q408" s="67">
        <f>IF(Q$3&gt;A25taxremlife,A25taxvalue-SUM($F408:P408),IF(A25taxremlife="N/A","n/a",A25taxvalue/A25taxremlife))</f>
        <v>0</v>
      </c>
      <c r="R408" s="67"/>
      <c r="S408" s="103"/>
      <c r="T408" s="103"/>
      <c r="U408" s="103"/>
      <c r="V408" s="103"/>
      <c r="W408" s="103"/>
      <c r="X408" s="103"/>
      <c r="Y408" s="103"/>
      <c r="Z408" s="103"/>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216"/>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customHeight="1" outlineLevel="2">
      <c r="A409" s="9"/>
      <c r="B409" s="9"/>
      <c r="C409" s="26"/>
      <c r="D409" s="671" t="s">
        <v>84</v>
      </c>
      <c r="E409" s="86">
        <v>0</v>
      </c>
      <c r="F409" s="27"/>
      <c r="G409" s="206"/>
      <c r="H409" s="68"/>
      <c r="I409" s="68"/>
      <c r="J409" s="68"/>
      <c r="K409" s="68"/>
      <c r="L409" s="68"/>
      <c r="M409" s="68"/>
      <c r="N409" s="68"/>
      <c r="O409" s="68"/>
      <c r="P409" s="68"/>
      <c r="Q409" s="68"/>
      <c r="R409" s="68"/>
      <c r="S409" s="103"/>
      <c r="T409" s="103"/>
      <c r="U409" s="103"/>
      <c r="V409" s="103"/>
      <c r="W409" s="103"/>
      <c r="X409" s="103"/>
      <c r="Y409" s="103"/>
      <c r="Z409" s="103"/>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216"/>
      <c r="BE409" s="216"/>
      <c r="BF409" s="216"/>
      <c r="BG409" s="216"/>
      <c r="BH409" s="216"/>
      <c r="BI409" s="216"/>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customHeight="1" outlineLevel="2">
      <c r="A410" s="9"/>
      <c r="B410" s="9"/>
      <c r="C410" s="26"/>
      <c r="D410" s="672"/>
      <c r="E410" s="86">
        <v>1</v>
      </c>
      <c r="F410" s="27"/>
      <c r="G410" s="207"/>
      <c r="H410" s="68">
        <f>IF(A25taxstdlife="n/a","n/a",IF(H$3&gt;(A25taxstdlife+$E410),(Input!$G$65-Input!$G$99)-SUM($G410:G410),(Input!$G$65-Input!$G$99)/A25taxstdlife))</f>
        <v>0</v>
      </c>
      <c r="I410" s="68">
        <f>IF(A25taxstdlife="n/a","n/a",IF(I$3&gt;(A25taxstdlife+$E410),(Input!$G$65-Input!$G$99)-SUM($G410:H410),(Input!$G$65-Input!$G$99)/A25taxstdlife))</f>
        <v>0</v>
      </c>
      <c r="J410" s="68">
        <f>IF(A25taxstdlife="n/a","n/a",IF(J$3&gt;(A25taxstdlife+$E410),(Input!$G$65-Input!$G$99)-SUM($G410:I410),(Input!$G$65-Input!$G$99)/A25taxstdlife))</f>
        <v>0</v>
      </c>
      <c r="K410" s="68">
        <f>IF(A25taxstdlife="n/a","n/a",IF(K$3&gt;(A25taxstdlife+$E410),(Input!$G$65-Input!$G$99)-SUM($G410:J410),(Input!$G$65-Input!$G$99)/A25taxstdlife))</f>
        <v>0</v>
      </c>
      <c r="L410" s="68">
        <f>IF(A25taxstdlife="n/a","n/a",IF(L$3&gt;(A25taxstdlife+$E410),(Input!$G$65-Input!$G$99)-SUM($G410:K410),(Input!$G$65-Input!$G$99)/A25taxstdlife))</f>
        <v>0</v>
      </c>
      <c r="M410" s="68">
        <f>IF(A25taxstdlife="n/a","n/a",IF(M$3&gt;(A25taxstdlife+$E410),(Input!$G$65-Input!$G$99)-SUM($G410:L410),(Input!$G$65-Input!$G$99)/A25taxstdlife))</f>
        <v>0</v>
      </c>
      <c r="N410" s="68">
        <f>IF(A25taxstdlife="n/a","n/a",IF(N$3&gt;(A25taxstdlife+$E410),(Input!$G$65-Input!$G$99)-SUM($G410:M410),(Input!$G$65-Input!$G$99)/A25taxstdlife))</f>
        <v>0</v>
      </c>
      <c r="O410" s="68">
        <f>IF(A25taxstdlife="n/a","n/a",IF(O$3&gt;(A25taxstdlife+$E410),(Input!$G$65-Input!$G$99)-SUM($G410:N410),(Input!$G$65-Input!$G$99)/A25taxstdlife))</f>
        <v>0</v>
      </c>
      <c r="P410" s="68">
        <f>IF(A25taxstdlife="n/a","n/a",IF(P$3&gt;(A25taxstdlife+$E410),(Input!$G$65-Input!$G$99)-SUM($G410:O410),(Input!$G$65-Input!$G$99)/A25taxstdlife))</f>
        <v>0</v>
      </c>
      <c r="Q410" s="68">
        <f>IF(A25taxstdlife="n/a","n/a",IF(Q$3&gt;(A25taxstdlife+$E410),(Input!$G$65-Input!$G$99)-SUM($G410:P410),(Input!$G$65-Input!$G$99)/A25taxstdlife))</f>
        <v>0</v>
      </c>
      <c r="R410" s="68"/>
      <c r="S410" s="103"/>
      <c r="T410" s="103"/>
      <c r="U410" s="103"/>
      <c r="V410" s="103"/>
      <c r="W410" s="103"/>
      <c r="X410" s="103"/>
      <c r="Y410" s="103"/>
      <c r="Z410" s="103"/>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216"/>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customHeight="1" outlineLevel="2">
      <c r="A411" s="9"/>
      <c r="B411" s="9"/>
      <c r="C411" s="26"/>
      <c r="D411" s="672"/>
      <c r="E411" s="86">
        <v>2</v>
      </c>
      <c r="F411" s="27"/>
      <c r="G411" s="208"/>
      <c r="H411" s="149"/>
      <c r="I411" s="68">
        <f>IF(A25taxstdlife="n/a","n/a",IF(I$3&gt;(A25taxstdlife+$E411),(Input!$H$65-Input!$H$99)-SUM($H411:H411),(Input!$H$65-Input!$H$99)/A25taxstdlife))</f>
        <v>0</v>
      </c>
      <c r="J411" s="68">
        <f>IF(A25taxstdlife="n/a","n/a",IF(J$3&gt;(A25taxstdlife+$E411),(Input!$H$65-Input!$H$99)-SUM($H411:I411),(Input!$H$65-Input!$H$99)/A25taxstdlife))</f>
        <v>0</v>
      </c>
      <c r="K411" s="68">
        <f>IF(A25taxstdlife="n/a","n/a",IF(K$3&gt;(A25taxstdlife+$E411),(Input!$H$65-Input!$H$99)-SUM($H411:J411),(Input!$H$65-Input!$H$99)/A25taxstdlife))</f>
        <v>0</v>
      </c>
      <c r="L411" s="68">
        <f>IF(A25taxstdlife="n/a","n/a",IF(L$3&gt;(A25taxstdlife+$E411),(Input!$H$65-Input!$H$99)-SUM($H411:K411),(Input!$H$65-Input!$H$99)/A25taxstdlife))</f>
        <v>0</v>
      </c>
      <c r="M411" s="68">
        <f>IF(A25taxstdlife="n/a","n/a",IF(M$3&gt;(A25taxstdlife+$E411),(Input!$H$65-Input!$H$99)-SUM($H411:L411),(Input!$H$65-Input!$H$99)/A25taxstdlife))</f>
        <v>0</v>
      </c>
      <c r="N411" s="68">
        <f>IF(A25taxstdlife="n/a","n/a",IF(N$3&gt;(A25taxstdlife+$E411),(Input!$H$65-Input!$H$99)-SUM($H411:M411),(Input!$H$65-Input!$H$99)/A25taxstdlife))</f>
        <v>0</v>
      </c>
      <c r="O411" s="68">
        <f>IF(A25taxstdlife="n/a","n/a",IF(O$3&gt;(A25taxstdlife+$E411),(Input!$H$65-Input!$H$99)-SUM($H411:N411),(Input!$H$65-Input!$H$99)/A25taxstdlife))</f>
        <v>0</v>
      </c>
      <c r="P411" s="68">
        <f>IF(A25taxstdlife="n/a","n/a",IF(P$3&gt;(A25taxstdlife+$E411),(Input!$H$65-Input!$H$99)-SUM($H411:O411),(Input!$H$65-Input!$H$99)/A25taxstdlife))</f>
        <v>0</v>
      </c>
      <c r="Q411" s="68">
        <f>IF(A25taxstdlife="n/a","n/a",IF(Q$3&gt;(A25taxstdlife+$E411),(Input!$H$65-Input!$H$99)-SUM($H411:P411),(Input!$H$65-Input!$H$99)/A25taxstdlife))</f>
        <v>0</v>
      </c>
      <c r="R411" s="68"/>
      <c r="S411" s="103"/>
      <c r="T411" s="103"/>
      <c r="U411" s="103"/>
      <c r="V411" s="103"/>
      <c r="W411" s="103"/>
      <c r="X411" s="103"/>
      <c r="Y411" s="103"/>
      <c r="Z411" s="103"/>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216"/>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customHeight="1" outlineLevel="2">
      <c r="A412" s="9"/>
      <c r="B412" s="9"/>
      <c r="C412" s="26"/>
      <c r="D412" s="672"/>
      <c r="E412" s="86">
        <v>3</v>
      </c>
      <c r="F412" s="27"/>
      <c r="G412" s="208"/>
      <c r="H412" s="150"/>
      <c r="I412" s="149"/>
      <c r="J412" s="68">
        <f>IF(A25taxstdlife="n/a","n/a",IF(J$3&gt;(A25taxstdlife+$E412),(Input!$I$65-Input!$I$99)-SUM($I412:I412),(Input!$I$65-Input!$I$99)/A25taxstdlife))</f>
        <v>0</v>
      </c>
      <c r="K412" s="68">
        <f>IF(A25taxstdlife="n/a","n/a",IF(K$3&gt;(A25taxstdlife+$E412),(Input!$I$65-Input!$I$99)-SUM($I412:J412),(Input!$I$65-Input!$I$99)/A25taxstdlife))</f>
        <v>0</v>
      </c>
      <c r="L412" s="68">
        <f>IF(A25taxstdlife="n/a","n/a",IF(L$3&gt;(A25taxstdlife+$E412),(Input!$I$65-Input!$I$99)-SUM($I412:K412),(Input!$I$65-Input!$I$99)/A25taxstdlife))</f>
        <v>0</v>
      </c>
      <c r="M412" s="68">
        <f>IF(A25taxstdlife="n/a","n/a",IF(M$3&gt;(A25taxstdlife+$E412),(Input!$I$65-Input!$I$99)-SUM($I412:L412),(Input!$I$65-Input!$I$99)/A25taxstdlife))</f>
        <v>0</v>
      </c>
      <c r="N412" s="68">
        <f>IF(A25taxstdlife="n/a","n/a",IF(N$3&gt;(A25taxstdlife+$E412),(Input!$I$65-Input!$I$99)-SUM($I412:M412),(Input!$I$65-Input!$I$99)/A25taxstdlife))</f>
        <v>0</v>
      </c>
      <c r="O412" s="68">
        <f>IF(A25taxstdlife="n/a","n/a",IF(O$3&gt;(A25taxstdlife+$E412),(Input!$I$65-Input!$I$99)-SUM($I412:N412),(Input!$I$65-Input!$I$99)/A25taxstdlife))</f>
        <v>0</v>
      </c>
      <c r="P412" s="68">
        <f>IF(A25taxstdlife="n/a","n/a",IF(P$3&gt;(A25taxstdlife+$E412),(Input!$I$65-Input!$I$99)-SUM($I412:O412),(Input!$I$65-Input!$I$99)/A25taxstdlife))</f>
        <v>0</v>
      </c>
      <c r="Q412" s="68">
        <f>IF(A25taxstdlife="n/a","n/a",IF(Q$3&gt;(A25taxstdlife+$E412),(Input!$I$65-Input!$I$99)-SUM($I412:P412),(Input!$I$65-Input!$I$99)/A25taxstdlife))</f>
        <v>0</v>
      </c>
      <c r="R412" s="68"/>
      <c r="S412" s="103"/>
      <c r="T412" s="103"/>
      <c r="U412" s="103"/>
      <c r="V412" s="103"/>
      <c r="W412" s="103"/>
      <c r="X412" s="103"/>
      <c r="Y412" s="103"/>
      <c r="Z412" s="103"/>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8"/>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customHeight="1" outlineLevel="2">
      <c r="A413" s="9"/>
      <c r="B413" s="9"/>
      <c r="C413" s="26"/>
      <c r="D413" s="672"/>
      <c r="E413" s="86">
        <v>4</v>
      </c>
      <c r="F413" s="27"/>
      <c r="G413" s="208"/>
      <c r="H413" s="150"/>
      <c r="I413" s="150"/>
      <c r="J413" s="149"/>
      <c r="K413" s="68">
        <f>IF(A25taxstdlife="n/a","n/a",IF(K$3&gt;(A25taxstdlife+$E413),(Input!$J$65-Input!$J$99)-SUM($J413:J413),(Input!$J$65-Input!$J$99)/A25taxstdlife))</f>
        <v>0</v>
      </c>
      <c r="L413" s="68">
        <f>IF(A25taxstdlife="n/a","n/a",IF(L$3&gt;(A25taxstdlife+$E413),(Input!$J$65-Input!$J$99)-SUM($J413:K413),(Input!$J$65-Input!$J$99)/A25taxstdlife))</f>
        <v>0</v>
      </c>
      <c r="M413" s="68">
        <f>IF(A25taxstdlife="n/a","n/a",IF(M$3&gt;(A25taxstdlife+$E413),(Input!$J$65-Input!$J$99)-SUM($J413:L413),(Input!$J$65-Input!$J$99)/A25taxstdlife))</f>
        <v>0</v>
      </c>
      <c r="N413" s="68">
        <f>IF(A25taxstdlife="n/a","n/a",IF(N$3&gt;(A25taxstdlife+$E413),(Input!$J$65-Input!$J$99)-SUM($J413:M413),(Input!$J$65-Input!$J$99)/A25taxstdlife))</f>
        <v>0</v>
      </c>
      <c r="O413" s="68">
        <f>IF(A25taxstdlife="n/a","n/a",IF(O$3&gt;(A25taxstdlife+$E413),(Input!$J$65-Input!$J$99)-SUM($J413:N413),(Input!$J$65-Input!$J$99)/A25taxstdlife))</f>
        <v>0</v>
      </c>
      <c r="P413" s="68">
        <f>IF(A25taxstdlife="n/a","n/a",IF(P$3&gt;(A25taxstdlife+$E413),(Input!$J$65-Input!$J$99)-SUM($J413:O413),(Input!$J$65-Input!$J$99)/A25taxstdlife))</f>
        <v>0</v>
      </c>
      <c r="Q413" s="68">
        <f>IF(A25taxstdlife="n/a","n/a",IF(Q$3&gt;(A25taxstdlife+$E413),(Input!$J$65-Input!$J$99)-SUM($J413:P413),(Input!$J$65-Input!$J$99)/A25taxstdlife))</f>
        <v>0</v>
      </c>
      <c r="R413" s="68"/>
      <c r="S413" s="103"/>
      <c r="T413" s="103"/>
      <c r="U413" s="103"/>
      <c r="V413" s="103"/>
      <c r="W413" s="103"/>
      <c r="X413" s="103"/>
      <c r="Y413" s="103"/>
      <c r="Z413" s="103"/>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216"/>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customHeight="1" outlineLevel="2">
      <c r="A414" s="9"/>
      <c r="B414" s="9"/>
      <c r="C414" s="26"/>
      <c r="D414" s="672"/>
      <c r="E414" s="86">
        <v>5</v>
      </c>
      <c r="F414" s="27"/>
      <c r="G414" s="208"/>
      <c r="H414" s="150"/>
      <c r="I414" s="150"/>
      <c r="J414" s="150"/>
      <c r="K414" s="149"/>
      <c r="L414" s="68">
        <f>IF(A25taxstdlife="n/a","n/a",IF(L$3&gt;(A25taxstdlife+$E414),(Input!$K$65-Input!$K$99)-SUM($K414:K414),(Input!$K$65-Input!$K$99)/A25taxstdlife))</f>
        <v>0</v>
      </c>
      <c r="M414" s="68">
        <f>IF(A25taxstdlife="n/a","n/a",IF(M$3&gt;(A25taxstdlife+$E414),(Input!$K$65-Input!$K$99)-SUM($K414:L414),(Input!$K$65-Input!$K$99)/A25taxstdlife))</f>
        <v>0</v>
      </c>
      <c r="N414" s="68">
        <f>IF(A25taxstdlife="n/a","n/a",IF(N$3&gt;(A25taxstdlife+$E414),(Input!$K$65-Input!$K$99)-SUM($K414:M414),(Input!$K$65-Input!$K$99)/A25taxstdlife))</f>
        <v>0</v>
      </c>
      <c r="O414" s="68">
        <f>IF(A25taxstdlife="n/a","n/a",IF(O$3&gt;(A25taxstdlife+$E414),(Input!$K$65-Input!$K$99)-SUM($K414:N414),(Input!$K$65-Input!$K$99)/A25taxstdlife))</f>
        <v>0</v>
      </c>
      <c r="P414" s="68">
        <f>IF(A25taxstdlife="n/a","n/a",IF(P$3&gt;(A25taxstdlife+$E414),(Input!$K$65-Input!$K$99)-SUM($K414:O414),(Input!$K$65-Input!$K$99)/A25taxstdlife))</f>
        <v>0</v>
      </c>
      <c r="Q414" s="68">
        <f>IF(A25taxstdlife="n/a","n/a",IF(Q$3&gt;(A25taxstdlife+$E414),(Input!$K$65-Input!$K$99)-SUM($K414:P414),(Input!$K$65-Input!$K$99)/A25taxstdlife))</f>
        <v>0</v>
      </c>
      <c r="R414" s="68"/>
      <c r="S414" s="103"/>
      <c r="T414" s="103"/>
      <c r="U414" s="103"/>
      <c r="V414" s="103"/>
      <c r="W414" s="103"/>
      <c r="X414" s="103"/>
      <c r="Y414" s="103"/>
      <c r="Z414" s="103"/>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6"/>
      <c r="BJ414" s="187"/>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26"/>
      <c r="D415" s="672"/>
      <c r="E415" s="86">
        <v>6</v>
      </c>
      <c r="F415" s="27"/>
      <c r="G415" s="208"/>
      <c r="H415" s="150"/>
      <c r="I415" s="150"/>
      <c r="J415" s="150"/>
      <c r="K415" s="150"/>
      <c r="L415" s="149"/>
      <c r="M415" s="68">
        <f>IF(A25taxstdlife="n/a","n/a",IF(M$3&gt;(A25taxstdlife+$E415),(Input!$L$65-Input!$L$99)-SUM($L415:L415),(Input!$L$65-Input!$L$99)/A25taxstdlife))</f>
        <v>0</v>
      </c>
      <c r="N415" s="68">
        <f>IF(A25taxstdlife="n/a","n/a",IF(N$3&gt;(A25taxstdlife+$E415),(Input!$L$65-Input!$L$99)-SUM($L415:M415),(Input!$L$65-Input!$L$99)/A25taxstdlife))</f>
        <v>0</v>
      </c>
      <c r="O415" s="68">
        <f>IF(A25taxstdlife="n/a","n/a",IF(O$3&gt;(A25taxstdlife+$E415),(Input!$L$65-Input!$L$99)-SUM($L415:N415),(Input!$L$65-Input!$L$99)/A25taxstdlife))</f>
        <v>0</v>
      </c>
      <c r="P415" s="68">
        <f>IF(A25taxstdlife="n/a","n/a",IF(P$3&gt;(A25taxstdlife+$E415),(Input!$L$65-Input!$L$99)-SUM($L415:O415),(Input!$L$65-Input!$L$99)/A25taxstdlife))</f>
        <v>0</v>
      </c>
      <c r="Q415" s="68">
        <f>IF(A25taxstdlife="n/a","n/a",IF(Q$3&gt;(A25taxstdlife+$E415),(Input!$L$65-Input!$L$99)-SUM($L415:P415),(Input!$L$65-Input!$L$99)/A25taxstdlife))</f>
        <v>0</v>
      </c>
      <c r="R415" s="68"/>
      <c r="S415" s="103"/>
      <c r="T415" s="103"/>
      <c r="U415" s="103"/>
      <c r="V415" s="103"/>
      <c r="W415" s="103"/>
      <c r="X415" s="103"/>
      <c r="Y415" s="103"/>
      <c r="Z415" s="103"/>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216"/>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customHeight="1" outlineLevel="2">
      <c r="A416" s="9"/>
      <c r="B416" s="9"/>
      <c r="C416" s="26"/>
      <c r="D416" s="672"/>
      <c r="E416" s="86">
        <v>7</v>
      </c>
      <c r="F416" s="27"/>
      <c r="G416" s="208"/>
      <c r="H416" s="150"/>
      <c r="I416" s="150"/>
      <c r="J416" s="150"/>
      <c r="K416" s="150"/>
      <c r="L416" s="150"/>
      <c r="M416" s="149"/>
      <c r="N416" s="68">
        <f>IF(A25taxstdlife="n/a","n/a",IF(N$3&gt;(A25taxstdlife+$E416),(Input!$M$65-Input!$M$99)-SUM($M416:M416),(Input!$M$65-Input!$M$99)/A25taxstdlife))</f>
        <v>0</v>
      </c>
      <c r="O416" s="68">
        <f>IF(A25taxstdlife="n/a","n/a",IF(O$3&gt;(A25taxstdlife+$E416),(Input!$M$65-Input!$M$99)-SUM($M416:N416),(Input!$M$65-Input!$M$99)/A25taxstdlife))</f>
        <v>0</v>
      </c>
      <c r="P416" s="68">
        <f>IF(A25taxstdlife="n/a","n/a",IF(P$3&gt;(A25taxstdlife+$E416),(Input!$M$65-Input!$M$99)-SUM($M416:O416),(Input!$M$65-Input!$M$99)/A25taxstdlife))</f>
        <v>0</v>
      </c>
      <c r="Q416" s="68">
        <f>IF(A25taxstdlife="n/a","n/a",IF(Q$3&gt;(A25taxstdlife+$E416),(Input!$M$65-Input!$M$99)-SUM($M416:P416),(Input!$M$65-Input!$M$99)/A25taxstdlife))</f>
        <v>0</v>
      </c>
      <c r="R416" s="68"/>
      <c r="S416" s="103"/>
      <c r="T416" s="103"/>
      <c r="U416" s="103"/>
      <c r="V416" s="103"/>
      <c r="W416" s="103"/>
      <c r="X416" s="103"/>
      <c r="Y416" s="103"/>
      <c r="Z416" s="103"/>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216"/>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customHeight="1" outlineLevel="2">
      <c r="A417" s="9"/>
      <c r="B417" s="9"/>
      <c r="C417" s="26"/>
      <c r="D417" s="672"/>
      <c r="E417" s="86">
        <v>8</v>
      </c>
      <c r="F417" s="27"/>
      <c r="G417" s="208"/>
      <c r="H417" s="150"/>
      <c r="I417" s="150"/>
      <c r="J417" s="150"/>
      <c r="K417" s="150"/>
      <c r="L417" s="150"/>
      <c r="M417" s="150"/>
      <c r="N417" s="149"/>
      <c r="O417" s="68">
        <f>IF(A25taxstdlife="n/a","n/a",IF(O$3&gt;(A25taxstdlife+$E417),(Input!$N$65-Input!$N$99)-SUM($N417:N417),(Input!$N$65-Input!$N$99)/A25taxstdlife))</f>
        <v>0</v>
      </c>
      <c r="P417" s="68">
        <f>IF(A25taxstdlife="n/a","n/a",IF(P$3&gt;(A25taxstdlife+$E417),(Input!$N$65-Input!$N$99)-SUM($N417:O417),(Input!$N$65-Input!$N$99)/A25taxstdlife))</f>
        <v>0</v>
      </c>
      <c r="Q417" s="68">
        <f>IF(A25taxstdlife="n/a","n/a",IF(Q$3&gt;(A25taxstdlife+$E417),(Input!$N$65-Input!$N$99)-SUM($N417:P417),(Input!$N$65-Input!$N$99)/A25taxstdlife))</f>
        <v>0</v>
      </c>
      <c r="R417" s="68"/>
      <c r="S417" s="103"/>
      <c r="T417" s="103"/>
      <c r="U417" s="103"/>
      <c r="V417" s="103"/>
      <c r="W417" s="103"/>
      <c r="X417" s="103"/>
      <c r="Y417" s="103"/>
      <c r="Z417" s="103"/>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216"/>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customHeight="1" outlineLevel="2">
      <c r="A418" s="9"/>
      <c r="B418" s="9"/>
      <c r="C418" s="26"/>
      <c r="D418" s="672"/>
      <c r="E418" s="86">
        <v>9</v>
      </c>
      <c r="F418" s="27"/>
      <c r="G418" s="208"/>
      <c r="H418" s="150"/>
      <c r="I418" s="150"/>
      <c r="J418" s="150"/>
      <c r="K418" s="150"/>
      <c r="L418" s="150"/>
      <c r="M418" s="150"/>
      <c r="N418" s="150"/>
      <c r="O418" s="149"/>
      <c r="P418" s="68">
        <f>IF(A25taxstdlife="n/a","n/a",IF(P$3&gt;(A25taxstdlife+$E418),(Input!$O$65-Input!$O$99)-SUM($O418:O418),(Input!$O$65-Input!$O$99)/A25taxstdlife))</f>
        <v>0</v>
      </c>
      <c r="Q418" s="68">
        <f>IF(A25taxstdlife="n/a","n/a",IF(Q$3&gt;(A25taxstdlife+$E418),(Input!$O$65-Input!$O$99)-SUM($O418:P418),(Input!$O$65-Input!$O$99)/A25taxstdlife))</f>
        <v>0</v>
      </c>
      <c r="R418" s="68"/>
      <c r="S418" s="103"/>
      <c r="T418" s="103"/>
      <c r="U418" s="103"/>
      <c r="V418" s="103"/>
      <c r="W418" s="103"/>
      <c r="X418" s="103"/>
      <c r="Y418" s="103"/>
      <c r="Z418" s="103"/>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216"/>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customHeight="1" outlineLevel="2">
      <c r="A419" s="9"/>
      <c r="B419" s="9"/>
      <c r="C419" s="26"/>
      <c r="D419" s="672"/>
      <c r="E419" s="86">
        <v>10</v>
      </c>
      <c r="F419" s="27"/>
      <c r="G419" s="208"/>
      <c r="H419" s="150"/>
      <c r="I419" s="150"/>
      <c r="J419" s="150"/>
      <c r="K419" s="150"/>
      <c r="L419" s="150"/>
      <c r="M419" s="150"/>
      <c r="N419" s="150"/>
      <c r="O419" s="150"/>
      <c r="P419" s="149"/>
      <c r="Q419" s="68">
        <f>IF(A25taxstdlife="n/a","n/a",IF(Q$3&gt;(A25taxstdlife+$E419),(Input!$P$65-Input!$P$99)-SUM($P419:P419),(Input!$P$65-Input!$P$99)/A25taxstdlife))</f>
        <v>0</v>
      </c>
      <c r="R419" s="68"/>
      <c r="S419" s="103"/>
      <c r="T419" s="103"/>
      <c r="U419" s="103"/>
      <c r="V419" s="103"/>
      <c r="W419" s="103"/>
      <c r="X419" s="103"/>
      <c r="Y419" s="103"/>
      <c r="Z419" s="103"/>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216"/>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customHeight="1" outlineLevel="2">
      <c r="A420" s="9"/>
      <c r="B420" s="9"/>
      <c r="C420" s="26"/>
      <c r="D420" s="672"/>
      <c r="E420" s="87">
        <v>11</v>
      </c>
      <c r="F420" s="27"/>
      <c r="G420" s="208"/>
      <c r="H420" s="150"/>
      <c r="I420" s="150"/>
      <c r="J420" s="150"/>
      <c r="K420" s="150"/>
      <c r="L420" s="150"/>
      <c r="M420" s="150"/>
      <c r="N420" s="150"/>
      <c r="O420" s="150"/>
      <c r="P420" s="189"/>
      <c r="Q420" s="149"/>
      <c r="R420" s="68"/>
      <c r="S420" s="103"/>
      <c r="T420" s="103"/>
      <c r="U420" s="103"/>
      <c r="V420" s="103"/>
      <c r="W420" s="103"/>
      <c r="X420" s="103"/>
      <c r="Y420" s="103"/>
      <c r="Z420" s="103"/>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216"/>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1">
      <c r="A421" s="9"/>
      <c r="B421" s="9"/>
      <c r="C421" s="26">
        <f>Asset25</f>
        <v>0</v>
      </c>
      <c r="D421" s="9"/>
      <c r="E421" s="9"/>
      <c r="F421" s="23"/>
      <c r="G421" s="209">
        <f t="shared" ref="G421:L421" si="59">-SUM(G408:G420)</f>
        <v>0</v>
      </c>
      <c r="H421" s="166">
        <f t="shared" si="59"/>
        <v>0</v>
      </c>
      <c r="I421" s="166">
        <f t="shared" si="59"/>
        <v>0</v>
      </c>
      <c r="J421" s="166">
        <f t="shared" si="59"/>
        <v>0</v>
      </c>
      <c r="K421" s="166">
        <f t="shared" si="59"/>
        <v>0</v>
      </c>
      <c r="L421" s="166">
        <f t="shared" si="59"/>
        <v>0</v>
      </c>
      <c r="M421" s="166">
        <f>IF(Input!M173&gt;0, -SUM(M408:M420), 0)</f>
        <v>0</v>
      </c>
      <c r="N421" s="166">
        <f>IF(Input!N173&gt;0, -SUM(N408:N420), 0)</f>
        <v>0</v>
      </c>
      <c r="O421" s="166">
        <f>IF(Input!O173&gt;0, -SUM(O408:O420), 0)</f>
        <v>0</v>
      </c>
      <c r="P421" s="166">
        <f>IF(Input!P173&gt;0, -SUM(P408:P420), 0)</f>
        <v>0</v>
      </c>
      <c r="Q421" s="166">
        <f>IF(Input!Q173&gt;0, -SUM(Q408:Q420), 0)</f>
        <v>0</v>
      </c>
      <c r="R421" s="64"/>
      <c r="S421" s="102"/>
      <c r="T421" s="102"/>
      <c r="U421" s="102"/>
      <c r="V421" s="102"/>
      <c r="W421" s="102"/>
      <c r="X421" s="102"/>
      <c r="Y421" s="102"/>
      <c r="Z421" s="102"/>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customHeight="1" outlineLevel="2">
      <c r="A422" s="9"/>
      <c r="B422" s="188">
        <f>Asset26</f>
        <v>0</v>
      </c>
      <c r="C422" s="33"/>
      <c r="D422" s="34" t="s">
        <v>67</v>
      </c>
      <c r="E422" s="33"/>
      <c r="F422" s="35"/>
      <c r="G422" s="205">
        <f>IF(G$3&gt;A26taxremlife,A26taxvalue-SUM($F422:F422),IF(A26taxremlife="N/A","n/a",A26taxvalue/A26taxremlife))</f>
        <v>0</v>
      </c>
      <c r="H422" s="67">
        <f>IF(H$3&gt;A26taxremlife,A26taxvalue-SUM($F422:G422),IF(A26taxremlife="N/A","n/a",A26taxvalue/A26taxremlife))</f>
        <v>0</v>
      </c>
      <c r="I422" s="67">
        <f>IF(I$3&gt;A26taxremlife,A26taxvalue-SUM($F422:H422),IF(A26taxremlife="N/A","n/a",A26taxvalue/A26taxremlife))</f>
        <v>0</v>
      </c>
      <c r="J422" s="67">
        <f>IF(J$3&gt;A26taxremlife,A26taxvalue-SUM($F422:I422),IF(A26taxremlife="N/A","n/a",A26taxvalue/A26taxremlife))</f>
        <v>0</v>
      </c>
      <c r="K422" s="67">
        <f>IF(K$3&gt;A26taxremlife,A26taxvalue-SUM($F422:J422),IF(A26taxremlife="N/A","n/a",A26taxvalue/A26taxremlife))</f>
        <v>0</v>
      </c>
      <c r="L422" s="67">
        <f>IF(L$3&gt;A26taxremlife,A26taxvalue-SUM($F422:K422),IF(A26taxremlife="N/A","n/a",A26taxvalue/A26taxremlife))</f>
        <v>0</v>
      </c>
      <c r="M422" s="67">
        <f>IF(M$3&gt;A26taxremlife,A26taxvalue-SUM($F422:L422),IF(A26taxremlife="N/A","n/a",A26taxvalue/A26taxremlife))</f>
        <v>0</v>
      </c>
      <c r="N422" s="67">
        <f>IF(N$3&gt;A26taxremlife,A26taxvalue-SUM($F422:M422),IF(A26taxremlife="N/A","n/a",A26taxvalue/A26taxremlife))</f>
        <v>0</v>
      </c>
      <c r="O422" s="67">
        <f>IF(O$3&gt;A26taxremlife,A26taxvalue-SUM($F422:N422),IF(A26taxremlife="N/A","n/a",A26taxvalue/A26taxremlife))</f>
        <v>0</v>
      </c>
      <c r="P422" s="67">
        <f>IF(P$3&gt;A26taxremlife,A26taxvalue-SUM($F422:O422),IF(A26taxremlife="N/A","n/a",A26taxvalue/A26taxremlife))</f>
        <v>0</v>
      </c>
      <c r="Q422" s="67">
        <f>IF(Q$3&gt;A26taxremlife,A26taxvalue-SUM($F422:P422),IF(A26taxremlife="N/A","n/a",A26taxvalue/A26taxremlife))</f>
        <v>0</v>
      </c>
      <c r="R422" s="67"/>
      <c r="S422" s="103"/>
      <c r="T422" s="103"/>
      <c r="U422" s="103"/>
      <c r="V422" s="103"/>
      <c r="W422" s="103"/>
      <c r="X422" s="103"/>
      <c r="Y422" s="103"/>
      <c r="Z422" s="103"/>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customHeight="1" outlineLevel="2">
      <c r="A423" s="9"/>
      <c r="B423" s="9"/>
      <c r="C423" s="26"/>
      <c r="D423" s="671" t="s">
        <v>84</v>
      </c>
      <c r="E423" s="86">
        <v>0</v>
      </c>
      <c r="F423" s="27"/>
      <c r="G423" s="206"/>
      <c r="H423" s="68"/>
      <c r="I423" s="68"/>
      <c r="J423" s="68"/>
      <c r="K423" s="68"/>
      <c r="L423" s="68"/>
      <c r="M423" s="68"/>
      <c r="N423" s="68"/>
      <c r="O423" s="68"/>
      <c r="P423" s="68"/>
      <c r="Q423" s="68"/>
      <c r="R423" s="68"/>
      <c r="S423" s="103"/>
      <c r="T423" s="103"/>
      <c r="U423" s="103"/>
      <c r="V423" s="103"/>
      <c r="W423" s="103"/>
      <c r="X423" s="103"/>
      <c r="Y423" s="103"/>
      <c r="Z423" s="103"/>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customHeight="1" outlineLevel="2">
      <c r="A424" s="9"/>
      <c r="B424" s="9"/>
      <c r="C424" s="26"/>
      <c r="D424" s="672"/>
      <c r="E424" s="86">
        <v>1</v>
      </c>
      <c r="F424" s="27"/>
      <c r="G424" s="207"/>
      <c r="H424" s="68">
        <f>IF(A26taxstdlife="n/a","n/a",IF(H$3&gt;(A26taxstdlife+$E424),(Input!$G$66-Input!$G$100)-SUM($G424:G424),(Input!$G$66-Input!$G$100)/A26taxstdlife))</f>
        <v>0</v>
      </c>
      <c r="I424" s="68">
        <f>IF(A26taxstdlife="n/a","n/a",IF(I$3&gt;(A26taxstdlife+$E424),(Input!$G$66-Input!$G$100)-SUM($G424:H424),(Input!$G$66-Input!$G$100)/A26taxstdlife))</f>
        <v>0</v>
      </c>
      <c r="J424" s="68">
        <f>IF(A26taxstdlife="n/a","n/a",IF(J$3&gt;(A26taxstdlife+$E424),(Input!$G$66-Input!$G$100)-SUM($G424:I424),(Input!$G$66-Input!$G$100)/A26taxstdlife))</f>
        <v>0</v>
      </c>
      <c r="K424" s="68">
        <f>IF(A26taxstdlife="n/a","n/a",IF(K$3&gt;(A26taxstdlife+$E424),(Input!$G$66-Input!$G$100)-SUM($G424:J424),(Input!$G$66-Input!$G$100)/A26taxstdlife))</f>
        <v>0</v>
      </c>
      <c r="L424" s="68">
        <f>IF(A26taxstdlife="n/a","n/a",IF(L$3&gt;(A26taxstdlife+$E424),(Input!$G$66-Input!$G$100)-SUM($G424:K424),(Input!$G$66-Input!$G$100)/A26taxstdlife))</f>
        <v>0</v>
      </c>
      <c r="M424" s="68">
        <f>IF(A26taxstdlife="n/a","n/a",IF(M$3&gt;(A26taxstdlife+$E424),(Input!$G$66-Input!$G$100)-SUM($G424:L424),(Input!$G$66-Input!$G$100)/A26taxstdlife))</f>
        <v>0</v>
      </c>
      <c r="N424" s="68">
        <f>IF(A26taxstdlife="n/a","n/a",IF(N$3&gt;(A26taxstdlife+$E424),(Input!$G$66-Input!$G$100)-SUM($G424:M424),(Input!$G$66-Input!$G$100)/A26taxstdlife))</f>
        <v>0</v>
      </c>
      <c r="O424" s="68">
        <f>IF(A26taxstdlife="n/a","n/a",IF(O$3&gt;(A26taxstdlife+$E424),(Input!$G$66-Input!$G$100)-SUM($G424:N424),(Input!$G$66-Input!$G$100)/A26taxstdlife))</f>
        <v>0</v>
      </c>
      <c r="P424" s="68">
        <f>IF(A26taxstdlife="n/a","n/a",IF(P$3&gt;(A26taxstdlife+$E424),(Input!$G$66-Input!$G$100)-SUM($G424:O424),(Input!$G$66-Input!$G$100)/A26taxstdlife))</f>
        <v>0</v>
      </c>
      <c r="Q424" s="68">
        <f>IF(A26taxstdlife="n/a","n/a",IF(Q$3&gt;(A26taxstdlife+$E424),(Input!$G$66-Input!$G$100)-SUM($G424:P424),(Input!$G$66-Input!$G$100)/A26taxstdlife))</f>
        <v>0</v>
      </c>
      <c r="R424" s="68"/>
      <c r="S424" s="103"/>
      <c r="T424" s="103"/>
      <c r="U424" s="103"/>
      <c r="V424" s="103"/>
      <c r="W424" s="103"/>
      <c r="X424" s="103"/>
      <c r="Y424" s="103"/>
      <c r="Z424" s="103"/>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customHeight="1" outlineLevel="2">
      <c r="A425" s="9"/>
      <c r="B425" s="9"/>
      <c r="C425" s="26"/>
      <c r="D425" s="672"/>
      <c r="E425" s="86">
        <v>2</v>
      </c>
      <c r="F425" s="27"/>
      <c r="G425" s="208"/>
      <c r="H425" s="149"/>
      <c r="I425" s="68">
        <f>IF(A26taxstdlife="n/a","n/a",IF(I$3&gt;(A26taxstdlife+$E425),(Input!$H$66-Input!$H$100)-SUM($H425:H425),(Input!$H$66-Input!$H$100)/A26taxstdlife))</f>
        <v>0</v>
      </c>
      <c r="J425" s="68">
        <f>IF(A26taxstdlife="n/a","n/a",IF(J$3&gt;(A26taxstdlife+$E425),(Input!$H$66-Input!$H$100)-SUM($H425:I425),(Input!$H$66-Input!$H$100)/A26taxstdlife))</f>
        <v>0</v>
      </c>
      <c r="K425" s="68">
        <f>IF(A26taxstdlife="n/a","n/a",IF(K$3&gt;(A26taxstdlife+$E425),(Input!$H$66-Input!$H$100)-SUM($H425:J425),(Input!$H$66-Input!$H$100)/A26taxstdlife))</f>
        <v>0</v>
      </c>
      <c r="L425" s="68">
        <f>IF(A26taxstdlife="n/a","n/a",IF(L$3&gt;(A26taxstdlife+$E425),(Input!$H$66-Input!$H$100)-SUM($H425:K425),(Input!$H$66-Input!$H$100)/A26taxstdlife))</f>
        <v>0</v>
      </c>
      <c r="M425" s="68">
        <f>IF(A26taxstdlife="n/a","n/a",IF(M$3&gt;(A26taxstdlife+$E425),(Input!$H$66-Input!$H$100)-SUM($H425:L425),(Input!$H$66-Input!$H$100)/A26taxstdlife))</f>
        <v>0</v>
      </c>
      <c r="N425" s="68">
        <f>IF(A26taxstdlife="n/a","n/a",IF(N$3&gt;(A26taxstdlife+$E425),(Input!$H$66-Input!$H$100)-SUM($H425:M425),(Input!$H$66-Input!$H$100)/A26taxstdlife))</f>
        <v>0</v>
      </c>
      <c r="O425" s="68">
        <f>IF(A26taxstdlife="n/a","n/a",IF(O$3&gt;(A26taxstdlife+$E425),(Input!$H$66-Input!$H$100)-SUM($H425:N425),(Input!$H$66-Input!$H$100)/A26taxstdlife))</f>
        <v>0</v>
      </c>
      <c r="P425" s="68">
        <f>IF(A26taxstdlife="n/a","n/a",IF(P$3&gt;(A26taxstdlife+$E425),(Input!$H$66-Input!$H$100)-SUM($H425:O425),(Input!$H$66-Input!$H$100)/A26taxstdlife))</f>
        <v>0</v>
      </c>
      <c r="Q425" s="68">
        <f>IF(A26taxstdlife="n/a","n/a",IF(Q$3&gt;(A26taxstdlife+$E425),(Input!$H$66-Input!$H$100)-SUM($H425:P425),(Input!$H$66-Input!$H$100)/A26taxstdlife))</f>
        <v>0</v>
      </c>
      <c r="R425" s="68"/>
      <c r="S425" s="103"/>
      <c r="T425" s="103"/>
      <c r="U425" s="103"/>
      <c r="V425" s="103"/>
      <c r="W425" s="103"/>
      <c r="X425" s="103"/>
      <c r="Y425" s="103"/>
      <c r="Z425" s="103"/>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216"/>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customHeight="1" outlineLevel="2">
      <c r="A426" s="9"/>
      <c r="B426" s="9"/>
      <c r="C426" s="26"/>
      <c r="D426" s="672"/>
      <c r="E426" s="86">
        <v>3</v>
      </c>
      <c r="F426" s="27"/>
      <c r="G426" s="208"/>
      <c r="H426" s="150"/>
      <c r="I426" s="149"/>
      <c r="J426" s="68">
        <f>IF(A26taxstdlife="n/a","n/a",IF(J$3&gt;(A26taxstdlife+$E426),(Input!$I$66-Input!$I$100)-SUM($I426:I426),(Input!$I$66-Input!$I$100)/A26taxstdlife))</f>
        <v>0</v>
      </c>
      <c r="K426" s="68">
        <f>IF(A26taxstdlife="n/a","n/a",IF(K$3&gt;(A26taxstdlife+$E426),(Input!$I$66-Input!$I$100)-SUM($I426:J426),(Input!$I$66-Input!$I$100)/A26taxstdlife))</f>
        <v>0</v>
      </c>
      <c r="L426" s="68">
        <f>IF(A26taxstdlife="n/a","n/a",IF(L$3&gt;(A26taxstdlife+$E426),(Input!$I$66-Input!$I$100)-SUM($I426:K426),(Input!$I$66-Input!$I$100)/A26taxstdlife))</f>
        <v>0</v>
      </c>
      <c r="M426" s="68">
        <f>IF(A26taxstdlife="n/a","n/a",IF(M$3&gt;(A26taxstdlife+$E426),(Input!$I$66-Input!$I$100)-SUM($I426:L426),(Input!$I$66-Input!$I$100)/A26taxstdlife))</f>
        <v>0</v>
      </c>
      <c r="N426" s="68">
        <f>IF(A26taxstdlife="n/a","n/a",IF(N$3&gt;(A26taxstdlife+$E426),(Input!$I$66-Input!$I$100)-SUM($I426:M426),(Input!$I$66-Input!$I$100)/A26taxstdlife))</f>
        <v>0</v>
      </c>
      <c r="O426" s="68">
        <f>IF(A26taxstdlife="n/a","n/a",IF(O$3&gt;(A26taxstdlife+$E426),(Input!$I$66-Input!$I$100)-SUM($I426:N426),(Input!$I$66-Input!$I$100)/A26taxstdlife))</f>
        <v>0</v>
      </c>
      <c r="P426" s="68">
        <f>IF(A26taxstdlife="n/a","n/a",IF(P$3&gt;(A26taxstdlife+$E426),(Input!$I$66-Input!$I$100)-SUM($I426:O426),(Input!$I$66-Input!$I$100)/A26taxstdlife))</f>
        <v>0</v>
      </c>
      <c r="Q426" s="68">
        <f>IF(A26taxstdlife="n/a","n/a",IF(Q$3&gt;(A26taxstdlife+$E426),(Input!$I$66-Input!$I$100)-SUM($I426:P426),(Input!$I$66-Input!$I$100)/A26taxstdlife))</f>
        <v>0</v>
      </c>
      <c r="R426" s="68"/>
      <c r="S426" s="103"/>
      <c r="T426" s="103"/>
      <c r="U426" s="103"/>
      <c r="V426" s="103"/>
      <c r="W426" s="103"/>
      <c r="X426" s="103"/>
      <c r="Y426" s="103"/>
      <c r="Z426" s="103"/>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216"/>
      <c r="BJ426" s="218"/>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customHeight="1" outlineLevel="2">
      <c r="A427" s="9"/>
      <c r="B427" s="9"/>
      <c r="C427" s="26"/>
      <c r="D427" s="672"/>
      <c r="E427" s="86">
        <v>4</v>
      </c>
      <c r="F427" s="27"/>
      <c r="G427" s="208"/>
      <c r="H427" s="150"/>
      <c r="I427" s="150"/>
      <c r="J427" s="149"/>
      <c r="K427" s="68">
        <f>IF(A26taxstdlife="n/a","n/a",IF(K$3&gt;(A26taxstdlife+$E427),(Input!$J$66-Input!$J$100)-SUM($J427:J427),(Input!$J$66-Input!$J$100)/A26taxstdlife))</f>
        <v>0</v>
      </c>
      <c r="L427" s="68">
        <f>IF(A26taxstdlife="n/a","n/a",IF(L$3&gt;(A26taxstdlife+$E427),(Input!$J$66-Input!$J$100)-SUM($J427:K427),(Input!$J$66-Input!$J$100)/A26taxstdlife))</f>
        <v>0</v>
      </c>
      <c r="M427" s="68">
        <f>IF(A26taxstdlife="n/a","n/a",IF(M$3&gt;(A26taxstdlife+$E427),(Input!$J$66-Input!$J$100)-SUM($J427:L427),(Input!$J$66-Input!$J$100)/A26taxstdlife))</f>
        <v>0</v>
      </c>
      <c r="N427" s="68">
        <f>IF(A26taxstdlife="n/a","n/a",IF(N$3&gt;(A26taxstdlife+$E427),(Input!$J$66-Input!$J$100)-SUM($J427:M427),(Input!$J$66-Input!$J$100)/A26taxstdlife))</f>
        <v>0</v>
      </c>
      <c r="O427" s="68">
        <f>IF(A26taxstdlife="n/a","n/a",IF(O$3&gt;(A26taxstdlife+$E427),(Input!$J$66-Input!$J$100)-SUM($J427:N427),(Input!$J$66-Input!$J$100)/A26taxstdlife))</f>
        <v>0</v>
      </c>
      <c r="P427" s="68">
        <f>IF(A26taxstdlife="n/a","n/a",IF(P$3&gt;(A26taxstdlife+$E427),(Input!$J$66-Input!$J$100)-SUM($J427:O427),(Input!$J$66-Input!$J$100)/A26taxstdlife))</f>
        <v>0</v>
      </c>
      <c r="Q427" s="68">
        <f>IF(A26taxstdlife="n/a","n/a",IF(Q$3&gt;(A26taxstdlife+$E427),(Input!$J$66-Input!$J$100)-SUM($J427:P427),(Input!$J$66-Input!$J$100)/A26taxstdlife))</f>
        <v>0</v>
      </c>
      <c r="R427" s="68"/>
      <c r="S427" s="103"/>
      <c r="T427" s="103"/>
      <c r="U427" s="103"/>
      <c r="V427" s="103"/>
      <c r="W427" s="103"/>
      <c r="X427" s="103"/>
      <c r="Y427" s="103"/>
      <c r="Z427" s="103"/>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6"/>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26"/>
      <c r="D428" s="672"/>
      <c r="E428" s="86">
        <v>5</v>
      </c>
      <c r="F428" s="27"/>
      <c r="G428" s="208"/>
      <c r="H428" s="150"/>
      <c r="I428" s="150"/>
      <c r="J428" s="150"/>
      <c r="K428" s="149"/>
      <c r="L428" s="68">
        <f>IF(A26taxstdlife="n/a","n/a",IF(L$3&gt;(A26taxstdlife+$E428),(Input!$K$66-Input!$K$100)-SUM($K428:K428),(Input!$K$66-Input!$K$100)/A26taxstdlife))</f>
        <v>0</v>
      </c>
      <c r="M428" s="68">
        <f>IF(A26taxstdlife="n/a","n/a",IF(M$3&gt;(A26taxstdlife+$E428),(Input!$K$66-Input!$K$100)-SUM($K428:L428),(Input!$K$66-Input!$K$100)/A26taxstdlife))</f>
        <v>0</v>
      </c>
      <c r="N428" s="68">
        <f>IF(A26taxstdlife="n/a","n/a",IF(N$3&gt;(A26taxstdlife+$E428),(Input!$K$66-Input!$K$100)-SUM($K428:M428),(Input!$K$66-Input!$K$100)/A26taxstdlife))</f>
        <v>0</v>
      </c>
      <c r="O428" s="68">
        <f>IF(A26taxstdlife="n/a","n/a",IF(O$3&gt;(A26taxstdlife+$E428),(Input!$K$66-Input!$K$100)-SUM($K428:N428),(Input!$K$66-Input!$K$100)/A26taxstdlife))</f>
        <v>0</v>
      </c>
      <c r="P428" s="68">
        <f>IF(A26taxstdlife="n/a","n/a",IF(P$3&gt;(A26taxstdlife+$E428),(Input!$K$66-Input!$K$100)-SUM($K428:O428),(Input!$K$66-Input!$K$100)/A26taxstdlife))</f>
        <v>0</v>
      </c>
      <c r="Q428" s="68">
        <f>IF(A26taxstdlife="n/a","n/a",IF(Q$3&gt;(A26taxstdlife+$E428),(Input!$K$66-Input!$K$100)-SUM($K428:P428),(Input!$K$66-Input!$K$100)/A26taxstdlife))</f>
        <v>0</v>
      </c>
      <c r="R428" s="68"/>
      <c r="S428" s="103"/>
      <c r="T428" s="103"/>
      <c r="U428" s="103"/>
      <c r="V428" s="103"/>
      <c r="W428" s="103"/>
      <c r="X428" s="103"/>
      <c r="Y428" s="103"/>
      <c r="Z428" s="103"/>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216"/>
      <c r="BJ428" s="187"/>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customHeight="1" outlineLevel="2">
      <c r="A429" s="9"/>
      <c r="B429" s="9"/>
      <c r="C429" s="26"/>
      <c r="D429" s="672"/>
      <c r="E429" s="86">
        <v>6</v>
      </c>
      <c r="F429" s="27"/>
      <c r="G429" s="208"/>
      <c r="H429" s="150"/>
      <c r="I429" s="150"/>
      <c r="J429" s="150"/>
      <c r="K429" s="150"/>
      <c r="L429" s="149"/>
      <c r="M429" s="68">
        <f>IF(A26taxstdlife="n/a","n/a",IF(M$3&gt;(A26taxstdlife+$E429),(Input!$L$66-Input!$L$100)-SUM($L429:L429),(Input!$L$66-Input!$L$100)/A26taxstdlife))</f>
        <v>0</v>
      </c>
      <c r="N429" s="68">
        <f>IF(A26taxstdlife="n/a","n/a",IF(N$3&gt;(A26taxstdlife+$E429),(Input!$L$66-Input!$L$100)-SUM($L429:M429),(Input!$L$66-Input!$L$100)/A26taxstdlife))</f>
        <v>0</v>
      </c>
      <c r="O429" s="68">
        <f>IF(A26taxstdlife="n/a","n/a",IF(O$3&gt;(A26taxstdlife+$E429),(Input!$L$66-Input!$L$100)-SUM($L429:N429),(Input!$L$66-Input!$L$100)/A26taxstdlife))</f>
        <v>0</v>
      </c>
      <c r="P429" s="68">
        <f>IF(A26taxstdlife="n/a","n/a",IF(P$3&gt;(A26taxstdlife+$E429),(Input!$L$66-Input!$L$100)-SUM($L429:O429),(Input!$L$66-Input!$L$100)/A26taxstdlife))</f>
        <v>0</v>
      </c>
      <c r="Q429" s="68">
        <f>IF(A26taxstdlife="n/a","n/a",IF(Q$3&gt;(A26taxstdlife+$E429),(Input!$L$66-Input!$L$100)-SUM($L429:P429),(Input!$L$66-Input!$L$100)/A26taxstdlife))</f>
        <v>0</v>
      </c>
      <c r="R429" s="68"/>
      <c r="S429" s="103"/>
      <c r="T429" s="103"/>
      <c r="U429" s="103"/>
      <c r="V429" s="103"/>
      <c r="W429" s="103"/>
      <c r="X429" s="103"/>
      <c r="Y429" s="103"/>
      <c r="Z429" s="103"/>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216"/>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customHeight="1" outlineLevel="2">
      <c r="A430" s="9"/>
      <c r="B430" s="9"/>
      <c r="C430" s="26"/>
      <c r="D430" s="672"/>
      <c r="E430" s="86">
        <v>7</v>
      </c>
      <c r="F430" s="27"/>
      <c r="G430" s="208"/>
      <c r="H430" s="150"/>
      <c r="I430" s="150"/>
      <c r="J430" s="150"/>
      <c r="K430" s="150"/>
      <c r="L430" s="150"/>
      <c r="M430" s="149"/>
      <c r="N430" s="68">
        <f>IF(A26taxstdlife="n/a","n/a",IF(N$3&gt;(A26taxstdlife+$E430),(Input!$M$66-Input!$M$100)-SUM($M430:M430),(Input!$M$66-Input!$M$100)/A26taxstdlife))</f>
        <v>0</v>
      </c>
      <c r="O430" s="68">
        <f>IF(A26taxstdlife="n/a","n/a",IF(O$3&gt;(A26taxstdlife+$E430),(Input!$M$66-Input!$M$100)-SUM($M430:N430),(Input!$M$66-Input!$M$100)/A26taxstdlife))</f>
        <v>0</v>
      </c>
      <c r="P430" s="68">
        <f>IF(A26taxstdlife="n/a","n/a",IF(P$3&gt;(A26taxstdlife+$E430),(Input!$M$66-Input!$M$100)-SUM($M430:O430),(Input!$M$66-Input!$M$100)/A26taxstdlife))</f>
        <v>0</v>
      </c>
      <c r="Q430" s="68">
        <f>IF(A26taxstdlife="n/a","n/a",IF(Q$3&gt;(A26taxstdlife+$E430),(Input!$M$66-Input!$M$100)-SUM($M430:P430),(Input!$M$66-Input!$M$100)/A26taxstdlife))</f>
        <v>0</v>
      </c>
      <c r="R430" s="68"/>
      <c r="S430" s="103"/>
      <c r="T430" s="103"/>
      <c r="U430" s="103"/>
      <c r="V430" s="103"/>
      <c r="W430" s="103"/>
      <c r="X430" s="103"/>
      <c r="Y430" s="103"/>
      <c r="Z430" s="103"/>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216"/>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customHeight="1" outlineLevel="2">
      <c r="A431" s="9"/>
      <c r="B431" s="9"/>
      <c r="C431" s="26"/>
      <c r="D431" s="672"/>
      <c r="E431" s="86">
        <v>8</v>
      </c>
      <c r="F431" s="27"/>
      <c r="G431" s="208"/>
      <c r="H431" s="150"/>
      <c r="I431" s="150"/>
      <c r="J431" s="150"/>
      <c r="K431" s="150"/>
      <c r="L431" s="150"/>
      <c r="M431" s="150"/>
      <c r="N431" s="149"/>
      <c r="O431" s="68">
        <f>IF(A26taxstdlife="n/a","n/a",IF(O$3&gt;(A26taxstdlife+$E431),(Input!$N$66-Input!$N$100)-SUM($N431:N431),(Input!$N$66-Input!$N$100)/A26taxstdlife))</f>
        <v>0</v>
      </c>
      <c r="P431" s="68">
        <f>IF(A26taxstdlife="n/a","n/a",IF(P$3&gt;(A26taxstdlife+$E431),(Input!$N$66-Input!$N$100)-SUM($N431:O431),(Input!$N$66-Input!$N$100)/A26taxstdlife))</f>
        <v>0</v>
      </c>
      <c r="Q431" s="68">
        <f>IF(A26taxstdlife="n/a","n/a",IF(Q$3&gt;(A26taxstdlife+$E431),(Input!$N$66-Input!$N$100)-SUM($N431:P431),(Input!$N$66-Input!$N$100)/A26taxstdlife))</f>
        <v>0</v>
      </c>
      <c r="R431" s="68"/>
      <c r="S431" s="103"/>
      <c r="T431" s="103"/>
      <c r="U431" s="103"/>
      <c r="V431" s="103"/>
      <c r="W431" s="103"/>
      <c r="X431" s="103"/>
      <c r="Y431" s="103"/>
      <c r="Z431" s="103"/>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216"/>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customHeight="1" outlineLevel="2">
      <c r="A432" s="9"/>
      <c r="B432" s="9"/>
      <c r="C432" s="26"/>
      <c r="D432" s="672"/>
      <c r="E432" s="86">
        <v>9</v>
      </c>
      <c r="F432" s="27"/>
      <c r="G432" s="208"/>
      <c r="H432" s="150"/>
      <c r="I432" s="150"/>
      <c r="J432" s="150"/>
      <c r="K432" s="150"/>
      <c r="L432" s="150"/>
      <c r="M432" s="150"/>
      <c r="N432" s="150"/>
      <c r="O432" s="149"/>
      <c r="P432" s="68">
        <f>IF(A26taxstdlife="n/a","n/a",IF(P$3&gt;(A26taxstdlife+$E432),(Input!$O$66-Input!$O$100)-SUM($O432:O432),(Input!$O$66-Input!$O$100)/A26taxstdlife))</f>
        <v>0</v>
      </c>
      <c r="Q432" s="68">
        <f>IF(A26taxstdlife="n/a","n/a",IF(Q$3&gt;(A26taxstdlife+$E432),(Input!$O$66-Input!$O$100)-SUM($O432:P432),(Input!$O$66-Input!$O$100)/A26taxstdlife))</f>
        <v>0</v>
      </c>
      <c r="R432" s="68"/>
      <c r="S432" s="103"/>
      <c r="T432" s="103"/>
      <c r="U432" s="103"/>
      <c r="V432" s="103"/>
      <c r="W432" s="103"/>
      <c r="X432" s="103"/>
      <c r="Y432" s="103"/>
      <c r="Z432" s="103"/>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customHeight="1" outlineLevel="2">
      <c r="A433" s="9"/>
      <c r="B433" s="9"/>
      <c r="C433" s="26"/>
      <c r="D433" s="672"/>
      <c r="E433" s="86">
        <v>10</v>
      </c>
      <c r="F433" s="27"/>
      <c r="G433" s="208"/>
      <c r="H433" s="150"/>
      <c r="I433" s="150"/>
      <c r="J433" s="150"/>
      <c r="K433" s="150"/>
      <c r="L433" s="150"/>
      <c r="M433" s="150"/>
      <c r="N433" s="150"/>
      <c r="O433" s="150"/>
      <c r="P433" s="149"/>
      <c r="Q433" s="68">
        <f>IF(A26taxstdlife="n/a","n/a",IF(Q$3&gt;(A26taxstdlife+$E433),(Input!$P$66-Input!$P$100)-SUM($P433:P433),(Input!$P$66-Input!$P$100)/A26taxstdlife))</f>
        <v>0</v>
      </c>
      <c r="R433" s="68"/>
      <c r="S433" s="103"/>
      <c r="T433" s="103"/>
      <c r="U433" s="103"/>
      <c r="V433" s="103"/>
      <c r="W433" s="103"/>
      <c r="X433" s="103"/>
      <c r="Y433" s="103"/>
      <c r="Z433" s="103"/>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216"/>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customHeight="1" outlineLevel="2">
      <c r="A434" s="9"/>
      <c r="B434" s="9"/>
      <c r="C434" s="26"/>
      <c r="D434" s="672"/>
      <c r="E434" s="87">
        <v>11</v>
      </c>
      <c r="F434" s="27"/>
      <c r="G434" s="208"/>
      <c r="H434" s="150"/>
      <c r="I434" s="150"/>
      <c r="J434" s="150"/>
      <c r="K434" s="150"/>
      <c r="L434" s="150"/>
      <c r="M434" s="150"/>
      <c r="N434" s="150"/>
      <c r="O434" s="150"/>
      <c r="P434" s="189"/>
      <c r="Q434" s="149"/>
      <c r="R434" s="68"/>
      <c r="S434" s="103"/>
      <c r="T434" s="103"/>
      <c r="U434" s="103"/>
      <c r="V434" s="103"/>
      <c r="W434" s="103"/>
      <c r="X434" s="103"/>
      <c r="Y434" s="103"/>
      <c r="Z434" s="103"/>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216"/>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1">
      <c r="A435" s="9"/>
      <c r="B435" s="9"/>
      <c r="C435" s="26">
        <f>Asset26</f>
        <v>0</v>
      </c>
      <c r="D435" s="9"/>
      <c r="E435" s="9"/>
      <c r="F435" s="23"/>
      <c r="G435" s="209">
        <f t="shared" ref="G435:L435" si="60">-SUM(G422:G434)</f>
        <v>0</v>
      </c>
      <c r="H435" s="166">
        <f t="shared" si="60"/>
        <v>0</v>
      </c>
      <c r="I435" s="166">
        <f t="shared" si="60"/>
        <v>0</v>
      </c>
      <c r="J435" s="166">
        <f t="shared" si="60"/>
        <v>0</v>
      </c>
      <c r="K435" s="166">
        <f t="shared" si="60"/>
        <v>0</v>
      </c>
      <c r="L435" s="166">
        <f t="shared" si="60"/>
        <v>0</v>
      </c>
      <c r="M435" s="166">
        <f>IF(Input!M173&gt;0, -SUM(M422:M434), 0)</f>
        <v>0</v>
      </c>
      <c r="N435" s="166">
        <f>IF(Input!N173&gt;0, -SUM(N422:N434), 0)</f>
        <v>0</v>
      </c>
      <c r="O435" s="166">
        <f>IF(Input!O173&gt;0, -SUM(O422:O434), 0)</f>
        <v>0</v>
      </c>
      <c r="P435" s="166">
        <f>IF(Input!P173&gt;0, -SUM(P422:P434), 0)</f>
        <v>0</v>
      </c>
      <c r="Q435" s="166">
        <f>IF(Input!Q173&gt;0, -SUM(Q422:Q434), 0)</f>
        <v>0</v>
      </c>
      <c r="R435" s="64"/>
      <c r="S435" s="102"/>
      <c r="T435" s="102"/>
      <c r="U435" s="102"/>
      <c r="V435" s="102"/>
      <c r="W435" s="102"/>
      <c r="X435" s="102"/>
      <c r="Y435" s="102"/>
      <c r="Z435" s="102"/>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customHeight="1" outlineLevel="2">
      <c r="A436" s="9"/>
      <c r="B436" s="188">
        <f>Asset27</f>
        <v>0</v>
      </c>
      <c r="C436" s="33"/>
      <c r="D436" s="34" t="s">
        <v>67</v>
      </c>
      <c r="E436" s="33"/>
      <c r="F436" s="35"/>
      <c r="G436" s="205">
        <f>IF(G$3&gt;A27taxremlife,A27taxvalue-SUM($F436:F436),IF(A27taxremlife="N/A","n/a",A27taxvalue/A27taxremlife))</f>
        <v>0</v>
      </c>
      <c r="H436" s="67">
        <f>IF(H$3&gt;A27taxremlife,A27taxvalue-SUM($F436:G436),IF(A27taxremlife="N/A","n/a",A27taxvalue/A27taxremlife))</f>
        <v>0</v>
      </c>
      <c r="I436" s="67">
        <f>IF(I$3&gt;A27taxremlife,A27taxvalue-SUM($F436:H436),IF(A27taxremlife="N/A","n/a",A27taxvalue/A27taxremlife))</f>
        <v>0</v>
      </c>
      <c r="J436" s="67">
        <f>IF(J$3&gt;A27taxremlife,A27taxvalue-SUM($F436:I436),IF(A27taxremlife="N/A","n/a",A27taxvalue/A27taxremlife))</f>
        <v>0</v>
      </c>
      <c r="K436" s="67">
        <f>IF(K$3&gt;A27taxremlife,A27taxvalue-SUM($F436:J436),IF(A27taxremlife="N/A","n/a",A27taxvalue/A27taxremlife))</f>
        <v>0</v>
      </c>
      <c r="L436" s="67">
        <f>IF(L$3&gt;A27taxremlife,A27taxvalue-SUM($F436:K436),IF(A27taxremlife="N/A","n/a",A27taxvalue/A27taxremlife))</f>
        <v>0</v>
      </c>
      <c r="M436" s="67">
        <f>IF(M$3&gt;A27taxremlife,A27taxvalue-SUM($F436:L436),IF(A27taxremlife="N/A","n/a",A27taxvalue/A27taxremlife))</f>
        <v>0</v>
      </c>
      <c r="N436" s="67">
        <f>IF(N$3&gt;A27taxremlife,A27taxvalue-SUM($F436:M436),IF(A27taxremlife="N/A","n/a",A27taxvalue/A27taxremlife))</f>
        <v>0</v>
      </c>
      <c r="O436" s="67">
        <f>IF(O$3&gt;A27taxremlife,A27taxvalue-SUM($F436:N436),IF(A27taxremlife="N/A","n/a",A27taxvalue/A27taxremlife))</f>
        <v>0</v>
      </c>
      <c r="P436" s="67">
        <f>IF(P$3&gt;A27taxremlife,A27taxvalue-SUM($F436:O436),IF(A27taxremlife="N/A","n/a",A27taxvalue/A27taxremlife))</f>
        <v>0</v>
      </c>
      <c r="Q436" s="67">
        <f>IF(Q$3&gt;A27taxremlife,A27taxvalue-SUM($F436:P436),IF(A27taxremlife="N/A","n/a",A27taxvalue/A27taxremlife))</f>
        <v>0</v>
      </c>
      <c r="R436" s="67"/>
      <c r="S436" s="103"/>
      <c r="T436" s="103"/>
      <c r="U436" s="103"/>
      <c r="V436" s="103"/>
      <c r="W436" s="103"/>
      <c r="X436" s="103"/>
      <c r="Y436" s="103"/>
      <c r="Z436" s="103"/>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216"/>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customHeight="1" outlineLevel="2">
      <c r="A437" s="9"/>
      <c r="B437" s="9"/>
      <c r="C437" s="26"/>
      <c r="D437" s="671" t="s">
        <v>84</v>
      </c>
      <c r="E437" s="86">
        <v>0</v>
      </c>
      <c r="F437" s="27"/>
      <c r="G437" s="206"/>
      <c r="H437" s="68"/>
      <c r="I437" s="68"/>
      <c r="J437" s="68"/>
      <c r="K437" s="68"/>
      <c r="L437" s="68"/>
      <c r="M437" s="68"/>
      <c r="N437" s="68"/>
      <c r="O437" s="68"/>
      <c r="P437" s="68"/>
      <c r="Q437" s="68"/>
      <c r="R437" s="68"/>
      <c r="S437" s="103"/>
      <c r="T437" s="103"/>
      <c r="U437" s="103"/>
      <c r="V437" s="103"/>
      <c r="W437" s="103"/>
      <c r="X437" s="103"/>
      <c r="Y437" s="103"/>
      <c r="Z437" s="103"/>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216"/>
      <c r="BE437" s="216"/>
      <c r="BF437" s="216"/>
      <c r="BG437" s="216"/>
      <c r="BH437" s="216"/>
      <c r="BI437" s="216"/>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customHeight="1" outlineLevel="2">
      <c r="A438" s="9"/>
      <c r="B438" s="9"/>
      <c r="C438" s="26"/>
      <c r="D438" s="672"/>
      <c r="E438" s="86">
        <v>1</v>
      </c>
      <c r="F438" s="27"/>
      <c r="G438" s="207"/>
      <c r="H438" s="68">
        <f>IF(A27taxstdlife="n/a","n/a",IF(H$3&gt;(A27taxstdlife+$E438),(Input!$G$67-Input!$G$101)-SUM($G438:G438),(Input!$G$67-Input!$G$101)/A27taxstdlife))</f>
        <v>0</v>
      </c>
      <c r="I438" s="68">
        <f>IF(A27taxstdlife="n/a","n/a",IF(I$3&gt;(A27taxstdlife+$E438),(Input!$G$67-Input!$G$101)-SUM($G438:H438),(Input!$G$67-Input!$G$101)/A27taxstdlife))</f>
        <v>0</v>
      </c>
      <c r="J438" s="68">
        <f>IF(A27taxstdlife="n/a","n/a",IF(J$3&gt;(A27taxstdlife+$E438),(Input!$G$67-Input!$G$101)-SUM($G438:I438),(Input!$G$67-Input!$G$101)/A27taxstdlife))</f>
        <v>0</v>
      </c>
      <c r="K438" s="68">
        <f>IF(A27taxstdlife="n/a","n/a",IF(K$3&gt;(A27taxstdlife+$E438),(Input!$G$67-Input!$G$101)-SUM($G438:J438),(Input!$G$67-Input!$G$101)/A27taxstdlife))</f>
        <v>0</v>
      </c>
      <c r="L438" s="68">
        <f>IF(A27taxstdlife="n/a","n/a",IF(L$3&gt;(A27taxstdlife+$E438),(Input!$G$67-Input!$G$101)-SUM($G438:K438),(Input!$G$67-Input!$G$101)/A27taxstdlife))</f>
        <v>0</v>
      </c>
      <c r="M438" s="68">
        <f>IF(A27taxstdlife="n/a","n/a",IF(M$3&gt;(A27taxstdlife+$E438),(Input!$G$67-Input!$G$101)-SUM($G438:L438),(Input!$G$67-Input!$G$101)/A27taxstdlife))</f>
        <v>0</v>
      </c>
      <c r="N438" s="68">
        <f>IF(A27taxstdlife="n/a","n/a",IF(N$3&gt;(A27taxstdlife+$E438),(Input!$G$67-Input!$G$101)-SUM($G438:M438),(Input!$G$67-Input!$G$101)/A27taxstdlife))</f>
        <v>0</v>
      </c>
      <c r="O438" s="68">
        <f>IF(A27taxstdlife="n/a","n/a",IF(O$3&gt;(A27taxstdlife+$E438),(Input!$G$67-Input!$G$101)-SUM($G438:N438),(Input!$G$67-Input!$G$101)/A27taxstdlife))</f>
        <v>0</v>
      </c>
      <c r="P438" s="68">
        <f>IF(A27taxstdlife="n/a","n/a",IF(P$3&gt;(A27taxstdlife+$E438),(Input!$G$67-Input!$G$101)-SUM($G438:O438),(Input!$G$67-Input!$G$101)/A27taxstdlife))</f>
        <v>0</v>
      </c>
      <c r="Q438" s="68">
        <f>IF(A27taxstdlife="n/a","n/a",IF(Q$3&gt;(A27taxstdlife+$E438),(Input!$G$67-Input!$G$101)-SUM($G438:P438),(Input!$G$67-Input!$G$101)/A27taxstdlife))</f>
        <v>0</v>
      </c>
      <c r="R438" s="68"/>
      <c r="S438" s="103"/>
      <c r="T438" s="103"/>
      <c r="U438" s="103"/>
      <c r="V438" s="103"/>
      <c r="W438" s="103"/>
      <c r="X438" s="103"/>
      <c r="Y438" s="103"/>
      <c r="Z438" s="103"/>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customHeight="1" outlineLevel="2">
      <c r="A439" s="9"/>
      <c r="B439" s="9"/>
      <c r="C439" s="26"/>
      <c r="D439" s="672"/>
      <c r="E439" s="86">
        <v>2</v>
      </c>
      <c r="F439" s="27"/>
      <c r="G439" s="208"/>
      <c r="H439" s="149"/>
      <c r="I439" s="68">
        <f>IF(A27taxstdlife="n/a","n/a",IF(I$3&gt;(A27taxstdlife+$E439),(Input!$H$67-Input!$H$101)-SUM($H439:H439),(Input!$H$67-Input!$H$101)/A27taxstdlife))</f>
        <v>0</v>
      </c>
      <c r="J439" s="68">
        <f>IF(A27taxstdlife="n/a","n/a",IF(J$3&gt;(A27taxstdlife+$E439),(Input!$H$67-Input!$H$101)-SUM($H439:I439),(Input!$H$67-Input!$H$101)/A27taxstdlife))</f>
        <v>0</v>
      </c>
      <c r="K439" s="68">
        <f>IF(A27taxstdlife="n/a","n/a",IF(K$3&gt;(A27taxstdlife+$E439),(Input!$H$67-Input!$H$101)-SUM($H439:J439),(Input!$H$67-Input!$H$101)/A27taxstdlife))</f>
        <v>0</v>
      </c>
      <c r="L439" s="68">
        <f>IF(A27taxstdlife="n/a","n/a",IF(L$3&gt;(A27taxstdlife+$E439),(Input!$H$67-Input!$H$101)-SUM($H439:K439),(Input!$H$67-Input!$H$101)/A27taxstdlife))</f>
        <v>0</v>
      </c>
      <c r="M439" s="68">
        <f>IF(A27taxstdlife="n/a","n/a",IF(M$3&gt;(A27taxstdlife+$E439),(Input!$H$67-Input!$H$101)-SUM($H439:L439),(Input!$H$67-Input!$H$101)/A27taxstdlife))</f>
        <v>0</v>
      </c>
      <c r="N439" s="68">
        <f>IF(A27taxstdlife="n/a","n/a",IF(N$3&gt;(A27taxstdlife+$E439),(Input!$H$67-Input!$H$101)-SUM($H439:M439),(Input!$H$67-Input!$H$101)/A27taxstdlife))</f>
        <v>0</v>
      </c>
      <c r="O439" s="68">
        <f>IF(A27taxstdlife="n/a","n/a",IF(O$3&gt;(A27taxstdlife+$E439),(Input!$H$67-Input!$H$101)-SUM($H439:N439),(Input!$H$67-Input!$H$101)/A27taxstdlife))</f>
        <v>0</v>
      </c>
      <c r="P439" s="68">
        <f>IF(A27taxstdlife="n/a","n/a",IF(P$3&gt;(A27taxstdlife+$E439),(Input!$H$67-Input!$H$101)-SUM($H439:O439),(Input!$H$67-Input!$H$101)/A27taxstdlife))</f>
        <v>0</v>
      </c>
      <c r="Q439" s="68">
        <f>IF(A27taxstdlife="n/a","n/a",IF(Q$3&gt;(A27taxstdlife+$E439),(Input!$H$67-Input!$H$101)-SUM($H439:P439),(Input!$H$67-Input!$H$101)/A27taxstdlife))</f>
        <v>0</v>
      </c>
      <c r="R439" s="68"/>
      <c r="S439" s="103"/>
      <c r="T439" s="103"/>
      <c r="U439" s="103"/>
      <c r="V439" s="103"/>
      <c r="W439" s="103"/>
      <c r="X439" s="103"/>
      <c r="Y439" s="103"/>
      <c r="Z439" s="103"/>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216"/>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6"/>
      <c r="D440" s="672"/>
      <c r="E440" s="86">
        <v>3</v>
      </c>
      <c r="F440" s="27"/>
      <c r="G440" s="208"/>
      <c r="H440" s="150"/>
      <c r="I440" s="149"/>
      <c r="J440" s="68">
        <f>IF(A27taxstdlife="n/a","n/a",IF(J$3&gt;(A27taxstdlife+$E440),(Input!$I$67-Input!$I$101)-SUM($I440:I440),(Input!$I$67-Input!$I$101)/A27taxstdlife))</f>
        <v>0</v>
      </c>
      <c r="K440" s="68">
        <f>IF(A27taxstdlife="n/a","n/a",IF(K$3&gt;(A27taxstdlife+$E440),(Input!$I$67-Input!$I$101)-SUM($I440:J440),(Input!$I$67-Input!$I$101)/A27taxstdlife))</f>
        <v>0</v>
      </c>
      <c r="L440" s="68">
        <f>IF(A27taxstdlife="n/a","n/a",IF(L$3&gt;(A27taxstdlife+$E440),(Input!$I$67-Input!$I$101)-SUM($I440:K440),(Input!$I$67-Input!$I$101)/A27taxstdlife))</f>
        <v>0</v>
      </c>
      <c r="M440" s="68">
        <f>IF(A27taxstdlife="n/a","n/a",IF(M$3&gt;(A27taxstdlife+$E440),(Input!$I$67-Input!$I$101)-SUM($I440:L440),(Input!$I$67-Input!$I$101)/A27taxstdlife))</f>
        <v>0</v>
      </c>
      <c r="N440" s="68">
        <f>IF(A27taxstdlife="n/a","n/a",IF(N$3&gt;(A27taxstdlife+$E440),(Input!$I$67-Input!$I$101)-SUM($I440:M440),(Input!$I$67-Input!$I$101)/A27taxstdlife))</f>
        <v>0</v>
      </c>
      <c r="O440" s="68">
        <f>IF(A27taxstdlife="n/a","n/a",IF(O$3&gt;(A27taxstdlife+$E440),(Input!$I$67-Input!$I$101)-SUM($I440:N440),(Input!$I$67-Input!$I$101)/A27taxstdlife))</f>
        <v>0</v>
      </c>
      <c r="P440" s="68">
        <f>IF(A27taxstdlife="n/a","n/a",IF(P$3&gt;(A27taxstdlife+$E440),(Input!$I$67-Input!$I$101)-SUM($I440:O440),(Input!$I$67-Input!$I$101)/A27taxstdlife))</f>
        <v>0</v>
      </c>
      <c r="Q440" s="68">
        <f>IF(A27taxstdlife="n/a","n/a",IF(Q$3&gt;(A27taxstdlife+$E440),(Input!$I$67-Input!$I$101)-SUM($I440:P440),(Input!$I$67-Input!$I$101)/A27taxstdlife))</f>
        <v>0</v>
      </c>
      <c r="R440" s="68"/>
      <c r="S440" s="103"/>
      <c r="T440" s="103"/>
      <c r="U440" s="103"/>
      <c r="V440" s="103"/>
      <c r="W440" s="103"/>
      <c r="X440" s="103"/>
      <c r="Y440" s="103"/>
      <c r="Z440" s="103"/>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8"/>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26"/>
      <c r="D441" s="672"/>
      <c r="E441" s="86">
        <v>4</v>
      </c>
      <c r="F441" s="27"/>
      <c r="G441" s="208"/>
      <c r="H441" s="150"/>
      <c r="I441" s="150"/>
      <c r="J441" s="149"/>
      <c r="K441" s="68">
        <f>IF(A27taxstdlife="n/a","n/a",IF(K$3&gt;(A27taxstdlife+$E441),(Input!$J$67-Input!$J$101)-SUM($J441:J441),(Input!$J$67-Input!$J$101)/A27taxstdlife))</f>
        <v>0</v>
      </c>
      <c r="L441" s="68">
        <f>IF(A27taxstdlife="n/a","n/a",IF(L$3&gt;(A27taxstdlife+$E441),(Input!$J$67-Input!$J$101)-SUM($J441:K441),(Input!$J$67-Input!$J$101)/A27taxstdlife))</f>
        <v>0</v>
      </c>
      <c r="M441" s="68">
        <f>IF(A27taxstdlife="n/a","n/a",IF(M$3&gt;(A27taxstdlife+$E441),(Input!$J$67-Input!$J$101)-SUM($J441:L441),(Input!$J$67-Input!$J$101)/A27taxstdlife))</f>
        <v>0</v>
      </c>
      <c r="N441" s="68">
        <f>IF(A27taxstdlife="n/a","n/a",IF(N$3&gt;(A27taxstdlife+$E441),(Input!$J$67-Input!$J$101)-SUM($J441:M441),(Input!$J$67-Input!$J$101)/A27taxstdlife))</f>
        <v>0</v>
      </c>
      <c r="O441" s="68">
        <f>IF(A27taxstdlife="n/a","n/a",IF(O$3&gt;(A27taxstdlife+$E441),(Input!$J$67-Input!$J$101)-SUM($J441:N441),(Input!$J$67-Input!$J$101)/A27taxstdlife))</f>
        <v>0</v>
      </c>
      <c r="P441" s="68">
        <f>IF(A27taxstdlife="n/a","n/a",IF(P$3&gt;(A27taxstdlife+$E441),(Input!$J$67-Input!$J$101)-SUM($J441:O441),(Input!$J$67-Input!$J$101)/A27taxstdlife))</f>
        <v>0</v>
      </c>
      <c r="Q441" s="68">
        <f>IF(A27taxstdlife="n/a","n/a",IF(Q$3&gt;(A27taxstdlife+$E441),(Input!$J$67-Input!$J$101)-SUM($J441:P441),(Input!$J$67-Input!$J$101)/A27taxstdlife))</f>
        <v>0</v>
      </c>
      <c r="R441" s="68"/>
      <c r="S441" s="103"/>
      <c r="T441" s="103"/>
      <c r="U441" s="103"/>
      <c r="V441" s="103"/>
      <c r="W441" s="103"/>
      <c r="X441" s="103"/>
      <c r="Y441" s="103"/>
      <c r="Z441" s="103"/>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216"/>
      <c r="BE441" s="216"/>
      <c r="BF441" s="216"/>
      <c r="BG441" s="216"/>
      <c r="BH441" s="216"/>
      <c r="BI441" s="216"/>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26"/>
      <c r="D442" s="672"/>
      <c r="E442" s="86">
        <v>5</v>
      </c>
      <c r="F442" s="27"/>
      <c r="G442" s="208"/>
      <c r="H442" s="150"/>
      <c r="I442" s="150"/>
      <c r="J442" s="150"/>
      <c r="K442" s="149"/>
      <c r="L442" s="68">
        <f>IF(A27taxstdlife="n/a","n/a",IF(L$3&gt;(A27taxstdlife+$E442),(Input!$K$67-Input!$K$101)-SUM($K442:K442),(Input!$K$67-Input!$K$101)/A27taxstdlife))</f>
        <v>0</v>
      </c>
      <c r="M442" s="68">
        <f>IF(A27taxstdlife="n/a","n/a",IF(M$3&gt;(A27taxstdlife+$E442),(Input!$K$67-Input!$K$101)-SUM($K442:L442),(Input!$K$67-Input!$K$101)/A27taxstdlife))</f>
        <v>0</v>
      </c>
      <c r="N442" s="68">
        <f>IF(A27taxstdlife="n/a","n/a",IF(N$3&gt;(A27taxstdlife+$E442),(Input!$K$67-Input!$K$101)-SUM($K442:M442),(Input!$K$67-Input!$K$101)/A27taxstdlife))</f>
        <v>0</v>
      </c>
      <c r="O442" s="68">
        <f>IF(A27taxstdlife="n/a","n/a",IF(O$3&gt;(A27taxstdlife+$E442),(Input!$K$67-Input!$K$101)-SUM($K442:N442),(Input!$K$67-Input!$K$101)/A27taxstdlife))</f>
        <v>0</v>
      </c>
      <c r="P442" s="68">
        <f>IF(A27taxstdlife="n/a","n/a",IF(P$3&gt;(A27taxstdlife+$E442),(Input!$K$67-Input!$K$101)-SUM($K442:O442),(Input!$K$67-Input!$K$101)/A27taxstdlife))</f>
        <v>0</v>
      </c>
      <c r="Q442" s="68">
        <f>IF(A27taxstdlife="n/a","n/a",IF(Q$3&gt;(A27taxstdlife+$E442),(Input!$K$67-Input!$K$101)-SUM($K442:P442),(Input!$K$67-Input!$K$101)/A27taxstdlife))</f>
        <v>0</v>
      </c>
      <c r="R442" s="68"/>
      <c r="S442" s="103"/>
      <c r="T442" s="103"/>
      <c r="U442" s="103"/>
      <c r="V442" s="103"/>
      <c r="W442" s="103"/>
      <c r="X442" s="103"/>
      <c r="Y442" s="103"/>
      <c r="Z442" s="103"/>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187"/>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26"/>
      <c r="D443" s="672"/>
      <c r="E443" s="86">
        <v>6</v>
      </c>
      <c r="F443" s="27"/>
      <c r="G443" s="208"/>
      <c r="H443" s="150"/>
      <c r="I443" s="150"/>
      <c r="J443" s="150"/>
      <c r="K443" s="150"/>
      <c r="L443" s="149"/>
      <c r="M443" s="68">
        <f>IF(A27taxstdlife="n/a","n/a",IF(M$3&gt;(A27taxstdlife+$E443),(Input!$L$67-Input!$L$101)-SUM($L443:L443),(Input!$L$67-Input!$L$101)/A27taxstdlife))</f>
        <v>0</v>
      </c>
      <c r="N443" s="68">
        <f>IF(A27taxstdlife="n/a","n/a",IF(N$3&gt;(A27taxstdlife+$E443),(Input!$L$67-Input!$L$101)-SUM($L443:M443),(Input!$L$67-Input!$L$101)/A27taxstdlife))</f>
        <v>0</v>
      </c>
      <c r="O443" s="68">
        <f>IF(A27taxstdlife="n/a","n/a",IF(O$3&gt;(A27taxstdlife+$E443),(Input!$L$67-Input!$L$101)-SUM($L443:N443),(Input!$L$67-Input!$L$101)/A27taxstdlife))</f>
        <v>0</v>
      </c>
      <c r="P443" s="68">
        <f>IF(A27taxstdlife="n/a","n/a",IF(P$3&gt;(A27taxstdlife+$E443),(Input!$L$67-Input!$L$101)-SUM($L443:O443),(Input!$L$67-Input!$L$101)/A27taxstdlife))</f>
        <v>0</v>
      </c>
      <c r="Q443" s="68">
        <f>IF(A27taxstdlife="n/a","n/a",IF(Q$3&gt;(A27taxstdlife+$E443),(Input!$L$67-Input!$L$101)-SUM($L443:P443),(Input!$L$67-Input!$L$101)/A27taxstdlife))</f>
        <v>0</v>
      </c>
      <c r="R443" s="68"/>
      <c r="S443" s="103"/>
      <c r="T443" s="103"/>
      <c r="U443" s="103"/>
      <c r="V443" s="103"/>
      <c r="W443" s="103"/>
      <c r="X443" s="103"/>
      <c r="Y443" s="103"/>
      <c r="Z443" s="103"/>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26"/>
      <c r="D444" s="672"/>
      <c r="E444" s="86">
        <v>7</v>
      </c>
      <c r="F444" s="27"/>
      <c r="G444" s="208"/>
      <c r="H444" s="150"/>
      <c r="I444" s="150"/>
      <c r="J444" s="150"/>
      <c r="K444" s="150"/>
      <c r="L444" s="150"/>
      <c r="M444" s="149"/>
      <c r="N444" s="68">
        <f>IF(A27taxstdlife="n/a","n/a",IF(N$3&gt;(A27taxstdlife+$E444),(Input!$M$67-Input!$M$101)-SUM($M444:M444),(Input!$M$67-Input!$M$101)/A27taxstdlife))</f>
        <v>0</v>
      </c>
      <c r="O444" s="68">
        <f>IF(A27taxstdlife="n/a","n/a",IF(O$3&gt;(A27taxstdlife+$E444),(Input!$M$67-Input!$M$101)-SUM($M444:N444),(Input!$M$67-Input!$M$101)/A27taxstdlife))</f>
        <v>0</v>
      </c>
      <c r="P444" s="68">
        <f>IF(A27taxstdlife="n/a","n/a",IF(P$3&gt;(A27taxstdlife+$E444),(Input!$M$67-Input!$M$101)-SUM($M444:O444),(Input!$M$67-Input!$M$101)/A27taxstdlife))</f>
        <v>0</v>
      </c>
      <c r="Q444" s="68">
        <f>IF(A27taxstdlife="n/a","n/a",IF(Q$3&gt;(A27taxstdlife+$E444),(Input!$M$67-Input!$M$101)-SUM($M444:P444),(Input!$M$67-Input!$M$101)/A27taxstdlife))</f>
        <v>0</v>
      </c>
      <c r="R444" s="68"/>
      <c r="S444" s="103"/>
      <c r="T444" s="103"/>
      <c r="U444" s="103"/>
      <c r="V444" s="103"/>
      <c r="W444" s="103"/>
      <c r="X444" s="103"/>
      <c r="Y444" s="103"/>
      <c r="Z444" s="103"/>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26"/>
      <c r="D445" s="672"/>
      <c r="E445" s="86">
        <v>8</v>
      </c>
      <c r="F445" s="27"/>
      <c r="G445" s="208"/>
      <c r="H445" s="150"/>
      <c r="I445" s="150"/>
      <c r="J445" s="150"/>
      <c r="K445" s="150"/>
      <c r="L445" s="150"/>
      <c r="M445" s="150"/>
      <c r="N445" s="149"/>
      <c r="O445" s="68">
        <f>IF(A27taxstdlife="n/a","n/a",IF(O$3&gt;(A27taxstdlife+$E445),(Input!$N$67-Input!$N$101)-SUM($N445:N445),(Input!$N$67-Input!$N$101)/A27taxstdlife))</f>
        <v>0</v>
      </c>
      <c r="P445" s="68">
        <f>IF(A27taxstdlife="n/a","n/a",IF(P$3&gt;(A27taxstdlife+$E445),(Input!$N$67-Input!$N$101)-SUM($N445:O445),(Input!$N$67-Input!$N$101)/A27taxstdlife))</f>
        <v>0</v>
      </c>
      <c r="Q445" s="68">
        <f>IF(A27taxstdlife="n/a","n/a",IF(Q$3&gt;(A27taxstdlife+$E445),(Input!$N$67-Input!$N$101)-SUM($N445:P445),(Input!$N$67-Input!$N$101)/A27taxstdlife))</f>
        <v>0</v>
      </c>
      <c r="R445" s="68"/>
      <c r="S445" s="103"/>
      <c r="T445" s="103"/>
      <c r="U445" s="103"/>
      <c r="V445" s="103"/>
      <c r="W445" s="103"/>
      <c r="X445" s="103"/>
      <c r="Y445" s="103"/>
      <c r="Z445" s="103"/>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216"/>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26"/>
      <c r="D446" s="672"/>
      <c r="E446" s="86">
        <v>9</v>
      </c>
      <c r="F446" s="27"/>
      <c r="G446" s="208"/>
      <c r="H446" s="150"/>
      <c r="I446" s="150"/>
      <c r="J446" s="150"/>
      <c r="K446" s="150"/>
      <c r="L446" s="150"/>
      <c r="M446" s="150"/>
      <c r="N446" s="150"/>
      <c r="O446" s="149"/>
      <c r="P446" s="68">
        <f>IF(A27taxstdlife="n/a","n/a",IF(P$3&gt;(A27taxstdlife+$E446),(Input!$O$67-Input!$O$101)-SUM($O446:O446),(Input!$O$67-Input!$O$101)/A27taxstdlife))</f>
        <v>0</v>
      </c>
      <c r="Q446" s="68">
        <f>IF(A27taxstdlife="n/a","n/a",IF(Q$3&gt;(A27taxstdlife+$E446),(Input!$O$67-Input!$O$101)-SUM($O446:P446),(Input!$O$67-Input!$O$101)/A27taxstdlife))</f>
        <v>0</v>
      </c>
      <c r="R446" s="68"/>
      <c r="S446" s="103"/>
      <c r="T446" s="103"/>
      <c r="U446" s="103"/>
      <c r="V446" s="103"/>
      <c r="W446" s="103"/>
      <c r="X446" s="103"/>
      <c r="Y446" s="103"/>
      <c r="Z446" s="103"/>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216"/>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26"/>
      <c r="D447" s="672"/>
      <c r="E447" s="86">
        <v>10</v>
      </c>
      <c r="F447" s="27"/>
      <c r="G447" s="208"/>
      <c r="H447" s="150"/>
      <c r="I447" s="150"/>
      <c r="J447" s="150"/>
      <c r="K447" s="150"/>
      <c r="L447" s="150"/>
      <c r="M447" s="150"/>
      <c r="N447" s="150"/>
      <c r="O447" s="150"/>
      <c r="P447" s="149"/>
      <c r="Q447" s="68">
        <f>IF(A27taxstdlife="n/a","n/a",IF(Q$3&gt;(A27taxstdlife+$E447),(Input!$P$67-Input!$P$101)-SUM($P447:P447),(Input!$P$67-Input!$P$101)/A27taxstdlife))</f>
        <v>0</v>
      </c>
      <c r="R447" s="68"/>
      <c r="S447" s="103"/>
      <c r="T447" s="103"/>
      <c r="U447" s="103"/>
      <c r="V447" s="103"/>
      <c r="W447" s="103"/>
      <c r="X447" s="103"/>
      <c r="Y447" s="103"/>
      <c r="Z447" s="103"/>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216"/>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26"/>
      <c r="D448" s="672"/>
      <c r="E448" s="87">
        <v>11</v>
      </c>
      <c r="F448" s="27"/>
      <c r="G448" s="208"/>
      <c r="H448" s="150"/>
      <c r="I448" s="150"/>
      <c r="J448" s="150"/>
      <c r="K448" s="150"/>
      <c r="L448" s="150"/>
      <c r="M448" s="150"/>
      <c r="N448" s="150"/>
      <c r="O448" s="150"/>
      <c r="P448" s="189"/>
      <c r="Q448" s="149"/>
      <c r="R448" s="68"/>
      <c r="S448" s="103"/>
      <c r="T448" s="103"/>
      <c r="U448" s="103"/>
      <c r="V448" s="103"/>
      <c r="W448" s="103"/>
      <c r="X448" s="103"/>
      <c r="Y448" s="103"/>
      <c r="Z448" s="103"/>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216"/>
      <c r="BE448" s="216"/>
      <c r="BF448" s="216"/>
      <c r="BG448" s="216"/>
      <c r="BH448" s="216"/>
      <c r="BI448" s="216"/>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1">
      <c r="A449" s="9"/>
      <c r="B449" s="9"/>
      <c r="C449" s="26">
        <f>Asset27</f>
        <v>0</v>
      </c>
      <c r="D449" s="9"/>
      <c r="E449" s="9"/>
      <c r="F449" s="23"/>
      <c r="G449" s="209">
        <f t="shared" ref="G449:L449" si="61">-SUM(G436:G448)</f>
        <v>0</v>
      </c>
      <c r="H449" s="166">
        <f t="shared" si="61"/>
        <v>0</v>
      </c>
      <c r="I449" s="166">
        <f t="shared" si="61"/>
        <v>0</v>
      </c>
      <c r="J449" s="166">
        <f t="shared" si="61"/>
        <v>0</v>
      </c>
      <c r="K449" s="166">
        <f t="shared" si="61"/>
        <v>0</v>
      </c>
      <c r="L449" s="166">
        <f t="shared" si="61"/>
        <v>0</v>
      </c>
      <c r="M449" s="166">
        <f>IF(Input!M173&gt;0, -SUM(M436:M448), 0)</f>
        <v>0</v>
      </c>
      <c r="N449" s="166">
        <f>IF(Input!N173&gt;0, -SUM(N436:N448), 0)</f>
        <v>0</v>
      </c>
      <c r="O449" s="166">
        <f>IF(Input!O173&gt;0, -SUM(O436:O448), 0)</f>
        <v>0</v>
      </c>
      <c r="P449" s="166">
        <f>IF(Input!P173&gt;0, -SUM(P436:P448), 0)</f>
        <v>0</v>
      </c>
      <c r="Q449" s="166">
        <f>IF(Input!Q173&gt;0, -SUM(Q436:Q448), 0)</f>
        <v>0</v>
      </c>
      <c r="R449" s="64"/>
      <c r="S449" s="102"/>
      <c r="T449" s="102"/>
      <c r="U449" s="102"/>
      <c r="V449" s="102"/>
      <c r="W449" s="102"/>
      <c r="X449" s="102"/>
      <c r="Y449" s="102"/>
      <c r="Z449" s="102"/>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188">
        <f>Asset28</f>
        <v>0</v>
      </c>
      <c r="C450" s="33"/>
      <c r="D450" s="34" t="s">
        <v>67</v>
      </c>
      <c r="E450" s="33"/>
      <c r="F450" s="35"/>
      <c r="G450" s="205">
        <f>IF(G$3&gt;A28taxremlife,A28taxvalue-SUM($F450:F450),IF(A28taxremlife="N/A","n/a",A28taxvalue/A28taxremlife))</f>
        <v>0</v>
      </c>
      <c r="H450" s="67">
        <f>IF(H$3&gt;A28taxremlife,A28taxvalue-SUM($F450:G450),IF(A28taxremlife="N/A","n/a",A28taxvalue/A28taxremlife))</f>
        <v>0</v>
      </c>
      <c r="I450" s="67">
        <f>IF(I$3&gt;A28taxremlife,A28taxvalue-SUM($F450:H450),IF(A28taxremlife="N/A","n/a",A28taxvalue/A28taxremlife))</f>
        <v>0</v>
      </c>
      <c r="J450" s="67">
        <f>IF(J$3&gt;A28taxremlife,A28taxvalue-SUM($F450:I450),IF(A28taxremlife="N/A","n/a",A28taxvalue/A28taxremlife))</f>
        <v>0</v>
      </c>
      <c r="K450" s="67">
        <f>IF(K$3&gt;A28taxremlife,A28taxvalue-SUM($F450:J450),IF(A28taxremlife="N/A","n/a",A28taxvalue/A28taxremlife))</f>
        <v>0</v>
      </c>
      <c r="L450" s="67">
        <f>IF(L$3&gt;A28taxremlife,A28taxvalue-SUM($F450:K450),IF(A28taxremlife="N/A","n/a",A28taxvalue/A28taxremlife))</f>
        <v>0</v>
      </c>
      <c r="M450" s="67">
        <f>IF(M$3&gt;A28taxremlife,A28taxvalue-SUM($F450:L450),IF(A28taxremlife="N/A","n/a",A28taxvalue/A28taxremlife))</f>
        <v>0</v>
      </c>
      <c r="N450" s="67">
        <f>IF(N$3&gt;A28taxremlife,A28taxvalue-SUM($F450:M450),IF(A28taxremlife="N/A","n/a",A28taxvalue/A28taxremlife))</f>
        <v>0</v>
      </c>
      <c r="O450" s="67">
        <f>IF(O$3&gt;A28taxremlife,A28taxvalue-SUM($F450:N450),IF(A28taxremlife="N/A","n/a",A28taxvalue/A28taxremlife))</f>
        <v>0</v>
      </c>
      <c r="P450" s="67">
        <f>IF(P$3&gt;A28taxremlife,A28taxvalue-SUM($F450:O450),IF(A28taxremlife="N/A","n/a",A28taxvalue/A28taxremlife))</f>
        <v>0</v>
      </c>
      <c r="Q450" s="67">
        <f>IF(Q$3&gt;A28taxremlife,A28taxvalue-SUM($F450:P450),IF(A28taxremlife="N/A","n/a",A28taxvalue/A28taxremlife))</f>
        <v>0</v>
      </c>
      <c r="R450" s="67"/>
      <c r="S450" s="103"/>
      <c r="T450" s="103"/>
      <c r="U450" s="103"/>
      <c r="V450" s="103"/>
      <c r="W450" s="103"/>
      <c r="X450" s="103"/>
      <c r="Y450" s="103"/>
      <c r="Z450" s="103"/>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216"/>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26"/>
      <c r="D451" s="671" t="s">
        <v>84</v>
      </c>
      <c r="E451" s="86">
        <v>0</v>
      </c>
      <c r="F451" s="27"/>
      <c r="G451" s="206"/>
      <c r="H451" s="68"/>
      <c r="I451" s="68"/>
      <c r="J451" s="68"/>
      <c r="K451" s="68"/>
      <c r="L451" s="68"/>
      <c r="M451" s="68"/>
      <c r="N451" s="68"/>
      <c r="O451" s="68"/>
      <c r="P451" s="68"/>
      <c r="Q451" s="68"/>
      <c r="R451" s="68"/>
      <c r="S451" s="103"/>
      <c r="T451" s="103"/>
      <c r="U451" s="103"/>
      <c r="V451" s="103"/>
      <c r="W451" s="103"/>
      <c r="X451" s="103"/>
      <c r="Y451" s="103"/>
      <c r="Z451" s="103"/>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216"/>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customHeight="1" outlineLevel="2">
      <c r="A452" s="9"/>
      <c r="B452" s="9"/>
      <c r="C452" s="26"/>
      <c r="D452" s="672"/>
      <c r="E452" s="86">
        <v>1</v>
      </c>
      <c r="F452" s="27"/>
      <c r="G452" s="207"/>
      <c r="H452" s="68">
        <f>IF(A28taxstdlife="n/a","n/a",IF(H$3&gt;(A28taxstdlife+$E452),(Input!$G$68-Input!$G$102)-SUM($G452:G452),(Input!$G$68-Input!$G$102)/A28taxstdlife))</f>
        <v>0</v>
      </c>
      <c r="I452" s="68">
        <f>IF(A28taxstdlife="n/a","n/a",IF(I$3&gt;(A28taxstdlife+$E452),(Input!$G$68-Input!$G$102)-SUM($G452:H452),(Input!$G$68-Input!$G$102)/A28taxstdlife))</f>
        <v>0</v>
      </c>
      <c r="J452" s="68">
        <f>IF(A28taxstdlife="n/a","n/a",IF(J$3&gt;(A28taxstdlife+$E452),(Input!$G$68-Input!$G$102)-SUM($G452:I452),(Input!$G$68-Input!$G$102)/A28taxstdlife))</f>
        <v>0</v>
      </c>
      <c r="K452" s="68">
        <f>IF(A28taxstdlife="n/a","n/a",IF(K$3&gt;(A28taxstdlife+$E452),(Input!$G$68-Input!$G$102)-SUM($G452:J452),(Input!$G$68-Input!$G$102)/A28taxstdlife))</f>
        <v>0</v>
      </c>
      <c r="L452" s="68">
        <f>IF(A28taxstdlife="n/a","n/a",IF(L$3&gt;(A28taxstdlife+$E452),(Input!$G$68-Input!$G$102)-SUM($G452:K452),(Input!$G$68-Input!$G$102)/A28taxstdlife))</f>
        <v>0</v>
      </c>
      <c r="M452" s="68">
        <f>IF(A28taxstdlife="n/a","n/a",IF(M$3&gt;(A28taxstdlife+$E452),(Input!$G$68-Input!$G$102)-SUM($G452:L452),(Input!$G$68-Input!$G$102)/A28taxstdlife))</f>
        <v>0</v>
      </c>
      <c r="N452" s="68">
        <f>IF(A28taxstdlife="n/a","n/a",IF(N$3&gt;(A28taxstdlife+$E452),(Input!$G$68-Input!$G$102)-SUM($G452:M452),(Input!$G$68-Input!$G$102)/A28taxstdlife))</f>
        <v>0</v>
      </c>
      <c r="O452" s="68">
        <f>IF(A28taxstdlife="n/a","n/a",IF(O$3&gt;(A28taxstdlife+$E452),(Input!$G$68-Input!$G$102)-SUM($G452:N452),(Input!$G$68-Input!$G$102)/A28taxstdlife))</f>
        <v>0</v>
      </c>
      <c r="P452" s="68">
        <f>IF(A28taxstdlife="n/a","n/a",IF(P$3&gt;(A28taxstdlife+$E452),(Input!$G$68-Input!$G$102)-SUM($G452:O452),(Input!$G$68-Input!$G$102)/A28taxstdlife))</f>
        <v>0</v>
      </c>
      <c r="Q452" s="68">
        <f>IF(A28taxstdlife="n/a","n/a",IF(Q$3&gt;(A28taxstdlife+$E452),(Input!$G$68-Input!$G$102)-SUM($G452:P452),(Input!$G$68-Input!$G$102)/A28taxstdlife))</f>
        <v>0</v>
      </c>
      <c r="R452" s="68"/>
      <c r="S452" s="103"/>
      <c r="T452" s="103"/>
      <c r="U452" s="103"/>
      <c r="V452" s="103"/>
      <c r="W452" s="103"/>
      <c r="X452" s="103"/>
      <c r="Y452" s="103"/>
      <c r="Z452" s="103"/>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216"/>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6"/>
      <c r="D453" s="672"/>
      <c r="E453" s="86">
        <v>2</v>
      </c>
      <c r="F453" s="27"/>
      <c r="G453" s="208"/>
      <c r="H453" s="149"/>
      <c r="I453" s="68">
        <f>IF(A28taxstdlife="n/a","n/a",IF(I$3&gt;(A28taxstdlife+$E453),(Input!$H$68-Input!$H$102)-SUM($H453:H453),(Input!$H$68-Input!$H$102)/A28taxstdlife))</f>
        <v>0</v>
      </c>
      <c r="J453" s="68">
        <f>IF(A28taxstdlife="n/a","n/a",IF(J$3&gt;(A28taxstdlife+$E453),(Input!$H$68-Input!$H$102)-SUM($H453:I453),(Input!$H$68-Input!$H$102)/A28taxstdlife))</f>
        <v>0</v>
      </c>
      <c r="K453" s="68">
        <f>IF(A28taxstdlife="n/a","n/a",IF(K$3&gt;(A28taxstdlife+$E453),(Input!$H$68-Input!$H$102)-SUM($H453:J453),(Input!$H$68-Input!$H$102)/A28taxstdlife))</f>
        <v>0</v>
      </c>
      <c r="L453" s="68">
        <f>IF(A28taxstdlife="n/a","n/a",IF(L$3&gt;(A28taxstdlife+$E453),(Input!$H$68-Input!$H$102)-SUM($H453:K453),(Input!$H$68-Input!$H$102)/A28taxstdlife))</f>
        <v>0</v>
      </c>
      <c r="M453" s="68">
        <f>IF(A28taxstdlife="n/a","n/a",IF(M$3&gt;(A28taxstdlife+$E453),(Input!$H$68-Input!$H$102)-SUM($H453:L453),(Input!$H$68-Input!$H$102)/A28taxstdlife))</f>
        <v>0</v>
      </c>
      <c r="N453" s="68">
        <f>IF(A28taxstdlife="n/a","n/a",IF(N$3&gt;(A28taxstdlife+$E453),(Input!$H$68-Input!$H$102)-SUM($H453:M453),(Input!$H$68-Input!$H$102)/A28taxstdlife))</f>
        <v>0</v>
      </c>
      <c r="O453" s="68">
        <f>IF(A28taxstdlife="n/a","n/a",IF(O$3&gt;(A28taxstdlife+$E453),(Input!$H$68-Input!$H$102)-SUM($H453:N453),(Input!$H$68-Input!$H$102)/A28taxstdlife))</f>
        <v>0</v>
      </c>
      <c r="P453" s="68">
        <f>IF(A28taxstdlife="n/a","n/a",IF(P$3&gt;(A28taxstdlife+$E453),(Input!$H$68-Input!$H$102)-SUM($H453:O453),(Input!$H$68-Input!$H$102)/A28taxstdlife))</f>
        <v>0</v>
      </c>
      <c r="Q453" s="68">
        <f>IF(A28taxstdlife="n/a","n/a",IF(Q$3&gt;(A28taxstdlife+$E453),(Input!$H$68-Input!$H$102)-SUM($H453:P453),(Input!$H$68-Input!$H$102)/A28taxstdlife))</f>
        <v>0</v>
      </c>
      <c r="R453" s="68"/>
      <c r="S453" s="103"/>
      <c r="T453" s="103"/>
      <c r="U453" s="103"/>
      <c r="V453" s="103"/>
      <c r="W453" s="103"/>
      <c r="X453" s="103"/>
      <c r="Y453" s="103"/>
      <c r="Z453" s="103"/>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6"/>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26"/>
      <c r="D454" s="672"/>
      <c r="E454" s="86">
        <v>3</v>
      </c>
      <c r="F454" s="27"/>
      <c r="G454" s="208"/>
      <c r="H454" s="150"/>
      <c r="I454" s="149"/>
      <c r="J454" s="68">
        <f>IF(A28taxstdlife="n/a","n/a",IF(J$3&gt;(A28taxstdlife+$E454),(Input!$I$68-Input!$I$102)-SUM($I454:I454),(Input!$I$68-Input!$I$102)/A28taxstdlife))</f>
        <v>0</v>
      </c>
      <c r="K454" s="68">
        <f>IF(A28taxstdlife="n/a","n/a",IF(K$3&gt;(A28taxstdlife+$E454),(Input!$I$68-Input!$I$102)-SUM($I454:J454),(Input!$I$68-Input!$I$102)/A28taxstdlife))</f>
        <v>0</v>
      </c>
      <c r="L454" s="68">
        <f>IF(A28taxstdlife="n/a","n/a",IF(L$3&gt;(A28taxstdlife+$E454),(Input!$I$68-Input!$I$102)-SUM($I454:K454),(Input!$I$68-Input!$I$102)/A28taxstdlife))</f>
        <v>0</v>
      </c>
      <c r="M454" s="68">
        <f>IF(A28taxstdlife="n/a","n/a",IF(M$3&gt;(A28taxstdlife+$E454),(Input!$I$68-Input!$I$102)-SUM($I454:L454),(Input!$I$68-Input!$I$102)/A28taxstdlife))</f>
        <v>0</v>
      </c>
      <c r="N454" s="68">
        <f>IF(A28taxstdlife="n/a","n/a",IF(N$3&gt;(A28taxstdlife+$E454),(Input!$I$68-Input!$I$102)-SUM($I454:M454),(Input!$I$68-Input!$I$102)/A28taxstdlife))</f>
        <v>0</v>
      </c>
      <c r="O454" s="68">
        <f>IF(A28taxstdlife="n/a","n/a",IF(O$3&gt;(A28taxstdlife+$E454),(Input!$I$68-Input!$I$102)-SUM($I454:N454),(Input!$I$68-Input!$I$102)/A28taxstdlife))</f>
        <v>0</v>
      </c>
      <c r="P454" s="68">
        <f>IF(A28taxstdlife="n/a","n/a",IF(P$3&gt;(A28taxstdlife+$E454),(Input!$I$68-Input!$I$102)-SUM($I454:O454),(Input!$I$68-Input!$I$102)/A28taxstdlife))</f>
        <v>0</v>
      </c>
      <c r="Q454" s="68">
        <f>IF(A28taxstdlife="n/a","n/a",IF(Q$3&gt;(A28taxstdlife+$E454),(Input!$I$68-Input!$I$102)-SUM($I454:P454),(Input!$I$68-Input!$I$102)/A28taxstdlife))</f>
        <v>0</v>
      </c>
      <c r="R454" s="68"/>
      <c r="S454" s="103"/>
      <c r="T454" s="103"/>
      <c r="U454" s="103"/>
      <c r="V454" s="103"/>
      <c r="W454" s="103"/>
      <c r="X454" s="103"/>
      <c r="Y454" s="103"/>
      <c r="Z454" s="103"/>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216"/>
      <c r="BJ454" s="218"/>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26"/>
      <c r="D455" s="672"/>
      <c r="E455" s="86">
        <v>4</v>
      </c>
      <c r="F455" s="27"/>
      <c r="G455" s="208"/>
      <c r="H455" s="150"/>
      <c r="I455" s="150"/>
      <c r="J455" s="149"/>
      <c r="K455" s="68">
        <f>IF(A28taxstdlife="n/a","n/a",IF(K$3&gt;(A28taxstdlife+$E455),(Input!$J$68-Input!$J$102)-SUM($J455:J455),(Input!$J$68-Input!$J$102)/A28taxstdlife))</f>
        <v>0</v>
      </c>
      <c r="L455" s="68">
        <f>IF(A28taxstdlife="n/a","n/a",IF(L$3&gt;(A28taxstdlife+$E455),(Input!$J$68-Input!$J$102)-SUM($J455:K455),(Input!$J$68-Input!$J$102)/A28taxstdlife))</f>
        <v>0</v>
      </c>
      <c r="M455" s="68">
        <f>IF(A28taxstdlife="n/a","n/a",IF(M$3&gt;(A28taxstdlife+$E455),(Input!$J$68-Input!$J$102)-SUM($J455:L455),(Input!$J$68-Input!$J$102)/A28taxstdlife))</f>
        <v>0</v>
      </c>
      <c r="N455" s="68">
        <f>IF(A28taxstdlife="n/a","n/a",IF(N$3&gt;(A28taxstdlife+$E455),(Input!$J$68-Input!$J$102)-SUM($J455:M455),(Input!$J$68-Input!$J$102)/A28taxstdlife))</f>
        <v>0</v>
      </c>
      <c r="O455" s="68">
        <f>IF(A28taxstdlife="n/a","n/a",IF(O$3&gt;(A28taxstdlife+$E455),(Input!$J$68-Input!$J$102)-SUM($J455:N455),(Input!$J$68-Input!$J$102)/A28taxstdlife))</f>
        <v>0</v>
      </c>
      <c r="P455" s="68">
        <f>IF(A28taxstdlife="n/a","n/a",IF(P$3&gt;(A28taxstdlife+$E455),(Input!$J$68-Input!$J$102)-SUM($J455:O455),(Input!$J$68-Input!$J$102)/A28taxstdlife))</f>
        <v>0</v>
      </c>
      <c r="Q455" s="68">
        <f>IF(A28taxstdlife="n/a","n/a",IF(Q$3&gt;(A28taxstdlife+$E455),(Input!$J$68-Input!$J$102)-SUM($J455:P455),(Input!$J$68-Input!$J$102)/A28taxstdlife))</f>
        <v>0</v>
      </c>
      <c r="R455" s="68"/>
      <c r="S455" s="103"/>
      <c r="T455" s="103"/>
      <c r="U455" s="103"/>
      <c r="V455" s="103"/>
      <c r="W455" s="103"/>
      <c r="X455" s="103"/>
      <c r="Y455" s="103"/>
      <c r="Z455" s="103"/>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216"/>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26"/>
      <c r="D456" s="672"/>
      <c r="E456" s="86">
        <v>5</v>
      </c>
      <c r="F456" s="27"/>
      <c r="G456" s="208"/>
      <c r="H456" s="150"/>
      <c r="I456" s="150"/>
      <c r="J456" s="150"/>
      <c r="K456" s="149"/>
      <c r="L456" s="68">
        <f>IF(A28taxstdlife="n/a","n/a",IF(L$3&gt;(A28taxstdlife+$E456),(Input!$K$68-Input!$K$102)-SUM($K456:K456),(Input!$K$68-Input!$K$102)/A28taxstdlife))</f>
        <v>0</v>
      </c>
      <c r="M456" s="68">
        <f>IF(A28taxstdlife="n/a","n/a",IF(M$3&gt;(A28taxstdlife+$E456),(Input!$K$68-Input!$K$102)-SUM($K456:L456),(Input!$K$68-Input!$K$102)/A28taxstdlife))</f>
        <v>0</v>
      </c>
      <c r="N456" s="68">
        <f>IF(A28taxstdlife="n/a","n/a",IF(N$3&gt;(A28taxstdlife+$E456),(Input!$K$68-Input!$K$102)-SUM($K456:M456),(Input!$K$68-Input!$K$102)/A28taxstdlife))</f>
        <v>0</v>
      </c>
      <c r="O456" s="68">
        <f>IF(A28taxstdlife="n/a","n/a",IF(O$3&gt;(A28taxstdlife+$E456),(Input!$K$68-Input!$K$102)-SUM($K456:N456),(Input!$K$68-Input!$K$102)/A28taxstdlife))</f>
        <v>0</v>
      </c>
      <c r="P456" s="68">
        <f>IF(A28taxstdlife="n/a","n/a",IF(P$3&gt;(A28taxstdlife+$E456),(Input!$K$68-Input!$K$102)-SUM($K456:O456),(Input!$K$68-Input!$K$102)/A28taxstdlife))</f>
        <v>0</v>
      </c>
      <c r="Q456" s="68">
        <f>IF(A28taxstdlife="n/a","n/a",IF(Q$3&gt;(A28taxstdlife+$E456),(Input!$K$68-Input!$K$102)-SUM($K456:P456),(Input!$K$68-Input!$K$102)/A28taxstdlife))</f>
        <v>0</v>
      </c>
      <c r="R456" s="68"/>
      <c r="S456" s="103"/>
      <c r="T456" s="103"/>
      <c r="U456" s="103"/>
      <c r="V456" s="103"/>
      <c r="W456" s="103"/>
      <c r="X456" s="103"/>
      <c r="Y456" s="103"/>
      <c r="Z456" s="103"/>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216"/>
      <c r="BJ456" s="187"/>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26"/>
      <c r="D457" s="672"/>
      <c r="E457" s="86">
        <v>6</v>
      </c>
      <c r="F457" s="27"/>
      <c r="G457" s="208"/>
      <c r="H457" s="150"/>
      <c r="I457" s="150"/>
      <c r="J457" s="150"/>
      <c r="K457" s="150"/>
      <c r="L457" s="149"/>
      <c r="M457" s="68">
        <f>IF(A28taxstdlife="n/a","n/a",IF(M$3&gt;(A28taxstdlife+$E457),(Input!$L$68-Input!$L$102)-SUM($L457:L457),(Input!$L$68-Input!$L$102)/A28taxstdlife))</f>
        <v>0</v>
      </c>
      <c r="N457" s="68">
        <f>IF(A28taxstdlife="n/a","n/a",IF(N$3&gt;(A28taxstdlife+$E457),(Input!$L$68-Input!$L$102)-SUM($L457:M457),(Input!$L$68-Input!$L$102)/A28taxstdlife))</f>
        <v>0</v>
      </c>
      <c r="O457" s="68">
        <f>IF(A28taxstdlife="n/a","n/a",IF(O$3&gt;(A28taxstdlife+$E457),(Input!$L$68-Input!$L$102)-SUM($L457:N457),(Input!$L$68-Input!$L$102)/A28taxstdlife))</f>
        <v>0</v>
      </c>
      <c r="P457" s="68">
        <f>IF(A28taxstdlife="n/a","n/a",IF(P$3&gt;(A28taxstdlife+$E457),(Input!$L$68-Input!$L$102)-SUM($L457:O457),(Input!$L$68-Input!$L$102)/A28taxstdlife))</f>
        <v>0</v>
      </c>
      <c r="Q457" s="68">
        <f>IF(A28taxstdlife="n/a","n/a",IF(Q$3&gt;(A28taxstdlife+$E457),(Input!$L$68-Input!$L$102)-SUM($L457:P457),(Input!$L$68-Input!$L$102)/A28taxstdlife))</f>
        <v>0</v>
      </c>
      <c r="R457" s="68"/>
      <c r="S457" s="103"/>
      <c r="T457" s="103"/>
      <c r="U457" s="103"/>
      <c r="V457" s="103"/>
      <c r="W457" s="103"/>
      <c r="X457" s="103"/>
      <c r="Y457" s="103"/>
      <c r="Z457" s="103"/>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216"/>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26"/>
      <c r="D458" s="672"/>
      <c r="E458" s="86">
        <v>7</v>
      </c>
      <c r="F458" s="27"/>
      <c r="G458" s="208"/>
      <c r="H458" s="150"/>
      <c r="I458" s="150"/>
      <c r="J458" s="150"/>
      <c r="K458" s="150"/>
      <c r="L458" s="150"/>
      <c r="M458" s="149"/>
      <c r="N458" s="68">
        <f>IF(A28taxstdlife="n/a","n/a",IF(N$3&gt;(A28taxstdlife+$E458),(Input!$M$68-Input!$M$102)-SUM($M458:M458),(Input!$M$68-Input!$M$102)/A28taxstdlife))</f>
        <v>0</v>
      </c>
      <c r="O458" s="68">
        <f>IF(A28taxstdlife="n/a","n/a",IF(O$3&gt;(A28taxstdlife+$E458),(Input!$M$68-Input!$M$102)-SUM($M458:N458),(Input!$M$68-Input!$M$102)/A28taxstdlife))</f>
        <v>0</v>
      </c>
      <c r="P458" s="68">
        <f>IF(A28taxstdlife="n/a","n/a",IF(P$3&gt;(A28taxstdlife+$E458),(Input!$M$68-Input!$M$102)-SUM($M458:O458),(Input!$M$68-Input!$M$102)/A28taxstdlife))</f>
        <v>0</v>
      </c>
      <c r="Q458" s="68">
        <f>IF(A28taxstdlife="n/a","n/a",IF(Q$3&gt;(A28taxstdlife+$E458),(Input!$M$68-Input!$M$102)-SUM($M458:P458),(Input!$M$68-Input!$M$102)/A28taxstdlife))</f>
        <v>0</v>
      </c>
      <c r="R458" s="68"/>
      <c r="S458" s="103"/>
      <c r="T458" s="103"/>
      <c r="U458" s="103"/>
      <c r="V458" s="103"/>
      <c r="W458" s="103"/>
      <c r="X458" s="103"/>
      <c r="Y458" s="103"/>
      <c r="Z458" s="103"/>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216"/>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26"/>
      <c r="D459" s="672"/>
      <c r="E459" s="86">
        <v>8</v>
      </c>
      <c r="F459" s="27"/>
      <c r="G459" s="208"/>
      <c r="H459" s="150"/>
      <c r="I459" s="150"/>
      <c r="J459" s="150"/>
      <c r="K459" s="150"/>
      <c r="L459" s="150"/>
      <c r="M459" s="150"/>
      <c r="N459" s="149"/>
      <c r="O459" s="68">
        <f>IF(A28taxstdlife="n/a","n/a",IF(O$3&gt;(A28taxstdlife+$E459),(Input!$N$68-Input!$N$102)-SUM($N459:N459),(Input!$N$68-Input!$N$102)/A28taxstdlife))</f>
        <v>0</v>
      </c>
      <c r="P459" s="68">
        <f>IF(A28taxstdlife="n/a","n/a",IF(P$3&gt;(A28taxstdlife+$E459),(Input!$N$68-Input!$N$102)-SUM($N459:O459),(Input!$N$68-Input!$N$102)/A28taxstdlife))</f>
        <v>0</v>
      </c>
      <c r="Q459" s="68">
        <f>IF(A28taxstdlife="n/a","n/a",IF(Q$3&gt;(A28taxstdlife+$E459),(Input!$N$68-Input!$N$102)-SUM($N459:P459),(Input!$N$68-Input!$N$102)/A28taxstdlife))</f>
        <v>0</v>
      </c>
      <c r="R459" s="68"/>
      <c r="S459" s="103"/>
      <c r="T459" s="103"/>
      <c r="U459" s="103"/>
      <c r="V459" s="103"/>
      <c r="W459" s="103"/>
      <c r="X459" s="103"/>
      <c r="Y459" s="103"/>
      <c r="Z459" s="103"/>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216"/>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26"/>
      <c r="D460" s="672"/>
      <c r="E460" s="86">
        <v>9</v>
      </c>
      <c r="F460" s="27"/>
      <c r="G460" s="208"/>
      <c r="H460" s="150"/>
      <c r="I460" s="150"/>
      <c r="J460" s="150"/>
      <c r="K460" s="150"/>
      <c r="L460" s="150"/>
      <c r="M460" s="150"/>
      <c r="N460" s="150"/>
      <c r="O460" s="149"/>
      <c r="P460" s="68">
        <f>IF(A28taxstdlife="n/a","n/a",IF(P$3&gt;(A28taxstdlife+$E460),(Input!$O$68-Input!$O$102)-SUM($O460:O460),(Input!$O$68-Input!$O$102)/A28taxstdlife))</f>
        <v>0</v>
      </c>
      <c r="Q460" s="68">
        <f>IF(A28taxstdlife="n/a","n/a",IF(Q$3&gt;(A28taxstdlife+$E460),(Input!$O$68-Input!$O$102)-SUM($O460:P460),(Input!$O$68-Input!$O$102)/A28taxstdlife))</f>
        <v>0</v>
      </c>
      <c r="R460" s="68"/>
      <c r="S460" s="103"/>
      <c r="T460" s="103"/>
      <c r="U460" s="103"/>
      <c r="V460" s="103"/>
      <c r="W460" s="103"/>
      <c r="X460" s="103"/>
      <c r="Y460" s="103"/>
      <c r="Z460" s="103"/>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216"/>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26"/>
      <c r="D461" s="672"/>
      <c r="E461" s="86">
        <v>10</v>
      </c>
      <c r="F461" s="27"/>
      <c r="G461" s="208"/>
      <c r="H461" s="150"/>
      <c r="I461" s="150"/>
      <c r="J461" s="150"/>
      <c r="K461" s="150"/>
      <c r="L461" s="150"/>
      <c r="M461" s="150"/>
      <c r="N461" s="150"/>
      <c r="O461" s="150"/>
      <c r="P461" s="149"/>
      <c r="Q461" s="68">
        <f>IF(A28taxstdlife="n/a","n/a",IF(Q$3&gt;(A28taxstdlife+$E461),(Input!$P$68-Input!$P$102)-SUM($P461:P461),(Input!$P$68-Input!$P$102)/A28taxstdlife))</f>
        <v>0</v>
      </c>
      <c r="R461" s="68"/>
      <c r="S461" s="103"/>
      <c r="T461" s="103"/>
      <c r="U461" s="103"/>
      <c r="V461" s="103"/>
      <c r="W461" s="103"/>
      <c r="X461" s="103"/>
      <c r="Y461" s="103"/>
      <c r="Z461" s="103"/>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216"/>
      <c r="BE461" s="216"/>
      <c r="BF461" s="216"/>
      <c r="BG461" s="216"/>
      <c r="BH461" s="216"/>
      <c r="BI461" s="216"/>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26"/>
      <c r="D462" s="672"/>
      <c r="E462" s="87">
        <v>11</v>
      </c>
      <c r="F462" s="27"/>
      <c r="G462" s="208"/>
      <c r="H462" s="150"/>
      <c r="I462" s="150"/>
      <c r="J462" s="150"/>
      <c r="K462" s="150"/>
      <c r="L462" s="150"/>
      <c r="M462" s="150"/>
      <c r="N462" s="150"/>
      <c r="O462" s="150"/>
      <c r="P462" s="189"/>
      <c r="Q462" s="149"/>
      <c r="R462" s="68"/>
      <c r="S462" s="103"/>
      <c r="T462" s="103"/>
      <c r="U462" s="103"/>
      <c r="V462" s="103"/>
      <c r="W462" s="103"/>
      <c r="X462" s="103"/>
      <c r="Y462" s="103"/>
      <c r="Z462" s="103"/>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216"/>
      <c r="BE462" s="216"/>
      <c r="BF462" s="216"/>
      <c r="BG462" s="216"/>
      <c r="BH462" s="216"/>
      <c r="BI462" s="216"/>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1">
      <c r="A463" s="9"/>
      <c r="B463" s="9"/>
      <c r="C463" s="26">
        <f>Asset28</f>
        <v>0</v>
      </c>
      <c r="D463" s="9"/>
      <c r="E463" s="9"/>
      <c r="F463" s="23"/>
      <c r="G463" s="209">
        <f t="shared" ref="G463:L463" si="62">-SUM(G450:G462)</f>
        <v>0</v>
      </c>
      <c r="H463" s="166">
        <f t="shared" si="62"/>
        <v>0</v>
      </c>
      <c r="I463" s="166">
        <f t="shared" si="62"/>
        <v>0</v>
      </c>
      <c r="J463" s="166">
        <f t="shared" si="62"/>
        <v>0</v>
      </c>
      <c r="K463" s="166">
        <f t="shared" si="62"/>
        <v>0</v>
      </c>
      <c r="L463" s="166">
        <f t="shared" si="62"/>
        <v>0</v>
      </c>
      <c r="M463" s="166">
        <f>IF(Input!M173&gt;0, -SUM(M450:M462), 0)</f>
        <v>0</v>
      </c>
      <c r="N463" s="166">
        <f>IF(Input!N173&gt;0, -SUM(N450:N462), 0)</f>
        <v>0</v>
      </c>
      <c r="O463" s="166">
        <f>IF(Input!O173&gt;0, -SUM(O450:O462), 0)</f>
        <v>0</v>
      </c>
      <c r="P463" s="166">
        <f>IF(Input!P173&gt;0, -SUM(P450:P462), 0)</f>
        <v>0</v>
      </c>
      <c r="Q463" s="166">
        <f>IF(Input!Q173&gt;0, -SUM(Q450:Q462), 0)</f>
        <v>0</v>
      </c>
      <c r="R463" s="64"/>
      <c r="S463" s="102"/>
      <c r="T463" s="102"/>
      <c r="U463" s="102"/>
      <c r="V463" s="102"/>
      <c r="W463" s="102"/>
      <c r="X463" s="102"/>
      <c r="Y463" s="102"/>
      <c r="Z463" s="102"/>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188">
        <f>Asset29</f>
        <v>0</v>
      </c>
      <c r="C464" s="33"/>
      <c r="D464" s="34" t="s">
        <v>67</v>
      </c>
      <c r="E464" s="33"/>
      <c r="F464" s="35"/>
      <c r="G464" s="205">
        <f>IF(G$3&gt;A29taxremlife,A29taxvalue-SUM($F464:F464),IF(A29taxremlife="N/A","n/a",A29taxvalue/A29taxremlife))</f>
        <v>0</v>
      </c>
      <c r="H464" s="67">
        <f>IF(H$3&gt;A29taxremlife,A29taxvalue-SUM($F464:G464),IF(A29taxremlife="N/A","n/a",A29taxvalue/A29taxremlife))</f>
        <v>0</v>
      </c>
      <c r="I464" s="67">
        <f>IF(I$3&gt;A29taxremlife,A29taxvalue-SUM($F464:H464),IF(A29taxremlife="N/A","n/a",A29taxvalue/A29taxremlife))</f>
        <v>0</v>
      </c>
      <c r="J464" s="67">
        <f>IF(J$3&gt;A29taxremlife,A29taxvalue-SUM($F464:I464),IF(A29taxremlife="N/A","n/a",A29taxvalue/A29taxremlife))</f>
        <v>0</v>
      </c>
      <c r="K464" s="67">
        <f>IF(K$3&gt;A29taxremlife,A29taxvalue-SUM($F464:J464),IF(A29taxremlife="N/A","n/a",A29taxvalue/A29taxremlife))</f>
        <v>0</v>
      </c>
      <c r="L464" s="67">
        <f>IF(L$3&gt;A29taxremlife,A29taxvalue-SUM($F464:K464),IF(A29taxremlife="N/A","n/a",A29taxvalue/A29taxremlife))</f>
        <v>0</v>
      </c>
      <c r="M464" s="67">
        <f>IF(M$3&gt;A29taxremlife,A29taxvalue-SUM($F464:L464),IF(A29taxremlife="N/A","n/a",A29taxvalue/A29taxremlife))</f>
        <v>0</v>
      </c>
      <c r="N464" s="67">
        <f>IF(N$3&gt;A29taxremlife,A29taxvalue-SUM($F464:M464),IF(A29taxremlife="N/A","n/a",A29taxvalue/A29taxremlife))</f>
        <v>0</v>
      </c>
      <c r="O464" s="67">
        <f>IF(O$3&gt;A29taxremlife,A29taxvalue-SUM($F464:N464),IF(A29taxremlife="N/A","n/a",A29taxvalue/A29taxremlife))</f>
        <v>0</v>
      </c>
      <c r="P464" s="67">
        <f>IF(P$3&gt;A29taxremlife,A29taxvalue-SUM($F464:O464),IF(A29taxremlife="N/A","n/a",A29taxvalue/A29taxremlife))</f>
        <v>0</v>
      </c>
      <c r="Q464" s="67">
        <f>IF(Q$3&gt;A29taxremlife,A29taxvalue-SUM($F464:P464),IF(A29taxremlife="N/A","n/a",A29taxvalue/A29taxremlife))</f>
        <v>0</v>
      </c>
      <c r="R464" s="67"/>
      <c r="S464" s="103"/>
      <c r="T464" s="103"/>
      <c r="U464" s="103"/>
      <c r="V464" s="103"/>
      <c r="W464" s="103"/>
      <c r="X464" s="103"/>
      <c r="Y464" s="103"/>
      <c r="Z464" s="103"/>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216"/>
      <c r="BE464" s="216"/>
      <c r="BF464" s="216"/>
      <c r="BG464" s="216"/>
      <c r="BH464" s="216"/>
      <c r="BI464" s="216"/>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customHeight="1" outlineLevel="2">
      <c r="A465" s="9"/>
      <c r="B465" s="9"/>
      <c r="C465" s="26"/>
      <c r="D465" s="671" t="s">
        <v>84</v>
      </c>
      <c r="E465" s="86">
        <v>0</v>
      </c>
      <c r="F465" s="27"/>
      <c r="G465" s="206"/>
      <c r="H465" s="68"/>
      <c r="I465" s="68"/>
      <c r="J465" s="68"/>
      <c r="K465" s="68"/>
      <c r="L465" s="68"/>
      <c r="M465" s="68"/>
      <c r="N465" s="68"/>
      <c r="O465" s="68"/>
      <c r="P465" s="68"/>
      <c r="Q465" s="68"/>
      <c r="R465" s="68"/>
      <c r="S465" s="103"/>
      <c r="T465" s="103"/>
      <c r="U465" s="103"/>
      <c r="V465" s="103"/>
      <c r="W465" s="103"/>
      <c r="X465" s="103"/>
      <c r="Y465" s="103"/>
      <c r="Z465" s="103"/>
      <c r="AA465" s="216"/>
      <c r="AB465" s="216"/>
      <c r="AC465" s="216"/>
      <c r="AD465" s="216"/>
      <c r="AE465" s="216"/>
      <c r="AF465" s="216"/>
      <c r="AG465" s="216"/>
      <c r="AH465" s="216"/>
      <c r="AI465" s="216"/>
      <c r="AJ465" s="216"/>
      <c r="AK465" s="216"/>
      <c r="AL465" s="216"/>
      <c r="AM465" s="216"/>
      <c r="AN465" s="216"/>
      <c r="AO465" s="216"/>
      <c r="AP465" s="216"/>
      <c r="AQ465" s="216"/>
      <c r="AR465" s="216"/>
      <c r="AS465" s="216"/>
      <c r="AT465" s="216"/>
      <c r="AU465" s="216"/>
      <c r="AV465" s="216"/>
      <c r="AW465" s="216"/>
      <c r="AX465" s="216"/>
      <c r="AY465" s="216"/>
      <c r="AZ465" s="216"/>
      <c r="BA465" s="216"/>
      <c r="BB465" s="216"/>
      <c r="BC465" s="216"/>
      <c r="BD465" s="216"/>
      <c r="BE465" s="216"/>
      <c r="BF465" s="216"/>
      <c r="BG465" s="216"/>
      <c r="BH465" s="216"/>
      <c r="BI465" s="216"/>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customHeight="1" outlineLevel="2">
      <c r="A466" s="9"/>
      <c r="B466" s="9"/>
      <c r="C466" s="26"/>
      <c r="D466" s="672"/>
      <c r="E466" s="86">
        <v>1</v>
      </c>
      <c r="F466" s="27"/>
      <c r="G466" s="207"/>
      <c r="H466" s="68">
        <f>IF(A29taxstdlife="n/a","n/a",IF(H$3&gt;(A29taxstdlife+$E466),(Input!$G$69-Input!$G$103)-SUM($G466:G466),(Input!$G$69-Input!$G$103)/A29taxstdlife))</f>
        <v>0</v>
      </c>
      <c r="I466" s="68">
        <f>IF(A29taxstdlife="n/a","n/a",IF(I$3&gt;(A29taxstdlife+$E466),(Input!$G$69-Input!$G$103)-SUM($G466:H466),(Input!$G$69-Input!$G$103)/A29taxstdlife))</f>
        <v>0</v>
      </c>
      <c r="J466" s="68">
        <f>IF(A29taxstdlife="n/a","n/a",IF(J$3&gt;(A29taxstdlife+$E466),(Input!$G$69-Input!$G$103)-SUM($G466:I466),(Input!$G$69-Input!$G$103)/A29taxstdlife))</f>
        <v>0</v>
      </c>
      <c r="K466" s="68">
        <f>IF(A29taxstdlife="n/a","n/a",IF(K$3&gt;(A29taxstdlife+$E466),(Input!$G$69-Input!$G$103)-SUM($G466:J466),(Input!$G$69-Input!$G$103)/A29taxstdlife))</f>
        <v>0</v>
      </c>
      <c r="L466" s="68">
        <f>IF(A29taxstdlife="n/a","n/a",IF(L$3&gt;(A29taxstdlife+$E466),(Input!$G$69-Input!$G$103)-SUM($G466:K466),(Input!$G$69-Input!$G$103)/A29taxstdlife))</f>
        <v>0</v>
      </c>
      <c r="M466" s="68">
        <f>IF(A29taxstdlife="n/a","n/a",IF(M$3&gt;(A29taxstdlife+$E466),(Input!$G$69-Input!$G$103)-SUM($G466:L466),(Input!$G$69-Input!$G$103)/A29taxstdlife))</f>
        <v>0</v>
      </c>
      <c r="N466" s="68">
        <f>IF(A29taxstdlife="n/a","n/a",IF(N$3&gt;(A29taxstdlife+$E466),(Input!$G$69-Input!$G$103)-SUM($G466:M466),(Input!$G$69-Input!$G$103)/A29taxstdlife))</f>
        <v>0</v>
      </c>
      <c r="O466" s="68">
        <f>IF(A29taxstdlife="n/a","n/a",IF(O$3&gt;(A29taxstdlife+$E466),(Input!$G$69-Input!$G$103)-SUM($G466:N466),(Input!$G$69-Input!$G$103)/A29taxstdlife))</f>
        <v>0</v>
      </c>
      <c r="P466" s="68">
        <f>IF(A29taxstdlife="n/a","n/a",IF(P$3&gt;(A29taxstdlife+$E466),(Input!$G$69-Input!$G$103)-SUM($G466:O466),(Input!$G$69-Input!$G$103)/A29taxstdlife))</f>
        <v>0</v>
      </c>
      <c r="Q466" s="68">
        <f>IF(A29taxstdlife="n/a","n/a",IF(Q$3&gt;(A29taxstdlife+$E466),(Input!$G$69-Input!$G$103)-SUM($G466:P466),(Input!$G$69-Input!$G$103)/A29taxstdlife))</f>
        <v>0</v>
      </c>
      <c r="R466" s="68"/>
      <c r="S466" s="103"/>
      <c r="T466" s="103"/>
      <c r="U466" s="103"/>
      <c r="V466" s="103"/>
      <c r="W466" s="103"/>
      <c r="X466" s="103"/>
      <c r="Y466" s="103"/>
      <c r="Z466" s="103"/>
      <c r="AA466" s="216"/>
      <c r="AB466" s="216"/>
      <c r="AC466" s="216"/>
      <c r="AD466" s="216"/>
      <c r="AE466" s="216"/>
      <c r="AF466" s="216"/>
      <c r="AG466" s="216"/>
      <c r="AH466" s="216"/>
      <c r="AI466" s="216"/>
      <c r="AJ466" s="216"/>
      <c r="AK466" s="216"/>
      <c r="AL466" s="216"/>
      <c r="AM466" s="216"/>
      <c r="AN466" s="216"/>
      <c r="AO466" s="216"/>
      <c r="AP466" s="216"/>
      <c r="AQ466" s="216"/>
      <c r="AR466" s="216"/>
      <c r="AS466" s="216"/>
      <c r="AT466" s="216"/>
      <c r="AU466" s="216"/>
      <c r="AV466" s="216"/>
      <c r="AW466" s="216"/>
      <c r="AX466" s="216"/>
      <c r="AY466" s="216"/>
      <c r="AZ466" s="216"/>
      <c r="BA466" s="216"/>
      <c r="BB466" s="216"/>
      <c r="BC466" s="216"/>
      <c r="BD466" s="216"/>
      <c r="BE466" s="216"/>
      <c r="BF466" s="216"/>
      <c r="BG466" s="216"/>
      <c r="BH466" s="216"/>
      <c r="BI466" s="216"/>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customHeight="1" outlineLevel="2">
      <c r="A467" s="9"/>
      <c r="B467" s="9"/>
      <c r="C467" s="26"/>
      <c r="D467" s="672"/>
      <c r="E467" s="86">
        <v>2</v>
      </c>
      <c r="F467" s="27"/>
      <c r="G467" s="208"/>
      <c r="H467" s="149"/>
      <c r="I467" s="68">
        <f>IF(A29taxstdlife="n/a","n/a",IF(I$3&gt;(A29taxstdlife+$E467),(Input!$H$69-Input!$H$103)-SUM($H467:H467),(Input!$H$69-Input!$H$103)/A29taxstdlife))</f>
        <v>0</v>
      </c>
      <c r="J467" s="68">
        <f>IF(A29taxstdlife="n/a","n/a",IF(J$3&gt;(A29taxstdlife+$E467),(Input!$H$69-Input!$H$103)-SUM($H467:I467),(Input!$H$69-Input!$H$103)/A29taxstdlife))</f>
        <v>0</v>
      </c>
      <c r="K467" s="68">
        <f>IF(A29taxstdlife="n/a","n/a",IF(K$3&gt;(A29taxstdlife+$E467),(Input!$H$69-Input!$H$103)-SUM($H467:J467),(Input!$H$69-Input!$H$103)/A29taxstdlife))</f>
        <v>0</v>
      </c>
      <c r="L467" s="68">
        <f>IF(A29taxstdlife="n/a","n/a",IF(L$3&gt;(A29taxstdlife+$E467),(Input!$H$69-Input!$H$103)-SUM($H467:K467),(Input!$H$69-Input!$H$103)/A29taxstdlife))</f>
        <v>0</v>
      </c>
      <c r="M467" s="68">
        <f>IF(A29taxstdlife="n/a","n/a",IF(M$3&gt;(A29taxstdlife+$E467),(Input!$H$69-Input!$H$103)-SUM($H467:L467),(Input!$H$69-Input!$H$103)/A29taxstdlife))</f>
        <v>0</v>
      </c>
      <c r="N467" s="68">
        <f>IF(A29taxstdlife="n/a","n/a",IF(N$3&gt;(A29taxstdlife+$E467),(Input!$H$69-Input!$H$103)-SUM($H467:M467),(Input!$H$69-Input!$H$103)/A29taxstdlife))</f>
        <v>0</v>
      </c>
      <c r="O467" s="68">
        <f>IF(A29taxstdlife="n/a","n/a",IF(O$3&gt;(A29taxstdlife+$E467),(Input!$H$69-Input!$H$103)-SUM($H467:N467),(Input!$H$69-Input!$H$103)/A29taxstdlife))</f>
        <v>0</v>
      </c>
      <c r="P467" s="68">
        <f>IF(A29taxstdlife="n/a","n/a",IF(P$3&gt;(A29taxstdlife+$E467),(Input!$H$69-Input!$H$103)-SUM($H467:O467),(Input!$H$69-Input!$H$103)/A29taxstdlife))</f>
        <v>0</v>
      </c>
      <c r="Q467" s="68">
        <f>IF(A29taxstdlife="n/a","n/a",IF(Q$3&gt;(A29taxstdlife+$E467),(Input!$H$69-Input!$H$103)-SUM($H467:P467),(Input!$H$69-Input!$H$103)/A29taxstdlife))</f>
        <v>0</v>
      </c>
      <c r="R467" s="68"/>
      <c r="S467" s="103"/>
      <c r="T467" s="103"/>
      <c r="U467" s="103"/>
      <c r="V467" s="103"/>
      <c r="W467" s="103"/>
      <c r="X467" s="103"/>
      <c r="Y467" s="103"/>
      <c r="Z467" s="103"/>
      <c r="AA467" s="216"/>
      <c r="AB467" s="216"/>
      <c r="AC467" s="216"/>
      <c r="AD467" s="216"/>
      <c r="AE467" s="216"/>
      <c r="AF467" s="216"/>
      <c r="AG467" s="216"/>
      <c r="AH467" s="216"/>
      <c r="AI467" s="216"/>
      <c r="AJ467" s="216"/>
      <c r="AK467" s="216"/>
      <c r="AL467" s="216"/>
      <c r="AM467" s="216"/>
      <c r="AN467" s="216"/>
      <c r="AO467" s="216"/>
      <c r="AP467" s="216"/>
      <c r="AQ467" s="216"/>
      <c r="AR467" s="216"/>
      <c r="AS467" s="216"/>
      <c r="AT467" s="216"/>
      <c r="AU467" s="216"/>
      <c r="AV467" s="216"/>
      <c r="AW467" s="216"/>
      <c r="AX467" s="216"/>
      <c r="AY467" s="216"/>
      <c r="AZ467" s="216"/>
      <c r="BA467" s="216"/>
      <c r="BB467" s="216"/>
      <c r="BC467" s="216"/>
      <c r="BD467" s="216"/>
      <c r="BE467" s="216"/>
      <c r="BF467" s="216"/>
      <c r="BG467" s="216"/>
      <c r="BH467" s="216"/>
      <c r="BI467" s="216"/>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customHeight="1" outlineLevel="2">
      <c r="A468" s="9"/>
      <c r="B468" s="9"/>
      <c r="C468" s="26"/>
      <c r="D468" s="672"/>
      <c r="E468" s="86">
        <v>3</v>
      </c>
      <c r="F468" s="27"/>
      <c r="G468" s="208"/>
      <c r="H468" s="150"/>
      <c r="I468" s="149"/>
      <c r="J468" s="68">
        <f>IF(A29taxstdlife="n/a","n/a",IF(J$3&gt;(A29taxstdlife+$E468),(Input!$I$69-Input!$I$103)-SUM($I468:I468),(Input!$I$69-Input!$I$103)/A29taxstdlife))</f>
        <v>0</v>
      </c>
      <c r="K468" s="68">
        <f>IF(A29taxstdlife="n/a","n/a",IF(K$3&gt;(A29taxstdlife+$E468),(Input!$I$69-Input!$I$103)-SUM($I468:J468),(Input!$I$69-Input!$I$103)/A29taxstdlife))</f>
        <v>0</v>
      </c>
      <c r="L468" s="68">
        <f>IF(A29taxstdlife="n/a","n/a",IF(L$3&gt;(A29taxstdlife+$E468),(Input!$I$69-Input!$I$103)-SUM($I468:K468),(Input!$I$69-Input!$I$103)/A29taxstdlife))</f>
        <v>0</v>
      </c>
      <c r="M468" s="68">
        <f>IF(A29taxstdlife="n/a","n/a",IF(M$3&gt;(A29taxstdlife+$E468),(Input!$I$69-Input!$I$103)-SUM($I468:L468),(Input!$I$69-Input!$I$103)/A29taxstdlife))</f>
        <v>0</v>
      </c>
      <c r="N468" s="68">
        <f>IF(A29taxstdlife="n/a","n/a",IF(N$3&gt;(A29taxstdlife+$E468),(Input!$I$69-Input!$I$103)-SUM($I468:M468),(Input!$I$69-Input!$I$103)/A29taxstdlife))</f>
        <v>0</v>
      </c>
      <c r="O468" s="68">
        <f>IF(A29taxstdlife="n/a","n/a",IF(O$3&gt;(A29taxstdlife+$E468),(Input!$I$69-Input!$I$103)-SUM($I468:N468),(Input!$I$69-Input!$I$103)/A29taxstdlife))</f>
        <v>0</v>
      </c>
      <c r="P468" s="68">
        <f>IF(A29taxstdlife="n/a","n/a",IF(P$3&gt;(A29taxstdlife+$E468),(Input!$I$69-Input!$I$103)-SUM($I468:O468),(Input!$I$69-Input!$I$103)/A29taxstdlife))</f>
        <v>0</v>
      </c>
      <c r="Q468" s="68">
        <f>IF(A29taxstdlife="n/a","n/a",IF(Q$3&gt;(A29taxstdlife+$E468),(Input!$I$69-Input!$I$103)-SUM($I468:P468),(Input!$I$69-Input!$I$103)/A29taxstdlife))</f>
        <v>0</v>
      </c>
      <c r="R468" s="68"/>
      <c r="S468" s="103"/>
      <c r="T468" s="103"/>
      <c r="U468" s="103"/>
      <c r="V468" s="103"/>
      <c r="W468" s="103"/>
      <c r="X468" s="103"/>
      <c r="Y468" s="103"/>
      <c r="Z468" s="103"/>
      <c r="AA468" s="216"/>
      <c r="AB468" s="216"/>
      <c r="AC468" s="216"/>
      <c r="AD468" s="216"/>
      <c r="AE468" s="216"/>
      <c r="AF468" s="216"/>
      <c r="AG468" s="216"/>
      <c r="AH468" s="216"/>
      <c r="AI468" s="216"/>
      <c r="AJ468" s="216"/>
      <c r="AK468" s="216"/>
      <c r="AL468" s="216"/>
      <c r="AM468" s="216"/>
      <c r="AN468" s="216"/>
      <c r="AO468" s="216"/>
      <c r="AP468" s="216"/>
      <c r="AQ468" s="216"/>
      <c r="AR468" s="216"/>
      <c r="AS468" s="216"/>
      <c r="AT468" s="216"/>
      <c r="AU468" s="216"/>
      <c r="AV468" s="216"/>
      <c r="AW468" s="216"/>
      <c r="AX468" s="216"/>
      <c r="AY468" s="216"/>
      <c r="AZ468" s="216"/>
      <c r="BA468" s="216"/>
      <c r="BB468" s="216"/>
      <c r="BC468" s="216"/>
      <c r="BD468" s="216"/>
      <c r="BE468" s="216"/>
      <c r="BF468" s="216"/>
      <c r="BG468" s="216"/>
      <c r="BH468" s="216"/>
      <c r="BI468" s="216"/>
      <c r="BJ468" s="218"/>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customHeight="1" outlineLevel="2">
      <c r="A469" s="9"/>
      <c r="B469" s="9"/>
      <c r="C469" s="26"/>
      <c r="D469" s="672"/>
      <c r="E469" s="86">
        <v>4</v>
      </c>
      <c r="F469" s="27"/>
      <c r="G469" s="208"/>
      <c r="H469" s="150"/>
      <c r="I469" s="150"/>
      <c r="J469" s="149"/>
      <c r="K469" s="68">
        <f>IF(A29taxstdlife="n/a","n/a",IF(K$3&gt;(A29taxstdlife+$E469),(Input!$J$69-Input!$J$103)-SUM($J469:J469),(Input!$J$69-Input!$J$103)/A29taxstdlife))</f>
        <v>0</v>
      </c>
      <c r="L469" s="68">
        <f>IF(A29taxstdlife="n/a","n/a",IF(L$3&gt;(A29taxstdlife+$E469),(Input!$J$69-Input!$J$103)-SUM($J469:K469),(Input!$J$69-Input!$J$103)/A29taxstdlife))</f>
        <v>0</v>
      </c>
      <c r="M469" s="68">
        <f>IF(A29taxstdlife="n/a","n/a",IF(M$3&gt;(A29taxstdlife+$E469),(Input!$J$69-Input!$J$103)-SUM($J469:L469),(Input!$J$69-Input!$J$103)/A29taxstdlife))</f>
        <v>0</v>
      </c>
      <c r="N469" s="68">
        <f>IF(A29taxstdlife="n/a","n/a",IF(N$3&gt;(A29taxstdlife+$E469),(Input!$J$69-Input!$J$103)-SUM($J469:M469),(Input!$J$69-Input!$J$103)/A29taxstdlife))</f>
        <v>0</v>
      </c>
      <c r="O469" s="68">
        <f>IF(A29taxstdlife="n/a","n/a",IF(O$3&gt;(A29taxstdlife+$E469),(Input!$J$69-Input!$J$103)-SUM($J469:N469),(Input!$J$69-Input!$J$103)/A29taxstdlife))</f>
        <v>0</v>
      </c>
      <c r="P469" s="68">
        <f>IF(A29taxstdlife="n/a","n/a",IF(P$3&gt;(A29taxstdlife+$E469),(Input!$J$69-Input!$J$103)-SUM($J469:O469),(Input!$J$69-Input!$J$103)/A29taxstdlife))</f>
        <v>0</v>
      </c>
      <c r="Q469" s="68">
        <f>IF(A29taxstdlife="n/a","n/a",IF(Q$3&gt;(A29taxstdlife+$E469),(Input!$J$69-Input!$J$103)-SUM($J469:P469),(Input!$J$69-Input!$J$103)/A29taxstdlife))</f>
        <v>0</v>
      </c>
      <c r="R469" s="68"/>
      <c r="S469" s="103"/>
      <c r="T469" s="103"/>
      <c r="U469" s="103"/>
      <c r="V469" s="103"/>
      <c r="W469" s="103"/>
      <c r="X469" s="103"/>
      <c r="Y469" s="103"/>
      <c r="Z469" s="103"/>
      <c r="AA469" s="216"/>
      <c r="AB469" s="216"/>
      <c r="AC469" s="216"/>
      <c r="AD469" s="216"/>
      <c r="AE469" s="216"/>
      <c r="AF469" s="216"/>
      <c r="AG469" s="216"/>
      <c r="AH469" s="216"/>
      <c r="AI469" s="216"/>
      <c r="AJ469" s="216"/>
      <c r="AK469" s="216"/>
      <c r="AL469" s="216"/>
      <c r="AM469" s="216"/>
      <c r="AN469" s="216"/>
      <c r="AO469" s="216"/>
      <c r="AP469" s="216"/>
      <c r="AQ469" s="216"/>
      <c r="AR469" s="216"/>
      <c r="AS469" s="216"/>
      <c r="AT469" s="216"/>
      <c r="AU469" s="216"/>
      <c r="AV469" s="216"/>
      <c r="AW469" s="216"/>
      <c r="AX469" s="216"/>
      <c r="AY469" s="216"/>
      <c r="AZ469" s="216"/>
      <c r="BA469" s="216"/>
      <c r="BB469" s="216"/>
      <c r="BC469" s="216"/>
      <c r="BD469" s="216"/>
      <c r="BE469" s="216"/>
      <c r="BF469" s="216"/>
      <c r="BG469" s="216"/>
      <c r="BH469" s="216"/>
      <c r="BI469" s="216"/>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customHeight="1" outlineLevel="2">
      <c r="A470" s="9"/>
      <c r="B470" s="9"/>
      <c r="C470" s="26"/>
      <c r="D470" s="672"/>
      <c r="E470" s="86">
        <v>5</v>
      </c>
      <c r="F470" s="27"/>
      <c r="G470" s="208"/>
      <c r="H470" s="150"/>
      <c r="I470" s="150"/>
      <c r="J470" s="150"/>
      <c r="K470" s="149"/>
      <c r="L470" s="68">
        <f>IF(A29taxstdlife="n/a","n/a",IF(L$3&gt;(A29taxstdlife+$E470),(Input!$K$69-Input!$K$103)-SUM($K470:K470),(Input!$K$69-Input!$K$103)/A29taxstdlife))</f>
        <v>0</v>
      </c>
      <c r="M470" s="68">
        <f>IF(A29taxstdlife="n/a","n/a",IF(M$3&gt;(A29taxstdlife+$E470),(Input!$K$69-Input!$K$103)-SUM($K470:L470),(Input!$K$69-Input!$K$103)/A29taxstdlife))</f>
        <v>0</v>
      </c>
      <c r="N470" s="68">
        <f>IF(A29taxstdlife="n/a","n/a",IF(N$3&gt;(A29taxstdlife+$E470),(Input!$K$69-Input!$K$103)-SUM($K470:M470),(Input!$K$69-Input!$K$103)/A29taxstdlife))</f>
        <v>0</v>
      </c>
      <c r="O470" s="68">
        <f>IF(A29taxstdlife="n/a","n/a",IF(O$3&gt;(A29taxstdlife+$E470),(Input!$K$69-Input!$K$103)-SUM($K470:N470),(Input!$K$69-Input!$K$103)/A29taxstdlife))</f>
        <v>0</v>
      </c>
      <c r="P470" s="68">
        <f>IF(A29taxstdlife="n/a","n/a",IF(P$3&gt;(A29taxstdlife+$E470),(Input!$K$69-Input!$K$103)-SUM($K470:O470),(Input!$K$69-Input!$K$103)/A29taxstdlife))</f>
        <v>0</v>
      </c>
      <c r="Q470" s="68">
        <f>IF(A29taxstdlife="n/a","n/a",IF(Q$3&gt;(A29taxstdlife+$E470),(Input!$K$69-Input!$K$103)-SUM($K470:P470),(Input!$K$69-Input!$K$103)/A29taxstdlife))</f>
        <v>0</v>
      </c>
      <c r="R470" s="68"/>
      <c r="S470" s="103"/>
      <c r="T470" s="103"/>
      <c r="U470" s="103"/>
      <c r="V470" s="103"/>
      <c r="W470" s="103"/>
      <c r="X470" s="103"/>
      <c r="Y470" s="103"/>
      <c r="Z470" s="103"/>
      <c r="AA470" s="216"/>
      <c r="AB470" s="216"/>
      <c r="AC470" s="216"/>
      <c r="AD470" s="216"/>
      <c r="AE470" s="216"/>
      <c r="AF470" s="216"/>
      <c r="AG470" s="216"/>
      <c r="AH470" s="216"/>
      <c r="AI470" s="216"/>
      <c r="AJ470" s="216"/>
      <c r="AK470" s="216"/>
      <c r="AL470" s="216"/>
      <c r="AM470" s="216"/>
      <c r="AN470" s="216"/>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216"/>
      <c r="BJ470" s="187"/>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customHeight="1" outlineLevel="2">
      <c r="A471" s="9"/>
      <c r="B471" s="9"/>
      <c r="C471" s="26"/>
      <c r="D471" s="672"/>
      <c r="E471" s="86">
        <v>6</v>
      </c>
      <c r="F471" s="27"/>
      <c r="G471" s="208"/>
      <c r="H471" s="150"/>
      <c r="I471" s="150"/>
      <c r="J471" s="150"/>
      <c r="K471" s="150"/>
      <c r="L471" s="149"/>
      <c r="M471" s="68">
        <f>IF(A29taxstdlife="n/a","n/a",IF(M$3&gt;(A29taxstdlife+$E471),(Input!$L$69-Input!$L$103)-SUM($L471:L471),(Input!$L$69-Input!$L$103)/A29taxstdlife))</f>
        <v>0</v>
      </c>
      <c r="N471" s="68">
        <f>IF(A29taxstdlife="n/a","n/a",IF(N$3&gt;(A29taxstdlife+$E471),(Input!$L$69-Input!$L$103)-SUM($L471:M471),(Input!$L$69-Input!$L$103)/A29taxstdlife))</f>
        <v>0</v>
      </c>
      <c r="O471" s="68">
        <f>IF(A29taxstdlife="n/a","n/a",IF(O$3&gt;(A29taxstdlife+$E471),(Input!$L$69-Input!$L$103)-SUM($L471:N471),(Input!$L$69-Input!$L$103)/A29taxstdlife))</f>
        <v>0</v>
      </c>
      <c r="P471" s="68">
        <f>IF(A29taxstdlife="n/a","n/a",IF(P$3&gt;(A29taxstdlife+$E471),(Input!$L$69-Input!$L$103)-SUM($L471:O471),(Input!$L$69-Input!$L$103)/A29taxstdlife))</f>
        <v>0</v>
      </c>
      <c r="Q471" s="68">
        <f>IF(A29taxstdlife="n/a","n/a",IF(Q$3&gt;(A29taxstdlife+$E471),(Input!$L$69-Input!$L$103)-SUM($L471:P471),(Input!$L$69-Input!$L$103)/A29taxstdlife))</f>
        <v>0</v>
      </c>
      <c r="R471" s="68"/>
      <c r="S471" s="103"/>
      <c r="T471" s="103"/>
      <c r="U471" s="103"/>
      <c r="V471" s="103"/>
      <c r="W471" s="103"/>
      <c r="X471" s="103"/>
      <c r="Y471" s="103"/>
      <c r="Z471" s="103"/>
      <c r="AA471" s="216"/>
      <c r="AB471" s="216"/>
      <c r="AC471" s="216"/>
      <c r="AD471" s="216"/>
      <c r="AE471" s="216"/>
      <c r="AF471" s="216"/>
      <c r="AG471" s="216"/>
      <c r="AH471" s="216"/>
      <c r="AI471" s="216"/>
      <c r="AJ471" s="216"/>
      <c r="AK471" s="216"/>
      <c r="AL471" s="216"/>
      <c r="AM471" s="216"/>
      <c r="AN471" s="216"/>
      <c r="AO471" s="216"/>
      <c r="AP471" s="216"/>
      <c r="AQ471" s="216"/>
      <c r="AR471" s="216"/>
      <c r="AS471" s="216"/>
      <c r="AT471" s="216"/>
      <c r="AU471" s="216"/>
      <c r="AV471" s="216"/>
      <c r="AW471" s="216"/>
      <c r="AX471" s="216"/>
      <c r="AY471" s="216"/>
      <c r="AZ471" s="216"/>
      <c r="BA471" s="216"/>
      <c r="BB471" s="216"/>
      <c r="BC471" s="216"/>
      <c r="BD471" s="216"/>
      <c r="BE471" s="216"/>
      <c r="BF471" s="216"/>
      <c r="BG471" s="216"/>
      <c r="BH471" s="216"/>
      <c r="BI471" s="216"/>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customHeight="1" outlineLevel="2">
      <c r="A472" s="9"/>
      <c r="B472" s="9"/>
      <c r="C472" s="26"/>
      <c r="D472" s="672"/>
      <c r="E472" s="86">
        <v>7</v>
      </c>
      <c r="F472" s="27"/>
      <c r="G472" s="208"/>
      <c r="H472" s="150"/>
      <c r="I472" s="150"/>
      <c r="J472" s="150"/>
      <c r="K472" s="150"/>
      <c r="L472" s="150"/>
      <c r="M472" s="149"/>
      <c r="N472" s="68">
        <f>IF(A29taxstdlife="n/a","n/a",IF(N$3&gt;(A29taxstdlife+$E472),(Input!$M$69-Input!$M$103)-SUM($M472:M472),(Input!$M$69-Input!$M$103)/A29taxstdlife))</f>
        <v>0</v>
      </c>
      <c r="O472" s="68">
        <f>IF(A29taxstdlife="n/a","n/a",IF(O$3&gt;(A29taxstdlife+$E472),(Input!$M$69-Input!$M$103)-SUM($M472:N472),(Input!$M$69-Input!$M$103)/A29taxstdlife))</f>
        <v>0</v>
      </c>
      <c r="P472" s="68">
        <f>IF(A29taxstdlife="n/a","n/a",IF(P$3&gt;(A29taxstdlife+$E472),(Input!$M$69-Input!$M$103)-SUM($M472:O472),(Input!$M$69-Input!$M$103)/A29taxstdlife))</f>
        <v>0</v>
      </c>
      <c r="Q472" s="68">
        <f>IF(A29taxstdlife="n/a","n/a",IF(Q$3&gt;(A29taxstdlife+$E472),(Input!$M$69-Input!$M$103)-SUM($M472:P472),(Input!$M$69-Input!$M$103)/A29taxstdlife))</f>
        <v>0</v>
      </c>
      <c r="R472" s="68"/>
      <c r="S472" s="103"/>
      <c r="T472" s="103"/>
      <c r="U472" s="103"/>
      <c r="V472" s="103"/>
      <c r="W472" s="103"/>
      <c r="X472" s="103"/>
      <c r="Y472" s="103"/>
      <c r="Z472" s="103"/>
      <c r="AA472" s="216"/>
      <c r="AB472" s="216"/>
      <c r="AC472" s="216"/>
      <c r="AD472" s="216"/>
      <c r="AE472" s="216"/>
      <c r="AF472" s="216"/>
      <c r="AG472" s="216"/>
      <c r="AH472" s="216"/>
      <c r="AI472" s="216"/>
      <c r="AJ472" s="216"/>
      <c r="AK472" s="216"/>
      <c r="AL472" s="216"/>
      <c r="AM472" s="216"/>
      <c r="AN472" s="216"/>
      <c r="AO472" s="216"/>
      <c r="AP472" s="216"/>
      <c r="AQ472" s="216"/>
      <c r="AR472" s="216"/>
      <c r="AS472" s="216"/>
      <c r="AT472" s="216"/>
      <c r="AU472" s="216"/>
      <c r="AV472" s="216"/>
      <c r="AW472" s="216"/>
      <c r="AX472" s="216"/>
      <c r="AY472" s="216"/>
      <c r="AZ472" s="216"/>
      <c r="BA472" s="216"/>
      <c r="BB472" s="216"/>
      <c r="BC472" s="216"/>
      <c r="BD472" s="216"/>
      <c r="BE472" s="216"/>
      <c r="BF472" s="216"/>
      <c r="BG472" s="216"/>
      <c r="BH472" s="216"/>
      <c r="BI472" s="216"/>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customHeight="1" outlineLevel="2">
      <c r="A473" s="9"/>
      <c r="B473" s="9"/>
      <c r="C473" s="26"/>
      <c r="D473" s="672"/>
      <c r="E473" s="86">
        <v>8</v>
      </c>
      <c r="F473" s="27"/>
      <c r="G473" s="208"/>
      <c r="H473" s="150"/>
      <c r="I473" s="150"/>
      <c r="J473" s="150"/>
      <c r="K473" s="150"/>
      <c r="L473" s="150"/>
      <c r="M473" s="150"/>
      <c r="N473" s="149"/>
      <c r="O473" s="68">
        <f>IF(A29taxstdlife="n/a","n/a",IF(O$3&gt;(A29taxstdlife+$E473),(Input!$N$69-Input!$N$103)-SUM($N473:N473),(Input!$N$69-Input!$N$103)/A29taxstdlife))</f>
        <v>0</v>
      </c>
      <c r="P473" s="68">
        <f>IF(A29taxstdlife="n/a","n/a",IF(P$3&gt;(A29taxstdlife+$E473),(Input!$N$69-Input!$N$103)-SUM($N473:O473),(Input!$N$69-Input!$N$103)/A29taxstdlife))</f>
        <v>0</v>
      </c>
      <c r="Q473" s="68">
        <f>IF(A29taxstdlife="n/a","n/a",IF(Q$3&gt;(A29taxstdlife+$E473),(Input!$N$69-Input!$N$103)-SUM($N473:P473),(Input!$N$69-Input!$N$103)/A29taxstdlife))</f>
        <v>0</v>
      </c>
      <c r="R473" s="68"/>
      <c r="S473" s="103"/>
      <c r="T473" s="103"/>
      <c r="U473" s="103"/>
      <c r="V473" s="103"/>
      <c r="W473" s="103"/>
      <c r="X473" s="103"/>
      <c r="Y473" s="103"/>
      <c r="Z473" s="103"/>
      <c r="AA473" s="216"/>
      <c r="AB473" s="216"/>
      <c r="AC473" s="216"/>
      <c r="AD473" s="216"/>
      <c r="AE473" s="216"/>
      <c r="AF473" s="216"/>
      <c r="AG473" s="216"/>
      <c r="AH473" s="216"/>
      <c r="AI473" s="216"/>
      <c r="AJ473" s="216"/>
      <c r="AK473" s="216"/>
      <c r="AL473" s="216"/>
      <c r="AM473" s="216"/>
      <c r="AN473" s="216"/>
      <c r="AO473" s="216"/>
      <c r="AP473" s="216"/>
      <c r="AQ473" s="216"/>
      <c r="AR473" s="216"/>
      <c r="AS473" s="216"/>
      <c r="AT473" s="216"/>
      <c r="AU473" s="216"/>
      <c r="AV473" s="216"/>
      <c r="AW473" s="216"/>
      <c r="AX473" s="216"/>
      <c r="AY473" s="216"/>
      <c r="AZ473" s="216"/>
      <c r="BA473" s="216"/>
      <c r="BB473" s="216"/>
      <c r="BC473" s="216"/>
      <c r="BD473" s="216"/>
      <c r="BE473" s="216"/>
      <c r="BF473" s="216"/>
      <c r="BG473" s="216"/>
      <c r="BH473" s="216"/>
      <c r="BI473" s="216"/>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customHeight="1" outlineLevel="2">
      <c r="A474" s="9"/>
      <c r="B474" s="9"/>
      <c r="C474" s="26"/>
      <c r="D474" s="672"/>
      <c r="E474" s="86">
        <v>9</v>
      </c>
      <c r="F474" s="27"/>
      <c r="G474" s="208"/>
      <c r="H474" s="150"/>
      <c r="I474" s="150"/>
      <c r="J474" s="150"/>
      <c r="K474" s="150"/>
      <c r="L474" s="150"/>
      <c r="M474" s="150"/>
      <c r="N474" s="150"/>
      <c r="O474" s="149"/>
      <c r="P474" s="68">
        <f>IF(A29taxstdlife="n/a","n/a",IF(P$3&gt;(A29taxstdlife+$E474),(Input!$O$69-Input!$O$103)-SUM($O474:O474),(Input!$O$69-Input!$O$103)/A29taxstdlife))</f>
        <v>0</v>
      </c>
      <c r="Q474" s="68">
        <f>IF(A29taxstdlife="n/a","n/a",IF(Q$3&gt;(A29taxstdlife+$E474),(Input!$O$69-Input!$O$103)-SUM($O474:P474),(Input!$O$69-Input!$O$103)/A29taxstdlife))</f>
        <v>0</v>
      </c>
      <c r="R474" s="68"/>
      <c r="S474" s="103"/>
      <c r="T474" s="103"/>
      <c r="U474" s="103"/>
      <c r="V474" s="103"/>
      <c r="W474" s="103"/>
      <c r="X474" s="103"/>
      <c r="Y474" s="103"/>
      <c r="Z474" s="103"/>
      <c r="AA474" s="216"/>
      <c r="AB474" s="216"/>
      <c r="AC474" s="216"/>
      <c r="AD474" s="216"/>
      <c r="AE474" s="216"/>
      <c r="AF474" s="216"/>
      <c r="AG474" s="216"/>
      <c r="AH474" s="216"/>
      <c r="AI474" s="216"/>
      <c r="AJ474" s="216"/>
      <c r="AK474" s="216"/>
      <c r="AL474" s="216"/>
      <c r="AM474" s="216"/>
      <c r="AN474" s="216"/>
      <c r="AO474" s="216"/>
      <c r="AP474" s="216"/>
      <c r="AQ474" s="216"/>
      <c r="AR474" s="216"/>
      <c r="AS474" s="216"/>
      <c r="AT474" s="216"/>
      <c r="AU474" s="216"/>
      <c r="AV474" s="216"/>
      <c r="AW474" s="216"/>
      <c r="AX474" s="216"/>
      <c r="AY474" s="216"/>
      <c r="AZ474" s="216"/>
      <c r="BA474" s="216"/>
      <c r="BB474" s="216"/>
      <c r="BC474" s="216"/>
      <c r="BD474" s="216"/>
      <c r="BE474" s="216"/>
      <c r="BF474" s="216"/>
      <c r="BG474" s="216"/>
      <c r="BH474" s="216"/>
      <c r="BI474" s="216"/>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customHeight="1" outlineLevel="2">
      <c r="A475" s="9"/>
      <c r="B475" s="9"/>
      <c r="C475" s="26"/>
      <c r="D475" s="672"/>
      <c r="E475" s="86">
        <v>10</v>
      </c>
      <c r="F475" s="27"/>
      <c r="G475" s="208"/>
      <c r="H475" s="150"/>
      <c r="I475" s="150"/>
      <c r="J475" s="150"/>
      <c r="K475" s="150"/>
      <c r="L475" s="150"/>
      <c r="M475" s="150"/>
      <c r="N475" s="150"/>
      <c r="O475" s="150"/>
      <c r="P475" s="149"/>
      <c r="Q475" s="68">
        <f>IF(A29taxstdlife="n/a","n/a",IF(Q$3&gt;(A29taxstdlife+$E475),(Input!$P$69-Input!$P$103)-SUM($P475:P475),(Input!$P$69-Input!$P$103)/A29taxstdlife))</f>
        <v>0</v>
      </c>
      <c r="R475" s="68"/>
      <c r="S475" s="103"/>
      <c r="T475" s="103"/>
      <c r="U475" s="103"/>
      <c r="V475" s="103"/>
      <c r="W475" s="103"/>
      <c r="X475" s="103"/>
      <c r="Y475" s="103"/>
      <c r="Z475" s="103"/>
      <c r="AA475" s="216"/>
      <c r="AB475" s="216"/>
      <c r="AC475" s="216"/>
      <c r="AD475" s="216"/>
      <c r="AE475" s="216"/>
      <c r="AF475" s="216"/>
      <c r="AG475" s="216"/>
      <c r="AH475" s="216"/>
      <c r="AI475" s="216"/>
      <c r="AJ475" s="216"/>
      <c r="AK475" s="216"/>
      <c r="AL475" s="216"/>
      <c r="AM475" s="216"/>
      <c r="AN475" s="216"/>
      <c r="AO475" s="216"/>
      <c r="AP475" s="216"/>
      <c r="AQ475" s="216"/>
      <c r="AR475" s="216"/>
      <c r="AS475" s="216"/>
      <c r="AT475" s="216"/>
      <c r="AU475" s="216"/>
      <c r="AV475" s="216"/>
      <c r="AW475" s="216"/>
      <c r="AX475" s="216"/>
      <c r="AY475" s="216"/>
      <c r="AZ475" s="216"/>
      <c r="BA475" s="216"/>
      <c r="BB475" s="216"/>
      <c r="BC475" s="216"/>
      <c r="BD475" s="216"/>
      <c r="BE475" s="216"/>
      <c r="BF475" s="216"/>
      <c r="BG475" s="216"/>
      <c r="BH475" s="216"/>
      <c r="BI475" s="216"/>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customHeight="1" outlineLevel="2">
      <c r="A476" s="9"/>
      <c r="B476" s="9"/>
      <c r="C476" s="26"/>
      <c r="D476" s="672"/>
      <c r="E476" s="87">
        <v>11</v>
      </c>
      <c r="F476" s="27"/>
      <c r="G476" s="208"/>
      <c r="H476" s="150"/>
      <c r="I476" s="150"/>
      <c r="J476" s="150"/>
      <c r="K476" s="150"/>
      <c r="L476" s="150"/>
      <c r="M476" s="150"/>
      <c r="N476" s="150"/>
      <c r="O476" s="150"/>
      <c r="P476" s="189"/>
      <c r="Q476" s="149"/>
      <c r="R476" s="68"/>
      <c r="S476" s="103"/>
      <c r="T476" s="103"/>
      <c r="U476" s="103"/>
      <c r="V476" s="103"/>
      <c r="W476" s="103"/>
      <c r="X476" s="103"/>
      <c r="Y476" s="103"/>
      <c r="Z476" s="103"/>
      <c r="AA476" s="216"/>
      <c r="AB476" s="216"/>
      <c r="AC476" s="216"/>
      <c r="AD476" s="216"/>
      <c r="AE476" s="216"/>
      <c r="AF476" s="216"/>
      <c r="AG476" s="216"/>
      <c r="AH476" s="216"/>
      <c r="AI476" s="216"/>
      <c r="AJ476" s="216"/>
      <c r="AK476" s="216"/>
      <c r="AL476" s="216"/>
      <c r="AM476" s="216"/>
      <c r="AN476" s="216"/>
      <c r="AO476" s="216"/>
      <c r="AP476" s="216"/>
      <c r="AQ476" s="216"/>
      <c r="AR476" s="216"/>
      <c r="AS476" s="216"/>
      <c r="AT476" s="216"/>
      <c r="AU476" s="216"/>
      <c r="AV476" s="216"/>
      <c r="AW476" s="216"/>
      <c r="AX476" s="216"/>
      <c r="AY476" s="216"/>
      <c r="AZ476" s="216"/>
      <c r="BA476" s="216"/>
      <c r="BB476" s="216"/>
      <c r="BC476" s="216"/>
      <c r="BD476" s="216"/>
      <c r="BE476" s="216"/>
      <c r="BF476" s="216"/>
      <c r="BG476" s="216"/>
      <c r="BH476" s="216"/>
      <c r="BI476" s="216"/>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outlineLevel="1">
      <c r="A477" s="9"/>
      <c r="B477" s="9"/>
      <c r="C477" s="26">
        <f>Asset29</f>
        <v>0</v>
      </c>
      <c r="D477" s="9"/>
      <c r="E477" s="9"/>
      <c r="F477" s="23"/>
      <c r="G477" s="209">
        <f t="shared" ref="G477:L477" si="63">-SUM(G464:G476)</f>
        <v>0</v>
      </c>
      <c r="H477" s="166">
        <f t="shared" si="63"/>
        <v>0</v>
      </c>
      <c r="I477" s="166">
        <f t="shared" si="63"/>
        <v>0</v>
      </c>
      <c r="J477" s="166">
        <f t="shared" si="63"/>
        <v>0</v>
      </c>
      <c r="K477" s="166">
        <f t="shared" si="63"/>
        <v>0</v>
      </c>
      <c r="L477" s="166">
        <f t="shared" si="63"/>
        <v>0</v>
      </c>
      <c r="M477" s="166">
        <f>IF(Input!M173&gt;0, -SUM(M464:M476), 0)</f>
        <v>0</v>
      </c>
      <c r="N477" s="166">
        <f>IF(Input!N173&gt;0, -SUM(N464:N476), 0)</f>
        <v>0</v>
      </c>
      <c r="O477" s="166">
        <f>IF(Input!O173&gt;0, -SUM(O464:O476), 0)</f>
        <v>0</v>
      </c>
      <c r="P477" s="166">
        <f>IF(Input!P173&gt;0, -SUM(P464:P476), 0)</f>
        <v>0</v>
      </c>
      <c r="Q477" s="166">
        <f>IF(Input!Q173&gt;0, -SUM(Q464:Q476), 0)</f>
        <v>0</v>
      </c>
      <c r="R477" s="64"/>
      <c r="S477" s="102"/>
      <c r="T477" s="102"/>
      <c r="U477" s="102"/>
      <c r="V477" s="102"/>
      <c r="W477" s="102"/>
      <c r="X477" s="102"/>
      <c r="Y477" s="102"/>
      <c r="Z477" s="102"/>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customHeight="1" outlineLevel="2">
      <c r="A478" s="9"/>
      <c r="B478" s="188">
        <f>Asset30</f>
        <v>0</v>
      </c>
      <c r="C478" s="33"/>
      <c r="D478" s="34" t="s">
        <v>67</v>
      </c>
      <c r="E478" s="33"/>
      <c r="F478" s="35"/>
      <c r="G478" s="205">
        <f>IF(G$3&gt;A30taxremlife,A30taxvalue-SUM($F478:F478),IF(A30taxremlife="N/A","n/a",A30taxvalue/A30taxremlife))</f>
        <v>0</v>
      </c>
      <c r="H478" s="67">
        <f>IF(H$3&gt;A30taxremlife,A30taxvalue-SUM($F478:G478),IF(A30taxremlife="N/A","n/a",A30taxvalue/A30taxremlife))</f>
        <v>0</v>
      </c>
      <c r="I478" s="67">
        <f>IF(I$3&gt;A30taxremlife,A30taxvalue-SUM($F478:H478),IF(A30taxremlife="N/A","n/a",A30taxvalue/A30taxremlife))</f>
        <v>0</v>
      </c>
      <c r="J478" s="67">
        <f>IF(J$3&gt;A30taxremlife,A30taxvalue-SUM($F478:I478),IF(A30taxremlife="N/A","n/a",A30taxvalue/A30taxremlife))</f>
        <v>0</v>
      </c>
      <c r="K478" s="67">
        <f>IF(K$3&gt;A30taxremlife,A30taxvalue-SUM($F478:J478),IF(A30taxremlife="N/A","n/a",A30taxvalue/A30taxremlife))</f>
        <v>0</v>
      </c>
      <c r="L478" s="67">
        <f>IF(L$3&gt;A30taxremlife,A30taxvalue-SUM($F478:K478),IF(A30taxremlife="N/A","n/a",A30taxvalue/A30taxremlife))</f>
        <v>0</v>
      </c>
      <c r="M478" s="67">
        <f>IF(M$3&gt;A30taxremlife,A30taxvalue-SUM($F478:L478),IF(A30taxremlife="N/A","n/a",A30taxvalue/A30taxremlife))</f>
        <v>0</v>
      </c>
      <c r="N478" s="67">
        <f>IF(N$3&gt;A30taxremlife,A30taxvalue-SUM($F478:M478),IF(A30taxremlife="N/A","n/a",A30taxvalue/A30taxremlife))</f>
        <v>0</v>
      </c>
      <c r="O478" s="67">
        <f>IF(O$3&gt;A30taxremlife,A30taxvalue-SUM($F478:N478),IF(A30taxremlife="N/A","n/a",A30taxvalue/A30taxremlife))</f>
        <v>0</v>
      </c>
      <c r="P478" s="67">
        <f>IF(P$3&gt;A30taxremlife,A30taxvalue-SUM($F478:O478),IF(A30taxremlife="N/A","n/a",A30taxvalue/A30taxremlife))</f>
        <v>0</v>
      </c>
      <c r="Q478" s="67">
        <f>IF(Q$3&gt;A30taxremlife,A30taxvalue-SUM($F478:P478),IF(A30taxremlife="N/A","n/a",A30taxvalue/A30taxremlife))</f>
        <v>0</v>
      </c>
      <c r="R478" s="67"/>
      <c r="S478" s="103"/>
      <c r="T478" s="103"/>
      <c r="U478" s="103"/>
      <c r="V478" s="103"/>
      <c r="W478" s="103"/>
      <c r="X478" s="103"/>
      <c r="Y478" s="103"/>
      <c r="Z478" s="103"/>
      <c r="AA478" s="216"/>
      <c r="AB478" s="216"/>
      <c r="AC478" s="216"/>
      <c r="AD478" s="216"/>
      <c r="AE478" s="216"/>
      <c r="AF478" s="216"/>
      <c r="AG478" s="216"/>
      <c r="AH478" s="216"/>
      <c r="AI478" s="216"/>
      <c r="AJ478" s="216"/>
      <c r="AK478" s="216"/>
      <c r="AL478" s="216"/>
      <c r="AM478" s="216"/>
      <c r="AN478" s="216"/>
      <c r="AO478" s="216"/>
      <c r="AP478" s="216"/>
      <c r="AQ478" s="216"/>
      <c r="AR478" s="216"/>
      <c r="AS478" s="216"/>
      <c r="AT478" s="216"/>
      <c r="AU478" s="216"/>
      <c r="AV478" s="216"/>
      <c r="AW478" s="216"/>
      <c r="AX478" s="216"/>
      <c r="AY478" s="216"/>
      <c r="AZ478" s="216"/>
      <c r="BA478" s="216"/>
      <c r="BB478" s="216"/>
      <c r="BC478" s="216"/>
      <c r="BD478" s="216"/>
      <c r="BE478" s="216"/>
      <c r="BF478" s="216"/>
      <c r="BG478" s="216"/>
      <c r="BH478" s="216"/>
      <c r="BI478" s="216"/>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customHeight="1" outlineLevel="2">
      <c r="A479" s="9"/>
      <c r="B479" s="9"/>
      <c r="C479" s="26"/>
      <c r="D479" s="671" t="s">
        <v>84</v>
      </c>
      <c r="E479" s="86">
        <v>0</v>
      </c>
      <c r="F479" s="27"/>
      <c r="G479" s="206"/>
      <c r="H479" s="68"/>
      <c r="I479" s="68"/>
      <c r="J479" s="68"/>
      <c r="K479" s="68"/>
      <c r="L479" s="68"/>
      <c r="M479" s="68"/>
      <c r="N479" s="68"/>
      <c r="O479" s="68"/>
      <c r="P479" s="68"/>
      <c r="Q479" s="68"/>
      <c r="R479" s="68"/>
      <c r="S479" s="103"/>
      <c r="T479" s="103"/>
      <c r="U479" s="103"/>
      <c r="V479" s="103"/>
      <c r="W479" s="103"/>
      <c r="X479" s="103"/>
      <c r="Y479" s="103"/>
      <c r="Z479" s="103"/>
      <c r="AA479" s="216"/>
      <c r="AB479" s="216"/>
      <c r="AC479" s="216"/>
      <c r="AD479" s="216"/>
      <c r="AE479" s="216"/>
      <c r="AF479" s="216"/>
      <c r="AG479" s="216"/>
      <c r="AH479" s="216"/>
      <c r="AI479" s="216"/>
      <c r="AJ479" s="216"/>
      <c r="AK479" s="216"/>
      <c r="AL479" s="216"/>
      <c r="AM479" s="216"/>
      <c r="AN479" s="216"/>
      <c r="AO479" s="216"/>
      <c r="AP479" s="216"/>
      <c r="AQ479" s="216"/>
      <c r="AR479" s="216"/>
      <c r="AS479" s="216"/>
      <c r="AT479" s="216"/>
      <c r="AU479" s="216"/>
      <c r="AV479" s="216"/>
      <c r="AW479" s="216"/>
      <c r="AX479" s="216"/>
      <c r="AY479" s="216"/>
      <c r="AZ479" s="216"/>
      <c r="BA479" s="216"/>
      <c r="BB479" s="216"/>
      <c r="BC479" s="216"/>
      <c r="BD479" s="216"/>
      <c r="BE479" s="216"/>
      <c r="BF479" s="216"/>
      <c r="BG479" s="216"/>
      <c r="BH479" s="216"/>
      <c r="BI479" s="216"/>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customHeight="1" outlineLevel="2">
      <c r="A480" s="9"/>
      <c r="B480" s="9"/>
      <c r="C480" s="26"/>
      <c r="D480" s="672"/>
      <c r="E480" s="86">
        <v>1</v>
      </c>
      <c r="F480" s="27"/>
      <c r="G480" s="207"/>
      <c r="H480" s="68">
        <f>IF(A30taxstdlife="n/a","n/a",IF(H$3&gt;(A30taxstdlife+$E480),(Input!$G$70-Input!$G$104)-SUM($G480:G480),(Input!$G$70-Input!$G$104)/A30taxstdlife))</f>
        <v>0</v>
      </c>
      <c r="I480" s="68">
        <f>IF(A30taxstdlife="n/a","n/a",IF(I$3&gt;(A30taxstdlife+$E480),(Input!$G$70-Input!$G$104)-SUM($G480:H480),(Input!$G$70-Input!$G$104)/A30taxstdlife))</f>
        <v>0</v>
      </c>
      <c r="J480" s="68">
        <f>IF(A30taxstdlife="n/a","n/a",IF(J$3&gt;(A30taxstdlife+$E480),(Input!$G$70-Input!$G$104)-SUM($G480:I480),(Input!$G$70-Input!$G$104)/A30taxstdlife))</f>
        <v>0</v>
      </c>
      <c r="K480" s="68">
        <f>IF(A30taxstdlife="n/a","n/a",IF(K$3&gt;(A30taxstdlife+$E480),(Input!$G$70-Input!$G$104)-SUM($G480:J480),(Input!$G$70-Input!$G$104)/A30taxstdlife))</f>
        <v>0</v>
      </c>
      <c r="L480" s="68">
        <f>IF(A30taxstdlife="n/a","n/a",IF(L$3&gt;(A30taxstdlife+$E480),(Input!$G$70-Input!$G$104)-SUM($G480:K480),(Input!$G$70-Input!$G$104)/A30taxstdlife))</f>
        <v>0</v>
      </c>
      <c r="M480" s="68">
        <f>IF(A30taxstdlife="n/a","n/a",IF(M$3&gt;(A30taxstdlife+$E480),(Input!$G$70-Input!$G$104)-SUM($G480:L480),(Input!$G$70-Input!$G$104)/A30taxstdlife))</f>
        <v>0</v>
      </c>
      <c r="N480" s="68">
        <f>IF(A30taxstdlife="n/a","n/a",IF(N$3&gt;(A30taxstdlife+$E480),(Input!$G$70-Input!$G$104)-SUM($G480:M480),(Input!$G$70-Input!$G$104)/A30taxstdlife))</f>
        <v>0</v>
      </c>
      <c r="O480" s="68">
        <f>IF(A30taxstdlife="n/a","n/a",IF(O$3&gt;(A30taxstdlife+$E480),(Input!$G$70-Input!$G$104)-SUM($G480:N480),(Input!$G$70-Input!$G$104)/A30taxstdlife))</f>
        <v>0</v>
      </c>
      <c r="P480" s="68">
        <f>IF(A30taxstdlife="n/a","n/a",IF(P$3&gt;(A30taxstdlife+$E480),(Input!$G$70-Input!$G$104)-SUM($G480:O480),(Input!$G$70-Input!$G$104)/A30taxstdlife))</f>
        <v>0</v>
      </c>
      <c r="Q480" s="68">
        <f>IF(A30taxstdlife="n/a","n/a",IF(Q$3&gt;(A30taxstdlife+$E480),(Input!$G$70-Input!$G$104)-SUM($G480:P480),(Input!$G$70-Input!$G$104)/A30taxstdlife))</f>
        <v>0</v>
      </c>
      <c r="R480" s="68"/>
      <c r="S480" s="103"/>
      <c r="T480" s="103"/>
      <c r="U480" s="103"/>
      <c r="V480" s="103"/>
      <c r="W480" s="103"/>
      <c r="X480" s="103"/>
      <c r="Y480" s="103"/>
      <c r="Z480" s="103"/>
      <c r="AA480" s="216"/>
      <c r="AB480" s="216"/>
      <c r="AC480" s="216"/>
      <c r="AD480" s="216"/>
      <c r="AE480" s="216"/>
      <c r="AF480" s="216"/>
      <c r="AG480" s="216"/>
      <c r="AH480" s="216"/>
      <c r="AI480" s="216"/>
      <c r="AJ480" s="216"/>
      <c r="AK480" s="216"/>
      <c r="AL480" s="216"/>
      <c r="AM480" s="216"/>
      <c r="AN480" s="216"/>
      <c r="AO480" s="216"/>
      <c r="AP480" s="216"/>
      <c r="AQ480" s="216"/>
      <c r="AR480" s="216"/>
      <c r="AS480" s="216"/>
      <c r="AT480" s="216"/>
      <c r="AU480" s="216"/>
      <c r="AV480" s="216"/>
      <c r="AW480" s="216"/>
      <c r="AX480" s="216"/>
      <c r="AY480" s="216"/>
      <c r="AZ480" s="216"/>
      <c r="BA480" s="216"/>
      <c r="BB480" s="216"/>
      <c r="BC480" s="216"/>
      <c r="BD480" s="216"/>
      <c r="BE480" s="216"/>
      <c r="BF480" s="216"/>
      <c r="BG480" s="216"/>
      <c r="BH480" s="216"/>
      <c r="BI480" s="216"/>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customHeight="1" outlineLevel="2">
      <c r="A481" s="9"/>
      <c r="B481" s="9"/>
      <c r="C481" s="26"/>
      <c r="D481" s="672"/>
      <c r="E481" s="86">
        <v>2</v>
      </c>
      <c r="F481" s="27"/>
      <c r="G481" s="208"/>
      <c r="H481" s="149"/>
      <c r="I481" s="68">
        <f>IF(A30taxstdlife="n/a","n/a",IF(I$3&gt;(A30taxstdlife+$E481),(Input!$H$70-Input!$H$104)-SUM($H481:H481),(Input!$H$70-Input!$H$104)/A30taxstdlife))</f>
        <v>0</v>
      </c>
      <c r="J481" s="68">
        <f>IF(A30taxstdlife="n/a","n/a",IF(J$3&gt;(A30taxstdlife+$E481),(Input!$H$70-Input!$H$104)-SUM($H481:I481),(Input!$H$70-Input!$H$104)/A30taxstdlife))</f>
        <v>0</v>
      </c>
      <c r="K481" s="68">
        <f>IF(A30taxstdlife="n/a","n/a",IF(K$3&gt;(A30taxstdlife+$E481),(Input!$H$70-Input!$H$104)-SUM($H481:J481),(Input!$H$70-Input!$H$104)/A30taxstdlife))</f>
        <v>0</v>
      </c>
      <c r="L481" s="68">
        <f>IF(A30taxstdlife="n/a","n/a",IF(L$3&gt;(A30taxstdlife+$E481),(Input!$H$70-Input!$H$104)-SUM($H481:K481),(Input!$H$70-Input!$H$104)/A30taxstdlife))</f>
        <v>0</v>
      </c>
      <c r="M481" s="68">
        <f>IF(A30taxstdlife="n/a","n/a",IF(M$3&gt;(A30taxstdlife+$E481),(Input!$H$70-Input!$H$104)-SUM($H481:L481),(Input!$H$70-Input!$H$104)/A30taxstdlife))</f>
        <v>0</v>
      </c>
      <c r="N481" s="68">
        <f>IF(A30taxstdlife="n/a","n/a",IF(N$3&gt;(A30taxstdlife+$E481),(Input!$H$70-Input!$H$104)-SUM($H481:M481),(Input!$H$70-Input!$H$104)/A30taxstdlife))</f>
        <v>0</v>
      </c>
      <c r="O481" s="68">
        <f>IF(A30taxstdlife="n/a","n/a",IF(O$3&gt;(A30taxstdlife+$E481),(Input!$H$70-Input!$H$104)-SUM($H481:N481),(Input!$H$70-Input!$H$104)/A30taxstdlife))</f>
        <v>0</v>
      </c>
      <c r="P481" s="68">
        <f>IF(A30taxstdlife="n/a","n/a",IF(P$3&gt;(A30taxstdlife+$E481),(Input!$H$70-Input!$H$104)-SUM($H481:O481),(Input!$H$70-Input!$H$104)/A30taxstdlife))</f>
        <v>0</v>
      </c>
      <c r="Q481" s="68">
        <f>IF(A30taxstdlife="n/a","n/a",IF(Q$3&gt;(A30taxstdlife+$E481),(Input!$H$70-Input!$H$104)-SUM($H481:P481),(Input!$H$70-Input!$H$104)/A30taxstdlife))</f>
        <v>0</v>
      </c>
      <c r="R481" s="68"/>
      <c r="S481" s="103"/>
      <c r="T481" s="103"/>
      <c r="U481" s="103"/>
      <c r="V481" s="103"/>
      <c r="W481" s="103"/>
      <c r="X481" s="103"/>
      <c r="Y481" s="103"/>
      <c r="Z481" s="103"/>
      <c r="AA481" s="216"/>
      <c r="AB481" s="216"/>
      <c r="AC481" s="216"/>
      <c r="AD481" s="216"/>
      <c r="AE481" s="216"/>
      <c r="AF481" s="216"/>
      <c r="AG481" s="216"/>
      <c r="AH481" s="216"/>
      <c r="AI481" s="216"/>
      <c r="AJ481" s="216"/>
      <c r="AK481" s="216"/>
      <c r="AL481" s="216"/>
      <c r="AM481" s="216"/>
      <c r="AN481" s="216"/>
      <c r="AO481" s="216"/>
      <c r="AP481" s="216"/>
      <c r="AQ481" s="216"/>
      <c r="AR481" s="216"/>
      <c r="AS481" s="216"/>
      <c r="AT481" s="216"/>
      <c r="AU481" s="216"/>
      <c r="AV481" s="216"/>
      <c r="AW481" s="216"/>
      <c r="AX481" s="216"/>
      <c r="AY481" s="216"/>
      <c r="AZ481" s="216"/>
      <c r="BA481" s="216"/>
      <c r="BB481" s="216"/>
      <c r="BC481" s="216"/>
      <c r="BD481" s="216"/>
      <c r="BE481" s="216"/>
      <c r="BF481" s="216"/>
      <c r="BG481" s="216"/>
      <c r="BH481" s="216"/>
      <c r="BI481" s="216"/>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customHeight="1" outlineLevel="2">
      <c r="A482" s="9"/>
      <c r="B482" s="9"/>
      <c r="C482" s="26"/>
      <c r="D482" s="672"/>
      <c r="E482" s="86">
        <v>3</v>
      </c>
      <c r="F482" s="27"/>
      <c r="G482" s="208"/>
      <c r="H482" s="150"/>
      <c r="I482" s="149"/>
      <c r="J482" s="68">
        <f>IF(A30taxstdlife="n/a","n/a",IF(J$3&gt;(A30taxstdlife+$E482),(Input!$I$70-Input!$I$104)-SUM($I482:I482),(Input!$I$70-Input!$I$104)/A30taxstdlife))</f>
        <v>0</v>
      </c>
      <c r="K482" s="68">
        <f>IF(A30taxstdlife="n/a","n/a",IF(K$3&gt;(A30taxstdlife+$E482),(Input!$I$70-Input!$I$104)-SUM($I482:J482),(Input!$I$70-Input!$I$104)/A30taxstdlife))</f>
        <v>0</v>
      </c>
      <c r="L482" s="68">
        <f>IF(A30taxstdlife="n/a","n/a",IF(L$3&gt;(A30taxstdlife+$E482),(Input!$I$70-Input!$I$104)-SUM($I482:K482),(Input!$I$70-Input!$I$104)/A30taxstdlife))</f>
        <v>0</v>
      </c>
      <c r="M482" s="68">
        <f>IF(A30taxstdlife="n/a","n/a",IF(M$3&gt;(A30taxstdlife+$E482),(Input!$I$70-Input!$I$104)-SUM($I482:L482),(Input!$I$70-Input!$I$104)/A30taxstdlife))</f>
        <v>0</v>
      </c>
      <c r="N482" s="68">
        <f>IF(A30taxstdlife="n/a","n/a",IF(N$3&gt;(A30taxstdlife+$E482),(Input!$I$70-Input!$I$104)-SUM($I482:M482),(Input!$I$70-Input!$I$104)/A30taxstdlife))</f>
        <v>0</v>
      </c>
      <c r="O482" s="68">
        <f>IF(A30taxstdlife="n/a","n/a",IF(O$3&gt;(A30taxstdlife+$E482),(Input!$I$70-Input!$I$104)-SUM($I482:N482),(Input!$I$70-Input!$I$104)/A30taxstdlife))</f>
        <v>0</v>
      </c>
      <c r="P482" s="68">
        <f>IF(A30taxstdlife="n/a","n/a",IF(P$3&gt;(A30taxstdlife+$E482),(Input!$I$70-Input!$I$104)-SUM($I482:O482),(Input!$I$70-Input!$I$104)/A30taxstdlife))</f>
        <v>0</v>
      </c>
      <c r="Q482" s="68">
        <f>IF(A30taxstdlife="n/a","n/a",IF(Q$3&gt;(A30taxstdlife+$E482),(Input!$I$70-Input!$I$104)-SUM($I482:P482),(Input!$I$70-Input!$I$104)/A30taxstdlife))</f>
        <v>0</v>
      </c>
      <c r="R482" s="68"/>
      <c r="S482" s="103"/>
      <c r="T482" s="103"/>
      <c r="U482" s="103"/>
      <c r="V482" s="103"/>
      <c r="W482" s="103"/>
      <c r="X482" s="103"/>
      <c r="Y482" s="103"/>
      <c r="Z482" s="103"/>
      <c r="AA482" s="216"/>
      <c r="AB482" s="216"/>
      <c r="AC482" s="216"/>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6"/>
      <c r="BD482" s="216"/>
      <c r="BE482" s="216"/>
      <c r="BF482" s="216"/>
      <c r="BG482" s="216"/>
      <c r="BH482" s="216"/>
      <c r="BI482" s="216"/>
      <c r="BJ482" s="218"/>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customHeight="1" outlineLevel="2">
      <c r="A483" s="9"/>
      <c r="B483" s="9"/>
      <c r="C483" s="26"/>
      <c r="D483" s="672"/>
      <c r="E483" s="86">
        <v>4</v>
      </c>
      <c r="F483" s="27"/>
      <c r="G483" s="208"/>
      <c r="H483" s="150"/>
      <c r="I483" s="150"/>
      <c r="J483" s="149"/>
      <c r="K483" s="68">
        <f>IF(A30taxstdlife="n/a","n/a",IF(K$3&gt;(A30taxstdlife+$E483),(Input!$J$70-Input!$J$104)-SUM($J483:J483),(Input!$J$70-Input!$J$104)/A30taxstdlife))</f>
        <v>0</v>
      </c>
      <c r="L483" s="68">
        <f>IF(A30taxstdlife="n/a","n/a",IF(L$3&gt;(A30taxstdlife+$E483),(Input!$J$70-Input!$J$104)-SUM($J483:K483),(Input!$J$70-Input!$J$104)/A30taxstdlife))</f>
        <v>0</v>
      </c>
      <c r="M483" s="68">
        <f>IF(A30taxstdlife="n/a","n/a",IF(M$3&gt;(A30taxstdlife+$E483),(Input!$J$70-Input!$J$104)-SUM($J483:L483),(Input!$J$70-Input!$J$104)/A30taxstdlife))</f>
        <v>0</v>
      </c>
      <c r="N483" s="68">
        <f>IF(A30taxstdlife="n/a","n/a",IF(N$3&gt;(A30taxstdlife+$E483),(Input!$J$70-Input!$J$104)-SUM($J483:M483),(Input!$J$70-Input!$J$104)/A30taxstdlife))</f>
        <v>0</v>
      </c>
      <c r="O483" s="68">
        <f>IF(A30taxstdlife="n/a","n/a",IF(O$3&gt;(A30taxstdlife+$E483),(Input!$J$70-Input!$J$104)-SUM($J483:N483),(Input!$J$70-Input!$J$104)/A30taxstdlife))</f>
        <v>0</v>
      </c>
      <c r="P483" s="68">
        <f>IF(A30taxstdlife="n/a","n/a",IF(P$3&gt;(A30taxstdlife+$E483),(Input!$J$70-Input!$J$104)-SUM($J483:O483),(Input!$J$70-Input!$J$104)/A30taxstdlife))</f>
        <v>0</v>
      </c>
      <c r="Q483" s="68">
        <f>IF(A30taxstdlife="n/a","n/a",IF(Q$3&gt;(A30taxstdlife+$E483),(Input!$J$70-Input!$J$104)-SUM($J483:P483),(Input!$J$70-Input!$J$104)/A30taxstdlife))</f>
        <v>0</v>
      </c>
      <c r="R483" s="68"/>
      <c r="S483" s="103"/>
      <c r="T483" s="103"/>
      <c r="U483" s="103"/>
      <c r="V483" s="103"/>
      <c r="W483" s="103"/>
      <c r="X483" s="103"/>
      <c r="Y483" s="103"/>
      <c r="Z483" s="103"/>
      <c r="AA483" s="216"/>
      <c r="AB483" s="216"/>
      <c r="AC483" s="216"/>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6"/>
      <c r="BD483" s="216"/>
      <c r="BE483" s="216"/>
      <c r="BF483" s="216"/>
      <c r="BG483" s="216"/>
      <c r="BH483" s="216"/>
      <c r="BI483" s="216"/>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customHeight="1" outlineLevel="2">
      <c r="A484" s="9"/>
      <c r="B484" s="9"/>
      <c r="C484" s="26"/>
      <c r="D484" s="672"/>
      <c r="E484" s="86">
        <v>5</v>
      </c>
      <c r="F484" s="27"/>
      <c r="G484" s="208"/>
      <c r="H484" s="150"/>
      <c r="I484" s="150"/>
      <c r="J484" s="150"/>
      <c r="K484" s="149"/>
      <c r="L484" s="68">
        <f>IF(A30taxstdlife="n/a","n/a",IF(L$3&gt;(A30taxstdlife+$E484),(Input!$K$70-Input!$K$104)-SUM($K484:K484),(Input!$K$70-Input!$K$104)/A30taxstdlife))</f>
        <v>0</v>
      </c>
      <c r="M484" s="68">
        <f>IF(A30taxstdlife="n/a","n/a",IF(M$3&gt;(A30taxstdlife+$E484),(Input!$K$70-Input!$K$104)-SUM($K484:L484),(Input!$K$70-Input!$K$104)/A30taxstdlife))</f>
        <v>0</v>
      </c>
      <c r="N484" s="68">
        <f>IF(A30taxstdlife="n/a","n/a",IF(N$3&gt;(A30taxstdlife+$E484),(Input!$K$70-Input!$K$104)-SUM($K484:M484),(Input!$K$70-Input!$K$104)/A30taxstdlife))</f>
        <v>0</v>
      </c>
      <c r="O484" s="68">
        <f>IF(A30taxstdlife="n/a","n/a",IF(O$3&gt;(A30taxstdlife+$E484),(Input!$K$70-Input!$K$104)-SUM($K484:N484),(Input!$K$70-Input!$K$104)/A30taxstdlife))</f>
        <v>0</v>
      </c>
      <c r="P484" s="68">
        <f>IF(A30taxstdlife="n/a","n/a",IF(P$3&gt;(A30taxstdlife+$E484),(Input!$K$70-Input!$K$104)-SUM($K484:O484),(Input!$K$70-Input!$K$104)/A30taxstdlife))</f>
        <v>0</v>
      </c>
      <c r="Q484" s="68">
        <f>IF(A30taxstdlife="n/a","n/a",IF(Q$3&gt;(A30taxstdlife+$E484),(Input!$K$70-Input!$K$104)-SUM($K484:P484),(Input!$K$70-Input!$K$104)/A30taxstdlife))</f>
        <v>0</v>
      </c>
      <c r="R484" s="68"/>
      <c r="S484" s="103"/>
      <c r="T484" s="103"/>
      <c r="U484" s="103"/>
      <c r="V484" s="103"/>
      <c r="W484" s="103"/>
      <c r="X484" s="103"/>
      <c r="Y484" s="103"/>
      <c r="Z484" s="103"/>
      <c r="AA484" s="216"/>
      <c r="AB484" s="216"/>
      <c r="AC484" s="216"/>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6"/>
      <c r="BD484" s="216"/>
      <c r="BE484" s="216"/>
      <c r="BF484" s="216"/>
      <c r="BG484" s="216"/>
      <c r="BH484" s="216"/>
      <c r="BI484" s="216"/>
      <c r="BJ484" s="187"/>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customHeight="1" outlineLevel="2">
      <c r="A485" s="9"/>
      <c r="B485" s="9"/>
      <c r="C485" s="26"/>
      <c r="D485" s="672"/>
      <c r="E485" s="86">
        <v>6</v>
      </c>
      <c r="F485" s="27"/>
      <c r="G485" s="208"/>
      <c r="H485" s="150"/>
      <c r="I485" s="150"/>
      <c r="J485" s="150"/>
      <c r="K485" s="150"/>
      <c r="L485" s="149"/>
      <c r="M485" s="68">
        <f>IF(A30taxstdlife="n/a","n/a",IF(M$3&gt;(A30taxstdlife+$E485),(Input!$L$70-Input!$L$104)-SUM($L485:L485),(Input!$L$70-Input!$L$104)/A30taxstdlife))</f>
        <v>0</v>
      </c>
      <c r="N485" s="68">
        <f>IF(A30taxstdlife="n/a","n/a",IF(N$3&gt;(A30taxstdlife+$E485),(Input!$L$70-Input!$L$104)-SUM($L485:M485),(Input!$L$70-Input!$L$104)/A30taxstdlife))</f>
        <v>0</v>
      </c>
      <c r="O485" s="68">
        <f>IF(A30taxstdlife="n/a","n/a",IF(O$3&gt;(A30taxstdlife+$E485),(Input!$L$70-Input!$L$104)-SUM($L485:N485),(Input!$L$70-Input!$L$104)/A30taxstdlife))</f>
        <v>0</v>
      </c>
      <c r="P485" s="68">
        <f>IF(A30taxstdlife="n/a","n/a",IF(P$3&gt;(A30taxstdlife+$E485),(Input!$L$70-Input!$L$104)-SUM($L485:O485),(Input!$L$70-Input!$L$104)/A30taxstdlife))</f>
        <v>0</v>
      </c>
      <c r="Q485" s="68">
        <f>IF(A30taxstdlife="n/a","n/a",IF(Q$3&gt;(A30taxstdlife+$E485),(Input!$L$70-Input!$L$104)-SUM($L485:P485),(Input!$L$70-Input!$L$104)/A30taxstdlife))</f>
        <v>0</v>
      </c>
      <c r="R485" s="68"/>
      <c r="S485" s="103"/>
      <c r="T485" s="103"/>
      <c r="U485" s="103"/>
      <c r="V485" s="103"/>
      <c r="W485" s="103"/>
      <c r="X485" s="103"/>
      <c r="Y485" s="103"/>
      <c r="Z485" s="103"/>
      <c r="AA485" s="216"/>
      <c r="AB485" s="216"/>
      <c r="AC485" s="216"/>
      <c r="AD485" s="216"/>
      <c r="AE485" s="216"/>
      <c r="AF485" s="216"/>
      <c r="AG485" s="216"/>
      <c r="AH485" s="216"/>
      <c r="AI485" s="216"/>
      <c r="AJ485" s="216"/>
      <c r="AK485" s="216"/>
      <c r="AL485" s="216"/>
      <c r="AM485" s="216"/>
      <c r="AN485" s="216"/>
      <c r="AO485" s="216"/>
      <c r="AP485" s="216"/>
      <c r="AQ485" s="216"/>
      <c r="AR485" s="216"/>
      <c r="AS485" s="216"/>
      <c r="AT485" s="216"/>
      <c r="AU485" s="216"/>
      <c r="AV485" s="216"/>
      <c r="AW485" s="216"/>
      <c r="AX485" s="216"/>
      <c r="AY485" s="216"/>
      <c r="AZ485" s="216"/>
      <c r="BA485" s="216"/>
      <c r="BB485" s="216"/>
      <c r="BC485" s="216"/>
      <c r="BD485" s="216"/>
      <c r="BE485" s="216"/>
      <c r="BF485" s="216"/>
      <c r="BG485" s="216"/>
      <c r="BH485" s="216"/>
      <c r="BI485" s="216"/>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customHeight="1" outlineLevel="2">
      <c r="A486" s="9"/>
      <c r="B486" s="9"/>
      <c r="C486" s="26"/>
      <c r="D486" s="672"/>
      <c r="E486" s="86">
        <v>7</v>
      </c>
      <c r="F486" s="27"/>
      <c r="G486" s="208"/>
      <c r="H486" s="150"/>
      <c r="I486" s="150"/>
      <c r="J486" s="150"/>
      <c r="K486" s="150"/>
      <c r="L486" s="150"/>
      <c r="M486" s="149"/>
      <c r="N486" s="68">
        <f>IF(A30taxstdlife="n/a","n/a",IF(N$3&gt;(A30taxstdlife+$E486),(Input!$M$70-Input!$M$104)-SUM($M486:M486),(Input!$M$70-Input!$M$104)/A30taxstdlife))</f>
        <v>0</v>
      </c>
      <c r="O486" s="68">
        <f>IF(A30taxstdlife="n/a","n/a",IF(O$3&gt;(A30taxstdlife+$E486),(Input!$M$70-Input!$M$104)-SUM($M486:N486),(Input!$M$70-Input!$M$104)/A30taxstdlife))</f>
        <v>0</v>
      </c>
      <c r="P486" s="68">
        <f>IF(A30taxstdlife="n/a","n/a",IF(P$3&gt;(A30taxstdlife+$E486),(Input!$M$70-Input!$M$104)-SUM($M486:O486),(Input!$M$70-Input!$M$104)/A30taxstdlife))</f>
        <v>0</v>
      </c>
      <c r="Q486" s="68">
        <f>IF(A30taxstdlife="n/a","n/a",IF(Q$3&gt;(A30taxstdlife+$E486),(Input!$M$70-Input!$M$104)-SUM($M486:P486),(Input!$M$70-Input!$M$104)/A30taxstdlife))</f>
        <v>0</v>
      </c>
      <c r="R486" s="68"/>
      <c r="S486" s="103"/>
      <c r="T486" s="103"/>
      <c r="U486" s="103"/>
      <c r="V486" s="103"/>
      <c r="W486" s="103"/>
      <c r="X486" s="103"/>
      <c r="Y486" s="103"/>
      <c r="Z486" s="103"/>
      <c r="AA486" s="216"/>
      <c r="AB486" s="216"/>
      <c r="AC486" s="216"/>
      <c r="AD486" s="216"/>
      <c r="AE486" s="216"/>
      <c r="AF486" s="216"/>
      <c r="AG486" s="216"/>
      <c r="AH486" s="216"/>
      <c r="AI486" s="216"/>
      <c r="AJ486" s="216"/>
      <c r="AK486" s="216"/>
      <c r="AL486" s="216"/>
      <c r="AM486" s="216"/>
      <c r="AN486" s="216"/>
      <c r="AO486" s="216"/>
      <c r="AP486" s="216"/>
      <c r="AQ486" s="216"/>
      <c r="AR486" s="216"/>
      <c r="AS486" s="216"/>
      <c r="AT486" s="216"/>
      <c r="AU486" s="216"/>
      <c r="AV486" s="216"/>
      <c r="AW486" s="216"/>
      <c r="AX486" s="216"/>
      <c r="AY486" s="216"/>
      <c r="AZ486" s="216"/>
      <c r="BA486" s="216"/>
      <c r="BB486" s="216"/>
      <c r="BC486" s="216"/>
      <c r="BD486" s="216"/>
      <c r="BE486" s="216"/>
      <c r="BF486" s="216"/>
      <c r="BG486" s="216"/>
      <c r="BH486" s="216"/>
      <c r="BI486" s="216"/>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customHeight="1" outlineLevel="2">
      <c r="A487" s="9"/>
      <c r="B487" s="9"/>
      <c r="C487" s="26"/>
      <c r="D487" s="672"/>
      <c r="E487" s="86">
        <v>8</v>
      </c>
      <c r="F487" s="27"/>
      <c r="G487" s="208"/>
      <c r="H487" s="150"/>
      <c r="I487" s="150"/>
      <c r="J487" s="150"/>
      <c r="K487" s="150"/>
      <c r="L487" s="150"/>
      <c r="M487" s="150"/>
      <c r="N487" s="149"/>
      <c r="O487" s="68">
        <f>IF(A30taxstdlife="n/a","n/a",IF(O$3&gt;(A30taxstdlife+$E487),(Input!$N$70-Input!$N$104)-SUM($N487:N487),(Input!$N$70-Input!$N$104)/A30taxstdlife))</f>
        <v>0</v>
      </c>
      <c r="P487" s="68">
        <f>IF(A30taxstdlife="n/a","n/a",IF(P$3&gt;(A30taxstdlife+$E487),(Input!$N$70-Input!$N$104)-SUM($N487:O487),(Input!$N$70-Input!$N$104)/A30taxstdlife))</f>
        <v>0</v>
      </c>
      <c r="Q487" s="68">
        <f>IF(A30taxstdlife="n/a","n/a",IF(Q$3&gt;(A30taxstdlife+$E487),(Input!$N$70-Input!$N$104)-SUM($N487:P487),(Input!$N$70-Input!$N$104)/A30taxstdlife))</f>
        <v>0</v>
      </c>
      <c r="R487" s="68"/>
      <c r="S487" s="103"/>
      <c r="T487" s="103"/>
      <c r="U487" s="103"/>
      <c r="V487" s="103"/>
      <c r="W487" s="103"/>
      <c r="X487" s="103"/>
      <c r="Y487" s="103"/>
      <c r="Z487" s="103"/>
      <c r="AA487" s="216"/>
      <c r="AB487" s="216"/>
      <c r="AC487" s="216"/>
      <c r="AD487" s="216"/>
      <c r="AE487" s="216"/>
      <c r="AF487" s="216"/>
      <c r="AG487" s="216"/>
      <c r="AH487" s="216"/>
      <c r="AI487" s="216"/>
      <c r="AJ487" s="216"/>
      <c r="AK487" s="216"/>
      <c r="AL487" s="216"/>
      <c r="AM487" s="216"/>
      <c r="AN487" s="216"/>
      <c r="AO487" s="216"/>
      <c r="AP487" s="216"/>
      <c r="AQ487" s="216"/>
      <c r="AR487" s="216"/>
      <c r="AS487" s="216"/>
      <c r="AT487" s="216"/>
      <c r="AU487" s="216"/>
      <c r="AV487" s="216"/>
      <c r="AW487" s="216"/>
      <c r="AX487" s="216"/>
      <c r="AY487" s="216"/>
      <c r="AZ487" s="216"/>
      <c r="BA487" s="216"/>
      <c r="BB487" s="216"/>
      <c r="BC487" s="216"/>
      <c r="BD487" s="216"/>
      <c r="BE487" s="216"/>
      <c r="BF487" s="216"/>
      <c r="BG487" s="216"/>
      <c r="BH487" s="216"/>
      <c r="BI487" s="216"/>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customHeight="1" outlineLevel="2">
      <c r="A488" s="9"/>
      <c r="B488" s="9"/>
      <c r="C488" s="26"/>
      <c r="D488" s="672"/>
      <c r="E488" s="86">
        <v>9</v>
      </c>
      <c r="F488" s="27"/>
      <c r="G488" s="208"/>
      <c r="H488" s="150"/>
      <c r="I488" s="150"/>
      <c r="J488" s="150"/>
      <c r="K488" s="150"/>
      <c r="L488" s="150"/>
      <c r="M488" s="150"/>
      <c r="N488" s="150"/>
      <c r="O488" s="149"/>
      <c r="P488" s="68">
        <f>IF(A30taxstdlife="n/a","n/a",IF(P$3&gt;(A30taxstdlife+$E488),(Input!$O$70-Input!$O$104)-SUM($O488:O488),(Input!$O$70-Input!$O$104)/A30taxstdlife))</f>
        <v>0</v>
      </c>
      <c r="Q488" s="68">
        <f>IF(A30taxstdlife="n/a","n/a",IF(Q$3&gt;(A30taxstdlife+$E488),(Input!$O$70-Input!$O$104)-SUM($O488:P488),(Input!$O$70-Input!$O$104)/A30taxstdlife))</f>
        <v>0</v>
      </c>
      <c r="R488" s="68"/>
      <c r="S488" s="103"/>
      <c r="T488" s="103"/>
      <c r="U488" s="103"/>
      <c r="V488" s="103"/>
      <c r="W488" s="103"/>
      <c r="X488" s="103"/>
      <c r="Y488" s="103"/>
      <c r="Z488" s="103"/>
      <c r="AA488" s="216"/>
      <c r="AB488" s="216"/>
      <c r="AC488" s="216"/>
      <c r="AD488" s="216"/>
      <c r="AE488" s="216"/>
      <c r="AF488" s="216"/>
      <c r="AG488" s="216"/>
      <c r="AH488" s="216"/>
      <c r="AI488" s="216"/>
      <c r="AJ488" s="216"/>
      <c r="AK488" s="216"/>
      <c r="AL488" s="216"/>
      <c r="AM488" s="216"/>
      <c r="AN488" s="216"/>
      <c r="AO488" s="216"/>
      <c r="AP488" s="216"/>
      <c r="AQ488" s="216"/>
      <c r="AR488" s="216"/>
      <c r="AS488" s="216"/>
      <c r="AT488" s="216"/>
      <c r="AU488" s="216"/>
      <c r="AV488" s="216"/>
      <c r="AW488" s="216"/>
      <c r="AX488" s="216"/>
      <c r="AY488" s="216"/>
      <c r="AZ488" s="216"/>
      <c r="BA488" s="216"/>
      <c r="BB488" s="216"/>
      <c r="BC488" s="216"/>
      <c r="BD488" s="216"/>
      <c r="BE488" s="216"/>
      <c r="BF488" s="216"/>
      <c r="BG488" s="216"/>
      <c r="BH488" s="216"/>
      <c r="BI488" s="216"/>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customHeight="1" outlineLevel="2">
      <c r="A489" s="9"/>
      <c r="B489" s="9"/>
      <c r="C489" s="26"/>
      <c r="D489" s="672"/>
      <c r="E489" s="86">
        <v>10</v>
      </c>
      <c r="F489" s="27"/>
      <c r="G489" s="208"/>
      <c r="H489" s="150"/>
      <c r="I489" s="150"/>
      <c r="J489" s="150"/>
      <c r="K489" s="150"/>
      <c r="L489" s="150"/>
      <c r="M489" s="150"/>
      <c r="N489" s="150"/>
      <c r="O489" s="150"/>
      <c r="P489" s="149"/>
      <c r="Q489" s="68">
        <f>IF(A30taxstdlife="n/a","n/a",IF(Q$3&gt;(A30taxstdlife+$E489),(Input!$P$70-Input!$P$104)-SUM($P489:P489),(Input!$P$70-Input!$P$104)/A30taxstdlife))</f>
        <v>0</v>
      </c>
      <c r="R489" s="68"/>
      <c r="S489" s="103"/>
      <c r="T489" s="103"/>
      <c r="U489" s="103"/>
      <c r="V489" s="103"/>
      <c r="W489" s="103"/>
      <c r="X489" s="103"/>
      <c r="Y489" s="103"/>
      <c r="Z489" s="103"/>
      <c r="AA489" s="216"/>
      <c r="AB489" s="216"/>
      <c r="AC489" s="216"/>
      <c r="AD489" s="216"/>
      <c r="AE489" s="216"/>
      <c r="AF489" s="216"/>
      <c r="AG489" s="216"/>
      <c r="AH489" s="216"/>
      <c r="AI489" s="216"/>
      <c r="AJ489" s="216"/>
      <c r="AK489" s="216"/>
      <c r="AL489" s="216"/>
      <c r="AM489" s="216"/>
      <c r="AN489" s="216"/>
      <c r="AO489" s="216"/>
      <c r="AP489" s="216"/>
      <c r="AQ489" s="216"/>
      <c r="AR489" s="216"/>
      <c r="AS489" s="216"/>
      <c r="AT489" s="216"/>
      <c r="AU489" s="216"/>
      <c r="AV489" s="216"/>
      <c r="AW489" s="216"/>
      <c r="AX489" s="216"/>
      <c r="AY489" s="216"/>
      <c r="AZ489" s="216"/>
      <c r="BA489" s="216"/>
      <c r="BB489" s="216"/>
      <c r="BC489" s="216"/>
      <c r="BD489" s="216"/>
      <c r="BE489" s="216"/>
      <c r="BF489" s="216"/>
      <c r="BG489" s="216"/>
      <c r="BH489" s="216"/>
      <c r="BI489" s="216"/>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customHeight="1" outlineLevel="2">
      <c r="A490" s="9"/>
      <c r="B490" s="9"/>
      <c r="C490" s="26"/>
      <c r="D490" s="672"/>
      <c r="E490" s="87">
        <v>11</v>
      </c>
      <c r="F490" s="27"/>
      <c r="G490" s="208"/>
      <c r="H490" s="150"/>
      <c r="I490" s="150"/>
      <c r="J490" s="150"/>
      <c r="K490" s="150"/>
      <c r="L490" s="150"/>
      <c r="M490" s="150"/>
      <c r="N490" s="150"/>
      <c r="O490" s="150"/>
      <c r="P490" s="189"/>
      <c r="Q490" s="149"/>
      <c r="R490" s="68"/>
      <c r="S490" s="103"/>
      <c r="T490" s="103"/>
      <c r="U490" s="103"/>
      <c r="V490" s="103"/>
      <c r="W490" s="103"/>
      <c r="X490" s="103"/>
      <c r="Y490" s="103"/>
      <c r="Z490" s="103"/>
      <c r="AA490" s="216"/>
      <c r="AB490" s="216"/>
      <c r="AC490" s="216"/>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6"/>
      <c r="BD490" s="216"/>
      <c r="BE490" s="216"/>
      <c r="BF490" s="216"/>
      <c r="BG490" s="216"/>
      <c r="BH490" s="216"/>
      <c r="BI490" s="216"/>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outlineLevel="1">
      <c r="A491" s="9"/>
      <c r="B491" s="9"/>
      <c r="C491" s="26">
        <f>Asset30</f>
        <v>0</v>
      </c>
      <c r="D491" s="9"/>
      <c r="E491" s="9"/>
      <c r="F491" s="23"/>
      <c r="G491" s="209">
        <f t="shared" ref="G491:L491" si="64">-SUM(G478:G490)</f>
        <v>0</v>
      </c>
      <c r="H491" s="166">
        <f t="shared" si="64"/>
        <v>0</v>
      </c>
      <c r="I491" s="166">
        <f t="shared" si="64"/>
        <v>0</v>
      </c>
      <c r="J491" s="166">
        <f t="shared" si="64"/>
        <v>0</v>
      </c>
      <c r="K491" s="166">
        <f t="shared" si="64"/>
        <v>0</v>
      </c>
      <c r="L491" s="166">
        <f t="shared" si="64"/>
        <v>0</v>
      </c>
      <c r="M491" s="166">
        <f>IF(Input!M173&gt;0, -SUM(M478:M490), 0)</f>
        <v>0</v>
      </c>
      <c r="N491" s="166">
        <f>IF(Input!N173&gt;0, -SUM(N478:N490), 0)</f>
        <v>0</v>
      </c>
      <c r="O491" s="166">
        <f>IF(Input!O173&gt;0, -SUM(O478:O490), 0)</f>
        <v>0</v>
      </c>
      <c r="P491" s="166">
        <f>IF(Input!P173&gt;0, -SUM(P478:P490), 0)</f>
        <v>0</v>
      </c>
      <c r="Q491" s="166">
        <f>IF(Input!Q173&gt;0, -SUM(Q478:Q490), 0)</f>
        <v>0</v>
      </c>
      <c r="R491" s="64"/>
      <c r="S491" s="102"/>
      <c r="T491" s="102"/>
      <c r="U491" s="102"/>
      <c r="V491" s="102"/>
      <c r="W491" s="102"/>
      <c r="X491" s="102"/>
      <c r="Y491" s="102"/>
      <c r="Z491" s="102"/>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7" customFormat="1">
      <c r="A492" s="12"/>
      <c r="B492" s="17"/>
      <c r="C492" s="12"/>
      <c r="D492" s="12"/>
      <c r="E492" s="12"/>
      <c r="F492" s="115"/>
      <c r="G492" s="106"/>
      <c r="H492" s="106"/>
      <c r="I492" s="106"/>
      <c r="J492" s="106"/>
      <c r="K492" s="106"/>
      <c r="L492" s="106"/>
      <c r="M492" s="106"/>
      <c r="N492" s="106"/>
      <c r="O492" s="106"/>
      <c r="P492" s="106"/>
      <c r="Q492" s="106"/>
      <c r="R492" s="106"/>
      <c r="S492" s="106"/>
      <c r="T492" s="106"/>
      <c r="U492" s="106"/>
      <c r="V492" s="106"/>
      <c r="W492" s="106"/>
      <c r="X492" s="106"/>
      <c r="Y492" s="106"/>
      <c r="Z492" s="106"/>
      <c r="AA492" s="214"/>
      <c r="AB492" s="214"/>
      <c r="AC492" s="214"/>
      <c r="AD492" s="214"/>
      <c r="AE492" s="214"/>
      <c r="AF492" s="214"/>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c r="BI492" s="214"/>
    </row>
    <row r="493" spans="1:256" s="187" customFormat="1">
      <c r="A493" s="12"/>
      <c r="B493" s="17"/>
      <c r="C493" s="12"/>
      <c r="D493" s="12"/>
      <c r="E493" s="12"/>
      <c r="F493" s="115"/>
      <c r="G493" s="106"/>
      <c r="H493" s="106"/>
      <c r="I493" s="106"/>
      <c r="J493" s="106"/>
      <c r="K493" s="106"/>
      <c r="L493" s="106"/>
      <c r="M493" s="106"/>
      <c r="N493" s="106"/>
      <c r="O493" s="106"/>
      <c r="P493" s="106"/>
      <c r="Q493" s="106"/>
      <c r="R493" s="106"/>
      <c r="S493" s="106"/>
      <c r="T493" s="106"/>
      <c r="U493" s="106"/>
      <c r="V493" s="106"/>
      <c r="W493" s="106"/>
      <c r="X493" s="106"/>
      <c r="Y493" s="106"/>
      <c r="Z493" s="106"/>
      <c r="AA493" s="214"/>
      <c r="AB493" s="214"/>
      <c r="AC493" s="214"/>
      <c r="AD493" s="214"/>
      <c r="AE493" s="214"/>
      <c r="AF493" s="214"/>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c r="BI493" s="214"/>
    </row>
    <row r="494" spans="1:256" s="187" customFormat="1">
      <c r="A494" s="12"/>
      <c r="B494" s="17"/>
      <c r="C494" s="12"/>
      <c r="D494" s="12"/>
      <c r="E494" s="12"/>
      <c r="F494" s="115"/>
      <c r="G494" s="106"/>
      <c r="H494" s="106"/>
      <c r="I494" s="106"/>
      <c r="J494" s="106"/>
      <c r="K494" s="106"/>
      <c r="L494" s="106"/>
      <c r="M494" s="106"/>
      <c r="N494" s="106"/>
      <c r="O494" s="106"/>
      <c r="P494" s="106"/>
      <c r="Q494" s="106"/>
      <c r="R494" s="106"/>
      <c r="S494" s="106"/>
      <c r="T494" s="106"/>
      <c r="U494" s="106"/>
      <c r="V494" s="106"/>
      <c r="W494" s="106"/>
      <c r="X494" s="106"/>
      <c r="Y494" s="106"/>
      <c r="Z494" s="106"/>
      <c r="AA494" s="214"/>
      <c r="AB494" s="214"/>
      <c r="AC494" s="214"/>
      <c r="AD494" s="214"/>
      <c r="AE494" s="214"/>
      <c r="AF494" s="214"/>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c r="BI494" s="214"/>
    </row>
    <row r="495" spans="1:256" s="187" customFormat="1">
      <c r="A495" s="12"/>
      <c r="B495" s="17"/>
      <c r="C495" s="12"/>
      <c r="D495" s="12"/>
      <c r="E495" s="12"/>
      <c r="F495" s="115"/>
      <c r="G495" s="106"/>
      <c r="H495" s="106"/>
      <c r="I495" s="106"/>
      <c r="J495" s="106"/>
      <c r="K495" s="106"/>
      <c r="L495" s="106"/>
      <c r="M495" s="106"/>
      <c r="N495" s="106"/>
      <c r="O495" s="106"/>
      <c r="P495" s="106"/>
      <c r="Q495" s="106"/>
      <c r="R495" s="106"/>
      <c r="S495" s="106"/>
      <c r="T495" s="106"/>
      <c r="U495" s="106"/>
      <c r="V495" s="106"/>
      <c r="W495" s="106"/>
      <c r="X495" s="106"/>
      <c r="Y495" s="106"/>
      <c r="Z495" s="106"/>
      <c r="AA495" s="214"/>
      <c r="AB495" s="214"/>
      <c r="AC495" s="214"/>
      <c r="AD495" s="214"/>
      <c r="AE495" s="214"/>
      <c r="AF495" s="214"/>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c r="BI495" s="214"/>
    </row>
    <row r="496" spans="1:256" s="187" customFormat="1">
      <c r="A496" s="12"/>
      <c r="B496" s="17"/>
      <c r="C496" s="12"/>
      <c r="D496" s="12"/>
      <c r="E496" s="12"/>
      <c r="F496" s="115"/>
      <c r="G496" s="106"/>
      <c r="H496" s="106"/>
      <c r="I496" s="106"/>
      <c r="J496" s="106"/>
      <c r="K496" s="106"/>
      <c r="L496" s="106"/>
      <c r="M496" s="106"/>
      <c r="N496" s="106"/>
      <c r="O496" s="106"/>
      <c r="P496" s="106"/>
      <c r="Q496" s="106"/>
      <c r="R496" s="106"/>
      <c r="S496" s="106"/>
      <c r="T496" s="106"/>
      <c r="U496" s="106"/>
      <c r="V496" s="106"/>
      <c r="W496" s="106"/>
      <c r="X496" s="106"/>
      <c r="Y496" s="106"/>
      <c r="Z496" s="106"/>
      <c r="AA496" s="214"/>
      <c r="AB496" s="214"/>
      <c r="AC496" s="214"/>
      <c r="AD496" s="214"/>
      <c r="AE496" s="214"/>
      <c r="AF496" s="214"/>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c r="BI496" s="214"/>
    </row>
    <row r="497" spans="1:61" s="187" customFormat="1">
      <c r="A497" s="12"/>
      <c r="B497" s="17"/>
      <c r="C497" s="12"/>
      <c r="D497" s="12"/>
      <c r="E497" s="12"/>
      <c r="F497" s="115"/>
      <c r="G497" s="106"/>
      <c r="H497" s="106"/>
      <c r="I497" s="106"/>
      <c r="J497" s="106"/>
      <c r="K497" s="106"/>
      <c r="L497" s="106"/>
      <c r="M497" s="106"/>
      <c r="N497" s="106"/>
      <c r="O497" s="106"/>
      <c r="P497" s="106"/>
      <c r="Q497" s="106"/>
      <c r="R497" s="106"/>
      <c r="S497" s="106"/>
      <c r="T497" s="106"/>
      <c r="U497" s="106"/>
      <c r="V497" s="106"/>
      <c r="W497" s="106"/>
      <c r="X497" s="106"/>
      <c r="Y497" s="106"/>
      <c r="Z497" s="106"/>
      <c r="AA497" s="214"/>
      <c r="AB497" s="214"/>
      <c r="AC497" s="214"/>
      <c r="AD497" s="214"/>
      <c r="AE497" s="214"/>
      <c r="AF497" s="214"/>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c r="BI497" s="214"/>
    </row>
    <row r="498" spans="1:61" s="187" customFormat="1">
      <c r="A498" s="12"/>
      <c r="B498" s="17"/>
      <c r="C498" s="12"/>
      <c r="D498" s="12"/>
      <c r="E498" s="12"/>
      <c r="F498" s="115"/>
      <c r="G498" s="106"/>
      <c r="H498" s="106"/>
      <c r="I498" s="106"/>
      <c r="J498" s="106"/>
      <c r="K498" s="106"/>
      <c r="L498" s="106"/>
      <c r="M498" s="106"/>
      <c r="N498" s="106"/>
      <c r="O498" s="106"/>
      <c r="P498" s="106"/>
      <c r="Q498" s="106"/>
      <c r="R498" s="106"/>
      <c r="S498" s="106"/>
      <c r="T498" s="106"/>
      <c r="U498" s="106"/>
      <c r="V498" s="106"/>
      <c r="W498" s="106"/>
      <c r="X498" s="106"/>
      <c r="Y498" s="106"/>
      <c r="Z498" s="106"/>
      <c r="AA498" s="214"/>
      <c r="AB498" s="214"/>
      <c r="AC498" s="214"/>
      <c r="AD498" s="214"/>
      <c r="AE498" s="214"/>
      <c r="AF498" s="214"/>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c r="BI498" s="214"/>
    </row>
    <row r="499" spans="1:61" s="187" customFormat="1">
      <c r="A499" s="12"/>
      <c r="B499" s="17"/>
      <c r="C499" s="12"/>
      <c r="D499" s="12"/>
      <c r="E499" s="12"/>
      <c r="F499" s="115"/>
      <c r="G499" s="106"/>
      <c r="H499" s="106"/>
      <c r="I499" s="106"/>
      <c r="J499" s="106"/>
      <c r="K499" s="106"/>
      <c r="L499" s="106"/>
      <c r="M499" s="106"/>
      <c r="N499" s="106"/>
      <c r="O499" s="106"/>
      <c r="P499" s="106"/>
      <c r="Q499" s="106"/>
      <c r="R499" s="106"/>
      <c r="S499" s="106"/>
      <c r="T499" s="106"/>
      <c r="U499" s="106"/>
      <c r="V499" s="106"/>
      <c r="W499" s="106"/>
      <c r="X499" s="106"/>
      <c r="Y499" s="106"/>
      <c r="Z499" s="106"/>
      <c r="AA499" s="214"/>
      <c r="AB499" s="214"/>
      <c r="AC499" s="214"/>
      <c r="AD499" s="214"/>
      <c r="AE499" s="214"/>
      <c r="AF499" s="214"/>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c r="BI499" s="214"/>
    </row>
    <row r="500" spans="1:61" s="187" customFormat="1">
      <c r="A500" s="12"/>
      <c r="B500" s="17"/>
      <c r="C500" s="12"/>
      <c r="D500" s="12"/>
      <c r="E500" s="12"/>
      <c r="F500" s="115"/>
      <c r="G500" s="106"/>
      <c r="H500" s="106"/>
      <c r="I500" s="106"/>
      <c r="J500" s="106"/>
      <c r="K500" s="106"/>
      <c r="L500" s="106"/>
      <c r="M500" s="106"/>
      <c r="N500" s="106"/>
      <c r="O500" s="106"/>
      <c r="P500" s="106"/>
      <c r="Q500" s="106"/>
      <c r="R500" s="106"/>
      <c r="S500" s="106"/>
      <c r="T500" s="106"/>
      <c r="U500" s="106"/>
      <c r="V500" s="106"/>
      <c r="W500" s="106"/>
      <c r="X500" s="106"/>
      <c r="Y500" s="106"/>
      <c r="Z500" s="106"/>
      <c r="AA500" s="214"/>
      <c r="AB500" s="214"/>
      <c r="AC500" s="214"/>
      <c r="AD500" s="214"/>
      <c r="AE500" s="214"/>
      <c r="AF500" s="214"/>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c r="BI500" s="214"/>
    </row>
    <row r="501" spans="1:61" s="187" customFormat="1">
      <c r="A501" s="12"/>
      <c r="B501" s="17"/>
      <c r="C501" s="12"/>
      <c r="D501" s="12"/>
      <c r="E501" s="12"/>
      <c r="F501" s="115"/>
      <c r="G501" s="106"/>
      <c r="H501" s="106"/>
      <c r="I501" s="106"/>
      <c r="J501" s="106"/>
      <c r="K501" s="106"/>
      <c r="L501" s="106"/>
      <c r="M501" s="106"/>
      <c r="N501" s="106"/>
      <c r="O501" s="106"/>
      <c r="P501" s="106"/>
      <c r="Q501" s="106"/>
      <c r="R501" s="106"/>
      <c r="S501" s="106"/>
      <c r="T501" s="106"/>
      <c r="U501" s="106"/>
      <c r="V501" s="106"/>
      <c r="W501" s="106"/>
      <c r="X501" s="106"/>
      <c r="Y501" s="106"/>
      <c r="Z501" s="106"/>
      <c r="AA501" s="214"/>
      <c r="AB501" s="214"/>
      <c r="AC501" s="214"/>
      <c r="AD501" s="214"/>
      <c r="AE501" s="214"/>
      <c r="AF501" s="214"/>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c r="BI501" s="214"/>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5" right="0.75" top="1" bottom="1" header="0.5" footer="0.5"/>
  <pageSetup paperSize="9" orientation="landscape"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84" zoomScaleNormal="84" workbookViewId="0"/>
  </sheetViews>
  <sheetFormatPr defaultRowHeight="12.75"/>
  <cols>
    <col min="1" max="1" width="34" style="587" bestFit="1" customWidth="1"/>
    <col min="2" max="2" width="21.42578125" style="587" customWidth="1"/>
    <col min="3" max="3" width="21.28515625" style="587" customWidth="1"/>
    <col min="4" max="4" width="9.140625" style="587"/>
    <col min="5" max="5" width="20" style="587" customWidth="1"/>
    <col min="6" max="6" width="23.7109375" style="587" customWidth="1"/>
    <col min="7" max="16384" width="9.140625" style="587"/>
  </cols>
  <sheetData>
    <row r="1" spans="1:6">
      <c r="A1" s="587" t="s">
        <v>225</v>
      </c>
    </row>
    <row r="3" spans="1:6" ht="25.5">
      <c r="B3" s="592" t="s">
        <v>226</v>
      </c>
      <c r="C3" s="592" t="s">
        <v>227</v>
      </c>
      <c r="D3" s="592"/>
      <c r="E3" s="592" t="s">
        <v>228</v>
      </c>
      <c r="F3" s="592" t="s">
        <v>229</v>
      </c>
    </row>
    <row r="4" spans="1:6">
      <c r="A4" s="587" t="str">
        <f>Asset1</f>
        <v>Mains &amp; Services</v>
      </c>
      <c r="B4" s="637">
        <f>+'Total actual RAB roll forward'!L359</f>
        <v>1378.2126061700721</v>
      </c>
      <c r="C4" s="593">
        <f ca="1">+'Asset lives roll forward'!F20</f>
        <v>42.931543683418973</v>
      </c>
      <c r="E4" s="640">
        <f>'PTRM Tax Inputs'!F7</f>
        <v>601.93648522212277</v>
      </c>
      <c r="F4" s="639">
        <f ca="1">'PTRM Tax Inputs'!G7</f>
        <v>35.776286402849145</v>
      </c>
    </row>
    <row r="5" spans="1:6">
      <c r="A5" s="587" t="str">
        <f>Asset2</f>
        <v>Meters</v>
      </c>
      <c r="B5" s="637">
        <f>+'Total actual RAB roll forward'!L360</f>
        <v>88.936827627645513</v>
      </c>
      <c r="C5" s="593">
        <f ca="1">+'Asset lives roll forward'!F35</f>
        <v>8.8380573552699104</v>
      </c>
      <c r="E5" s="640">
        <f>'PTRM Tax Inputs'!F8</f>
        <v>52.691016431701556</v>
      </c>
      <c r="F5" s="639">
        <f ca="1">'PTRM Tax Inputs'!G8</f>
        <v>8.8380573552699104</v>
      </c>
    </row>
    <row r="6" spans="1:6">
      <c r="A6" s="587" t="str">
        <f>+Asset3</f>
        <v>Buildings</v>
      </c>
      <c r="B6" s="637">
        <f>+'Total actual RAB roll forward'!L361</f>
        <v>6.5415457751568304</v>
      </c>
      <c r="C6" s="593">
        <f ca="1">+'Asset lives roll forward'!F50</f>
        <v>12.132022447256032</v>
      </c>
      <c r="E6" s="640">
        <f>'PTRM Tax Inputs'!F9</f>
        <v>1.365931923249998</v>
      </c>
      <c r="F6" s="639">
        <f ca="1">'PTRM Tax Inputs'!G9</f>
        <v>8.4924157130792235</v>
      </c>
    </row>
    <row r="7" spans="1:6">
      <c r="A7" s="587" t="str">
        <f>+Asset4</f>
        <v>SCADA</v>
      </c>
      <c r="B7" s="637">
        <f>+'Total actual RAB roll forward'!L362</f>
        <v>1.7280694402627039</v>
      </c>
      <c r="C7" s="593">
        <f ca="1">+'Asset lives roll forward'!F65</f>
        <v>11.446919812320427</v>
      </c>
      <c r="E7" s="640">
        <f>'PTRM Tax Inputs'!F10</f>
        <v>1.2158191487337755</v>
      </c>
      <c r="F7" s="639">
        <f ca="1">'PTRM Tax Inputs'!G10</f>
        <v>7.6312798748802848</v>
      </c>
    </row>
    <row r="8" spans="1:6">
      <c r="A8" s="587" t="str">
        <f>+Asset5</f>
        <v>Computer Equipment</v>
      </c>
      <c r="B8" s="637">
        <f>+'Total actual RAB roll forward'!L363</f>
        <v>10.626769420312243</v>
      </c>
      <c r="C8" s="593">
        <f ca="1">+'Asset lives roll forward'!F80</f>
        <v>5</v>
      </c>
      <c r="E8" s="640">
        <f>'PTRM Tax Inputs'!F11</f>
        <v>7.4766843561737852</v>
      </c>
      <c r="F8" s="639">
        <f ca="1">'PTRM Tax Inputs'!G11</f>
        <v>4</v>
      </c>
    </row>
    <row r="9" spans="1:6">
      <c r="A9" s="587" t="str">
        <f>+Asset6</f>
        <v>Other Assets</v>
      </c>
      <c r="B9" s="637">
        <f>+'Total actual RAB roll forward'!L364</f>
        <v>47.973955306428799</v>
      </c>
      <c r="C9" s="593">
        <f ca="1">+'Asset lives roll forward'!F95</f>
        <v>9.215054702537623</v>
      </c>
      <c r="E9" s="640">
        <f>'PTRM Tax Inputs'!F12</f>
        <v>33.753072731375532</v>
      </c>
      <c r="F9" s="639">
        <f ca="1">'PTRM Tax Inputs'!G12</f>
        <v>9.215054702537623</v>
      </c>
    </row>
    <row r="10" spans="1:6">
      <c r="A10" s="587" t="str">
        <f>+Asset7</f>
        <v>Equity Raising Costs</v>
      </c>
      <c r="B10" s="637">
        <f>+'Total actual RAB roll forward'!L365</f>
        <v>0</v>
      </c>
      <c r="C10" s="593">
        <f ca="1">+'Asset lives roll forward'!F110</f>
        <v>0</v>
      </c>
      <c r="E10" s="640">
        <f>'PTRM Tax Inputs'!F13</f>
        <v>0</v>
      </c>
      <c r="F10" s="639" t="str">
        <f>'PTRM Tax Inputs'!G13</f>
        <v>N/A</v>
      </c>
    </row>
    <row r="11" spans="1:6">
      <c r="A11" s="587" t="str">
        <f>Asset8</f>
        <v>Land</v>
      </c>
      <c r="B11" s="637">
        <f>+'Total actual RAB roll forward'!L366</f>
        <v>0</v>
      </c>
      <c r="C11" s="593">
        <f>+'Asset lives roll forward'!F111</f>
        <v>0</v>
      </c>
      <c r="E11" s="640">
        <f>'PTRM Tax Inputs'!F14</f>
        <v>0</v>
      </c>
      <c r="F11" s="639" t="str">
        <f>'PTRM Tax Inputs'!G14</f>
        <v>N/A</v>
      </c>
    </row>
    <row r="12" spans="1:6">
      <c r="B12" s="638">
        <f>+SUM(B4:B10)</f>
        <v>1534.0197737398782</v>
      </c>
      <c r="E12" s="641">
        <f>+SUM(E4:E10)</f>
        <v>698.4390098133573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s>
  <sheetData>
    <row r="1" spans="1:23" ht="44.25" customHeight="1">
      <c r="A1" s="9"/>
      <c r="B1" s="9"/>
      <c r="D1" s="46"/>
      <c r="E1" s="131"/>
      <c r="F1" s="246" t="s">
        <v>91</v>
      </c>
      <c r="R1" s="9"/>
      <c r="S1" s="9"/>
      <c r="T1" s="9"/>
      <c r="U1" s="9"/>
      <c r="V1" s="9"/>
      <c r="W1" s="9"/>
    </row>
    <row r="2" spans="1:23" ht="44.25" customHeight="1">
      <c r="A2" s="9"/>
      <c r="B2" s="9"/>
      <c r="D2" s="46"/>
      <c r="F2" s="246"/>
      <c r="K2" s="246" t="s">
        <v>93</v>
      </c>
      <c r="R2" s="9"/>
      <c r="S2" s="9"/>
      <c r="T2" s="9"/>
      <c r="U2" s="9"/>
      <c r="V2" s="9"/>
      <c r="W2" s="9"/>
    </row>
    <row r="3" spans="1:23" ht="54.95" customHeight="1">
      <c r="A3" s="9"/>
      <c r="B3" s="9"/>
      <c r="D3" s="46"/>
      <c r="G3" s="246"/>
      <c r="K3" s="185" t="s">
        <v>86</v>
      </c>
      <c r="R3" s="9"/>
      <c r="S3" s="9"/>
      <c r="T3" s="9"/>
      <c r="U3" s="9"/>
      <c r="V3" s="9"/>
      <c r="W3" s="9"/>
    </row>
    <row r="4" spans="1:23" ht="36" customHeight="1">
      <c r="A4" s="9"/>
      <c r="B4" s="9"/>
      <c r="D4" s="46"/>
      <c r="G4" s="246"/>
      <c r="J4" s="187"/>
      <c r="K4" s="325" t="s">
        <v>120</v>
      </c>
      <c r="R4" s="9"/>
      <c r="S4" s="9"/>
      <c r="T4" s="9"/>
      <c r="U4" s="9"/>
      <c r="V4" s="9"/>
      <c r="W4" s="9"/>
    </row>
    <row r="5" spans="1:23" ht="36" customHeight="1">
      <c r="A5" s="9"/>
      <c r="B5" s="9"/>
      <c r="D5" s="46"/>
      <c r="L5" s="187"/>
      <c r="M5" s="187"/>
      <c r="N5" s="187"/>
      <c r="R5" s="9"/>
      <c r="S5" s="9"/>
      <c r="T5" s="9"/>
      <c r="U5" s="9"/>
      <c r="V5" s="9"/>
      <c r="W5" s="9"/>
    </row>
    <row r="6" spans="1:23">
      <c r="A6" s="132"/>
      <c r="B6" s="132"/>
      <c r="C6" s="132"/>
      <c r="D6" s="132"/>
      <c r="E6" s="132"/>
      <c r="F6" s="132"/>
      <c r="G6" s="132"/>
      <c r="H6" s="132"/>
      <c r="I6" s="132"/>
      <c r="J6" s="132"/>
      <c r="K6" s="132"/>
      <c r="L6" s="132"/>
      <c r="M6" s="132"/>
      <c r="N6" s="132"/>
      <c r="O6" s="132"/>
      <c r="P6" s="132"/>
      <c r="Q6" s="132"/>
      <c r="R6" s="132"/>
      <c r="S6" s="132"/>
      <c r="T6" s="132"/>
      <c r="U6" s="132"/>
      <c r="V6" s="132"/>
      <c r="W6" s="132"/>
    </row>
    <row r="7" spans="1:23" ht="27">
      <c r="A7" s="121"/>
      <c r="B7" s="133" t="s">
        <v>32</v>
      </c>
      <c r="C7" s="121"/>
      <c r="D7" s="121"/>
      <c r="E7" s="121"/>
      <c r="F7" s="121"/>
      <c r="G7" s="121"/>
      <c r="H7" s="172"/>
      <c r="I7" s="121"/>
      <c r="J7" s="186"/>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4"/>
      <c r="B9" s="134"/>
      <c r="C9" s="134"/>
      <c r="D9" s="134"/>
      <c r="E9" s="134"/>
      <c r="F9" s="134"/>
      <c r="G9" s="134"/>
      <c r="H9" s="134"/>
      <c r="I9" s="134"/>
      <c r="J9" s="134"/>
      <c r="K9" s="134"/>
      <c r="L9" s="134"/>
      <c r="M9" s="134"/>
      <c r="N9" s="134"/>
      <c r="O9" s="134"/>
      <c r="P9" s="134"/>
      <c r="Q9" s="134"/>
      <c r="R9" s="134"/>
      <c r="S9" s="134"/>
      <c r="T9" s="134"/>
      <c r="U9" s="134"/>
      <c r="V9" s="134"/>
      <c r="W9" s="134"/>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0" t="s">
        <v>94</v>
      </c>
      <c r="D13" s="43"/>
      <c r="E13" s="43"/>
      <c r="F13" s="43"/>
      <c r="G13" s="43"/>
      <c r="H13" s="43"/>
      <c r="I13" s="43"/>
      <c r="J13" s="43"/>
      <c r="K13" s="43"/>
      <c r="L13" s="43"/>
      <c r="M13" s="9"/>
      <c r="N13" s="9"/>
      <c r="O13" s="9"/>
      <c r="P13" s="9"/>
      <c r="Q13" s="9"/>
      <c r="R13" s="9"/>
      <c r="S13" s="9"/>
      <c r="T13" s="9"/>
      <c r="U13" s="9"/>
      <c r="V13" s="9"/>
      <c r="W13" s="9"/>
    </row>
    <row r="14" spans="1:23" ht="15">
      <c r="A14" s="9"/>
      <c r="B14" s="9"/>
      <c r="C14" s="170" t="s">
        <v>92</v>
      </c>
      <c r="D14" s="43"/>
      <c r="E14" s="43"/>
      <c r="F14" s="43"/>
      <c r="G14" s="43"/>
      <c r="H14" s="43"/>
      <c r="I14" s="43"/>
      <c r="J14" s="43"/>
      <c r="K14" s="43"/>
      <c r="L14" s="43"/>
      <c r="M14" s="9"/>
      <c r="N14" s="9"/>
      <c r="O14" s="9"/>
      <c r="P14" s="9"/>
      <c r="Q14" s="9"/>
      <c r="R14" s="9"/>
      <c r="S14" s="9"/>
      <c r="T14" s="9"/>
      <c r="U14" s="9"/>
      <c r="V14" s="9"/>
      <c r="W14" s="9"/>
    </row>
    <row r="15" spans="1:23" ht="15">
      <c r="A15" s="9"/>
      <c r="B15" s="9"/>
      <c r="C15" s="170"/>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47"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8" t="s">
        <v>106</v>
      </c>
      <c r="E21" s="249" t="s">
        <v>107</v>
      </c>
      <c r="F21" s="249"/>
      <c r="G21" s="249" t="s">
        <v>108</v>
      </c>
      <c r="H21" s="249"/>
      <c r="I21" s="43"/>
      <c r="J21" s="43"/>
      <c r="K21" s="43"/>
      <c r="L21" s="43"/>
      <c r="M21" s="9"/>
      <c r="N21" s="9"/>
      <c r="O21" s="9"/>
      <c r="P21" s="9"/>
      <c r="Q21" s="9"/>
      <c r="R21" s="9"/>
      <c r="S21" s="9"/>
      <c r="T21" s="9"/>
      <c r="U21" s="9"/>
      <c r="V21" s="9"/>
      <c r="W21" s="9"/>
    </row>
    <row r="22" spans="1:23" ht="15">
      <c r="A22" s="9"/>
      <c r="B22" s="9"/>
      <c r="C22" s="43"/>
      <c r="D22" s="250" t="s">
        <v>109</v>
      </c>
      <c r="E22" s="251">
        <v>39625</v>
      </c>
      <c r="F22" s="170"/>
      <c r="G22" s="170"/>
      <c r="H22" s="170"/>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4"/>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6"/>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34"/>
      <c r="F40" s="187"/>
      <c r="G40" s="187"/>
      <c r="H40" s="9"/>
      <c r="I40" s="9"/>
      <c r="J40" s="9"/>
      <c r="K40" s="9"/>
      <c r="L40" s="9"/>
      <c r="M40" s="9"/>
      <c r="N40" s="9"/>
      <c r="O40" s="9"/>
      <c r="P40" s="9"/>
      <c r="Q40" s="9"/>
      <c r="R40" s="9"/>
      <c r="S40" s="9"/>
      <c r="T40" s="9"/>
      <c r="U40" s="9"/>
      <c r="V40" s="9"/>
      <c r="W40" s="9"/>
    </row>
    <row r="41" spans="1:23" ht="15">
      <c r="A41" s="9"/>
      <c r="B41" s="9"/>
      <c r="C41" s="9"/>
      <c r="D41" s="245"/>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zoomScale="70" zoomScaleNormal="70" workbookViewId="0"/>
  </sheetViews>
  <sheetFormatPr defaultRowHeight="12.75" outlineLevelRow="1"/>
  <cols>
    <col min="1" max="4" width="1" customWidth="1"/>
    <col min="5" max="5" width="0.85546875" style="3" customWidth="1"/>
    <col min="6" max="6" width="40.28515625"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4.7109375"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0"/>
      <c r="G1" s="50"/>
      <c r="H1" s="50"/>
      <c r="I1" s="50"/>
      <c r="J1" s="50"/>
      <c r="K1" s="50"/>
      <c r="L1" s="50"/>
      <c r="M1" s="50"/>
      <c r="N1" s="50"/>
      <c r="O1" s="50"/>
      <c r="P1" s="50"/>
      <c r="Q1" s="50"/>
      <c r="R1" s="50"/>
      <c r="S1" s="50"/>
      <c r="T1" s="50"/>
      <c r="U1" s="50"/>
      <c r="V1" s="50"/>
      <c r="W1" s="50"/>
      <c r="X1" s="50"/>
      <c r="Y1" s="9"/>
      <c r="Z1" s="9"/>
      <c r="AA1" s="19"/>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2"/>
      <c r="B2" s="12"/>
      <c r="C2" s="12"/>
      <c r="D2" s="12"/>
      <c r="E2" s="12"/>
      <c r="F2" s="52" t="s">
        <v>21</v>
      </c>
      <c r="G2" s="646" t="s">
        <v>75</v>
      </c>
      <c r="H2" s="647"/>
      <c r="I2" s="50"/>
      <c r="J2" s="50"/>
      <c r="K2" s="50"/>
      <c r="L2" s="50"/>
      <c r="M2" s="50"/>
      <c r="N2" s="50"/>
      <c r="O2" s="50"/>
      <c r="P2" s="50"/>
      <c r="Q2" s="50"/>
      <c r="R2" s="50"/>
      <c r="S2" s="50"/>
      <c r="T2" s="50"/>
      <c r="U2" s="50"/>
      <c r="V2" s="50"/>
      <c r="W2" s="50"/>
      <c r="X2" s="19"/>
      <c r="Y2" s="19"/>
      <c r="Z2" s="19"/>
      <c r="AA2" s="19"/>
      <c r="AB2" s="9"/>
      <c r="AC2" s="9"/>
      <c r="AD2" s="9"/>
      <c r="AE2" s="187"/>
      <c r="AF2" s="187"/>
      <c r="AG2" s="187"/>
      <c r="AH2" s="187"/>
      <c r="AI2" s="187"/>
      <c r="AJ2" s="187"/>
      <c r="AK2" s="187"/>
      <c r="AL2" s="187"/>
      <c r="AM2" s="187"/>
      <c r="AN2" s="187"/>
      <c r="AO2" s="187"/>
      <c r="AP2" s="187"/>
      <c r="AQ2" s="187"/>
      <c r="AR2" s="187"/>
      <c r="AS2" s="187"/>
      <c r="AT2" s="187"/>
      <c r="AU2" s="187"/>
    </row>
    <row r="3" spans="1:47" s="49" customFormat="1">
      <c r="A3" s="54"/>
      <c r="B3" s="54"/>
      <c r="C3" s="54"/>
      <c r="D3" s="54"/>
      <c r="E3" s="54"/>
      <c r="F3" s="55"/>
      <c r="G3" s="55"/>
      <c r="H3" s="54"/>
      <c r="I3" s="54"/>
      <c r="J3" s="54"/>
      <c r="K3" s="54"/>
      <c r="L3" s="54"/>
      <c r="M3" s="54"/>
      <c r="N3" s="54"/>
      <c r="O3" s="54"/>
      <c r="P3" s="54"/>
      <c r="Q3" s="54"/>
      <c r="R3" s="54"/>
      <c r="S3" s="54"/>
      <c r="T3" s="54"/>
      <c r="U3" s="54"/>
      <c r="V3" s="54"/>
      <c r="W3" s="54"/>
      <c r="X3" s="53"/>
      <c r="Y3" s="53"/>
      <c r="Z3" s="53"/>
      <c r="AA3" s="53"/>
      <c r="AB3" s="46"/>
      <c r="AC3" s="46"/>
      <c r="AD3" s="46"/>
      <c r="AE3" s="211"/>
      <c r="AF3" s="211"/>
      <c r="AG3" s="211"/>
      <c r="AH3" s="211"/>
      <c r="AI3" s="211"/>
      <c r="AJ3" s="211"/>
      <c r="AK3" s="211"/>
      <c r="AL3" s="211"/>
      <c r="AM3" s="211"/>
      <c r="AN3" s="211"/>
      <c r="AO3" s="211"/>
      <c r="AP3" s="211"/>
      <c r="AQ3" s="211"/>
      <c r="AR3" s="211"/>
      <c r="AS3" s="211"/>
      <c r="AT3" s="211"/>
      <c r="AU3" s="211"/>
    </row>
    <row r="4" spans="1:47" s="6" customFormat="1" ht="15.75">
      <c r="A4" s="69"/>
      <c r="B4" s="69"/>
      <c r="C4" s="69"/>
      <c r="D4" s="69"/>
      <c r="E4" s="69"/>
      <c r="F4" s="70"/>
      <c r="G4" s="70"/>
      <c r="H4" s="71"/>
      <c r="I4" s="72"/>
      <c r="J4" s="70"/>
      <c r="K4" s="69"/>
      <c r="L4" s="69"/>
      <c r="M4" s="69"/>
      <c r="N4" s="69"/>
      <c r="O4" s="69"/>
      <c r="P4" s="69"/>
      <c r="Q4" s="69"/>
      <c r="R4" s="69"/>
      <c r="S4" s="69"/>
      <c r="T4" s="69"/>
      <c r="U4" s="69"/>
      <c r="V4" s="69"/>
      <c r="W4" s="69"/>
      <c r="X4" s="42"/>
      <c r="Y4" s="42"/>
      <c r="Z4" s="42"/>
      <c r="AA4" s="42"/>
      <c r="AB4" s="43"/>
      <c r="AC4" s="43"/>
      <c r="AD4" s="43"/>
      <c r="AE4" s="234"/>
      <c r="AF4" s="234"/>
      <c r="AG4" s="234"/>
      <c r="AH4" s="234"/>
      <c r="AI4" s="234"/>
      <c r="AJ4" s="234"/>
      <c r="AK4" s="234"/>
      <c r="AL4" s="234"/>
      <c r="AM4" s="234"/>
      <c r="AN4" s="234"/>
      <c r="AO4" s="234"/>
      <c r="AP4" s="234"/>
      <c r="AQ4" s="234"/>
      <c r="AR4" s="234"/>
      <c r="AS4" s="234"/>
      <c r="AT4" s="234"/>
      <c r="AU4" s="234"/>
    </row>
    <row r="5" spans="1:47">
      <c r="A5" s="73"/>
      <c r="B5" s="73"/>
      <c r="C5" s="73"/>
      <c r="D5" s="73"/>
      <c r="E5" s="73"/>
      <c r="F5" s="161" t="str">
        <f>"Opening Regulated Asset Base for "&amp;CONCATENATE(LEFT(V7,4)-1&amp;" ($m Nominal)")</f>
        <v>Opening Regulated Asset Base for 2012 ($m Nominal)</v>
      </c>
      <c r="G5" s="161"/>
      <c r="H5" s="161"/>
      <c r="I5" s="161"/>
      <c r="J5" s="74"/>
      <c r="K5" s="75"/>
      <c r="L5" s="74"/>
      <c r="M5" s="75"/>
      <c r="N5" s="74"/>
      <c r="O5" s="74"/>
      <c r="P5" s="74"/>
      <c r="Q5" s="74"/>
      <c r="R5" s="74"/>
      <c r="S5" s="74"/>
      <c r="T5" s="74"/>
      <c r="U5" s="74"/>
      <c r="V5" s="75"/>
      <c r="W5" s="75"/>
      <c r="X5" s="8"/>
      <c r="Y5" s="8"/>
      <c r="Z5" s="8"/>
      <c r="AA5" s="8"/>
      <c r="AB5" s="44"/>
      <c r="AC5" s="9"/>
      <c r="AD5" s="9"/>
      <c r="AE5" s="187"/>
      <c r="AF5" s="187"/>
      <c r="AG5" s="187"/>
      <c r="AH5" s="187"/>
      <c r="AI5" s="187"/>
      <c r="AJ5" s="187"/>
      <c r="AK5" s="187"/>
      <c r="AL5" s="187"/>
      <c r="AM5" s="187"/>
      <c r="AN5" s="187"/>
      <c r="AO5" s="187"/>
      <c r="AP5" s="187"/>
      <c r="AQ5" s="187"/>
      <c r="AR5" s="187"/>
      <c r="AS5" s="187"/>
      <c r="AT5" s="187"/>
      <c r="AU5" s="187"/>
    </row>
    <row r="6" spans="1:47" ht="63.75" customHeight="1">
      <c r="A6" s="12"/>
      <c r="B6" s="12"/>
      <c r="C6" s="12"/>
      <c r="D6" s="12"/>
      <c r="E6" s="12"/>
      <c r="F6" s="39"/>
      <c r="G6" s="648" t="s">
        <v>85</v>
      </c>
      <c r="H6" s="648"/>
      <c r="I6" s="648"/>
      <c r="J6" s="11" t="s">
        <v>2</v>
      </c>
      <c r="K6" s="10" t="s">
        <v>3</v>
      </c>
      <c r="L6" s="10" t="s">
        <v>4</v>
      </c>
      <c r="M6" s="10" t="s">
        <v>78</v>
      </c>
      <c r="N6" s="10" t="s">
        <v>73</v>
      </c>
      <c r="O6" s="10" t="s">
        <v>48</v>
      </c>
      <c r="P6" s="10" t="s">
        <v>62</v>
      </c>
      <c r="Q6" s="10" t="s">
        <v>49</v>
      </c>
      <c r="R6" s="10" t="s">
        <v>50</v>
      </c>
      <c r="S6" s="10" t="s">
        <v>64</v>
      </c>
      <c r="T6" s="10" t="s">
        <v>65</v>
      </c>
      <c r="U6" s="10" t="s">
        <v>66</v>
      </c>
      <c r="V6" s="10" t="s">
        <v>23</v>
      </c>
      <c r="W6" s="10" t="s">
        <v>117</v>
      </c>
      <c r="X6" s="8"/>
      <c r="Y6" s="10" t="s">
        <v>119</v>
      </c>
      <c r="AA6" s="9"/>
      <c r="AB6" s="9"/>
      <c r="AC6" s="9"/>
      <c r="AD6" s="9"/>
      <c r="AE6" s="187"/>
      <c r="AF6" s="187"/>
      <c r="AG6" s="187"/>
      <c r="AH6" s="187"/>
      <c r="AI6" s="187"/>
      <c r="AJ6" s="187"/>
      <c r="AK6" s="187"/>
      <c r="AL6" s="187"/>
      <c r="AM6" s="187"/>
      <c r="AN6" s="187"/>
      <c r="AO6" s="187"/>
      <c r="AP6" s="187"/>
      <c r="AQ6" s="187"/>
      <c r="AR6" s="187"/>
      <c r="AS6" s="187"/>
      <c r="AT6" s="187"/>
      <c r="AU6" s="187"/>
    </row>
    <row r="7" spans="1:47">
      <c r="A7" s="12"/>
      <c r="B7" s="12"/>
      <c r="C7" s="12"/>
      <c r="D7" s="12"/>
      <c r="E7" s="12"/>
      <c r="F7" s="40" t="s">
        <v>0</v>
      </c>
      <c r="G7" s="653" t="s">
        <v>121</v>
      </c>
      <c r="H7" s="654"/>
      <c r="I7" s="654"/>
      <c r="J7" s="322">
        <v>900.50001706204387</v>
      </c>
      <c r="K7" s="311">
        <v>40.999434066606099</v>
      </c>
      <c r="L7" s="574">
        <v>60</v>
      </c>
      <c r="M7" s="322">
        <v>81.316072764121174</v>
      </c>
      <c r="N7" s="322">
        <v>-2.8131653578472253</v>
      </c>
      <c r="O7" s="312"/>
      <c r="P7" s="312"/>
      <c r="Q7" s="312"/>
      <c r="R7" s="312"/>
      <c r="S7" s="312"/>
      <c r="T7" s="312"/>
      <c r="U7" s="253">
        <v>20</v>
      </c>
      <c r="V7" s="130">
        <v>2013</v>
      </c>
      <c r="W7" s="253">
        <v>5</v>
      </c>
      <c r="X7" s="8"/>
      <c r="Y7" s="298"/>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2"/>
      <c r="B8" s="12"/>
      <c r="C8" s="12"/>
      <c r="D8" s="12"/>
      <c r="E8" s="12"/>
      <c r="F8" s="40" t="s">
        <v>1</v>
      </c>
      <c r="G8" s="651" t="s">
        <v>122</v>
      </c>
      <c r="H8" s="650"/>
      <c r="I8" s="650"/>
      <c r="J8" s="578">
        <v>95.661049759540234</v>
      </c>
      <c r="K8" s="256">
        <v>8.0232974801028369</v>
      </c>
      <c r="L8" s="575">
        <v>15</v>
      </c>
      <c r="M8" s="578">
        <v>9.5519727888084951</v>
      </c>
      <c r="N8" s="578">
        <v>9.5254766700949176</v>
      </c>
      <c r="O8" s="313"/>
      <c r="P8" s="313"/>
      <c r="Q8" s="313"/>
      <c r="R8" s="313"/>
      <c r="S8" s="313"/>
      <c r="T8" s="313"/>
      <c r="U8" s="255">
        <v>4</v>
      </c>
      <c r="V8" s="8"/>
      <c r="W8" s="8"/>
      <c r="X8" s="8"/>
      <c r="Y8" s="297"/>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2"/>
      <c r="B9" s="12"/>
      <c r="C9" s="12"/>
      <c r="D9" s="12"/>
      <c r="E9" s="12"/>
      <c r="F9" s="40" t="s">
        <v>6</v>
      </c>
      <c r="G9" s="651" t="s">
        <v>123</v>
      </c>
      <c r="H9" s="652"/>
      <c r="I9" s="652"/>
      <c r="J9" s="578">
        <v>8.9848295371829057</v>
      </c>
      <c r="K9" s="256">
        <v>21</v>
      </c>
      <c r="L9" s="575">
        <v>50</v>
      </c>
      <c r="M9" s="578">
        <v>0</v>
      </c>
      <c r="N9" s="578">
        <v>0.14261750932535966</v>
      </c>
      <c r="O9" s="313"/>
      <c r="P9" s="313"/>
      <c r="Q9" s="313"/>
      <c r="R9" s="313"/>
      <c r="S9" s="313"/>
      <c r="T9" s="313"/>
      <c r="U9" s="255">
        <v>40</v>
      </c>
      <c r="V9" s="8"/>
      <c r="W9" s="8"/>
      <c r="X9" s="8"/>
      <c r="Y9" s="297"/>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2"/>
      <c r="B10" s="12"/>
      <c r="C10" s="12"/>
      <c r="D10" s="12"/>
      <c r="E10" s="12"/>
      <c r="F10" s="40" t="s">
        <v>7</v>
      </c>
      <c r="G10" s="651" t="s">
        <v>124</v>
      </c>
      <c r="H10" s="652"/>
      <c r="I10" s="652"/>
      <c r="J10" s="578">
        <v>0.66089700582914723</v>
      </c>
      <c r="K10" s="256">
        <v>7.9192508960023327</v>
      </c>
      <c r="L10" s="575">
        <v>15</v>
      </c>
      <c r="M10" s="578">
        <v>0.37096865358991299</v>
      </c>
      <c r="N10" s="578">
        <v>9.3034187677312044E-2</v>
      </c>
      <c r="O10" s="313"/>
      <c r="P10" s="313"/>
      <c r="Q10" s="313"/>
      <c r="R10" s="313"/>
      <c r="S10" s="313"/>
      <c r="T10" s="313"/>
      <c r="U10" s="255"/>
      <c r="V10" s="8"/>
      <c r="W10" s="8"/>
      <c r="X10" s="8"/>
      <c r="Y10" s="297"/>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2"/>
      <c r="B11" s="12"/>
      <c r="C11" s="12"/>
      <c r="D11" s="12"/>
      <c r="E11" s="12"/>
      <c r="F11" s="40" t="s">
        <v>8</v>
      </c>
      <c r="G11" s="651" t="s">
        <v>125</v>
      </c>
      <c r="H11" s="652"/>
      <c r="I11" s="652"/>
      <c r="J11" s="578">
        <v>0.66919548358124392</v>
      </c>
      <c r="K11" s="256">
        <v>3.493337120748309</v>
      </c>
      <c r="L11" s="575">
        <v>5</v>
      </c>
      <c r="M11" s="578">
        <v>0.42811690253671564</v>
      </c>
      <c r="N11" s="578">
        <v>0.26755195806871002</v>
      </c>
      <c r="O11" s="313"/>
      <c r="P11" s="313"/>
      <c r="Q11" s="313"/>
      <c r="R11" s="313"/>
      <c r="S11" s="313"/>
      <c r="T11" s="313"/>
      <c r="U11" s="255"/>
      <c r="V11" s="8"/>
      <c r="W11" s="8"/>
      <c r="X11" s="8"/>
      <c r="Y11" s="297"/>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2"/>
      <c r="B12" s="12"/>
      <c r="C12" s="12"/>
      <c r="D12" s="12"/>
      <c r="E12" s="12"/>
      <c r="F12" s="40" t="s">
        <v>9</v>
      </c>
      <c r="G12" s="651" t="s">
        <v>126</v>
      </c>
      <c r="H12" s="652"/>
      <c r="I12" s="652"/>
      <c r="J12" s="578">
        <v>24.7979651333143</v>
      </c>
      <c r="K12" s="256">
        <v>10.950613106742995</v>
      </c>
      <c r="L12" s="575">
        <v>15</v>
      </c>
      <c r="M12" s="578">
        <v>3.9296388186218278</v>
      </c>
      <c r="N12" s="578">
        <v>2.2555362280421538</v>
      </c>
      <c r="O12" s="313"/>
      <c r="P12" s="313"/>
      <c r="Q12" s="313"/>
      <c r="R12" s="313"/>
      <c r="S12" s="313"/>
      <c r="T12" s="313"/>
      <c r="U12" s="255">
        <v>10</v>
      </c>
      <c r="V12" s="8"/>
      <c r="W12" s="8"/>
      <c r="X12" s="8"/>
      <c r="Y12" s="297"/>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c r="A13" s="12"/>
      <c r="B13" s="12"/>
      <c r="C13" s="12"/>
      <c r="D13" s="12"/>
      <c r="E13" s="12"/>
      <c r="F13" s="40" t="s">
        <v>10</v>
      </c>
      <c r="G13" s="651" t="s">
        <v>127</v>
      </c>
      <c r="H13" s="652"/>
      <c r="I13" s="652"/>
      <c r="J13" s="256">
        <v>0</v>
      </c>
      <c r="K13" s="256">
        <v>0</v>
      </c>
      <c r="L13" s="575">
        <v>0</v>
      </c>
      <c r="M13" s="256">
        <f>0</f>
        <v>0</v>
      </c>
      <c r="N13" s="256">
        <v>0</v>
      </c>
      <c r="O13" s="313"/>
      <c r="P13" s="313"/>
      <c r="Q13" s="313"/>
      <c r="R13" s="313"/>
      <c r="S13" s="313"/>
      <c r="T13" s="313"/>
      <c r="U13" s="255"/>
      <c r="V13" s="8"/>
      <c r="W13" s="8"/>
      <c r="X13" s="8"/>
      <c r="Y13" s="297"/>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c r="A14" s="12"/>
      <c r="B14" s="12"/>
      <c r="C14" s="12"/>
      <c r="D14" s="12"/>
      <c r="E14" s="12"/>
      <c r="F14" s="40" t="s">
        <v>11</v>
      </c>
      <c r="G14" s="649" t="s">
        <v>128</v>
      </c>
      <c r="H14" s="650"/>
      <c r="I14" s="650"/>
      <c r="J14" s="576">
        <v>0</v>
      </c>
      <c r="K14" s="256" t="s">
        <v>129</v>
      </c>
      <c r="L14" s="577">
        <v>0</v>
      </c>
      <c r="M14" s="256"/>
      <c r="N14" s="256"/>
      <c r="O14" s="313"/>
      <c r="P14" s="313"/>
      <c r="Q14" s="313"/>
      <c r="R14" s="313"/>
      <c r="S14" s="313"/>
      <c r="T14" s="313"/>
      <c r="U14" s="254"/>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c r="A15" s="12"/>
      <c r="B15" s="12"/>
      <c r="C15" s="12"/>
      <c r="D15" s="12"/>
      <c r="E15" s="12"/>
      <c r="F15" s="40" t="s">
        <v>12</v>
      </c>
      <c r="G15" s="649"/>
      <c r="H15" s="650"/>
      <c r="I15" s="650"/>
      <c r="J15" s="576"/>
      <c r="K15" s="577"/>
      <c r="L15" s="575"/>
      <c r="M15" s="256"/>
      <c r="N15" s="256"/>
      <c r="O15" s="313"/>
      <c r="P15" s="313"/>
      <c r="Q15" s="313"/>
      <c r="R15" s="313"/>
      <c r="S15" s="313"/>
      <c r="T15" s="313"/>
      <c r="U15" s="256"/>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c r="A16" s="12"/>
      <c r="B16" s="12"/>
      <c r="C16" s="12"/>
      <c r="D16" s="12"/>
      <c r="E16" s="12"/>
      <c r="F16" s="40" t="s">
        <v>13</v>
      </c>
      <c r="G16" s="649"/>
      <c r="H16" s="650"/>
      <c r="I16" s="650"/>
      <c r="J16" s="63"/>
      <c r="K16" s="254"/>
      <c r="L16" s="255"/>
      <c r="M16" s="313"/>
      <c r="N16" s="313"/>
      <c r="O16" s="313"/>
      <c r="P16" s="313"/>
      <c r="Q16" s="313"/>
      <c r="R16" s="313"/>
      <c r="S16" s="313"/>
      <c r="T16" s="313"/>
      <c r="U16" s="256"/>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c r="A17" s="12"/>
      <c r="B17" s="12"/>
      <c r="C17" s="12"/>
      <c r="D17" s="12"/>
      <c r="E17" s="12"/>
      <c r="F17" s="40" t="s">
        <v>14</v>
      </c>
      <c r="G17" s="649"/>
      <c r="H17" s="650"/>
      <c r="I17" s="650"/>
      <c r="J17" s="63"/>
      <c r="K17" s="254"/>
      <c r="L17" s="255"/>
      <c r="M17" s="255"/>
      <c r="N17" s="62"/>
      <c r="O17" s="62"/>
      <c r="P17" s="62"/>
      <c r="Q17" s="62"/>
      <c r="R17" s="62"/>
      <c r="S17" s="62"/>
      <c r="T17" s="256"/>
      <c r="U17" s="256"/>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c r="A18" s="12"/>
      <c r="B18" s="12"/>
      <c r="C18" s="12"/>
      <c r="D18" s="12"/>
      <c r="E18" s="12"/>
      <c r="F18" s="40" t="s">
        <v>15</v>
      </c>
      <c r="G18" s="649"/>
      <c r="H18" s="650"/>
      <c r="I18" s="650"/>
      <c r="J18" s="63"/>
      <c r="K18" s="254"/>
      <c r="L18" s="255"/>
      <c r="M18" s="255"/>
      <c r="N18" s="62"/>
      <c r="O18" s="62"/>
      <c r="P18" s="62"/>
      <c r="Q18" s="62"/>
      <c r="R18" s="62"/>
      <c r="S18" s="62"/>
      <c r="T18" s="256"/>
      <c r="U18" s="256"/>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c r="A19" s="12"/>
      <c r="B19" s="12"/>
      <c r="C19" s="12"/>
      <c r="D19" s="12"/>
      <c r="E19" s="12"/>
      <c r="F19" s="40" t="s">
        <v>16</v>
      </c>
      <c r="G19" s="649"/>
      <c r="H19" s="650"/>
      <c r="I19" s="650"/>
      <c r="J19" s="63"/>
      <c r="K19" s="254"/>
      <c r="L19" s="255"/>
      <c r="M19" s="255"/>
      <c r="N19" s="62"/>
      <c r="O19" s="62"/>
      <c r="P19" s="62"/>
      <c r="Q19" s="62"/>
      <c r="R19" s="62"/>
      <c r="S19" s="62"/>
      <c r="T19" s="256"/>
      <c r="U19" s="256"/>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c r="A20" s="12"/>
      <c r="B20" s="12"/>
      <c r="C20" s="12"/>
      <c r="D20" s="12"/>
      <c r="E20" s="12"/>
      <c r="F20" s="40" t="s">
        <v>17</v>
      </c>
      <c r="G20" s="649"/>
      <c r="H20" s="650"/>
      <c r="I20" s="650"/>
      <c r="J20" s="63"/>
      <c r="K20" s="254"/>
      <c r="L20" s="255"/>
      <c r="M20" s="255"/>
      <c r="N20" s="62"/>
      <c r="O20" s="62"/>
      <c r="P20" s="62"/>
      <c r="Q20" s="62"/>
      <c r="R20" s="62"/>
      <c r="S20" s="62"/>
      <c r="T20" s="256"/>
      <c r="U20" s="256"/>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c r="A21" s="12"/>
      <c r="B21" s="12"/>
      <c r="C21" s="12"/>
      <c r="D21" s="12"/>
      <c r="E21" s="12"/>
      <c r="F21" s="40" t="s">
        <v>18</v>
      </c>
      <c r="G21" s="649"/>
      <c r="H21" s="650"/>
      <c r="I21" s="650"/>
      <c r="J21" s="63"/>
      <c r="K21" s="254"/>
      <c r="L21" s="255"/>
      <c r="M21" s="255"/>
      <c r="N21" s="62"/>
      <c r="O21" s="62"/>
      <c r="P21" s="62"/>
      <c r="Q21" s="62"/>
      <c r="R21" s="62"/>
      <c r="S21" s="62"/>
      <c r="T21" s="256"/>
      <c r="U21" s="256"/>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c r="A22" s="12"/>
      <c r="B22" s="12"/>
      <c r="C22" s="12"/>
      <c r="D22" s="12"/>
      <c r="E22" s="12"/>
      <c r="F22" s="40" t="s">
        <v>19</v>
      </c>
      <c r="G22" s="649"/>
      <c r="H22" s="650"/>
      <c r="I22" s="650"/>
      <c r="J22" s="63"/>
      <c r="K22" s="254"/>
      <c r="L22" s="255"/>
      <c r="M22" s="255"/>
      <c r="N22" s="62"/>
      <c r="O22" s="62"/>
      <c r="P22" s="62"/>
      <c r="Q22" s="62"/>
      <c r="R22" s="62"/>
      <c r="S22" s="62"/>
      <c r="T22" s="256"/>
      <c r="U22" s="256"/>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c r="A23" s="12"/>
      <c r="B23" s="12"/>
      <c r="C23" s="12"/>
      <c r="D23" s="12"/>
      <c r="E23" s="12"/>
      <c r="F23" s="40" t="s">
        <v>20</v>
      </c>
      <c r="G23" s="649"/>
      <c r="H23" s="650"/>
      <c r="I23" s="650"/>
      <c r="J23" s="63"/>
      <c r="K23" s="254"/>
      <c r="L23" s="255"/>
      <c r="M23" s="255"/>
      <c r="N23" s="62"/>
      <c r="O23" s="62"/>
      <c r="P23" s="62"/>
      <c r="Q23" s="62"/>
      <c r="R23" s="62"/>
      <c r="S23" s="62"/>
      <c r="T23" s="256"/>
      <c r="U23" s="256"/>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c r="A24" s="12"/>
      <c r="B24" s="12"/>
      <c r="C24" s="12"/>
      <c r="D24" s="12"/>
      <c r="E24" s="12"/>
      <c r="F24" s="40" t="s">
        <v>24</v>
      </c>
      <c r="G24" s="649"/>
      <c r="H24" s="650"/>
      <c r="I24" s="650"/>
      <c r="J24" s="63"/>
      <c r="K24" s="254"/>
      <c r="L24" s="255"/>
      <c r="M24" s="255"/>
      <c r="N24" s="62"/>
      <c r="O24" s="62"/>
      <c r="P24" s="62"/>
      <c r="Q24" s="62"/>
      <c r="R24" s="62"/>
      <c r="S24" s="62"/>
      <c r="T24" s="256"/>
      <c r="U24" s="256"/>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c r="A25" s="12"/>
      <c r="B25" s="12"/>
      <c r="C25" s="12"/>
      <c r="D25" s="12"/>
      <c r="E25" s="12"/>
      <c r="F25" s="40" t="s">
        <v>25</v>
      </c>
      <c r="G25" s="649"/>
      <c r="H25" s="650"/>
      <c r="I25" s="650"/>
      <c r="J25" s="63"/>
      <c r="K25" s="254"/>
      <c r="L25" s="255"/>
      <c r="M25" s="255"/>
      <c r="N25" s="62"/>
      <c r="O25" s="62"/>
      <c r="P25" s="62"/>
      <c r="Q25" s="62"/>
      <c r="R25" s="62"/>
      <c r="S25" s="62"/>
      <c r="T25" s="256"/>
      <c r="U25" s="256"/>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c r="A26" s="12"/>
      <c r="B26" s="12"/>
      <c r="C26" s="12"/>
      <c r="D26" s="12"/>
      <c r="E26" s="12"/>
      <c r="F26" s="40" t="s">
        <v>26</v>
      </c>
      <c r="G26" s="649"/>
      <c r="H26" s="650"/>
      <c r="I26" s="650"/>
      <c r="J26" s="63"/>
      <c r="K26" s="63"/>
      <c r="L26" s="63"/>
      <c r="M26" s="63"/>
      <c r="N26" s="63"/>
      <c r="O26" s="63"/>
      <c r="P26" s="63"/>
      <c r="Q26" s="63"/>
      <c r="R26" s="63"/>
      <c r="S26" s="63"/>
      <c r="T26" s="63"/>
      <c r="U26" s="63"/>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c r="A27" s="12"/>
      <c r="B27" s="12"/>
      <c r="C27" s="12"/>
      <c r="D27" s="12"/>
      <c r="E27" s="12"/>
      <c r="F27" s="40" t="s">
        <v>95</v>
      </c>
      <c r="G27" s="649"/>
      <c r="H27" s="650"/>
      <c r="I27" s="650"/>
      <c r="J27" s="63"/>
      <c r="K27" s="63"/>
      <c r="L27" s="63"/>
      <c r="M27" s="63"/>
      <c r="N27" s="63"/>
      <c r="O27" s="63"/>
      <c r="P27" s="63"/>
      <c r="Q27" s="63"/>
      <c r="R27" s="63"/>
      <c r="S27" s="63"/>
      <c r="T27" s="63"/>
      <c r="U27" s="63"/>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c r="A28" s="12"/>
      <c r="B28" s="12"/>
      <c r="C28" s="12"/>
      <c r="D28" s="12"/>
      <c r="E28" s="12"/>
      <c r="F28" s="40" t="s">
        <v>96</v>
      </c>
      <c r="G28" s="649"/>
      <c r="H28" s="650"/>
      <c r="I28" s="650"/>
      <c r="J28" s="63"/>
      <c r="K28" s="63"/>
      <c r="L28" s="63"/>
      <c r="M28" s="63"/>
      <c r="N28" s="63"/>
      <c r="O28" s="63"/>
      <c r="P28" s="63"/>
      <c r="Q28" s="63"/>
      <c r="R28" s="63"/>
      <c r="S28" s="63"/>
      <c r="T28" s="63"/>
      <c r="U28" s="63"/>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c r="A29" s="12"/>
      <c r="B29" s="12"/>
      <c r="C29" s="12"/>
      <c r="D29" s="12"/>
      <c r="E29" s="12"/>
      <c r="F29" s="40" t="s">
        <v>97</v>
      </c>
      <c r="G29" s="649"/>
      <c r="H29" s="650"/>
      <c r="I29" s="650"/>
      <c r="J29" s="63"/>
      <c r="K29" s="63"/>
      <c r="L29" s="63"/>
      <c r="M29" s="63"/>
      <c r="N29" s="63"/>
      <c r="O29" s="63"/>
      <c r="P29" s="63"/>
      <c r="Q29" s="63"/>
      <c r="R29" s="63"/>
      <c r="S29" s="63"/>
      <c r="T29" s="63"/>
      <c r="U29" s="63"/>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c r="A30" s="12"/>
      <c r="B30" s="12"/>
      <c r="C30" s="12"/>
      <c r="D30" s="12"/>
      <c r="E30" s="12"/>
      <c r="F30" s="40" t="s">
        <v>98</v>
      </c>
      <c r="G30" s="649"/>
      <c r="H30" s="650"/>
      <c r="I30" s="650"/>
      <c r="J30" s="63"/>
      <c r="K30" s="63"/>
      <c r="L30" s="63"/>
      <c r="M30" s="63"/>
      <c r="N30" s="63"/>
      <c r="O30" s="63"/>
      <c r="P30" s="63"/>
      <c r="Q30" s="63"/>
      <c r="R30" s="63"/>
      <c r="S30" s="63"/>
      <c r="T30" s="63"/>
      <c r="U30" s="63"/>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c r="A31" s="12"/>
      <c r="B31" s="12"/>
      <c r="C31" s="12"/>
      <c r="D31" s="12"/>
      <c r="E31" s="12"/>
      <c r="F31" s="40" t="s">
        <v>99</v>
      </c>
      <c r="G31" s="649"/>
      <c r="H31" s="650"/>
      <c r="I31" s="650"/>
      <c r="J31" s="63"/>
      <c r="K31" s="63"/>
      <c r="L31" s="63"/>
      <c r="M31" s="63"/>
      <c r="N31" s="63"/>
      <c r="O31" s="63"/>
      <c r="P31" s="63"/>
      <c r="Q31" s="63"/>
      <c r="R31" s="63"/>
      <c r="S31" s="63"/>
      <c r="T31" s="63"/>
      <c r="U31" s="63"/>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c r="A32" s="12"/>
      <c r="B32" s="12"/>
      <c r="C32" s="12"/>
      <c r="D32" s="12"/>
      <c r="E32" s="12"/>
      <c r="F32" s="40" t="s">
        <v>100</v>
      </c>
      <c r="G32" s="649"/>
      <c r="H32" s="650"/>
      <c r="I32" s="650"/>
      <c r="J32" s="63"/>
      <c r="K32" s="63"/>
      <c r="L32" s="63"/>
      <c r="M32" s="63"/>
      <c r="N32" s="63"/>
      <c r="O32" s="63"/>
      <c r="P32" s="63"/>
      <c r="Q32" s="63"/>
      <c r="R32" s="63"/>
      <c r="S32" s="63"/>
      <c r="T32" s="63"/>
      <c r="U32" s="63"/>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c r="A33" s="12"/>
      <c r="B33" s="12"/>
      <c r="C33" s="12"/>
      <c r="D33" s="12"/>
      <c r="E33" s="12"/>
      <c r="F33" s="40" t="s">
        <v>101</v>
      </c>
      <c r="G33" s="649"/>
      <c r="H33" s="650"/>
      <c r="I33" s="650"/>
      <c r="J33" s="63"/>
      <c r="K33" s="63"/>
      <c r="L33" s="63"/>
      <c r="M33" s="63"/>
      <c r="N33" s="63"/>
      <c r="O33" s="63"/>
      <c r="P33" s="63"/>
      <c r="Q33" s="63"/>
      <c r="R33" s="63"/>
      <c r="S33" s="63"/>
      <c r="T33" s="63"/>
      <c r="U33" s="63"/>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c r="A34" s="12"/>
      <c r="B34" s="12"/>
      <c r="C34" s="12"/>
      <c r="D34" s="12"/>
      <c r="E34" s="12"/>
      <c r="F34" s="40" t="s">
        <v>102</v>
      </c>
      <c r="G34" s="649"/>
      <c r="H34" s="650"/>
      <c r="I34" s="650"/>
      <c r="J34" s="63"/>
      <c r="K34" s="63"/>
      <c r="L34" s="63"/>
      <c r="M34" s="63"/>
      <c r="N34" s="63"/>
      <c r="O34" s="63"/>
      <c r="P34" s="63"/>
      <c r="Q34" s="63"/>
      <c r="R34" s="63"/>
      <c r="S34" s="63"/>
      <c r="T34" s="63"/>
      <c r="U34" s="63"/>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c r="A35" s="12"/>
      <c r="B35" s="12"/>
      <c r="C35" s="12"/>
      <c r="D35" s="12"/>
      <c r="E35" s="12"/>
      <c r="F35" s="40" t="s">
        <v>103</v>
      </c>
      <c r="G35" s="649"/>
      <c r="H35" s="650"/>
      <c r="I35" s="650"/>
      <c r="J35" s="63"/>
      <c r="K35" s="63"/>
      <c r="L35" s="63"/>
      <c r="M35" s="63"/>
      <c r="N35" s="63"/>
      <c r="O35" s="63"/>
      <c r="P35" s="63"/>
      <c r="Q35" s="63"/>
      <c r="R35" s="63"/>
      <c r="S35" s="63"/>
      <c r="T35" s="63"/>
      <c r="U35" s="63"/>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c r="A36" s="12"/>
      <c r="B36" s="12"/>
      <c r="C36" s="12"/>
      <c r="D36" s="12"/>
      <c r="E36" s="12"/>
      <c r="F36" s="40" t="s">
        <v>104</v>
      </c>
      <c r="G36" s="649"/>
      <c r="H36" s="650"/>
      <c r="I36" s="650"/>
      <c r="J36" s="63"/>
      <c r="K36" s="63"/>
      <c r="L36" s="63"/>
      <c r="M36" s="63"/>
      <c r="N36" s="63"/>
      <c r="O36" s="63"/>
      <c r="P36" s="63"/>
      <c r="Q36" s="63"/>
      <c r="R36" s="63"/>
      <c r="S36" s="63"/>
      <c r="T36" s="63"/>
      <c r="U36" s="63"/>
      <c r="V36" s="8"/>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c r="A37" s="12"/>
      <c r="B37" s="12"/>
      <c r="C37" s="12"/>
      <c r="D37" s="12"/>
      <c r="E37" s="12"/>
      <c r="F37" s="40" t="s">
        <v>22</v>
      </c>
      <c r="G37" s="159"/>
      <c r="H37" s="159"/>
      <c r="I37" s="159"/>
      <c r="J37" s="242">
        <f>SUM(J7:J36)</f>
        <v>1031.2739539814918</v>
      </c>
      <c r="K37" s="60"/>
      <c r="L37" s="38"/>
      <c r="M37" s="242">
        <f>SUM(M7:M36)</f>
        <v>95.596769927678125</v>
      </c>
      <c r="N37" s="242">
        <f>SUM(N7:N36)</f>
        <v>9.4710511953612286</v>
      </c>
      <c r="O37" s="242">
        <f t="shared" ref="O37:R37" si="0">SUM(O7:O36)</f>
        <v>0</v>
      </c>
      <c r="P37" s="242">
        <f t="shared" si="0"/>
        <v>0</v>
      </c>
      <c r="Q37" s="242">
        <f t="shared" si="0"/>
        <v>0</v>
      </c>
      <c r="R37" s="242">
        <f t="shared" si="0"/>
        <v>0</v>
      </c>
      <c r="S37" s="242">
        <f>SUM(S7:S36)</f>
        <v>0</v>
      </c>
      <c r="T37" s="242"/>
      <c r="U37" s="60"/>
      <c r="V37" s="60"/>
      <c r="X37" s="38"/>
      <c r="Y37" s="242"/>
      <c r="Z37" s="8"/>
      <c r="AA37" s="8"/>
      <c r="AB37" s="8"/>
      <c r="AC37" s="8"/>
      <c r="AD37" s="8"/>
      <c r="AE37" s="187"/>
      <c r="AF37" s="187"/>
      <c r="AG37" s="187"/>
      <c r="AH37" s="187"/>
      <c r="AI37" s="187"/>
      <c r="AJ37" s="187"/>
      <c r="AK37" s="187"/>
      <c r="AL37" s="187"/>
      <c r="AM37" s="187"/>
      <c r="AN37" s="187"/>
      <c r="AO37" s="187"/>
      <c r="AP37" s="187"/>
      <c r="AQ37" s="187"/>
      <c r="AR37" s="187"/>
      <c r="AS37" s="187"/>
      <c r="AT37" s="187"/>
      <c r="AU37" s="187"/>
    </row>
    <row r="38" spans="1:47" ht="21" customHeight="1">
      <c r="A38" s="12"/>
      <c r="B38" s="12"/>
      <c r="C38" s="12"/>
      <c r="D38" s="12"/>
      <c r="E38" s="12"/>
      <c r="F38" s="90"/>
      <c r="G38" s="162"/>
      <c r="H38" s="50"/>
      <c r="I38" s="50"/>
      <c r="J38" s="50"/>
      <c r="K38" s="50"/>
      <c r="L38" s="50"/>
      <c r="M38" s="50"/>
      <c r="N38" s="177"/>
      <c r="O38" s="177"/>
      <c r="P38" s="177"/>
      <c r="Q38" s="177"/>
      <c r="R38" s="177"/>
      <c r="S38" s="177"/>
      <c r="T38" s="177"/>
      <c r="U38" s="177"/>
      <c r="V38" s="50"/>
      <c r="W38" s="50"/>
      <c r="X38" s="50"/>
      <c r="Y38" s="8"/>
      <c r="Z38" s="8"/>
      <c r="AA38" s="8"/>
      <c r="AB38" s="44"/>
      <c r="AC38" s="9"/>
      <c r="AD38" s="9"/>
      <c r="AE38" s="187"/>
      <c r="AF38" s="187"/>
      <c r="AG38" s="187"/>
      <c r="AH38" s="187"/>
      <c r="AI38" s="187"/>
      <c r="AJ38" s="187"/>
      <c r="AK38" s="187"/>
      <c r="AL38" s="187"/>
      <c r="AM38" s="187"/>
      <c r="AN38" s="187"/>
      <c r="AO38" s="187"/>
      <c r="AP38" s="187"/>
      <c r="AQ38" s="187"/>
      <c r="AR38" s="187"/>
      <c r="AS38" s="187"/>
      <c r="AT38" s="187"/>
      <c r="AU38" s="187"/>
    </row>
    <row r="39" spans="1:47" ht="13.5" customHeight="1">
      <c r="A39" s="73"/>
      <c r="B39" s="73"/>
      <c r="C39" s="73"/>
      <c r="D39" s="73"/>
      <c r="E39" s="73"/>
      <c r="F39" s="161" t="s">
        <v>81</v>
      </c>
      <c r="G39" s="161"/>
      <c r="H39" s="161"/>
      <c r="I39" s="161"/>
      <c r="J39" s="161"/>
      <c r="K39" s="76"/>
      <c r="L39" s="76"/>
      <c r="M39" s="74"/>
      <c r="N39" s="74"/>
      <c r="O39" s="74"/>
      <c r="P39" s="74"/>
      <c r="Q39" s="74"/>
      <c r="R39" s="74"/>
      <c r="S39" s="74"/>
      <c r="T39" s="74"/>
      <c r="U39" s="74"/>
      <c r="V39" s="74"/>
      <c r="W39" s="74"/>
      <c r="X39" s="8"/>
      <c r="Y39" s="8"/>
      <c r="Z39" s="8"/>
      <c r="AA39" s="8"/>
      <c r="AB39" s="44"/>
      <c r="AC39" s="9"/>
      <c r="AD39" s="9"/>
      <c r="AE39" s="187"/>
      <c r="AF39" s="187"/>
      <c r="AG39" s="187"/>
      <c r="AH39" s="187"/>
      <c r="AI39" s="187"/>
      <c r="AJ39" s="187"/>
      <c r="AK39" s="187"/>
      <c r="AL39" s="187"/>
      <c r="AM39" s="187"/>
      <c r="AN39" s="187"/>
      <c r="AO39" s="187"/>
      <c r="AP39" s="187"/>
      <c r="AQ39" s="187"/>
      <c r="AR39" s="187"/>
      <c r="AS39" s="187"/>
      <c r="AT39" s="187"/>
      <c r="AU39" s="187"/>
    </row>
    <row r="40" spans="1:47">
      <c r="A40" s="12"/>
      <c r="B40" s="12"/>
      <c r="C40" s="12"/>
      <c r="D40" s="12"/>
      <c r="E40" s="12"/>
      <c r="F40" s="39" t="s">
        <v>5</v>
      </c>
      <c r="G40" s="240">
        <f>H40-1</f>
        <v>2012</v>
      </c>
      <c r="H40" s="240">
        <f>V7</f>
        <v>2013</v>
      </c>
      <c r="I40" s="240" t="str">
        <f>CONCATENATE(LEFT(H40, 2) &amp;RIGHT(H40,2)+1)</f>
        <v>2014</v>
      </c>
      <c r="J40" s="240" t="str">
        <f t="shared" ref="J40:Q40" si="1">CONCATENATE(LEFT(I40, 2) &amp;RIGHT(I40,2)+1)</f>
        <v>2015</v>
      </c>
      <c r="K40" s="240" t="str">
        <f t="shared" si="1"/>
        <v>2016</v>
      </c>
      <c r="L40" s="240" t="str">
        <f t="shared" si="1"/>
        <v>2017</v>
      </c>
      <c r="M40" s="240" t="str">
        <f t="shared" si="1"/>
        <v>2018</v>
      </c>
      <c r="N40" s="240" t="str">
        <f t="shared" si="1"/>
        <v>2019</v>
      </c>
      <c r="O40" s="240" t="str">
        <f t="shared" si="1"/>
        <v>2020</v>
      </c>
      <c r="P40" s="240" t="str">
        <f t="shared" si="1"/>
        <v>2021</v>
      </c>
      <c r="Q40" s="240" t="str">
        <f t="shared" si="1"/>
        <v>2022</v>
      </c>
      <c r="R40" s="8"/>
      <c r="S40" s="8"/>
      <c r="T40" s="8"/>
      <c r="U40" s="8"/>
      <c r="V40" s="8"/>
      <c r="W40" s="9"/>
      <c r="X40" s="9"/>
      <c r="Y40" s="9"/>
      <c r="Z40" s="187"/>
      <c r="AA40" s="187"/>
      <c r="AB40" s="187"/>
      <c r="AC40" s="187"/>
      <c r="AD40" s="187"/>
      <c r="AE40" s="187"/>
      <c r="AF40" s="187"/>
      <c r="AG40" s="187"/>
      <c r="AH40" s="187"/>
      <c r="AI40" s="187"/>
      <c r="AJ40" s="187"/>
      <c r="AK40" s="187"/>
      <c r="AL40" s="187"/>
      <c r="AM40" s="187"/>
      <c r="AN40" s="187"/>
      <c r="AO40" s="187"/>
      <c r="AP40" s="187"/>
    </row>
    <row r="41" spans="1:47" outlineLevel="1">
      <c r="A41" s="12"/>
      <c r="B41" s="12"/>
      <c r="C41" s="12"/>
      <c r="D41" s="12"/>
      <c r="E41" s="12"/>
      <c r="F41" s="40" t="str">
        <f>Asset1</f>
        <v>Mains &amp; Services</v>
      </c>
      <c r="G41" s="597">
        <v>75.370999999999995</v>
      </c>
      <c r="H41" s="311">
        <v>90.344980505123758</v>
      </c>
      <c r="I41" s="311">
        <v>98.320428527114714</v>
      </c>
      <c r="J41" s="311">
        <v>103.7539594805359</v>
      </c>
      <c r="K41" s="311">
        <v>77.663486793848918</v>
      </c>
      <c r="L41" s="311">
        <v>83.55</v>
      </c>
      <c r="M41" s="61"/>
      <c r="N41" s="61"/>
      <c r="O41" s="61"/>
      <c r="P41" s="61"/>
      <c r="Q41" s="61"/>
      <c r="R41" s="8"/>
      <c r="S41" s="8"/>
      <c r="T41" s="8"/>
      <c r="U41" s="8"/>
      <c r="V41" s="8"/>
      <c r="W41" s="9"/>
      <c r="X41" s="9"/>
      <c r="Y41" s="9"/>
      <c r="Z41" s="187"/>
      <c r="AA41" s="187"/>
      <c r="AB41" s="187"/>
      <c r="AC41" s="187"/>
      <c r="AD41" s="187"/>
      <c r="AE41" s="187"/>
      <c r="AF41" s="187"/>
      <c r="AG41" s="187"/>
      <c r="AH41" s="187"/>
      <c r="AI41" s="187"/>
      <c r="AJ41" s="187"/>
      <c r="AK41" s="187"/>
      <c r="AL41" s="187"/>
      <c r="AM41" s="187"/>
      <c r="AN41" s="187"/>
      <c r="AO41" s="187"/>
      <c r="AP41" s="187"/>
    </row>
    <row r="42" spans="1:47" outlineLevel="1">
      <c r="A42" s="12"/>
      <c r="B42" s="12"/>
      <c r="C42" s="12"/>
      <c r="D42" s="12"/>
      <c r="E42" s="12"/>
      <c r="F42" s="40" t="str">
        <f>Asset2</f>
        <v>Meters</v>
      </c>
      <c r="G42" s="598">
        <v>8.7110000000000003</v>
      </c>
      <c r="H42" s="256">
        <v>8.5151679122195496</v>
      </c>
      <c r="I42" s="256">
        <v>10.509459124364371</v>
      </c>
      <c r="J42" s="256">
        <v>9.6098859888351349</v>
      </c>
      <c r="K42" s="256">
        <v>11.311116207187315</v>
      </c>
      <c r="L42" s="256">
        <v>15.29</v>
      </c>
      <c r="M42" s="62"/>
      <c r="N42" s="62"/>
      <c r="O42" s="62"/>
      <c r="P42" s="62"/>
      <c r="Q42" s="62"/>
      <c r="R42" s="8"/>
      <c r="S42" s="8"/>
      <c r="T42" s="8"/>
      <c r="U42" s="8"/>
      <c r="V42" s="8"/>
      <c r="W42" s="9"/>
      <c r="X42" s="9"/>
      <c r="Y42" s="9"/>
      <c r="Z42" s="187"/>
      <c r="AA42" s="187"/>
      <c r="AB42" s="187"/>
      <c r="AC42" s="187"/>
      <c r="AD42" s="187"/>
      <c r="AE42" s="187"/>
      <c r="AF42" s="187"/>
      <c r="AG42" s="187"/>
      <c r="AH42" s="187"/>
      <c r="AI42" s="187"/>
      <c r="AJ42" s="187"/>
      <c r="AK42" s="187"/>
      <c r="AL42" s="187"/>
      <c r="AM42" s="187"/>
      <c r="AN42" s="187"/>
      <c r="AO42" s="187"/>
      <c r="AP42" s="187"/>
    </row>
    <row r="43" spans="1:47" outlineLevel="1">
      <c r="A43" s="12"/>
      <c r="B43" s="12"/>
      <c r="C43" s="12"/>
      <c r="D43" s="12"/>
      <c r="E43" s="12"/>
      <c r="F43" s="40" t="str">
        <f>Asset3</f>
        <v>Buildings</v>
      </c>
      <c r="G43" s="598">
        <v>0</v>
      </c>
      <c r="H43" s="256">
        <v>0</v>
      </c>
      <c r="I43" s="256">
        <v>0</v>
      </c>
      <c r="J43" s="256">
        <v>0</v>
      </c>
      <c r="K43" s="256">
        <v>0</v>
      </c>
      <c r="L43" s="256">
        <v>0</v>
      </c>
      <c r="M43" s="62"/>
      <c r="N43" s="62"/>
      <c r="O43" s="62"/>
      <c r="P43" s="62"/>
      <c r="Q43" s="62"/>
      <c r="R43" s="8"/>
      <c r="S43" s="8"/>
      <c r="T43" s="8"/>
      <c r="U43" s="8"/>
      <c r="V43" s="8"/>
      <c r="W43" s="9"/>
      <c r="X43" s="9"/>
      <c r="Y43" s="9"/>
      <c r="Z43" s="187"/>
      <c r="AA43" s="187"/>
      <c r="AB43" s="187"/>
      <c r="AC43" s="187"/>
      <c r="AD43" s="187"/>
      <c r="AE43" s="187"/>
      <c r="AF43" s="187"/>
      <c r="AG43" s="187"/>
      <c r="AH43" s="187"/>
      <c r="AI43" s="187"/>
      <c r="AJ43" s="187"/>
      <c r="AK43" s="187"/>
      <c r="AL43" s="187"/>
      <c r="AM43" s="187"/>
      <c r="AN43" s="187"/>
      <c r="AO43" s="187"/>
      <c r="AP43" s="187"/>
    </row>
    <row r="44" spans="1:47" outlineLevel="1">
      <c r="A44" s="12"/>
      <c r="B44" s="12"/>
      <c r="C44" s="12"/>
      <c r="D44" s="12"/>
      <c r="E44" s="12"/>
      <c r="F44" s="40" t="str">
        <f>Asset4</f>
        <v>SCADA</v>
      </c>
      <c r="G44" s="598">
        <v>0.16700000000000001</v>
      </c>
      <c r="H44" s="256">
        <v>0.15042731149188032</v>
      </c>
      <c r="I44" s="256">
        <v>0.39470883272000595</v>
      </c>
      <c r="J44" s="256">
        <v>0.40925550440670461</v>
      </c>
      <c r="K44" s="256">
        <v>0.2380900397714914</v>
      </c>
      <c r="L44" s="256">
        <v>0.51</v>
      </c>
      <c r="M44" s="62"/>
      <c r="N44" s="62"/>
      <c r="O44" s="62"/>
      <c r="P44" s="62"/>
      <c r="Q44" s="62"/>
      <c r="R44" s="8"/>
      <c r="S44" s="8"/>
      <c r="T44" s="8"/>
      <c r="U44" s="8"/>
      <c r="V44" s="8"/>
      <c r="W44" s="9"/>
      <c r="X44" s="9"/>
      <c r="Y44" s="9"/>
      <c r="Z44" s="187"/>
      <c r="AA44" s="187"/>
      <c r="AB44" s="187"/>
      <c r="AC44" s="187"/>
      <c r="AD44" s="187"/>
      <c r="AE44" s="187"/>
      <c r="AF44" s="187"/>
      <c r="AG44" s="187"/>
      <c r="AH44" s="187"/>
      <c r="AI44" s="187"/>
      <c r="AJ44" s="187"/>
      <c r="AK44" s="187"/>
      <c r="AL44" s="187"/>
      <c r="AM44" s="187"/>
      <c r="AN44" s="187"/>
      <c r="AO44" s="187"/>
      <c r="AP44" s="187"/>
    </row>
    <row r="45" spans="1:47" outlineLevel="1">
      <c r="A45" s="12"/>
      <c r="B45" s="12"/>
      <c r="C45" s="12"/>
      <c r="D45" s="12"/>
      <c r="E45" s="12"/>
      <c r="F45" s="40" t="str">
        <f>Asset5</f>
        <v>Computer Equipment</v>
      </c>
      <c r="G45" s="598">
        <v>0.05</v>
      </c>
      <c r="H45" s="256">
        <v>0.87310144948076329</v>
      </c>
      <c r="I45" s="256">
        <v>0.40761449155181118</v>
      </c>
      <c r="J45" s="256">
        <v>11.286109046466432</v>
      </c>
      <c r="K45" s="256">
        <v>0.52391299999999996</v>
      </c>
      <c r="L45" s="256">
        <v>8.6300000000000008</v>
      </c>
      <c r="M45" s="62"/>
      <c r="N45" s="62"/>
      <c r="O45" s="62"/>
      <c r="P45" s="62"/>
      <c r="Q45" s="62"/>
      <c r="R45" s="8"/>
      <c r="S45" s="8"/>
      <c r="T45" s="8"/>
      <c r="U45" s="8"/>
      <c r="V45" s="8"/>
      <c r="W45" s="9"/>
      <c r="X45" s="9"/>
      <c r="Y45" s="9"/>
      <c r="Z45" s="187"/>
      <c r="AA45" s="187"/>
      <c r="AB45" s="187"/>
      <c r="AC45" s="187"/>
      <c r="AD45" s="187"/>
      <c r="AE45" s="187"/>
      <c r="AF45" s="187"/>
      <c r="AG45" s="187"/>
      <c r="AH45" s="187"/>
      <c r="AI45" s="187"/>
      <c r="AJ45" s="187"/>
      <c r="AK45" s="187"/>
      <c r="AL45" s="187"/>
      <c r="AM45" s="187"/>
      <c r="AN45" s="187"/>
      <c r="AO45" s="187"/>
      <c r="AP45" s="187"/>
    </row>
    <row r="46" spans="1:47" outlineLevel="1">
      <c r="A46" s="12"/>
      <c r="B46" s="12"/>
      <c r="C46" s="12"/>
      <c r="D46" s="12"/>
      <c r="E46" s="12"/>
      <c r="F46" s="40" t="str">
        <f>Asset6</f>
        <v>Other Assets</v>
      </c>
      <c r="G46" s="598">
        <v>17.716000000000001</v>
      </c>
      <c r="H46" s="256">
        <v>4.1738217816840493</v>
      </c>
      <c r="I46" s="256">
        <v>3.8846119899023606</v>
      </c>
      <c r="J46" s="256">
        <v>2.184422237760558</v>
      </c>
      <c r="K46" s="256">
        <v>2.1208300496554657</v>
      </c>
      <c r="L46" s="256">
        <v>4.16</v>
      </c>
      <c r="M46" s="62"/>
      <c r="N46" s="62"/>
      <c r="O46" s="62"/>
      <c r="P46" s="62"/>
      <c r="Q46" s="62"/>
      <c r="R46" s="8"/>
      <c r="S46" s="8"/>
      <c r="T46" s="8"/>
      <c r="U46" s="8"/>
      <c r="V46" s="8"/>
      <c r="W46" s="9"/>
      <c r="X46" s="9"/>
      <c r="Y46" s="9"/>
      <c r="Z46" s="187"/>
      <c r="AA46" s="187"/>
      <c r="AB46" s="187"/>
      <c r="AC46" s="187"/>
      <c r="AD46" s="187"/>
      <c r="AE46" s="187"/>
      <c r="AF46" s="187"/>
      <c r="AG46" s="187"/>
      <c r="AH46" s="187"/>
      <c r="AI46" s="187"/>
      <c r="AJ46" s="187"/>
      <c r="AK46" s="187"/>
      <c r="AL46" s="187"/>
      <c r="AM46" s="187"/>
      <c r="AN46" s="187"/>
      <c r="AO46" s="187"/>
      <c r="AP46" s="187"/>
    </row>
    <row r="47" spans="1:47" outlineLevel="1">
      <c r="A47" s="12"/>
      <c r="B47" s="12"/>
      <c r="C47" s="12"/>
      <c r="D47" s="12"/>
      <c r="E47" s="12"/>
      <c r="F47" s="40" t="str">
        <f>Asset7</f>
        <v>Equity Raising Costs</v>
      </c>
      <c r="G47" s="598">
        <v>0</v>
      </c>
      <c r="H47" s="256">
        <v>0</v>
      </c>
      <c r="I47" s="256">
        <v>0</v>
      </c>
      <c r="J47" s="256">
        <v>0</v>
      </c>
      <c r="K47" s="256">
        <v>0</v>
      </c>
      <c r="L47" s="256">
        <v>0</v>
      </c>
      <c r="M47" s="62"/>
      <c r="N47" s="62"/>
      <c r="O47" s="62"/>
      <c r="P47" s="62"/>
      <c r="Q47" s="62"/>
      <c r="R47" s="8"/>
      <c r="S47" s="8"/>
      <c r="T47" s="8"/>
      <c r="U47" s="8"/>
      <c r="V47" s="8"/>
      <c r="W47" s="9"/>
      <c r="X47" s="9"/>
      <c r="Y47" s="9"/>
      <c r="Z47" s="187"/>
      <c r="AA47" s="187"/>
      <c r="AB47" s="187"/>
      <c r="AC47" s="187"/>
      <c r="AD47" s="187"/>
      <c r="AE47" s="187"/>
      <c r="AF47" s="187"/>
      <c r="AG47" s="187"/>
      <c r="AH47" s="187"/>
      <c r="AI47" s="187"/>
      <c r="AJ47" s="187"/>
      <c r="AK47" s="187"/>
      <c r="AL47" s="187"/>
      <c r="AM47" s="187"/>
      <c r="AN47" s="187"/>
      <c r="AO47" s="187"/>
      <c r="AP47" s="187"/>
    </row>
    <row r="48" spans="1:47" outlineLevel="1">
      <c r="A48" s="12"/>
      <c r="B48" s="12"/>
      <c r="C48" s="12"/>
      <c r="D48" s="12"/>
      <c r="E48" s="12"/>
      <c r="F48" s="40" t="str">
        <f>Asset8</f>
        <v>Land</v>
      </c>
      <c r="G48" s="599">
        <v>0</v>
      </c>
      <c r="H48" s="62">
        <v>0</v>
      </c>
      <c r="I48" s="62">
        <v>0</v>
      </c>
      <c r="J48" s="62">
        <v>0</v>
      </c>
      <c r="K48" s="62">
        <v>0</v>
      </c>
      <c r="L48" s="62">
        <v>0</v>
      </c>
      <c r="M48" s="62"/>
      <c r="N48" s="62"/>
      <c r="O48" s="62"/>
      <c r="P48" s="62"/>
      <c r="Q48" s="62"/>
      <c r="R48" s="8"/>
      <c r="S48" s="8"/>
      <c r="T48" s="8"/>
      <c r="U48" s="8"/>
      <c r="V48" s="8"/>
      <c r="W48" s="9"/>
      <c r="X48" s="9"/>
      <c r="Y48" s="9"/>
      <c r="Z48" s="187"/>
      <c r="AA48" s="187"/>
      <c r="AB48" s="187"/>
      <c r="AC48" s="187"/>
      <c r="AD48" s="187"/>
      <c r="AE48" s="187"/>
      <c r="AF48" s="187"/>
      <c r="AG48" s="187"/>
      <c r="AH48" s="187"/>
      <c r="AI48" s="187"/>
      <c r="AJ48" s="187"/>
      <c r="AK48" s="187"/>
      <c r="AL48" s="187"/>
      <c r="AM48" s="187"/>
      <c r="AN48" s="187"/>
      <c r="AO48" s="187"/>
      <c r="AP48" s="187"/>
    </row>
    <row r="49" spans="1:47" outlineLevel="1">
      <c r="A49" s="12"/>
      <c r="B49" s="12"/>
      <c r="C49" s="12"/>
      <c r="D49" s="12"/>
      <c r="E49" s="12"/>
      <c r="F49" s="40">
        <f>Asset9</f>
        <v>0</v>
      </c>
      <c r="G49" s="169"/>
      <c r="H49" s="62"/>
      <c r="I49" s="62"/>
      <c r="J49" s="62"/>
      <c r="K49" s="256"/>
      <c r="L49" s="256"/>
      <c r="M49" s="62"/>
      <c r="N49" s="62"/>
      <c r="O49" s="62"/>
      <c r="P49" s="62"/>
      <c r="Q49" s="62"/>
      <c r="R49" s="8"/>
      <c r="S49" s="8"/>
      <c r="T49" s="8"/>
      <c r="U49" s="8"/>
      <c r="V49" s="8"/>
      <c r="W49" s="9"/>
      <c r="X49" s="9"/>
      <c r="Y49" s="9"/>
      <c r="Z49" s="187"/>
      <c r="AA49" s="187"/>
      <c r="AB49" s="187"/>
      <c r="AC49" s="187"/>
      <c r="AD49" s="187"/>
      <c r="AE49" s="187"/>
      <c r="AF49" s="187"/>
      <c r="AG49" s="187"/>
      <c r="AH49" s="187"/>
      <c r="AI49" s="187"/>
      <c r="AJ49" s="187"/>
      <c r="AK49" s="187"/>
      <c r="AL49" s="187"/>
      <c r="AM49" s="187"/>
      <c r="AN49" s="187"/>
      <c r="AO49" s="187"/>
      <c r="AP49" s="187"/>
    </row>
    <row r="50" spans="1:47" outlineLevel="1">
      <c r="A50" s="12"/>
      <c r="B50" s="12"/>
      <c r="C50" s="12"/>
      <c r="D50" s="12"/>
      <c r="E50" s="12"/>
      <c r="F50" s="40">
        <f>Asset10</f>
        <v>0</v>
      </c>
      <c r="G50" s="169"/>
      <c r="H50" s="62"/>
      <c r="I50" s="62"/>
      <c r="J50" s="62"/>
      <c r="K50" s="62"/>
      <c r="L50" s="62"/>
      <c r="M50" s="62"/>
      <c r="N50" s="62"/>
      <c r="O50" s="62"/>
      <c r="P50" s="62"/>
      <c r="Q50" s="62"/>
      <c r="R50" s="8"/>
      <c r="S50" s="8"/>
      <c r="T50" s="8"/>
      <c r="U50" s="8"/>
      <c r="V50" s="8"/>
      <c r="W50" s="9"/>
      <c r="X50" s="9"/>
      <c r="Y50" s="9"/>
      <c r="Z50" s="187"/>
      <c r="AA50" s="187"/>
      <c r="AB50" s="187"/>
      <c r="AC50" s="187"/>
      <c r="AD50" s="187"/>
      <c r="AE50" s="187"/>
      <c r="AF50" s="187"/>
      <c r="AG50" s="187"/>
      <c r="AH50" s="187"/>
      <c r="AI50" s="187"/>
      <c r="AJ50" s="187"/>
      <c r="AK50" s="187"/>
      <c r="AL50" s="187"/>
      <c r="AM50" s="187"/>
      <c r="AN50" s="187"/>
      <c r="AO50" s="187"/>
      <c r="AP50" s="187"/>
    </row>
    <row r="51" spans="1:47" outlineLevel="1">
      <c r="A51" s="12"/>
      <c r="B51" s="12"/>
      <c r="C51" s="12"/>
      <c r="D51" s="12"/>
      <c r="E51" s="12"/>
      <c r="F51" s="40">
        <f>Asset11</f>
        <v>0</v>
      </c>
      <c r="G51" s="169"/>
      <c r="H51" s="62"/>
      <c r="I51" s="62"/>
      <c r="J51" s="62"/>
      <c r="K51" s="62"/>
      <c r="L51" s="62"/>
      <c r="M51" s="62"/>
      <c r="N51" s="62"/>
      <c r="O51" s="62"/>
      <c r="P51" s="62"/>
      <c r="Q51" s="62"/>
      <c r="R51" s="8"/>
      <c r="S51" s="8"/>
      <c r="T51" s="8"/>
      <c r="U51" s="8"/>
      <c r="V51" s="8"/>
      <c r="W51" s="44"/>
      <c r="X51" s="9"/>
      <c r="Y51" s="9"/>
      <c r="Z51" s="9"/>
      <c r="AA51" s="9"/>
      <c r="AB51" s="9"/>
      <c r="AC51" s="9"/>
      <c r="AD51" s="9"/>
      <c r="AE51" s="187"/>
      <c r="AF51" s="187"/>
      <c r="AG51" s="187"/>
      <c r="AH51" s="187"/>
      <c r="AI51" s="187"/>
      <c r="AJ51" s="187"/>
      <c r="AK51" s="187"/>
      <c r="AL51" s="187"/>
      <c r="AM51" s="187"/>
      <c r="AN51" s="187"/>
      <c r="AO51" s="187"/>
      <c r="AP51" s="187"/>
      <c r="AQ51" s="187"/>
      <c r="AR51" s="187"/>
      <c r="AS51" s="187"/>
      <c r="AT51" s="187"/>
      <c r="AU51" s="187"/>
    </row>
    <row r="52" spans="1:47" outlineLevel="1">
      <c r="A52" s="12"/>
      <c r="B52" s="12"/>
      <c r="C52" s="12"/>
      <c r="D52" s="12"/>
      <c r="E52" s="12"/>
      <c r="F52" s="40">
        <f>Asset12</f>
        <v>0</v>
      </c>
      <c r="G52" s="169"/>
      <c r="H52" s="62"/>
      <c r="I52" s="62"/>
      <c r="J52" s="62"/>
      <c r="K52" s="62"/>
      <c r="L52" s="62"/>
      <c r="M52" s="62"/>
      <c r="N52" s="62"/>
      <c r="O52" s="62"/>
      <c r="P52" s="62"/>
      <c r="Q52" s="62"/>
      <c r="R52" s="8"/>
      <c r="S52" s="8"/>
      <c r="T52" s="8"/>
      <c r="U52" s="8"/>
      <c r="V52" s="8"/>
      <c r="W52" s="44"/>
      <c r="X52" s="9"/>
      <c r="Y52" s="9"/>
      <c r="Z52" s="9"/>
      <c r="AA52" s="9"/>
      <c r="AB52" s="9"/>
      <c r="AC52" s="9"/>
      <c r="AD52" s="9"/>
      <c r="AE52" s="187"/>
      <c r="AF52" s="187"/>
      <c r="AG52" s="187"/>
      <c r="AH52" s="187"/>
      <c r="AI52" s="187"/>
      <c r="AJ52" s="187"/>
      <c r="AK52" s="187"/>
      <c r="AL52" s="187"/>
      <c r="AM52" s="187"/>
      <c r="AN52" s="187"/>
      <c r="AO52" s="187"/>
      <c r="AP52" s="187"/>
      <c r="AQ52" s="187"/>
      <c r="AR52" s="187"/>
      <c r="AS52" s="187"/>
      <c r="AT52" s="187"/>
      <c r="AU52" s="187"/>
    </row>
    <row r="53" spans="1:47" outlineLevel="1">
      <c r="A53" s="12"/>
      <c r="B53" s="12"/>
      <c r="C53" s="12"/>
      <c r="D53" s="12"/>
      <c r="E53" s="12"/>
      <c r="F53" s="40">
        <f>Asset13</f>
        <v>0</v>
      </c>
      <c r="G53" s="169"/>
      <c r="H53" s="62"/>
      <c r="I53" s="62"/>
      <c r="J53" s="62"/>
      <c r="K53" s="62"/>
      <c r="L53" s="62"/>
      <c r="M53" s="62"/>
      <c r="N53" s="62"/>
      <c r="O53" s="62"/>
      <c r="P53" s="62"/>
      <c r="Q53" s="62"/>
      <c r="R53" s="8"/>
      <c r="S53" s="8"/>
      <c r="T53" s="8"/>
      <c r="U53" s="8"/>
      <c r="V53" s="8"/>
      <c r="W53" s="44"/>
      <c r="X53" s="9"/>
      <c r="Y53" s="9"/>
      <c r="Z53" s="9"/>
      <c r="AA53" s="9"/>
      <c r="AB53" s="9"/>
      <c r="AC53" s="9"/>
      <c r="AD53" s="9"/>
      <c r="AE53" s="187"/>
      <c r="AF53" s="187"/>
      <c r="AG53" s="187"/>
      <c r="AH53" s="187"/>
      <c r="AI53" s="187"/>
      <c r="AJ53" s="187"/>
      <c r="AK53" s="187"/>
      <c r="AL53" s="187"/>
      <c r="AM53" s="187"/>
      <c r="AN53" s="187"/>
      <c r="AO53" s="187"/>
      <c r="AP53" s="187"/>
      <c r="AQ53" s="187"/>
      <c r="AR53" s="187"/>
      <c r="AS53" s="187"/>
      <c r="AT53" s="187"/>
      <c r="AU53" s="187"/>
    </row>
    <row r="54" spans="1:47" outlineLevel="1">
      <c r="A54" s="12"/>
      <c r="B54" s="12"/>
      <c r="C54" s="12"/>
      <c r="D54" s="12"/>
      <c r="E54" s="12"/>
      <c r="F54" s="40">
        <f>Asset14</f>
        <v>0</v>
      </c>
      <c r="G54" s="169"/>
      <c r="H54" s="62"/>
      <c r="I54" s="62"/>
      <c r="J54" s="62"/>
      <c r="K54" s="62"/>
      <c r="L54" s="62"/>
      <c r="M54" s="62"/>
      <c r="N54" s="62"/>
      <c r="O54" s="62"/>
      <c r="P54" s="62"/>
      <c r="Q54" s="62"/>
      <c r="R54" s="8"/>
      <c r="S54" s="8"/>
      <c r="T54" s="8"/>
      <c r="U54" s="8"/>
      <c r="V54" s="8"/>
      <c r="W54" s="44"/>
      <c r="X54" s="9"/>
      <c r="Y54" s="9"/>
      <c r="Z54" s="9"/>
      <c r="AA54" s="9"/>
      <c r="AB54" s="9"/>
      <c r="AC54" s="9"/>
      <c r="AD54" s="9"/>
      <c r="AE54" s="187"/>
      <c r="AF54" s="187"/>
      <c r="AG54" s="187"/>
      <c r="AH54" s="187"/>
      <c r="AI54" s="187"/>
      <c r="AJ54" s="187"/>
      <c r="AK54" s="187"/>
      <c r="AL54" s="187"/>
      <c r="AM54" s="187"/>
      <c r="AN54" s="187"/>
      <c r="AO54" s="187"/>
      <c r="AP54" s="187"/>
      <c r="AQ54" s="187"/>
      <c r="AR54" s="187"/>
      <c r="AS54" s="187"/>
      <c r="AT54" s="187"/>
      <c r="AU54" s="187"/>
    </row>
    <row r="55" spans="1:47" outlineLevel="1">
      <c r="A55" s="12"/>
      <c r="B55" s="12"/>
      <c r="C55" s="12"/>
      <c r="D55" s="12"/>
      <c r="E55" s="12"/>
      <c r="F55" s="40">
        <f>Asset15</f>
        <v>0</v>
      </c>
      <c r="G55" s="169"/>
      <c r="H55" s="62"/>
      <c r="I55" s="62"/>
      <c r="J55" s="62"/>
      <c r="K55" s="62"/>
      <c r="L55" s="62"/>
      <c r="M55" s="62"/>
      <c r="N55" s="62"/>
      <c r="O55" s="62"/>
      <c r="P55" s="62"/>
      <c r="Q55" s="62"/>
      <c r="R55" s="8"/>
      <c r="S55" s="8"/>
      <c r="T55" s="8"/>
      <c r="U55" s="8"/>
      <c r="V55" s="8"/>
      <c r="W55" s="44"/>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2"/>
      <c r="B56" s="12"/>
      <c r="C56" s="12"/>
      <c r="D56" s="12"/>
      <c r="E56" s="12"/>
      <c r="F56" s="40">
        <f>Asset16</f>
        <v>0</v>
      </c>
      <c r="G56" s="169"/>
      <c r="H56" s="62"/>
      <c r="I56" s="62"/>
      <c r="J56" s="62"/>
      <c r="K56" s="62"/>
      <c r="L56" s="62"/>
      <c r="M56" s="62"/>
      <c r="N56" s="62"/>
      <c r="O56" s="62"/>
      <c r="P56" s="62"/>
      <c r="Q56" s="62"/>
      <c r="R56" s="8"/>
      <c r="S56" s="8"/>
      <c r="T56" s="8"/>
      <c r="U56" s="8"/>
      <c r="V56" s="8"/>
      <c r="W56" s="44"/>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2"/>
      <c r="B57" s="12"/>
      <c r="C57" s="12"/>
      <c r="D57" s="12"/>
      <c r="E57" s="12"/>
      <c r="F57" s="40">
        <f>Asset17</f>
        <v>0</v>
      </c>
      <c r="G57" s="169"/>
      <c r="H57" s="62"/>
      <c r="I57" s="62"/>
      <c r="J57" s="62"/>
      <c r="K57" s="62"/>
      <c r="L57" s="62"/>
      <c r="M57" s="62"/>
      <c r="N57" s="62"/>
      <c r="O57" s="62"/>
      <c r="P57" s="62"/>
      <c r="Q57" s="62"/>
      <c r="R57" s="8"/>
      <c r="S57" s="8"/>
      <c r="T57" s="8"/>
      <c r="U57" s="8"/>
      <c r="V57" s="8"/>
      <c r="W57" s="44"/>
      <c r="X57" s="9"/>
      <c r="Y57" s="9"/>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2"/>
      <c r="B58" s="12"/>
      <c r="C58" s="12"/>
      <c r="D58" s="12"/>
      <c r="E58" s="12"/>
      <c r="F58" s="40">
        <f>Asset18</f>
        <v>0</v>
      </c>
      <c r="G58" s="169"/>
      <c r="H58" s="62"/>
      <c r="I58" s="62"/>
      <c r="J58" s="62"/>
      <c r="K58" s="62"/>
      <c r="L58" s="62"/>
      <c r="M58" s="62"/>
      <c r="N58" s="62"/>
      <c r="O58" s="62"/>
      <c r="P58" s="62"/>
      <c r="Q58" s="62"/>
      <c r="R58" s="8"/>
      <c r="S58" s="8"/>
      <c r="T58" s="8"/>
      <c r="U58" s="8"/>
      <c r="V58" s="8"/>
      <c r="W58" s="44"/>
      <c r="X58" s="9"/>
      <c r="Y58" s="9"/>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2"/>
      <c r="B59" s="12"/>
      <c r="C59" s="12"/>
      <c r="D59" s="12"/>
      <c r="E59" s="12"/>
      <c r="F59" s="40">
        <f>Asset19</f>
        <v>0</v>
      </c>
      <c r="G59" s="169"/>
      <c r="H59" s="62"/>
      <c r="I59" s="62"/>
      <c r="J59" s="62"/>
      <c r="K59" s="62"/>
      <c r="L59" s="62"/>
      <c r="M59" s="62"/>
      <c r="N59" s="62"/>
      <c r="O59" s="62"/>
      <c r="P59" s="62"/>
      <c r="Q59" s="62"/>
      <c r="R59" s="8"/>
      <c r="S59" s="8"/>
      <c r="T59" s="8"/>
      <c r="U59" s="8"/>
      <c r="V59" s="8"/>
      <c r="W59" s="44"/>
      <c r="X59" s="9"/>
      <c r="Y59" s="9"/>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2"/>
      <c r="B60" s="12"/>
      <c r="C60" s="12"/>
      <c r="D60" s="12"/>
      <c r="E60" s="12"/>
      <c r="F60" s="40">
        <f>Asset20</f>
        <v>0</v>
      </c>
      <c r="G60" s="169"/>
      <c r="H60" s="62"/>
      <c r="I60" s="62"/>
      <c r="J60" s="62"/>
      <c r="K60" s="62"/>
      <c r="L60" s="62"/>
      <c r="M60" s="62"/>
      <c r="N60" s="62"/>
      <c r="O60" s="62"/>
      <c r="P60" s="62"/>
      <c r="Q60" s="62"/>
      <c r="R60" s="8"/>
      <c r="S60" s="8"/>
      <c r="T60" s="8"/>
      <c r="U60" s="8"/>
      <c r="V60" s="8"/>
      <c r="W60" s="44"/>
      <c r="X60" s="9"/>
      <c r="Y60" s="9"/>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2"/>
      <c r="B61" s="12"/>
      <c r="C61" s="12"/>
      <c r="D61" s="12"/>
      <c r="E61" s="12"/>
      <c r="F61" s="40">
        <f>Asset21</f>
        <v>0</v>
      </c>
      <c r="G61" s="169"/>
      <c r="H61" s="62"/>
      <c r="I61" s="62"/>
      <c r="J61" s="62"/>
      <c r="K61" s="62"/>
      <c r="L61" s="62"/>
      <c r="M61" s="62"/>
      <c r="N61" s="62"/>
      <c r="O61" s="62"/>
      <c r="P61" s="62"/>
      <c r="Q61" s="62"/>
      <c r="R61" s="8"/>
      <c r="S61" s="8"/>
      <c r="T61" s="8"/>
      <c r="U61" s="8"/>
      <c r="V61" s="8"/>
      <c r="W61" s="44"/>
      <c r="X61" s="9"/>
      <c r="Y61" s="9"/>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2"/>
      <c r="B62" s="12"/>
      <c r="C62" s="12"/>
      <c r="D62" s="12"/>
      <c r="E62" s="12"/>
      <c r="F62" s="40">
        <f>Asset22</f>
        <v>0</v>
      </c>
      <c r="G62" s="169"/>
      <c r="H62" s="62"/>
      <c r="I62" s="62"/>
      <c r="J62" s="62"/>
      <c r="K62" s="62"/>
      <c r="L62" s="62"/>
      <c r="M62" s="62"/>
      <c r="N62" s="62"/>
      <c r="O62" s="62"/>
      <c r="P62" s="62"/>
      <c r="Q62" s="62"/>
      <c r="R62" s="8"/>
      <c r="S62" s="8"/>
      <c r="T62" s="8"/>
      <c r="U62" s="8"/>
      <c r="V62" s="8"/>
      <c r="W62" s="44"/>
      <c r="X62" s="9"/>
      <c r="Y62" s="9"/>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2"/>
      <c r="B63" s="12"/>
      <c r="C63" s="12"/>
      <c r="D63" s="12"/>
      <c r="E63" s="12"/>
      <c r="F63" s="40">
        <f>Asset23</f>
        <v>0</v>
      </c>
      <c r="G63" s="169"/>
      <c r="H63" s="62"/>
      <c r="I63" s="62"/>
      <c r="J63" s="62"/>
      <c r="K63" s="62"/>
      <c r="L63" s="62"/>
      <c r="M63" s="62"/>
      <c r="N63" s="62"/>
      <c r="O63" s="62"/>
      <c r="P63" s="62"/>
      <c r="Q63" s="62"/>
      <c r="R63" s="8"/>
      <c r="S63" s="8"/>
      <c r="T63" s="8"/>
      <c r="U63" s="8"/>
      <c r="V63" s="8"/>
      <c r="W63" s="44"/>
      <c r="X63" s="9"/>
      <c r="Y63" s="9"/>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2"/>
      <c r="B64" s="12"/>
      <c r="C64" s="12"/>
      <c r="D64" s="12"/>
      <c r="E64" s="12"/>
      <c r="F64" s="40">
        <f>Asset24</f>
        <v>0</v>
      </c>
      <c r="G64" s="169"/>
      <c r="H64" s="62"/>
      <c r="I64" s="62"/>
      <c r="J64" s="62"/>
      <c r="K64" s="62"/>
      <c r="L64" s="62"/>
      <c r="M64" s="62"/>
      <c r="N64" s="62"/>
      <c r="O64" s="62"/>
      <c r="P64" s="62"/>
      <c r="Q64" s="62"/>
      <c r="R64" s="8"/>
      <c r="S64" s="8"/>
      <c r="T64" s="8"/>
      <c r="U64" s="8"/>
      <c r="V64" s="8"/>
      <c r="W64" s="44"/>
      <c r="X64" s="9"/>
      <c r="Y64" s="9"/>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2"/>
      <c r="B65" s="12"/>
      <c r="C65" s="12"/>
      <c r="D65" s="12"/>
      <c r="E65" s="12"/>
      <c r="F65" s="40">
        <f>Asset25</f>
        <v>0</v>
      </c>
      <c r="G65" s="169"/>
      <c r="H65" s="62"/>
      <c r="I65" s="62"/>
      <c r="J65" s="62"/>
      <c r="K65" s="62"/>
      <c r="L65" s="62"/>
      <c r="M65" s="62"/>
      <c r="N65" s="62"/>
      <c r="O65" s="62"/>
      <c r="P65" s="62"/>
      <c r="Q65" s="62"/>
      <c r="R65" s="8"/>
      <c r="S65" s="8"/>
      <c r="T65" s="8"/>
      <c r="U65" s="8"/>
      <c r="V65" s="8"/>
      <c r="W65" s="44"/>
      <c r="X65" s="9"/>
      <c r="Y65" s="9"/>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2"/>
      <c r="B66" s="12"/>
      <c r="C66" s="12"/>
      <c r="D66" s="12"/>
      <c r="E66" s="12"/>
      <c r="F66" s="40">
        <f>Asset26</f>
        <v>0</v>
      </c>
      <c r="G66" s="169"/>
      <c r="H66" s="62"/>
      <c r="I66" s="62"/>
      <c r="J66" s="62"/>
      <c r="K66" s="62"/>
      <c r="L66" s="62"/>
      <c r="M66" s="62"/>
      <c r="N66" s="62"/>
      <c r="O66" s="62"/>
      <c r="P66" s="62"/>
      <c r="Q66" s="62"/>
      <c r="R66" s="8"/>
      <c r="S66" s="8"/>
      <c r="T66" s="8"/>
      <c r="U66" s="8"/>
      <c r="V66" s="8"/>
      <c r="W66" s="44"/>
      <c r="X66" s="9"/>
      <c r="Y66" s="9"/>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2"/>
      <c r="B67" s="12"/>
      <c r="C67" s="12"/>
      <c r="D67" s="12"/>
      <c r="E67" s="12"/>
      <c r="F67" s="40">
        <f>Asset27</f>
        <v>0</v>
      </c>
      <c r="G67" s="169"/>
      <c r="H67" s="62"/>
      <c r="I67" s="62"/>
      <c r="J67" s="62"/>
      <c r="K67" s="62"/>
      <c r="L67" s="62"/>
      <c r="M67" s="62"/>
      <c r="N67" s="62"/>
      <c r="O67" s="62"/>
      <c r="P67" s="62"/>
      <c r="Q67" s="62"/>
      <c r="R67" s="8"/>
      <c r="S67" s="8"/>
      <c r="T67" s="8"/>
      <c r="U67" s="8"/>
      <c r="V67" s="8"/>
      <c r="W67" s="44"/>
      <c r="X67" s="9"/>
      <c r="Y67" s="9"/>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2"/>
      <c r="B68" s="12"/>
      <c r="C68" s="12"/>
      <c r="D68" s="12"/>
      <c r="E68" s="12"/>
      <c r="F68" s="40">
        <f>Asset28</f>
        <v>0</v>
      </c>
      <c r="G68" s="169"/>
      <c r="H68" s="62"/>
      <c r="I68" s="62"/>
      <c r="J68" s="62"/>
      <c r="K68" s="62"/>
      <c r="L68" s="62"/>
      <c r="M68" s="62"/>
      <c r="N68" s="62"/>
      <c r="O68" s="62"/>
      <c r="P68" s="62"/>
      <c r="Q68" s="62"/>
      <c r="R68" s="8"/>
      <c r="S68" s="8"/>
      <c r="T68" s="8"/>
      <c r="U68" s="8"/>
      <c r="V68" s="8"/>
      <c r="W68" s="44"/>
      <c r="X68" s="9"/>
      <c r="Y68" s="9"/>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2"/>
      <c r="B69" s="12"/>
      <c r="C69" s="12"/>
      <c r="D69" s="12"/>
      <c r="E69" s="12"/>
      <c r="F69" s="40">
        <f>Asset29</f>
        <v>0</v>
      </c>
      <c r="G69" s="169"/>
      <c r="H69" s="62"/>
      <c r="I69" s="62"/>
      <c r="J69" s="62"/>
      <c r="K69" s="62"/>
      <c r="L69" s="62"/>
      <c r="M69" s="62"/>
      <c r="N69" s="62"/>
      <c r="O69" s="62"/>
      <c r="P69" s="62"/>
      <c r="Q69" s="62"/>
      <c r="R69" s="8"/>
      <c r="S69" s="8"/>
      <c r="T69" s="8"/>
      <c r="U69" s="8"/>
      <c r="V69" s="8"/>
      <c r="W69" s="44"/>
      <c r="X69" s="9"/>
      <c r="Y69" s="9"/>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2"/>
      <c r="B70" s="12"/>
      <c r="C70" s="12"/>
      <c r="D70" s="12"/>
      <c r="E70" s="12"/>
      <c r="F70" s="40">
        <f>Asset30</f>
        <v>0</v>
      </c>
      <c r="G70" s="169"/>
      <c r="H70" s="62"/>
      <c r="I70" s="62"/>
      <c r="J70" s="62"/>
      <c r="K70" s="62"/>
      <c r="L70" s="62"/>
      <c r="M70" s="62"/>
      <c r="N70" s="62"/>
      <c r="O70" s="62"/>
      <c r="P70" s="62"/>
      <c r="Q70" s="62"/>
      <c r="R70" s="8"/>
      <c r="S70" s="8"/>
      <c r="T70" s="8"/>
      <c r="U70" s="8"/>
      <c r="V70" s="8"/>
      <c r="W70" s="44"/>
      <c r="X70" s="9"/>
      <c r="Y70" s="9"/>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c r="A71" s="12"/>
      <c r="B71" s="12"/>
      <c r="C71" s="12"/>
      <c r="D71" s="12"/>
      <c r="E71" s="12"/>
      <c r="F71" s="40" t="s">
        <v>22</v>
      </c>
      <c r="G71" s="314">
        <f>SUM(G41:G70)</f>
        <v>102.01499999999999</v>
      </c>
      <c r="H71" s="314">
        <f>SUM(H41:H70)</f>
        <v>104.05749896</v>
      </c>
      <c r="I71" s="314">
        <f t="shared" ref="I71:Q71" si="2">SUM(I41:I70)</f>
        <v>113.51682296565326</v>
      </c>
      <c r="J71" s="314">
        <f>SUM(J41:J70)</f>
        <v>127.24363225800472</v>
      </c>
      <c r="K71" s="314">
        <f t="shared" si="2"/>
        <v>91.857436090463182</v>
      </c>
      <c r="L71" s="314">
        <f>SUM(L41:L70)</f>
        <v>112.14</v>
      </c>
      <c r="M71" s="242">
        <f t="shared" si="2"/>
        <v>0</v>
      </c>
      <c r="N71" s="242">
        <f t="shared" si="2"/>
        <v>0</v>
      </c>
      <c r="O71" s="242">
        <f t="shared" si="2"/>
        <v>0</v>
      </c>
      <c r="P71" s="242">
        <f t="shared" si="2"/>
        <v>0</v>
      </c>
      <c r="Q71" s="242">
        <f t="shared" si="2"/>
        <v>0</v>
      </c>
      <c r="R71" s="38"/>
      <c r="S71" s="38"/>
      <c r="T71" s="38"/>
      <c r="U71" s="38"/>
      <c r="V71" s="38"/>
      <c r="W71" s="38"/>
      <c r="X71" s="48"/>
      <c r="Y71" s="8"/>
      <c r="Z71" s="8"/>
      <c r="AA71" s="44"/>
      <c r="AB71" s="9"/>
      <c r="AC71" s="9"/>
      <c r="AD71" s="9"/>
      <c r="AE71" s="187"/>
      <c r="AF71" s="187"/>
      <c r="AG71" s="187"/>
      <c r="AH71" s="187"/>
      <c r="AI71" s="187"/>
      <c r="AJ71" s="187"/>
      <c r="AK71" s="187"/>
      <c r="AL71" s="187"/>
      <c r="AM71" s="187"/>
      <c r="AN71" s="187"/>
      <c r="AO71" s="187"/>
      <c r="AP71" s="187"/>
      <c r="AQ71" s="187"/>
      <c r="AR71" s="187"/>
      <c r="AS71" s="187"/>
      <c r="AT71" s="187"/>
      <c r="AU71" s="187"/>
    </row>
    <row r="72" spans="1:47" ht="21" customHeight="1">
      <c r="A72" s="9"/>
      <c r="B72" s="9"/>
      <c r="C72" s="9"/>
      <c r="D72" s="9"/>
      <c r="E72" s="9"/>
      <c r="F72" s="9"/>
      <c r="G72" s="9"/>
      <c r="H72" s="18"/>
      <c r="I72" s="20"/>
      <c r="J72" s="9"/>
      <c r="K72" s="9"/>
      <c r="L72" s="9"/>
      <c r="M72" s="9"/>
      <c r="N72" s="9"/>
      <c r="O72" s="9"/>
      <c r="P72" s="9"/>
      <c r="Q72" s="9"/>
      <c r="R72" s="315">
        <f>SUM(G71:Q71)</f>
        <v>650.83039027412121</v>
      </c>
      <c r="S72" s="9"/>
      <c r="T72" s="9"/>
      <c r="U72" s="9"/>
      <c r="V72" s="9"/>
      <c r="W72" s="9"/>
      <c r="X72" s="9"/>
      <c r="Y72" s="9"/>
      <c r="Z72" s="9"/>
      <c r="AA72" s="19"/>
      <c r="AB72" s="9"/>
      <c r="AC72" s="9"/>
      <c r="AD72" s="9"/>
      <c r="AE72" s="187"/>
      <c r="AF72" s="187"/>
      <c r="AG72" s="187"/>
      <c r="AH72" s="187"/>
      <c r="AI72" s="187"/>
      <c r="AJ72" s="187"/>
      <c r="AK72" s="187"/>
      <c r="AL72" s="187"/>
      <c r="AM72" s="187"/>
      <c r="AN72" s="187"/>
      <c r="AO72" s="187"/>
      <c r="AP72" s="187"/>
      <c r="AQ72" s="187"/>
      <c r="AR72" s="187"/>
      <c r="AS72" s="187"/>
      <c r="AT72" s="187"/>
      <c r="AU72" s="187"/>
    </row>
    <row r="73" spans="1:47" ht="13.5" customHeight="1">
      <c r="A73" s="73"/>
      <c r="B73" s="73"/>
      <c r="C73" s="73"/>
      <c r="D73" s="73"/>
      <c r="E73" s="73"/>
      <c r="F73" s="161" t="s">
        <v>82</v>
      </c>
      <c r="G73" s="161"/>
      <c r="H73" s="161"/>
      <c r="I73" s="161"/>
      <c r="J73" s="161"/>
      <c r="K73" s="76"/>
      <c r="L73" s="76"/>
      <c r="M73" s="74"/>
      <c r="N73" s="74"/>
      <c r="O73" s="74"/>
      <c r="P73" s="74"/>
      <c r="Q73" s="74"/>
      <c r="R73" s="74"/>
      <c r="S73" s="74"/>
      <c r="T73" s="74"/>
      <c r="U73" s="74"/>
      <c r="V73" s="74"/>
      <c r="W73" s="74"/>
      <c r="X73" s="8"/>
      <c r="Y73" s="8"/>
      <c r="Z73" s="8"/>
      <c r="AA73" s="8"/>
      <c r="AB73" s="44"/>
      <c r="AC73" s="9"/>
      <c r="AD73" s="9"/>
      <c r="AE73" s="187"/>
      <c r="AF73" s="187"/>
      <c r="AG73" s="187"/>
      <c r="AH73" s="187"/>
      <c r="AI73" s="187"/>
      <c r="AJ73" s="187"/>
      <c r="AK73" s="187"/>
      <c r="AL73" s="187"/>
      <c r="AM73" s="187"/>
      <c r="AN73" s="187"/>
      <c r="AO73" s="187"/>
      <c r="AP73" s="187"/>
      <c r="AQ73" s="187"/>
      <c r="AR73" s="187"/>
      <c r="AS73" s="187"/>
      <c r="AT73" s="187"/>
      <c r="AU73" s="187"/>
    </row>
    <row r="74" spans="1:47">
      <c r="A74" s="12"/>
      <c r="B74" s="12"/>
      <c r="C74" s="12"/>
      <c r="D74" s="12"/>
      <c r="E74" s="12"/>
      <c r="F74" s="39" t="s">
        <v>5</v>
      </c>
      <c r="G74" s="240">
        <f>G40</f>
        <v>2012</v>
      </c>
      <c r="H74" s="240">
        <f t="shared" ref="H74:Q74" si="3">H40</f>
        <v>2013</v>
      </c>
      <c r="I74" s="240" t="str">
        <f t="shared" si="3"/>
        <v>2014</v>
      </c>
      <c r="J74" s="240" t="str">
        <f t="shared" si="3"/>
        <v>2015</v>
      </c>
      <c r="K74" s="240" t="str">
        <f t="shared" si="3"/>
        <v>2016</v>
      </c>
      <c r="L74" s="240" t="str">
        <f t="shared" si="3"/>
        <v>2017</v>
      </c>
      <c r="M74" s="240" t="str">
        <f t="shared" si="3"/>
        <v>2018</v>
      </c>
      <c r="N74" s="240" t="str">
        <f t="shared" si="3"/>
        <v>2019</v>
      </c>
      <c r="O74" s="240" t="str">
        <f t="shared" si="3"/>
        <v>2020</v>
      </c>
      <c r="P74" s="240" t="str">
        <f t="shared" si="3"/>
        <v>2021</v>
      </c>
      <c r="Q74" s="240" t="str">
        <f t="shared" si="3"/>
        <v>2022</v>
      </c>
      <c r="R74" s="8"/>
      <c r="S74" s="8"/>
      <c r="T74" s="8"/>
      <c r="U74" s="8"/>
      <c r="V74" s="8"/>
      <c r="W74" s="44"/>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outlineLevel="1">
      <c r="A75" s="12"/>
      <c r="B75" s="12"/>
      <c r="C75" s="12"/>
      <c r="D75" s="12"/>
      <c r="E75" s="12"/>
      <c r="F75" s="40" t="str">
        <f>Asset1</f>
        <v>Mains &amp; Services</v>
      </c>
      <c r="G75" s="168"/>
      <c r="H75" s="61"/>
      <c r="I75" s="61"/>
      <c r="J75" s="61"/>
      <c r="K75" s="61"/>
      <c r="L75" s="61"/>
      <c r="M75" s="61"/>
      <c r="N75" s="61"/>
      <c r="O75" s="61"/>
      <c r="P75" s="61"/>
      <c r="Q75" s="61"/>
      <c r="R75" s="8"/>
      <c r="S75" s="8"/>
      <c r="T75" s="8"/>
      <c r="U75" s="8"/>
      <c r="V75" s="8"/>
      <c r="W75" s="44"/>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outlineLevel="1">
      <c r="A76" s="12"/>
      <c r="B76" s="12"/>
      <c r="C76" s="12"/>
      <c r="D76" s="12"/>
      <c r="E76" s="12"/>
      <c r="F76" s="40" t="str">
        <f>Asset2</f>
        <v>Meters</v>
      </c>
      <c r="G76" s="169"/>
      <c r="H76" s="62"/>
      <c r="I76" s="62"/>
      <c r="J76" s="62"/>
      <c r="K76" s="62"/>
      <c r="L76" s="62"/>
      <c r="M76" s="62"/>
      <c r="N76" s="62"/>
      <c r="O76" s="62"/>
      <c r="P76" s="62"/>
      <c r="Q76" s="62"/>
      <c r="R76" s="8"/>
      <c r="S76" s="8"/>
      <c r="T76" s="8"/>
      <c r="U76" s="8"/>
      <c r="V76" s="8"/>
      <c r="W76" s="44"/>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outlineLevel="1">
      <c r="A77" s="12"/>
      <c r="B77" s="12"/>
      <c r="C77" s="12"/>
      <c r="D77" s="12"/>
      <c r="E77" s="12"/>
      <c r="F77" s="40" t="str">
        <f>Asset3</f>
        <v>Buildings</v>
      </c>
      <c r="G77" s="169"/>
      <c r="H77" s="62">
        <f>759182.34/1000000</f>
        <v>0.75918233999999996</v>
      </c>
      <c r="I77" s="62"/>
      <c r="J77" s="62"/>
      <c r="K77" s="62"/>
      <c r="L77" s="62"/>
      <c r="M77" s="62"/>
      <c r="N77" s="62"/>
      <c r="O77" s="62"/>
      <c r="P77" s="62"/>
      <c r="Q77" s="62"/>
      <c r="R77" s="8"/>
      <c r="S77" s="8"/>
      <c r="T77" s="8"/>
      <c r="U77" s="8"/>
      <c r="V77" s="8"/>
      <c r="W77" s="44"/>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outlineLevel="1">
      <c r="A78" s="12"/>
      <c r="B78" s="12"/>
      <c r="C78" s="12"/>
      <c r="D78" s="12"/>
      <c r="E78" s="12"/>
      <c r="F78" s="40" t="str">
        <f>Asset4</f>
        <v>SCADA</v>
      </c>
      <c r="G78" s="169"/>
      <c r="H78" s="62"/>
      <c r="I78" s="62"/>
      <c r="J78" s="62"/>
      <c r="K78" s="62"/>
      <c r="L78" s="62"/>
      <c r="M78" s="62"/>
      <c r="N78" s="62"/>
      <c r="O78" s="62"/>
      <c r="P78" s="62"/>
      <c r="Q78" s="62"/>
      <c r="R78" s="8"/>
      <c r="S78" s="8"/>
      <c r="T78" s="8"/>
      <c r="U78" s="8"/>
      <c r="V78" s="8"/>
      <c r="W78" s="44"/>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outlineLevel="1">
      <c r="A79" s="12"/>
      <c r="B79" s="12"/>
      <c r="C79" s="12"/>
      <c r="D79" s="12"/>
      <c r="E79" s="12"/>
      <c r="F79" s="40" t="str">
        <f>Asset5</f>
        <v>Computer Equipment</v>
      </c>
      <c r="G79" s="169"/>
      <c r="H79" s="62"/>
      <c r="I79" s="62"/>
      <c r="J79" s="62"/>
      <c r="K79" s="62"/>
      <c r="L79" s="62"/>
      <c r="M79" s="62"/>
      <c r="N79" s="62"/>
      <c r="O79" s="62"/>
      <c r="P79" s="62"/>
      <c r="Q79" s="62"/>
      <c r="R79" s="8"/>
      <c r="S79" s="8"/>
      <c r="T79" s="8"/>
      <c r="U79" s="8"/>
      <c r="V79" s="8"/>
      <c r="W79" s="44"/>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outlineLevel="1">
      <c r="A80" s="12"/>
      <c r="B80" s="12"/>
      <c r="C80" s="12"/>
      <c r="D80" s="12"/>
      <c r="E80" s="12"/>
      <c r="F80" s="40" t="str">
        <f>Asset6</f>
        <v>Other Assets</v>
      </c>
      <c r="G80" s="169"/>
      <c r="H80" s="62"/>
      <c r="I80" s="62"/>
      <c r="J80" s="62"/>
      <c r="K80" s="62"/>
      <c r="L80" s="62"/>
      <c r="M80" s="62"/>
      <c r="N80" s="62"/>
      <c r="O80" s="62"/>
      <c r="P80" s="62"/>
      <c r="Q80" s="62"/>
      <c r="R80" s="8"/>
      <c r="S80" s="8"/>
      <c r="T80" s="8"/>
      <c r="U80" s="8"/>
      <c r="V80" s="8"/>
      <c r="W80" s="44"/>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outlineLevel="1">
      <c r="A81" s="12"/>
      <c r="B81" s="12"/>
      <c r="C81" s="12"/>
      <c r="D81" s="12"/>
      <c r="E81" s="12"/>
      <c r="F81" s="40" t="str">
        <f>Asset7</f>
        <v>Equity Raising Costs</v>
      </c>
      <c r="G81" s="169"/>
      <c r="H81" s="62"/>
      <c r="I81" s="62"/>
      <c r="J81" s="62"/>
      <c r="K81" s="62"/>
      <c r="L81" s="62"/>
      <c r="M81" s="62"/>
      <c r="N81" s="62"/>
      <c r="O81" s="62"/>
      <c r="P81" s="62"/>
      <c r="Q81" s="62"/>
      <c r="R81" s="8"/>
      <c r="S81" s="8"/>
      <c r="T81" s="8"/>
      <c r="U81" s="8"/>
      <c r="V81" s="8"/>
      <c r="W81" s="44"/>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outlineLevel="1">
      <c r="A82" s="12"/>
      <c r="B82" s="12"/>
      <c r="C82" s="12"/>
      <c r="D82" s="12"/>
      <c r="E82" s="12"/>
      <c r="F82" s="40" t="str">
        <f>Asset8</f>
        <v>Land</v>
      </c>
      <c r="G82" s="169"/>
      <c r="H82" s="62"/>
      <c r="I82" s="62"/>
      <c r="J82" s="62"/>
      <c r="K82" s="62"/>
      <c r="L82" s="62"/>
      <c r="M82" s="62"/>
      <c r="N82" s="62"/>
      <c r="O82" s="62"/>
      <c r="P82" s="62"/>
      <c r="Q82" s="62"/>
      <c r="R82" s="8"/>
      <c r="S82" s="8"/>
      <c r="T82" s="8"/>
      <c r="U82" s="8"/>
      <c r="V82" s="8"/>
      <c r="W82" s="44"/>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outlineLevel="1">
      <c r="A83" s="12"/>
      <c r="B83" s="12"/>
      <c r="C83" s="12"/>
      <c r="D83" s="12"/>
      <c r="E83" s="12"/>
      <c r="F83" s="40">
        <f>Asset9</f>
        <v>0</v>
      </c>
      <c r="G83" s="169"/>
      <c r="H83" s="62"/>
      <c r="I83" s="62"/>
      <c r="J83" s="62"/>
      <c r="K83" s="62"/>
      <c r="L83" s="62"/>
      <c r="M83" s="62"/>
      <c r="N83" s="62"/>
      <c r="O83" s="62"/>
      <c r="P83" s="62"/>
      <c r="Q83" s="62"/>
      <c r="R83" s="8"/>
      <c r="S83" s="8"/>
      <c r="T83" s="8"/>
      <c r="U83" s="8"/>
      <c r="V83" s="8"/>
      <c r="W83" s="44"/>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outlineLevel="1">
      <c r="A84" s="12"/>
      <c r="B84" s="12"/>
      <c r="C84" s="12"/>
      <c r="D84" s="12"/>
      <c r="E84" s="12"/>
      <c r="F84" s="40">
        <f>Asset10</f>
        <v>0</v>
      </c>
      <c r="G84" s="169"/>
      <c r="H84" s="62"/>
      <c r="I84" s="62"/>
      <c r="J84" s="62"/>
      <c r="K84" s="62"/>
      <c r="L84" s="62"/>
      <c r="M84" s="62"/>
      <c r="N84" s="62"/>
      <c r="O84" s="62"/>
      <c r="P84" s="62"/>
      <c r="Q84" s="62"/>
      <c r="R84" s="8"/>
      <c r="S84" s="8"/>
      <c r="T84" s="8"/>
      <c r="U84" s="8"/>
      <c r="V84" s="8"/>
      <c r="W84" s="44"/>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outlineLevel="1">
      <c r="A85" s="12"/>
      <c r="B85" s="12"/>
      <c r="C85" s="12"/>
      <c r="D85" s="12"/>
      <c r="E85" s="12"/>
      <c r="F85" s="40">
        <f>Asset11</f>
        <v>0</v>
      </c>
      <c r="G85" s="169"/>
      <c r="H85" s="62"/>
      <c r="I85" s="62"/>
      <c r="J85" s="62"/>
      <c r="K85" s="62"/>
      <c r="L85" s="62"/>
      <c r="M85" s="62"/>
      <c r="N85" s="62"/>
      <c r="O85" s="62"/>
      <c r="P85" s="62"/>
      <c r="Q85" s="62"/>
      <c r="R85" s="8"/>
      <c r="S85" s="8"/>
      <c r="T85" s="8"/>
      <c r="U85" s="8"/>
      <c r="V85" s="8"/>
      <c r="W85" s="44"/>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outlineLevel="1">
      <c r="A86" s="12"/>
      <c r="B86" s="12"/>
      <c r="C86" s="12"/>
      <c r="D86" s="12"/>
      <c r="E86" s="12"/>
      <c r="F86" s="40">
        <f>Asset12</f>
        <v>0</v>
      </c>
      <c r="G86" s="169"/>
      <c r="H86" s="62"/>
      <c r="I86" s="62"/>
      <c r="J86" s="62"/>
      <c r="K86" s="62"/>
      <c r="L86" s="62"/>
      <c r="M86" s="62"/>
      <c r="N86" s="62"/>
      <c r="O86" s="62"/>
      <c r="P86" s="62"/>
      <c r="Q86" s="62"/>
      <c r="R86" s="8"/>
      <c r="S86" s="8"/>
      <c r="T86" s="8"/>
      <c r="U86" s="8"/>
      <c r="V86" s="8"/>
      <c r="W86" s="44"/>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outlineLevel="1">
      <c r="A87" s="12"/>
      <c r="B87" s="12"/>
      <c r="C87" s="12"/>
      <c r="D87" s="12"/>
      <c r="E87" s="12"/>
      <c r="F87" s="40">
        <f>Asset13</f>
        <v>0</v>
      </c>
      <c r="G87" s="169"/>
      <c r="H87" s="62"/>
      <c r="I87" s="62"/>
      <c r="J87" s="62"/>
      <c r="K87" s="62"/>
      <c r="L87" s="62"/>
      <c r="M87" s="62"/>
      <c r="N87" s="62"/>
      <c r="O87" s="62"/>
      <c r="P87" s="62"/>
      <c r="Q87" s="62"/>
      <c r="R87" s="8"/>
      <c r="S87" s="8"/>
      <c r="T87" s="8"/>
      <c r="U87" s="8"/>
      <c r="V87" s="8"/>
      <c r="W87" s="44"/>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outlineLevel="1">
      <c r="A88" s="12"/>
      <c r="B88" s="12"/>
      <c r="C88" s="12"/>
      <c r="D88" s="12"/>
      <c r="E88" s="12"/>
      <c r="F88" s="40">
        <f>Asset14</f>
        <v>0</v>
      </c>
      <c r="G88" s="169"/>
      <c r="H88" s="62"/>
      <c r="I88" s="62"/>
      <c r="J88" s="62"/>
      <c r="K88" s="62"/>
      <c r="L88" s="62"/>
      <c r="M88" s="62"/>
      <c r="N88" s="62"/>
      <c r="O88" s="62"/>
      <c r="P88" s="62"/>
      <c r="Q88" s="62"/>
      <c r="R88" s="8"/>
      <c r="S88" s="8"/>
      <c r="T88" s="8"/>
      <c r="U88" s="8"/>
      <c r="V88" s="8"/>
      <c r="W88" s="44"/>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outlineLevel="1">
      <c r="A89" s="12"/>
      <c r="B89" s="12"/>
      <c r="C89" s="12"/>
      <c r="D89" s="12"/>
      <c r="E89" s="12"/>
      <c r="F89" s="40">
        <f>Asset15</f>
        <v>0</v>
      </c>
      <c r="G89" s="169"/>
      <c r="H89" s="62"/>
      <c r="I89" s="62"/>
      <c r="J89" s="62"/>
      <c r="K89" s="62"/>
      <c r="L89" s="62"/>
      <c r="M89" s="62"/>
      <c r="N89" s="62"/>
      <c r="O89" s="62"/>
      <c r="P89" s="62"/>
      <c r="Q89" s="62"/>
      <c r="R89" s="8"/>
      <c r="S89" s="8"/>
      <c r="T89" s="8"/>
      <c r="U89" s="8"/>
      <c r="V89" s="8"/>
      <c r="W89" s="44"/>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outlineLevel="1">
      <c r="A90" s="12"/>
      <c r="B90" s="12"/>
      <c r="C90" s="12"/>
      <c r="D90" s="12"/>
      <c r="E90" s="12"/>
      <c r="F90" s="40">
        <f>Asset16</f>
        <v>0</v>
      </c>
      <c r="G90" s="169"/>
      <c r="H90" s="62"/>
      <c r="I90" s="62"/>
      <c r="J90" s="62"/>
      <c r="K90" s="62"/>
      <c r="L90" s="62"/>
      <c r="M90" s="62"/>
      <c r="N90" s="62"/>
      <c r="O90" s="62"/>
      <c r="P90" s="62"/>
      <c r="Q90" s="62"/>
      <c r="R90" s="8"/>
      <c r="S90" s="8"/>
      <c r="T90" s="8"/>
      <c r="U90" s="8"/>
      <c r="V90" s="8"/>
      <c r="W90" s="44"/>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outlineLevel="1">
      <c r="A91" s="12"/>
      <c r="B91" s="12"/>
      <c r="C91" s="12"/>
      <c r="D91" s="12"/>
      <c r="E91" s="12"/>
      <c r="F91" s="40">
        <f>Asset17</f>
        <v>0</v>
      </c>
      <c r="G91" s="169"/>
      <c r="H91" s="62"/>
      <c r="I91" s="62"/>
      <c r="J91" s="62"/>
      <c r="K91" s="62"/>
      <c r="L91" s="62"/>
      <c r="M91" s="62"/>
      <c r="N91" s="62"/>
      <c r="O91" s="62"/>
      <c r="P91" s="62"/>
      <c r="Q91" s="62"/>
      <c r="R91" s="8"/>
      <c r="S91" s="8"/>
      <c r="T91" s="8"/>
      <c r="U91" s="8"/>
      <c r="V91" s="8"/>
      <c r="W91" s="44"/>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outlineLevel="1">
      <c r="A92" s="12"/>
      <c r="B92" s="12"/>
      <c r="C92" s="12"/>
      <c r="D92" s="12"/>
      <c r="E92" s="12"/>
      <c r="F92" s="40">
        <f>Asset18</f>
        <v>0</v>
      </c>
      <c r="G92" s="169"/>
      <c r="H92" s="62"/>
      <c r="I92" s="62"/>
      <c r="J92" s="62"/>
      <c r="K92" s="62"/>
      <c r="L92" s="62"/>
      <c r="M92" s="62"/>
      <c r="N92" s="62"/>
      <c r="O92" s="62"/>
      <c r="P92" s="62"/>
      <c r="Q92" s="62"/>
      <c r="R92" s="8"/>
      <c r="S92" s="8"/>
      <c r="T92" s="8"/>
      <c r="U92" s="8"/>
      <c r="V92" s="8"/>
      <c r="W92" s="44"/>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outlineLevel="1">
      <c r="A93" s="12"/>
      <c r="B93" s="12"/>
      <c r="C93" s="12"/>
      <c r="D93" s="12"/>
      <c r="E93" s="12"/>
      <c r="F93" s="40">
        <f>Asset19</f>
        <v>0</v>
      </c>
      <c r="G93" s="169"/>
      <c r="H93" s="62"/>
      <c r="I93" s="62"/>
      <c r="J93" s="62"/>
      <c r="K93" s="62"/>
      <c r="L93" s="62"/>
      <c r="M93" s="62"/>
      <c r="N93" s="62"/>
      <c r="O93" s="62"/>
      <c r="P93" s="62"/>
      <c r="Q93" s="62"/>
      <c r="R93" s="8"/>
      <c r="S93" s="8"/>
      <c r="T93" s="8"/>
      <c r="U93" s="8"/>
      <c r="V93" s="8"/>
      <c r="W93" s="44"/>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outlineLevel="1">
      <c r="A94" s="12"/>
      <c r="B94" s="12"/>
      <c r="C94" s="12"/>
      <c r="D94" s="12"/>
      <c r="E94" s="12"/>
      <c r="F94" s="40">
        <f>Asset20</f>
        <v>0</v>
      </c>
      <c r="G94" s="169"/>
      <c r="H94" s="62"/>
      <c r="I94" s="62"/>
      <c r="J94" s="62"/>
      <c r="K94" s="62"/>
      <c r="L94" s="62"/>
      <c r="M94" s="62"/>
      <c r="N94" s="62"/>
      <c r="O94" s="62"/>
      <c r="P94" s="62"/>
      <c r="Q94" s="62"/>
      <c r="R94" s="8"/>
      <c r="S94" s="8"/>
      <c r="T94" s="8"/>
      <c r="U94" s="8"/>
      <c r="V94" s="8"/>
      <c r="W94" s="44"/>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outlineLevel="1">
      <c r="A95" s="12"/>
      <c r="B95" s="12"/>
      <c r="C95" s="12"/>
      <c r="D95" s="12"/>
      <c r="E95" s="12"/>
      <c r="F95" s="40">
        <f>Asset21</f>
        <v>0</v>
      </c>
      <c r="G95" s="169"/>
      <c r="H95" s="62"/>
      <c r="I95" s="62"/>
      <c r="J95" s="62"/>
      <c r="K95" s="62"/>
      <c r="L95" s="62"/>
      <c r="M95" s="62"/>
      <c r="N95" s="62"/>
      <c r="O95" s="62"/>
      <c r="P95" s="62"/>
      <c r="Q95" s="62"/>
      <c r="R95" s="8"/>
      <c r="S95" s="8"/>
      <c r="T95" s="8"/>
      <c r="U95" s="8"/>
      <c r="V95" s="8"/>
      <c r="W95" s="44"/>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outlineLevel="1">
      <c r="A96" s="12"/>
      <c r="B96" s="12"/>
      <c r="C96" s="12"/>
      <c r="D96" s="12"/>
      <c r="E96" s="12"/>
      <c r="F96" s="40">
        <f>Asset22</f>
        <v>0</v>
      </c>
      <c r="G96" s="169"/>
      <c r="H96" s="62"/>
      <c r="I96" s="62"/>
      <c r="J96" s="62"/>
      <c r="K96" s="62"/>
      <c r="L96" s="62"/>
      <c r="M96" s="62"/>
      <c r="N96" s="62"/>
      <c r="O96" s="62"/>
      <c r="P96" s="62"/>
      <c r="Q96" s="62"/>
      <c r="R96" s="8"/>
      <c r="S96" s="8"/>
      <c r="T96" s="8"/>
      <c r="U96" s="8"/>
      <c r="V96" s="8"/>
      <c r="W96" s="44"/>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outlineLevel="1">
      <c r="A97" s="12"/>
      <c r="B97" s="12"/>
      <c r="C97" s="12"/>
      <c r="D97" s="12"/>
      <c r="E97" s="12"/>
      <c r="F97" s="40">
        <f>Asset23</f>
        <v>0</v>
      </c>
      <c r="G97" s="169"/>
      <c r="H97" s="62"/>
      <c r="I97" s="62"/>
      <c r="J97" s="62"/>
      <c r="K97" s="62"/>
      <c r="L97" s="62"/>
      <c r="M97" s="62"/>
      <c r="N97" s="62"/>
      <c r="O97" s="62"/>
      <c r="P97" s="62"/>
      <c r="Q97" s="62"/>
      <c r="R97" s="8"/>
      <c r="S97" s="8"/>
      <c r="T97" s="8"/>
      <c r="U97" s="8"/>
      <c r="V97" s="8"/>
      <c r="W97" s="44"/>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outlineLevel="1">
      <c r="A98" s="12"/>
      <c r="B98" s="12"/>
      <c r="C98" s="12"/>
      <c r="D98" s="12"/>
      <c r="E98" s="12"/>
      <c r="F98" s="40">
        <f>Asset24</f>
        <v>0</v>
      </c>
      <c r="G98" s="169"/>
      <c r="H98" s="62"/>
      <c r="I98" s="62"/>
      <c r="J98" s="62"/>
      <c r="K98" s="62"/>
      <c r="L98" s="62"/>
      <c r="M98" s="62"/>
      <c r="N98" s="62"/>
      <c r="O98" s="62"/>
      <c r="P98" s="62"/>
      <c r="Q98" s="62"/>
      <c r="R98" s="8"/>
      <c r="S98" s="8"/>
      <c r="T98" s="8"/>
      <c r="U98" s="8"/>
      <c r="V98" s="8"/>
      <c r="W98" s="44"/>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outlineLevel="1">
      <c r="A99" s="12"/>
      <c r="B99" s="12"/>
      <c r="C99" s="12"/>
      <c r="D99" s="12"/>
      <c r="E99" s="12"/>
      <c r="F99" s="40">
        <f>Asset25</f>
        <v>0</v>
      </c>
      <c r="G99" s="169"/>
      <c r="H99" s="62"/>
      <c r="I99" s="62"/>
      <c r="J99" s="62"/>
      <c r="K99" s="62"/>
      <c r="L99" s="62"/>
      <c r="M99" s="62"/>
      <c r="N99" s="62"/>
      <c r="O99" s="62"/>
      <c r="P99" s="62"/>
      <c r="Q99" s="62"/>
      <c r="R99" s="8"/>
      <c r="S99" s="8"/>
      <c r="T99" s="8"/>
      <c r="U99" s="8"/>
      <c r="V99" s="8"/>
      <c r="W99" s="44"/>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outlineLevel="1">
      <c r="A100" s="12"/>
      <c r="B100" s="12"/>
      <c r="C100" s="12"/>
      <c r="D100" s="12"/>
      <c r="E100" s="12"/>
      <c r="F100" s="40">
        <f>Asset26</f>
        <v>0</v>
      </c>
      <c r="G100" s="169"/>
      <c r="H100" s="62"/>
      <c r="I100" s="62"/>
      <c r="J100" s="62"/>
      <c r="K100" s="62"/>
      <c r="L100" s="62"/>
      <c r="M100" s="62"/>
      <c r="N100" s="62"/>
      <c r="O100" s="62"/>
      <c r="P100" s="62"/>
      <c r="Q100" s="62"/>
      <c r="R100" s="8"/>
      <c r="S100" s="8"/>
      <c r="T100" s="8"/>
      <c r="U100" s="8"/>
      <c r="V100" s="8"/>
      <c r="W100" s="44"/>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outlineLevel="1">
      <c r="A101" s="12"/>
      <c r="B101" s="12"/>
      <c r="C101" s="12"/>
      <c r="D101" s="12"/>
      <c r="E101" s="12"/>
      <c r="F101" s="40">
        <f>Asset27</f>
        <v>0</v>
      </c>
      <c r="G101" s="169"/>
      <c r="H101" s="62"/>
      <c r="I101" s="62"/>
      <c r="J101" s="62"/>
      <c r="K101" s="62"/>
      <c r="L101" s="62"/>
      <c r="M101" s="62"/>
      <c r="N101" s="62"/>
      <c r="O101" s="62"/>
      <c r="P101" s="62"/>
      <c r="Q101" s="62"/>
      <c r="R101" s="8"/>
      <c r="S101" s="8"/>
      <c r="T101" s="8"/>
      <c r="U101" s="8"/>
      <c r="V101" s="8"/>
      <c r="W101" s="44"/>
      <c r="X101" s="9"/>
      <c r="Y101" s="9"/>
      <c r="Z101" s="9"/>
      <c r="AA101" s="9"/>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outlineLevel="1">
      <c r="A102" s="12"/>
      <c r="B102" s="12"/>
      <c r="C102" s="12"/>
      <c r="D102" s="12"/>
      <c r="E102" s="12"/>
      <c r="F102" s="40">
        <f>Asset28</f>
        <v>0</v>
      </c>
      <c r="G102" s="169"/>
      <c r="H102" s="62"/>
      <c r="I102" s="62"/>
      <c r="J102" s="62"/>
      <c r="K102" s="62"/>
      <c r="L102" s="62"/>
      <c r="M102" s="62"/>
      <c r="N102" s="62"/>
      <c r="O102" s="62"/>
      <c r="P102" s="62"/>
      <c r="Q102" s="62"/>
      <c r="R102" s="8"/>
      <c r="S102" s="8"/>
      <c r="T102" s="8"/>
      <c r="U102" s="8"/>
      <c r="V102" s="8"/>
      <c r="W102" s="44"/>
      <c r="X102" s="9"/>
      <c r="Y102" s="9"/>
      <c r="Z102" s="9"/>
      <c r="AA102" s="9"/>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outlineLevel="1">
      <c r="A103" s="12"/>
      <c r="B103" s="12"/>
      <c r="C103" s="12"/>
      <c r="D103" s="12"/>
      <c r="E103" s="12"/>
      <c r="F103" s="40">
        <f>Asset29</f>
        <v>0</v>
      </c>
      <c r="G103" s="169"/>
      <c r="H103" s="62"/>
      <c r="I103" s="62"/>
      <c r="J103" s="62"/>
      <c r="K103" s="62"/>
      <c r="L103" s="62"/>
      <c r="M103" s="62"/>
      <c r="N103" s="62"/>
      <c r="O103" s="62"/>
      <c r="P103" s="62"/>
      <c r="Q103" s="62"/>
      <c r="R103" s="8"/>
      <c r="S103" s="8"/>
      <c r="T103" s="8"/>
      <c r="U103" s="8"/>
      <c r="V103" s="8"/>
      <c r="W103" s="44"/>
      <c r="X103" s="9"/>
      <c r="Y103" s="9"/>
      <c r="Z103" s="9"/>
      <c r="AA103" s="9"/>
      <c r="AB103" s="9"/>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outlineLevel="1">
      <c r="A104" s="12"/>
      <c r="B104" s="12"/>
      <c r="C104" s="12"/>
      <c r="D104" s="12"/>
      <c r="E104" s="12"/>
      <c r="F104" s="40">
        <f>Asset30</f>
        <v>0</v>
      </c>
      <c r="G104" s="169"/>
      <c r="H104" s="62"/>
      <c r="I104" s="62"/>
      <c r="J104" s="62"/>
      <c r="K104" s="62"/>
      <c r="L104" s="62"/>
      <c r="M104" s="62"/>
      <c r="N104" s="62"/>
      <c r="O104" s="62"/>
      <c r="P104" s="62"/>
      <c r="Q104" s="62"/>
      <c r="R104" s="8"/>
      <c r="S104" s="8"/>
      <c r="T104" s="8"/>
      <c r="U104" s="8"/>
      <c r="V104" s="8"/>
      <c r="W104" s="44"/>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c r="A105" s="12"/>
      <c r="B105" s="12"/>
      <c r="C105" s="12"/>
      <c r="D105" s="12"/>
      <c r="E105" s="12"/>
      <c r="F105" s="40" t="s">
        <v>22</v>
      </c>
      <c r="G105" s="242">
        <f t="shared" ref="G105:Q105" si="4">SUM(G75:G104)</f>
        <v>0</v>
      </c>
      <c r="H105" s="579">
        <f>SUM(H75:H104)</f>
        <v>0.75918233999999996</v>
      </c>
      <c r="I105" s="242">
        <f>SUM(I75:I104)</f>
        <v>0</v>
      </c>
      <c r="J105" s="242">
        <f t="shared" si="4"/>
        <v>0</v>
      </c>
      <c r="K105" s="242">
        <f t="shared" si="4"/>
        <v>0</v>
      </c>
      <c r="L105" s="242">
        <f t="shared" si="4"/>
        <v>0</v>
      </c>
      <c r="M105" s="242">
        <f t="shared" si="4"/>
        <v>0</v>
      </c>
      <c r="N105" s="242">
        <f t="shared" si="4"/>
        <v>0</v>
      </c>
      <c r="O105" s="242">
        <f t="shared" si="4"/>
        <v>0</v>
      </c>
      <c r="P105" s="242">
        <f t="shared" si="4"/>
        <v>0</v>
      </c>
      <c r="Q105" s="242">
        <f t="shared" si="4"/>
        <v>0</v>
      </c>
      <c r="R105" s="38"/>
      <c r="S105" s="38"/>
      <c r="T105" s="38"/>
      <c r="U105" s="38"/>
      <c r="V105" s="38"/>
      <c r="W105" s="38"/>
      <c r="X105" s="48"/>
      <c r="Y105" s="8"/>
      <c r="Z105" s="8"/>
      <c r="AA105" s="44"/>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ht="20.25" customHeight="1">
      <c r="A106" s="12"/>
      <c r="B106" s="12"/>
      <c r="C106" s="12"/>
      <c r="D106" s="12"/>
      <c r="F106" s="9"/>
      <c r="G106" s="9"/>
      <c r="H106" s="18"/>
      <c r="I106" s="20"/>
      <c r="J106" s="9"/>
      <c r="K106" s="9"/>
      <c r="L106" s="9"/>
      <c r="M106" s="9"/>
      <c r="N106" s="9"/>
      <c r="O106" s="9"/>
      <c r="P106" s="9"/>
      <c r="Q106" s="9"/>
      <c r="R106" s="241">
        <f>SUM(G105:Q105)</f>
        <v>0.75918233999999996</v>
      </c>
      <c r="S106" s="9"/>
      <c r="T106" s="9"/>
      <c r="U106" s="9"/>
      <c r="V106" s="9"/>
      <c r="W106" s="9"/>
      <c r="X106" s="9"/>
      <c r="Y106" s="9"/>
      <c r="Z106" s="9"/>
      <c r="AA106" s="1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ht="13.5" customHeight="1">
      <c r="A107" s="73"/>
      <c r="B107" s="73"/>
      <c r="C107" s="73"/>
      <c r="D107" s="73"/>
      <c r="E107" s="73"/>
      <c r="F107" s="161" t="s">
        <v>90</v>
      </c>
      <c r="G107" s="161"/>
      <c r="H107" s="161"/>
      <c r="I107" s="161"/>
      <c r="J107" s="161"/>
      <c r="K107" s="76"/>
      <c r="L107" s="76"/>
      <c r="M107" s="74"/>
      <c r="N107" s="74"/>
      <c r="O107" s="74"/>
      <c r="P107" s="74"/>
      <c r="Q107" s="74"/>
      <c r="R107" s="74"/>
      <c r="S107" s="74"/>
      <c r="T107" s="74"/>
      <c r="U107" s="74"/>
      <c r="V107" s="74"/>
      <c r="W107" s="74"/>
      <c r="X107" s="8"/>
      <c r="Y107" s="8"/>
      <c r="Z107" s="8"/>
      <c r="AA107" s="8"/>
      <c r="AB107" s="44"/>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c r="A108" s="12"/>
      <c r="B108" s="12"/>
      <c r="C108" s="12"/>
      <c r="D108" s="12"/>
      <c r="E108" s="12"/>
      <c r="F108" s="39" t="s">
        <v>5</v>
      </c>
      <c r="G108" s="240">
        <f>G74</f>
        <v>2012</v>
      </c>
      <c r="H108" s="240">
        <f t="shared" ref="H108:Q108" si="5">H74</f>
        <v>2013</v>
      </c>
      <c r="I108" s="240" t="str">
        <f t="shared" si="5"/>
        <v>2014</v>
      </c>
      <c r="J108" s="240" t="str">
        <f t="shared" si="5"/>
        <v>2015</v>
      </c>
      <c r="K108" s="240" t="str">
        <f t="shared" si="5"/>
        <v>2016</v>
      </c>
      <c r="L108" s="240" t="str">
        <f t="shared" si="5"/>
        <v>2017</v>
      </c>
      <c r="M108" s="240" t="str">
        <f t="shared" si="5"/>
        <v>2018</v>
      </c>
      <c r="N108" s="240" t="str">
        <f t="shared" si="5"/>
        <v>2019</v>
      </c>
      <c r="O108" s="240" t="str">
        <f t="shared" si="5"/>
        <v>2020</v>
      </c>
      <c r="P108" s="240" t="str">
        <f t="shared" si="5"/>
        <v>2021</v>
      </c>
      <c r="Q108" s="240" t="str">
        <f t="shared" si="5"/>
        <v>2022</v>
      </c>
      <c r="R108" s="8"/>
      <c r="S108" s="8"/>
      <c r="T108" s="8"/>
      <c r="U108" s="8"/>
      <c r="V108" s="8"/>
      <c r="W108" s="44"/>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2"/>
      <c r="B109" s="12"/>
      <c r="C109" s="12"/>
      <c r="D109" s="12"/>
      <c r="E109" s="12"/>
      <c r="F109" s="40" t="str">
        <f>Asset1</f>
        <v>Mains &amp; Services</v>
      </c>
      <c r="G109" s="169">
        <v>0.68300000000000005</v>
      </c>
      <c r="H109" s="311">
        <v>4.870173649999999</v>
      </c>
      <c r="I109" s="311">
        <v>5.2846742200000021</v>
      </c>
      <c r="J109" s="311">
        <v>4.3459597018186891</v>
      </c>
      <c r="K109" s="322">
        <v>5.1717267571290488</v>
      </c>
      <c r="L109" s="322">
        <v>12</v>
      </c>
      <c r="M109" s="61"/>
      <c r="N109" s="61"/>
      <c r="O109" s="61"/>
      <c r="P109" s="61"/>
      <c r="Q109" s="61"/>
      <c r="R109" s="8"/>
      <c r="S109" s="8"/>
      <c r="T109" s="8"/>
      <c r="U109" s="8"/>
      <c r="V109" s="8"/>
      <c r="W109" s="44"/>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2"/>
      <c r="B110" s="12"/>
      <c r="C110" s="12"/>
      <c r="D110" s="12"/>
      <c r="E110" s="12"/>
      <c r="F110" s="40" t="str">
        <f>Asset2</f>
        <v>Meters</v>
      </c>
      <c r="G110" s="169"/>
      <c r="H110" s="62"/>
      <c r="I110" s="62"/>
      <c r="J110" s="62"/>
      <c r="K110" s="62"/>
      <c r="L110" s="62"/>
      <c r="M110" s="62"/>
      <c r="N110" s="62"/>
      <c r="O110" s="62"/>
      <c r="P110" s="62"/>
      <c r="Q110" s="62"/>
      <c r="R110" s="8"/>
      <c r="S110" s="8"/>
      <c r="T110" s="8"/>
      <c r="U110" s="8"/>
      <c r="V110" s="8"/>
      <c r="W110" s="44"/>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2"/>
      <c r="B111" s="12"/>
      <c r="C111" s="12"/>
      <c r="D111" s="12"/>
      <c r="E111" s="12"/>
      <c r="F111" s="40" t="str">
        <f>Asset3</f>
        <v>Buildings</v>
      </c>
      <c r="G111" s="169"/>
      <c r="H111" s="62"/>
      <c r="I111" s="62"/>
      <c r="J111" s="62"/>
      <c r="K111" s="62"/>
      <c r="L111" s="62"/>
      <c r="M111" s="62"/>
      <c r="N111" s="62"/>
      <c r="O111" s="62"/>
      <c r="P111" s="62"/>
      <c r="Q111" s="62"/>
      <c r="R111" s="8"/>
      <c r="S111" s="8"/>
      <c r="T111" s="8"/>
      <c r="U111" s="8"/>
      <c r="V111" s="8"/>
      <c r="W111" s="44"/>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2"/>
      <c r="B112" s="12"/>
      <c r="C112" s="12"/>
      <c r="D112" s="12"/>
      <c r="E112" s="12"/>
      <c r="F112" s="40" t="str">
        <f>Asset4</f>
        <v>SCADA</v>
      </c>
      <c r="G112" s="169"/>
      <c r="H112" s="62"/>
      <c r="I112" s="62"/>
      <c r="J112" s="62"/>
      <c r="K112" s="62"/>
      <c r="L112" s="62"/>
      <c r="M112" s="62"/>
      <c r="N112" s="62"/>
      <c r="O112" s="62"/>
      <c r="P112" s="62"/>
      <c r="Q112" s="62"/>
      <c r="R112" s="8"/>
      <c r="S112" s="8"/>
      <c r="T112" s="8"/>
      <c r="U112" s="8"/>
      <c r="V112" s="8"/>
      <c r="W112" s="44"/>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2"/>
      <c r="B113" s="12"/>
      <c r="C113" s="12"/>
      <c r="D113" s="12"/>
      <c r="E113" s="12"/>
      <c r="F113" s="40" t="str">
        <f>Asset5</f>
        <v>Computer Equipment</v>
      </c>
      <c r="G113" s="169"/>
      <c r="H113" s="62"/>
      <c r="I113" s="62"/>
      <c r="J113" s="62"/>
      <c r="K113" s="62"/>
      <c r="L113" s="62"/>
      <c r="M113" s="62"/>
      <c r="N113" s="62"/>
      <c r="O113" s="62"/>
      <c r="P113" s="62"/>
      <c r="Q113" s="62"/>
      <c r="R113" s="8"/>
      <c r="S113" s="8"/>
      <c r="T113" s="8"/>
      <c r="U113" s="8"/>
      <c r="V113" s="8"/>
      <c r="W113" s="44"/>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2"/>
      <c r="B114" s="12"/>
      <c r="C114" s="12"/>
      <c r="D114" s="12"/>
      <c r="E114" s="12"/>
      <c r="F114" s="40" t="str">
        <f>Asset6</f>
        <v>Other Assets</v>
      </c>
      <c r="G114" s="169"/>
      <c r="H114" s="62"/>
      <c r="I114" s="62"/>
      <c r="J114" s="62"/>
      <c r="K114" s="62"/>
      <c r="L114" s="62"/>
      <c r="M114" s="62"/>
      <c r="N114" s="62"/>
      <c r="O114" s="62"/>
      <c r="P114" s="62"/>
      <c r="Q114" s="62"/>
      <c r="R114" s="8"/>
      <c r="S114" s="8"/>
      <c r="T114" s="8"/>
      <c r="U114" s="8"/>
      <c r="V114" s="8"/>
      <c r="W114" s="44"/>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2"/>
      <c r="B115" s="12"/>
      <c r="C115" s="12"/>
      <c r="D115" s="12"/>
      <c r="E115" s="12"/>
      <c r="F115" s="40" t="str">
        <f>Asset7</f>
        <v>Equity Raising Costs</v>
      </c>
      <c r="G115" s="169"/>
      <c r="H115" s="62"/>
      <c r="I115" s="62"/>
      <c r="J115" s="62"/>
      <c r="K115" s="62"/>
      <c r="L115" s="62"/>
      <c r="M115" s="62"/>
      <c r="N115" s="62"/>
      <c r="O115" s="62"/>
      <c r="P115" s="62"/>
      <c r="Q115" s="62"/>
      <c r="R115" s="8"/>
      <c r="S115" s="8"/>
      <c r="T115" s="8"/>
      <c r="U115" s="8"/>
      <c r="V115" s="8"/>
      <c r="W115" s="44"/>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2"/>
      <c r="B116" s="12"/>
      <c r="C116" s="12"/>
      <c r="D116" s="12"/>
      <c r="E116" s="12"/>
      <c r="F116" s="40" t="str">
        <f>Asset8</f>
        <v>Land</v>
      </c>
      <c r="G116" s="169"/>
      <c r="H116" s="62"/>
      <c r="I116" s="62"/>
      <c r="J116" s="62"/>
      <c r="K116" s="62"/>
      <c r="L116" s="62"/>
      <c r="M116" s="62"/>
      <c r="N116" s="62"/>
      <c r="O116" s="62"/>
      <c r="P116" s="62"/>
      <c r="Q116" s="62"/>
      <c r="R116" s="8"/>
      <c r="S116" s="8"/>
      <c r="T116" s="8"/>
      <c r="U116" s="8"/>
      <c r="V116" s="8"/>
      <c r="W116" s="44"/>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2"/>
      <c r="B117" s="12"/>
      <c r="C117" s="12"/>
      <c r="D117" s="12"/>
      <c r="E117" s="12"/>
      <c r="F117" s="40">
        <f>Asset9</f>
        <v>0</v>
      </c>
      <c r="G117" s="169"/>
      <c r="H117" s="62"/>
      <c r="I117" s="62"/>
      <c r="J117" s="62"/>
      <c r="K117" s="62"/>
      <c r="L117" s="62"/>
      <c r="M117" s="62"/>
      <c r="N117" s="62"/>
      <c r="O117" s="62"/>
      <c r="P117" s="62"/>
      <c r="Q117" s="62"/>
      <c r="R117" s="8"/>
      <c r="S117" s="8"/>
      <c r="T117" s="8"/>
      <c r="U117" s="8"/>
      <c r="V117" s="8"/>
      <c r="W117" s="44"/>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2"/>
      <c r="B118" s="12"/>
      <c r="C118" s="12"/>
      <c r="D118" s="12"/>
      <c r="E118" s="12"/>
      <c r="F118" s="40">
        <f>Asset10</f>
        <v>0</v>
      </c>
      <c r="G118" s="169"/>
      <c r="H118" s="62"/>
      <c r="I118" s="62"/>
      <c r="J118" s="62"/>
      <c r="K118" s="62"/>
      <c r="L118" s="62"/>
      <c r="M118" s="62"/>
      <c r="N118" s="62"/>
      <c r="O118" s="62"/>
      <c r="P118" s="62"/>
      <c r="Q118" s="62"/>
      <c r="R118" s="8"/>
      <c r="S118" s="8"/>
      <c r="T118" s="8"/>
      <c r="U118" s="8"/>
      <c r="V118" s="8"/>
      <c r="W118" s="44"/>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2"/>
      <c r="B119" s="12"/>
      <c r="C119" s="12"/>
      <c r="D119" s="12"/>
      <c r="E119" s="12"/>
      <c r="F119" s="40">
        <f>Asset11</f>
        <v>0</v>
      </c>
      <c r="G119" s="169"/>
      <c r="H119" s="62"/>
      <c r="I119" s="62"/>
      <c r="J119" s="62"/>
      <c r="K119" s="62"/>
      <c r="L119" s="62"/>
      <c r="M119" s="62"/>
      <c r="N119" s="62"/>
      <c r="O119" s="62"/>
      <c r="P119" s="62"/>
      <c r="Q119" s="62"/>
      <c r="R119" s="8"/>
      <c r="S119" s="8"/>
      <c r="T119" s="8"/>
      <c r="U119" s="8"/>
      <c r="V119" s="8"/>
      <c r="W119" s="44"/>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2"/>
      <c r="B120" s="12"/>
      <c r="C120" s="12"/>
      <c r="D120" s="12"/>
      <c r="E120" s="12"/>
      <c r="F120" s="40">
        <f>Asset12</f>
        <v>0</v>
      </c>
      <c r="G120" s="169"/>
      <c r="H120" s="62"/>
      <c r="I120" s="62"/>
      <c r="J120" s="62"/>
      <c r="K120" s="62"/>
      <c r="L120" s="62"/>
      <c r="M120" s="62"/>
      <c r="N120" s="62"/>
      <c r="O120" s="62"/>
      <c r="P120" s="62"/>
      <c r="Q120" s="62"/>
      <c r="R120" s="8"/>
      <c r="S120" s="8"/>
      <c r="T120" s="8"/>
      <c r="U120" s="8"/>
      <c r="V120" s="8"/>
      <c r="W120" s="44"/>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outlineLevel="1">
      <c r="A121" s="12"/>
      <c r="B121" s="12"/>
      <c r="C121" s="12"/>
      <c r="D121" s="12"/>
      <c r="E121" s="12"/>
      <c r="F121" s="40">
        <f>Asset13</f>
        <v>0</v>
      </c>
      <c r="G121" s="169"/>
      <c r="H121" s="62"/>
      <c r="I121" s="62"/>
      <c r="J121" s="62"/>
      <c r="K121" s="62"/>
      <c r="L121" s="62"/>
      <c r="M121" s="62"/>
      <c r="N121" s="62"/>
      <c r="O121" s="62"/>
      <c r="P121" s="62"/>
      <c r="Q121" s="62"/>
      <c r="R121" s="8"/>
      <c r="S121" s="8"/>
      <c r="T121" s="8"/>
      <c r="U121" s="8"/>
      <c r="V121" s="8"/>
      <c r="W121" s="44"/>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outlineLevel="1">
      <c r="A122" s="12"/>
      <c r="B122" s="12"/>
      <c r="C122" s="12"/>
      <c r="D122" s="12"/>
      <c r="E122" s="12"/>
      <c r="F122" s="40">
        <f>Asset14</f>
        <v>0</v>
      </c>
      <c r="G122" s="169"/>
      <c r="H122" s="62"/>
      <c r="I122" s="62"/>
      <c r="J122" s="62"/>
      <c r="K122" s="62"/>
      <c r="L122" s="62"/>
      <c r="M122" s="62"/>
      <c r="N122" s="62"/>
      <c r="O122" s="62"/>
      <c r="P122" s="62"/>
      <c r="Q122" s="62"/>
      <c r="R122" s="8"/>
      <c r="S122" s="8"/>
      <c r="T122" s="8"/>
      <c r="U122" s="8"/>
      <c r="V122" s="8"/>
      <c r="W122" s="44"/>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outlineLevel="1">
      <c r="A123" s="12"/>
      <c r="B123" s="12"/>
      <c r="C123" s="12"/>
      <c r="D123" s="12"/>
      <c r="E123" s="12"/>
      <c r="F123" s="40">
        <f>Asset15</f>
        <v>0</v>
      </c>
      <c r="G123" s="169"/>
      <c r="H123" s="62"/>
      <c r="I123" s="62"/>
      <c r="J123" s="62"/>
      <c r="K123" s="62"/>
      <c r="L123" s="62"/>
      <c r="M123" s="62"/>
      <c r="N123" s="62"/>
      <c r="O123" s="62"/>
      <c r="P123" s="62"/>
      <c r="Q123" s="62"/>
      <c r="R123" s="8"/>
      <c r="S123" s="8"/>
      <c r="T123" s="8"/>
      <c r="U123" s="8"/>
      <c r="V123" s="8"/>
      <c r="W123" s="44"/>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outlineLevel="1">
      <c r="A124" s="12"/>
      <c r="B124" s="12"/>
      <c r="C124" s="12"/>
      <c r="D124" s="12"/>
      <c r="E124" s="12"/>
      <c r="F124" s="40">
        <f>Asset16</f>
        <v>0</v>
      </c>
      <c r="G124" s="169"/>
      <c r="H124" s="62"/>
      <c r="I124" s="62"/>
      <c r="J124" s="62"/>
      <c r="K124" s="62"/>
      <c r="L124" s="62"/>
      <c r="M124" s="62"/>
      <c r="N124" s="62"/>
      <c r="O124" s="62"/>
      <c r="P124" s="62"/>
      <c r="Q124" s="62"/>
      <c r="R124" s="8"/>
      <c r="S124" s="8"/>
      <c r="T124" s="8"/>
      <c r="U124" s="8"/>
      <c r="V124" s="8"/>
      <c r="W124" s="44"/>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outlineLevel="1">
      <c r="A125" s="12"/>
      <c r="B125" s="12"/>
      <c r="C125" s="12"/>
      <c r="D125" s="12"/>
      <c r="E125" s="12"/>
      <c r="F125" s="40">
        <f>Asset17</f>
        <v>0</v>
      </c>
      <c r="G125" s="169"/>
      <c r="H125" s="62"/>
      <c r="I125" s="62"/>
      <c r="J125" s="62"/>
      <c r="K125" s="62"/>
      <c r="L125" s="62"/>
      <c r="M125" s="62"/>
      <c r="N125" s="62"/>
      <c r="O125" s="62"/>
      <c r="P125" s="62"/>
      <c r="Q125" s="62"/>
      <c r="R125" s="8"/>
      <c r="S125" s="8"/>
      <c r="T125" s="8"/>
      <c r="U125" s="8"/>
      <c r="V125" s="8"/>
      <c r="W125" s="44"/>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outlineLevel="1">
      <c r="A126" s="12"/>
      <c r="B126" s="12"/>
      <c r="C126" s="12"/>
      <c r="D126" s="12"/>
      <c r="E126" s="12"/>
      <c r="F126" s="40">
        <f>Asset18</f>
        <v>0</v>
      </c>
      <c r="G126" s="169"/>
      <c r="H126" s="62"/>
      <c r="I126" s="62"/>
      <c r="J126" s="62"/>
      <c r="K126" s="62"/>
      <c r="L126" s="62"/>
      <c r="M126" s="62"/>
      <c r="N126" s="62"/>
      <c r="O126" s="62"/>
      <c r="P126" s="62"/>
      <c r="Q126" s="62"/>
      <c r="R126" s="8"/>
      <c r="S126" s="8"/>
      <c r="T126" s="8"/>
      <c r="U126" s="8"/>
      <c r="V126" s="8"/>
      <c r="W126" s="44"/>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outlineLevel="1">
      <c r="A127" s="12"/>
      <c r="B127" s="12"/>
      <c r="C127" s="12"/>
      <c r="D127" s="12"/>
      <c r="E127" s="12"/>
      <c r="F127" s="40">
        <f>Asset19</f>
        <v>0</v>
      </c>
      <c r="G127" s="169"/>
      <c r="H127" s="62"/>
      <c r="I127" s="62"/>
      <c r="J127" s="62"/>
      <c r="K127" s="62"/>
      <c r="L127" s="62"/>
      <c r="M127" s="62"/>
      <c r="N127" s="62"/>
      <c r="O127" s="62"/>
      <c r="P127" s="62"/>
      <c r="Q127" s="62"/>
      <c r="R127" s="8"/>
      <c r="S127" s="8"/>
      <c r="T127" s="8"/>
      <c r="U127" s="8"/>
      <c r="V127" s="8"/>
      <c r="W127" s="44"/>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outlineLevel="1">
      <c r="A128" s="12"/>
      <c r="B128" s="12"/>
      <c r="C128" s="12"/>
      <c r="D128" s="12"/>
      <c r="E128" s="12"/>
      <c r="F128" s="40">
        <f>Asset20</f>
        <v>0</v>
      </c>
      <c r="G128" s="169"/>
      <c r="H128" s="62"/>
      <c r="I128" s="62"/>
      <c r="J128" s="62"/>
      <c r="K128" s="62"/>
      <c r="L128" s="62"/>
      <c r="M128" s="62"/>
      <c r="N128" s="62"/>
      <c r="O128" s="62"/>
      <c r="P128" s="62"/>
      <c r="Q128" s="62"/>
      <c r="R128" s="8"/>
      <c r="S128" s="8"/>
      <c r="T128" s="8"/>
      <c r="U128" s="8"/>
      <c r="V128" s="8"/>
      <c r="W128" s="44"/>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outlineLevel="1">
      <c r="A129" s="12"/>
      <c r="B129" s="12"/>
      <c r="C129" s="12"/>
      <c r="D129" s="12"/>
      <c r="E129" s="12"/>
      <c r="F129" s="40">
        <f>Asset21</f>
        <v>0</v>
      </c>
      <c r="G129" s="169"/>
      <c r="H129" s="62"/>
      <c r="I129" s="62"/>
      <c r="J129" s="62"/>
      <c r="K129" s="62"/>
      <c r="L129" s="62"/>
      <c r="M129" s="62"/>
      <c r="N129" s="62"/>
      <c r="O129" s="62"/>
      <c r="P129" s="62"/>
      <c r="Q129" s="62"/>
      <c r="R129" s="8"/>
      <c r="S129" s="8"/>
      <c r="T129" s="8"/>
      <c r="U129" s="8"/>
      <c r="V129" s="8"/>
      <c r="W129" s="44"/>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outlineLevel="1">
      <c r="A130" s="12"/>
      <c r="B130" s="12"/>
      <c r="C130" s="12"/>
      <c r="D130" s="12"/>
      <c r="E130" s="12"/>
      <c r="F130" s="40">
        <f>Asset22</f>
        <v>0</v>
      </c>
      <c r="G130" s="169"/>
      <c r="H130" s="62"/>
      <c r="I130" s="62"/>
      <c r="J130" s="62"/>
      <c r="K130" s="62"/>
      <c r="L130" s="62"/>
      <c r="M130" s="62"/>
      <c r="N130" s="62"/>
      <c r="O130" s="62"/>
      <c r="P130" s="62"/>
      <c r="Q130" s="62"/>
      <c r="R130" s="8"/>
      <c r="S130" s="8"/>
      <c r="T130" s="8"/>
      <c r="U130" s="8"/>
      <c r="V130" s="8"/>
      <c r="W130" s="44"/>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outlineLevel="1">
      <c r="A131" s="12"/>
      <c r="B131" s="12"/>
      <c r="C131" s="12"/>
      <c r="D131" s="12"/>
      <c r="E131" s="12"/>
      <c r="F131" s="40">
        <f>Asset23</f>
        <v>0</v>
      </c>
      <c r="G131" s="169"/>
      <c r="H131" s="62"/>
      <c r="I131" s="62"/>
      <c r="J131" s="62"/>
      <c r="K131" s="62"/>
      <c r="L131" s="62"/>
      <c r="M131" s="62"/>
      <c r="N131" s="62"/>
      <c r="O131" s="62"/>
      <c r="P131" s="62"/>
      <c r="Q131" s="62"/>
      <c r="R131" s="8"/>
      <c r="S131" s="8"/>
      <c r="T131" s="8"/>
      <c r="U131" s="8"/>
      <c r="V131" s="8"/>
      <c r="W131" s="44"/>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outlineLevel="1">
      <c r="A132" s="12"/>
      <c r="B132" s="12"/>
      <c r="C132" s="12"/>
      <c r="D132" s="12"/>
      <c r="E132" s="12"/>
      <c r="F132" s="40">
        <f>Asset24</f>
        <v>0</v>
      </c>
      <c r="G132" s="169"/>
      <c r="H132" s="62"/>
      <c r="I132" s="62"/>
      <c r="J132" s="62"/>
      <c r="K132" s="62"/>
      <c r="L132" s="62"/>
      <c r="M132" s="62"/>
      <c r="N132" s="62"/>
      <c r="O132" s="62"/>
      <c r="P132" s="62"/>
      <c r="Q132" s="62"/>
      <c r="R132" s="8"/>
      <c r="S132" s="8"/>
      <c r="T132" s="8"/>
      <c r="U132" s="8"/>
      <c r="V132" s="8"/>
      <c r="W132" s="44"/>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outlineLevel="1">
      <c r="A133" s="12"/>
      <c r="B133" s="12"/>
      <c r="C133" s="12"/>
      <c r="D133" s="12"/>
      <c r="E133" s="12"/>
      <c r="F133" s="40">
        <f>Asset25</f>
        <v>0</v>
      </c>
      <c r="G133" s="169"/>
      <c r="H133" s="62"/>
      <c r="I133" s="62"/>
      <c r="J133" s="62"/>
      <c r="K133" s="62"/>
      <c r="L133" s="62"/>
      <c r="M133" s="62"/>
      <c r="N133" s="62"/>
      <c r="O133" s="62"/>
      <c r="P133" s="62"/>
      <c r="Q133" s="62"/>
      <c r="R133" s="8"/>
      <c r="S133" s="8"/>
      <c r="T133" s="8"/>
      <c r="U133" s="8"/>
      <c r="V133" s="8"/>
      <c r="W133" s="44"/>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outlineLevel="1">
      <c r="A134" s="12"/>
      <c r="B134" s="12"/>
      <c r="C134" s="12"/>
      <c r="D134" s="12"/>
      <c r="E134" s="12"/>
      <c r="F134" s="40">
        <f>Asset26</f>
        <v>0</v>
      </c>
      <c r="G134" s="169"/>
      <c r="H134" s="62"/>
      <c r="I134" s="62"/>
      <c r="J134" s="62"/>
      <c r="K134" s="62"/>
      <c r="L134" s="62"/>
      <c r="M134" s="62"/>
      <c r="N134" s="62"/>
      <c r="O134" s="62"/>
      <c r="P134" s="62"/>
      <c r="Q134" s="62"/>
      <c r="R134" s="8"/>
      <c r="S134" s="8"/>
      <c r="T134" s="8"/>
      <c r="U134" s="8"/>
      <c r="V134" s="8"/>
      <c r="W134" s="44"/>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outlineLevel="1">
      <c r="A135" s="12"/>
      <c r="B135" s="12"/>
      <c r="C135" s="12"/>
      <c r="D135" s="12"/>
      <c r="E135" s="12"/>
      <c r="F135" s="40">
        <f>Asset27</f>
        <v>0</v>
      </c>
      <c r="G135" s="169"/>
      <c r="H135" s="62"/>
      <c r="I135" s="62"/>
      <c r="J135" s="62"/>
      <c r="K135" s="62"/>
      <c r="L135" s="62"/>
      <c r="M135" s="62"/>
      <c r="N135" s="62"/>
      <c r="O135" s="62"/>
      <c r="P135" s="62"/>
      <c r="Q135" s="62"/>
      <c r="R135" s="8"/>
      <c r="S135" s="8"/>
      <c r="T135" s="8"/>
      <c r="U135" s="8"/>
      <c r="V135" s="8"/>
      <c r="W135" s="44"/>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outlineLevel="1">
      <c r="A136" s="12"/>
      <c r="B136" s="12"/>
      <c r="C136" s="12"/>
      <c r="D136" s="12"/>
      <c r="E136" s="12"/>
      <c r="F136" s="40">
        <f>Asset28</f>
        <v>0</v>
      </c>
      <c r="G136" s="169"/>
      <c r="H136" s="62"/>
      <c r="I136" s="62"/>
      <c r="J136" s="62"/>
      <c r="K136" s="62"/>
      <c r="L136" s="62"/>
      <c r="M136" s="62"/>
      <c r="N136" s="62"/>
      <c r="O136" s="62"/>
      <c r="P136" s="62"/>
      <c r="Q136" s="62"/>
      <c r="R136" s="8"/>
      <c r="S136" s="8"/>
      <c r="T136" s="8"/>
      <c r="U136" s="8"/>
      <c r="V136" s="8"/>
      <c r="W136" s="44"/>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outlineLevel="1">
      <c r="A137" s="12"/>
      <c r="B137" s="12"/>
      <c r="C137" s="12"/>
      <c r="D137" s="12"/>
      <c r="E137" s="12"/>
      <c r="F137" s="40">
        <f>Asset29</f>
        <v>0</v>
      </c>
      <c r="G137" s="169"/>
      <c r="H137" s="62"/>
      <c r="I137" s="62"/>
      <c r="J137" s="62"/>
      <c r="K137" s="62"/>
      <c r="L137" s="62"/>
      <c r="M137" s="62"/>
      <c r="N137" s="62"/>
      <c r="O137" s="62"/>
      <c r="P137" s="62"/>
      <c r="Q137" s="62"/>
      <c r="R137" s="8"/>
      <c r="S137" s="8"/>
      <c r="T137" s="8"/>
      <c r="U137" s="8"/>
      <c r="V137" s="8"/>
      <c r="W137" s="44"/>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outlineLevel="1">
      <c r="A138" s="12"/>
      <c r="B138" s="12"/>
      <c r="C138" s="12"/>
      <c r="D138" s="12"/>
      <c r="E138" s="12"/>
      <c r="F138" s="40">
        <f>Asset30</f>
        <v>0</v>
      </c>
      <c r="G138" s="169"/>
      <c r="H138" s="62"/>
      <c r="I138" s="62"/>
      <c r="J138" s="62"/>
      <c r="K138" s="62"/>
      <c r="L138" s="62"/>
      <c r="M138" s="62"/>
      <c r="N138" s="62"/>
      <c r="O138" s="62"/>
      <c r="P138" s="62"/>
      <c r="Q138" s="62"/>
      <c r="R138" s="8"/>
      <c r="S138" s="8"/>
      <c r="T138" s="8"/>
      <c r="U138" s="8"/>
      <c r="V138" s="8"/>
      <c r="W138" s="44"/>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c r="A139" s="12"/>
      <c r="B139" s="12"/>
      <c r="C139" s="12"/>
      <c r="D139" s="12"/>
      <c r="E139" s="12"/>
      <c r="F139" s="40" t="s">
        <v>22</v>
      </c>
      <c r="G139" s="314">
        <f t="shared" ref="G139:Q139" si="6">SUM(G109:G138)</f>
        <v>0.68300000000000005</v>
      </c>
      <c r="H139" s="314">
        <f>SUM(H109:H138)</f>
        <v>4.870173649999999</v>
      </c>
      <c r="I139" s="314">
        <f t="shared" si="6"/>
        <v>5.2846742200000021</v>
      </c>
      <c r="J139" s="314">
        <f t="shared" si="6"/>
        <v>4.3459597018186891</v>
      </c>
      <c r="K139" s="314">
        <f t="shared" si="6"/>
        <v>5.1717267571290488</v>
      </c>
      <c r="L139" s="314">
        <f t="shared" si="6"/>
        <v>12</v>
      </c>
      <c r="M139" s="242">
        <f t="shared" si="6"/>
        <v>0</v>
      </c>
      <c r="N139" s="242">
        <f t="shared" si="6"/>
        <v>0</v>
      </c>
      <c r="O139" s="242">
        <f t="shared" si="6"/>
        <v>0</v>
      </c>
      <c r="P139" s="242">
        <f t="shared" si="6"/>
        <v>0</v>
      </c>
      <c r="Q139" s="242">
        <f t="shared" si="6"/>
        <v>0</v>
      </c>
      <c r="R139" s="38"/>
      <c r="S139" s="38"/>
      <c r="T139" s="38"/>
      <c r="U139" s="38"/>
      <c r="V139" s="38"/>
      <c r="W139" s="38"/>
      <c r="X139" s="48"/>
      <c r="Y139" s="8"/>
      <c r="Z139" s="8"/>
      <c r="AA139" s="44"/>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t="20.25" customHeight="1">
      <c r="A140" s="12"/>
      <c r="B140" s="12"/>
      <c r="C140" s="12"/>
      <c r="D140" s="12"/>
      <c r="F140" s="9"/>
      <c r="G140" s="9"/>
      <c r="H140" s="18"/>
      <c r="I140" s="20"/>
      <c r="J140" s="9"/>
      <c r="K140" s="9"/>
      <c r="L140" s="9"/>
      <c r="M140" s="9"/>
      <c r="N140" s="9"/>
      <c r="O140" s="9"/>
      <c r="P140" s="9"/>
      <c r="Q140" s="9"/>
      <c r="R140" s="315">
        <f>SUM(G139:Q139)</f>
        <v>32.355534328947741</v>
      </c>
      <c r="S140" s="9"/>
      <c r="T140" s="9"/>
      <c r="U140" s="9"/>
      <c r="V140" s="9"/>
      <c r="W140" s="9"/>
      <c r="X140" s="9"/>
      <c r="Y140" s="9"/>
      <c r="Z140" s="9"/>
      <c r="AA140" s="1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t="13.5" customHeight="1">
      <c r="A141" s="73"/>
      <c r="B141" s="73"/>
      <c r="C141" s="73"/>
      <c r="D141" s="73"/>
      <c r="E141" s="73"/>
      <c r="F141" s="161" t="str">
        <f>"Actual Net Capital Expenditure – As Incurred ($m Real "&amp;CONCATENATE(LEFT(V7, 4)-1 &amp;"-" &amp;IF(V7&gt;"2009-10",,"0") &amp;RIGHT(V7,2)-1)&amp;")"</f>
        <v>Actual Net Capital Expenditure – As Incurred ($m Real 2012-012)</v>
      </c>
      <c r="G141" s="161"/>
      <c r="H141" s="161"/>
      <c r="I141" s="161"/>
      <c r="J141" s="161"/>
      <c r="K141" s="76"/>
      <c r="L141" s="76"/>
      <c r="M141" s="74"/>
      <c r="N141" s="74"/>
      <c r="O141" s="74"/>
      <c r="P141" s="74"/>
      <c r="Q141" s="74"/>
      <c r="R141" s="74"/>
      <c r="S141" s="74"/>
      <c r="T141" s="74"/>
      <c r="U141" s="74"/>
      <c r="V141" s="74"/>
      <c r="W141" s="74"/>
      <c r="X141" s="8"/>
      <c r="Y141" s="8"/>
      <c r="Z141" s="8"/>
      <c r="AA141" s="8"/>
      <c r="AB141" s="44"/>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c r="A142" s="12"/>
      <c r="B142" s="12"/>
      <c r="C142" s="12"/>
      <c r="D142" s="12"/>
      <c r="E142" s="12"/>
      <c r="F142" s="39" t="s">
        <v>5</v>
      </c>
      <c r="G142" s="240">
        <f>G40</f>
        <v>2012</v>
      </c>
      <c r="H142" s="240">
        <f t="shared" ref="H142:Q142" si="7">H40</f>
        <v>2013</v>
      </c>
      <c r="I142" s="240" t="str">
        <f t="shared" si="7"/>
        <v>2014</v>
      </c>
      <c r="J142" s="240" t="str">
        <f t="shared" si="7"/>
        <v>2015</v>
      </c>
      <c r="K142" s="240" t="str">
        <f t="shared" si="7"/>
        <v>2016</v>
      </c>
      <c r="L142" s="240" t="str">
        <f t="shared" si="7"/>
        <v>2017</v>
      </c>
      <c r="M142" s="240" t="str">
        <f t="shared" si="7"/>
        <v>2018</v>
      </c>
      <c r="N142" s="240" t="str">
        <f t="shared" si="7"/>
        <v>2019</v>
      </c>
      <c r="O142" s="240" t="str">
        <f t="shared" si="7"/>
        <v>2020</v>
      </c>
      <c r="P142" s="240" t="str">
        <f t="shared" si="7"/>
        <v>2021</v>
      </c>
      <c r="Q142" s="240" t="str">
        <f t="shared" si="7"/>
        <v>2022</v>
      </c>
      <c r="R142" s="8"/>
      <c r="S142" s="8"/>
      <c r="T142" s="8"/>
      <c r="U142" s="8"/>
      <c r="V142" s="8"/>
      <c r="W142" s="44"/>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outlineLevel="1">
      <c r="A143" s="12"/>
      <c r="B143" s="12"/>
      <c r="C143" s="12"/>
      <c r="D143" s="12"/>
      <c r="E143" s="12"/>
      <c r="F143" s="40" t="str">
        <f>Asset1</f>
        <v>Mains &amp; Services</v>
      </c>
      <c r="G143" s="316">
        <f t="shared" ref="G143:Q143" si="8">(G41-G75-G109)/G$178</f>
        <v>74.687999999999988</v>
      </c>
      <c r="H143" s="317">
        <f>(H41-H75-H109)/H$178</f>
        <v>83.795537565239201</v>
      </c>
      <c r="I143" s="317">
        <f t="shared" si="8"/>
        <v>89.278541152404316</v>
      </c>
      <c r="J143" s="317">
        <f t="shared" si="8"/>
        <v>93.241714078157671</v>
      </c>
      <c r="K143" s="317">
        <f t="shared" si="8"/>
        <v>66.987756033931873</v>
      </c>
      <c r="L143" s="317">
        <f>(L41-L75-L109)/L$178</f>
        <v>65.27138939670931</v>
      </c>
      <c r="M143" s="174">
        <f t="shared" si="8"/>
        <v>0</v>
      </c>
      <c r="N143" s="174">
        <f t="shared" si="8"/>
        <v>0</v>
      </c>
      <c r="O143" s="174">
        <f t="shared" si="8"/>
        <v>0</v>
      </c>
      <c r="P143" s="174">
        <f t="shared" si="8"/>
        <v>0</v>
      </c>
      <c r="Q143" s="174">
        <f t="shared" si="8"/>
        <v>0</v>
      </c>
      <c r="R143" s="8"/>
      <c r="S143" s="8"/>
      <c r="T143" s="8"/>
      <c r="U143" s="8"/>
      <c r="V143" s="8"/>
      <c r="W143" s="44"/>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outlineLevel="1">
      <c r="A144" s="12"/>
      <c r="B144" s="12"/>
      <c r="C144" s="12"/>
      <c r="D144" s="12"/>
      <c r="E144" s="12"/>
      <c r="F144" s="40" t="str">
        <f>Asset2</f>
        <v>Meters</v>
      </c>
      <c r="G144" s="318">
        <f t="shared" ref="G144:Q144" si="9">(G42-G76-G110)/G$178</f>
        <v>8.7110000000000003</v>
      </c>
      <c r="H144" s="319">
        <f t="shared" si="9"/>
        <v>8.3478758117830161</v>
      </c>
      <c r="I144" s="319">
        <f t="shared" si="9"/>
        <v>10.08503865972658</v>
      </c>
      <c r="J144" s="319">
        <f t="shared" si="9"/>
        <v>9.0137840383998711</v>
      </c>
      <c r="K144" s="319">
        <f t="shared" si="9"/>
        <v>10.45230923590087</v>
      </c>
      <c r="L144" s="319">
        <f>(L42-L76-L110)/L$178</f>
        <v>13.948281535648993</v>
      </c>
      <c r="M144" s="91">
        <f t="shared" si="9"/>
        <v>0</v>
      </c>
      <c r="N144" s="91">
        <f t="shared" si="9"/>
        <v>0</v>
      </c>
      <c r="O144" s="91">
        <f t="shared" si="9"/>
        <v>0</v>
      </c>
      <c r="P144" s="91">
        <f t="shared" si="9"/>
        <v>0</v>
      </c>
      <c r="Q144" s="91">
        <f t="shared" si="9"/>
        <v>0</v>
      </c>
      <c r="R144" s="8"/>
      <c r="S144" s="8"/>
      <c r="T144" s="8"/>
      <c r="U144" s="8"/>
      <c r="V144" s="8"/>
      <c r="W144" s="44"/>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outlineLevel="1">
      <c r="A145" s="12"/>
      <c r="B145" s="12"/>
      <c r="C145" s="12"/>
      <c r="D145" s="12"/>
      <c r="E145" s="12"/>
      <c r="F145" s="40" t="str">
        <f>Asset3</f>
        <v>Buildings</v>
      </c>
      <c r="G145" s="318">
        <f t="shared" ref="G145:Q145" si="10">(G43-G77-G111)/G$178</f>
        <v>0</v>
      </c>
      <c r="H145" s="319">
        <f>(H43-H77-H111)/H$178</f>
        <v>-0.74426716632612966</v>
      </c>
      <c r="I145" s="319">
        <f t="shared" si="10"/>
        <v>0</v>
      </c>
      <c r="J145" s="319">
        <f t="shared" si="10"/>
        <v>0</v>
      </c>
      <c r="K145" s="319">
        <f t="shared" si="10"/>
        <v>0</v>
      </c>
      <c r="L145" s="319">
        <f t="shared" si="10"/>
        <v>0</v>
      </c>
      <c r="M145" s="91">
        <f t="shared" si="10"/>
        <v>0</v>
      </c>
      <c r="N145" s="91">
        <f t="shared" si="10"/>
        <v>0</v>
      </c>
      <c r="O145" s="91">
        <f t="shared" si="10"/>
        <v>0</v>
      </c>
      <c r="P145" s="91">
        <f t="shared" si="10"/>
        <v>0</v>
      </c>
      <c r="Q145" s="91">
        <f t="shared" si="10"/>
        <v>0</v>
      </c>
      <c r="R145" s="8"/>
      <c r="S145" s="8"/>
      <c r="T145" s="8"/>
      <c r="U145" s="8"/>
      <c r="V145" s="8"/>
      <c r="W145" s="44"/>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outlineLevel="1">
      <c r="A146" s="12"/>
      <c r="B146" s="12"/>
      <c r="C146" s="12"/>
      <c r="D146" s="12"/>
      <c r="E146" s="12"/>
      <c r="F146" s="137" t="str">
        <f>Asset4</f>
        <v>SCADA</v>
      </c>
      <c r="G146" s="318">
        <f t="shared" ref="G146:Q146" si="11">(G44-G78-G112)/G$178</f>
        <v>0.16700000000000001</v>
      </c>
      <c r="H146" s="319">
        <f t="shared" si="11"/>
        <v>0.14747196156080211</v>
      </c>
      <c r="I146" s="319">
        <f t="shared" si="11"/>
        <v>0.37876866832169803</v>
      </c>
      <c r="J146" s="319">
        <f t="shared" si="11"/>
        <v>0.38386935469726607</v>
      </c>
      <c r="K146" s="319">
        <f t="shared" si="11"/>
        <v>0.2200128330481004</v>
      </c>
      <c r="L146" s="319">
        <f t="shared" si="11"/>
        <v>0.4652468007312614</v>
      </c>
      <c r="M146" s="91">
        <f t="shared" si="11"/>
        <v>0</v>
      </c>
      <c r="N146" s="91">
        <f t="shared" si="11"/>
        <v>0</v>
      </c>
      <c r="O146" s="91">
        <f t="shared" si="11"/>
        <v>0</v>
      </c>
      <c r="P146" s="91">
        <f t="shared" si="11"/>
        <v>0</v>
      </c>
      <c r="Q146" s="91">
        <f t="shared" si="11"/>
        <v>0</v>
      </c>
      <c r="R146" s="8"/>
      <c r="S146" s="8"/>
      <c r="T146" s="8"/>
      <c r="U146" s="8"/>
      <c r="V146" s="8"/>
      <c r="W146" s="44"/>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outlineLevel="1">
      <c r="A147" s="12"/>
      <c r="B147" s="12"/>
      <c r="C147" s="12"/>
      <c r="D147" s="12"/>
      <c r="E147" s="12"/>
      <c r="F147" s="137" t="str">
        <f>Asset5</f>
        <v>Computer Equipment</v>
      </c>
      <c r="G147" s="318">
        <f t="shared" ref="G147:Q147" si="12">(G45-G79-G113)/G$178</f>
        <v>0.05</v>
      </c>
      <c r="H147" s="319">
        <f t="shared" si="12"/>
        <v>0.85594817935343981</v>
      </c>
      <c r="I147" s="319">
        <f t="shared" si="12"/>
        <v>0.39115313708529575</v>
      </c>
      <c r="J147" s="319">
        <f t="shared" si="12"/>
        <v>10.58603085373449</v>
      </c>
      <c r="K147" s="319">
        <f t="shared" si="12"/>
        <v>0.48413442037037036</v>
      </c>
      <c r="L147" s="319">
        <f t="shared" si="12"/>
        <v>7.8727056672760511</v>
      </c>
      <c r="M147" s="91">
        <f t="shared" si="12"/>
        <v>0</v>
      </c>
      <c r="N147" s="91">
        <f t="shared" si="12"/>
        <v>0</v>
      </c>
      <c r="O147" s="91">
        <f t="shared" si="12"/>
        <v>0</v>
      </c>
      <c r="P147" s="91">
        <f t="shared" si="12"/>
        <v>0</v>
      </c>
      <c r="Q147" s="91">
        <f t="shared" si="12"/>
        <v>0</v>
      </c>
      <c r="R147" s="8"/>
      <c r="S147" s="8"/>
      <c r="T147" s="8"/>
      <c r="U147" s="8"/>
      <c r="V147" s="8"/>
      <c r="W147" s="44"/>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outlineLevel="1">
      <c r="A148" s="12"/>
      <c r="B148" s="12"/>
      <c r="C148" s="12"/>
      <c r="D148" s="12"/>
      <c r="E148" s="12"/>
      <c r="F148" s="137" t="str">
        <f>Asset6</f>
        <v>Other Assets</v>
      </c>
      <c r="G148" s="318">
        <f t="shared" ref="G148:Q148" si="13">(G46-G80-G114)/G$178</f>
        <v>17.716000000000001</v>
      </c>
      <c r="H148" s="319">
        <f>(H46-H80-H114)/H$178</f>
        <v>4.0918213537531249</v>
      </c>
      <c r="I148" s="319">
        <f t="shared" si="13"/>
        <v>3.7277334287716886</v>
      </c>
      <c r="J148" s="319">
        <f t="shared" si="13"/>
        <v>2.0489223621099968</v>
      </c>
      <c r="K148" s="319">
        <f t="shared" si="13"/>
        <v>1.959804064403847</v>
      </c>
      <c r="L148" s="319">
        <f t="shared" si="13"/>
        <v>3.7949542961608773</v>
      </c>
      <c r="M148" s="91">
        <f t="shared" si="13"/>
        <v>0</v>
      </c>
      <c r="N148" s="91">
        <f t="shared" si="13"/>
        <v>0</v>
      </c>
      <c r="O148" s="91">
        <f t="shared" si="13"/>
        <v>0</v>
      </c>
      <c r="P148" s="91">
        <f t="shared" si="13"/>
        <v>0</v>
      </c>
      <c r="Q148" s="91">
        <f t="shared" si="13"/>
        <v>0</v>
      </c>
      <c r="R148" s="8"/>
      <c r="S148" s="8"/>
      <c r="T148" s="8"/>
      <c r="U148" s="8"/>
      <c r="V148" s="8"/>
      <c r="W148" s="44"/>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outlineLevel="1">
      <c r="A149" s="12"/>
      <c r="B149" s="12"/>
      <c r="C149" s="12"/>
      <c r="D149" s="12"/>
      <c r="E149" s="12"/>
      <c r="F149" s="137" t="str">
        <f>Asset7</f>
        <v>Equity Raising Costs</v>
      </c>
      <c r="G149" s="318">
        <f t="shared" ref="G149:Q149" si="14">(G47-G81-G115)/G$178</f>
        <v>0</v>
      </c>
      <c r="H149" s="319">
        <f t="shared" si="14"/>
        <v>0</v>
      </c>
      <c r="I149" s="319">
        <f t="shared" si="14"/>
        <v>0</v>
      </c>
      <c r="J149" s="319">
        <f t="shared" si="14"/>
        <v>0</v>
      </c>
      <c r="K149" s="319">
        <f t="shared" si="14"/>
        <v>0</v>
      </c>
      <c r="L149" s="319">
        <f t="shared" si="14"/>
        <v>0</v>
      </c>
      <c r="M149" s="91">
        <f t="shared" si="14"/>
        <v>0</v>
      </c>
      <c r="N149" s="91">
        <f t="shared" si="14"/>
        <v>0</v>
      </c>
      <c r="O149" s="91">
        <f t="shared" si="14"/>
        <v>0</v>
      </c>
      <c r="P149" s="91">
        <f t="shared" si="14"/>
        <v>0</v>
      </c>
      <c r="Q149" s="91">
        <f t="shared" si="14"/>
        <v>0</v>
      </c>
      <c r="R149" s="8"/>
      <c r="S149" s="8"/>
      <c r="T149" s="8"/>
      <c r="U149" s="8"/>
      <c r="V149" s="8"/>
      <c r="W149" s="44"/>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outlineLevel="1">
      <c r="A150" s="12"/>
      <c r="B150" s="12"/>
      <c r="C150" s="12"/>
      <c r="D150" s="12"/>
      <c r="E150" s="12"/>
      <c r="F150" s="137" t="str">
        <f>Asset8</f>
        <v>Land</v>
      </c>
      <c r="G150" s="175">
        <f t="shared" ref="G150:Q150" si="15">(G48-G82-G116)/G$178</f>
        <v>0</v>
      </c>
      <c r="H150" s="91">
        <f t="shared" si="15"/>
        <v>0</v>
      </c>
      <c r="I150" s="91">
        <f t="shared" si="15"/>
        <v>0</v>
      </c>
      <c r="J150" s="91">
        <f t="shared" si="15"/>
        <v>0</v>
      </c>
      <c r="K150" s="91">
        <f t="shared" si="15"/>
        <v>0</v>
      </c>
      <c r="L150" s="91">
        <f t="shared" si="15"/>
        <v>0</v>
      </c>
      <c r="M150" s="91">
        <f t="shared" si="15"/>
        <v>0</v>
      </c>
      <c r="N150" s="91">
        <f t="shared" si="15"/>
        <v>0</v>
      </c>
      <c r="O150" s="91">
        <f t="shared" si="15"/>
        <v>0</v>
      </c>
      <c r="P150" s="91">
        <f t="shared" si="15"/>
        <v>0</v>
      </c>
      <c r="Q150" s="91">
        <f t="shared" si="15"/>
        <v>0</v>
      </c>
      <c r="R150" s="8"/>
      <c r="S150" s="8"/>
      <c r="T150" s="8"/>
      <c r="U150" s="8"/>
      <c r="V150" s="8"/>
      <c r="W150" s="44"/>
      <c r="X150" s="9"/>
      <c r="Y150" s="9"/>
      <c r="Z150" s="9"/>
      <c r="AA150" s="9"/>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outlineLevel="1">
      <c r="A151" s="12"/>
      <c r="B151" s="12"/>
      <c r="C151" s="12"/>
      <c r="D151" s="12"/>
      <c r="E151" s="12"/>
      <c r="F151" s="137">
        <f>Asset9</f>
        <v>0</v>
      </c>
      <c r="G151" s="175">
        <f t="shared" ref="G151:Q151" si="16">(G49-G83-G117)/G$178</f>
        <v>0</v>
      </c>
      <c r="H151" s="91">
        <f t="shared" si="16"/>
        <v>0</v>
      </c>
      <c r="I151" s="91">
        <f t="shared" si="16"/>
        <v>0</v>
      </c>
      <c r="J151" s="91">
        <f t="shared" si="16"/>
        <v>0</v>
      </c>
      <c r="K151" s="91">
        <f t="shared" si="16"/>
        <v>0</v>
      </c>
      <c r="L151" s="91">
        <f t="shared" si="16"/>
        <v>0</v>
      </c>
      <c r="M151" s="91">
        <f t="shared" si="16"/>
        <v>0</v>
      </c>
      <c r="N151" s="91">
        <f t="shared" si="16"/>
        <v>0</v>
      </c>
      <c r="O151" s="91">
        <f t="shared" si="16"/>
        <v>0</v>
      </c>
      <c r="P151" s="91">
        <f t="shared" si="16"/>
        <v>0</v>
      </c>
      <c r="Q151" s="91">
        <f t="shared" si="16"/>
        <v>0</v>
      </c>
      <c r="R151" s="8"/>
      <c r="S151" s="8"/>
      <c r="T151" s="8"/>
      <c r="U151" s="8"/>
      <c r="V151" s="8"/>
      <c r="W151" s="44"/>
      <c r="X151" s="9"/>
      <c r="Y151" s="9"/>
      <c r="Z151" s="9"/>
      <c r="AA151" s="9"/>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outlineLevel="1">
      <c r="A152" s="12"/>
      <c r="B152" s="12"/>
      <c r="C152" s="12"/>
      <c r="D152" s="12"/>
      <c r="E152" s="12"/>
      <c r="F152" s="137">
        <f>Asset10</f>
        <v>0</v>
      </c>
      <c r="G152" s="175">
        <f t="shared" ref="G152:Q152" si="17">(G50-G84-G118)/G$178</f>
        <v>0</v>
      </c>
      <c r="H152" s="91">
        <f t="shared" si="17"/>
        <v>0</v>
      </c>
      <c r="I152" s="91">
        <f t="shared" si="17"/>
        <v>0</v>
      </c>
      <c r="J152" s="91">
        <f t="shared" si="17"/>
        <v>0</v>
      </c>
      <c r="K152" s="91">
        <f t="shared" si="17"/>
        <v>0</v>
      </c>
      <c r="L152" s="91">
        <f t="shared" si="17"/>
        <v>0</v>
      </c>
      <c r="M152" s="91">
        <f t="shared" si="17"/>
        <v>0</v>
      </c>
      <c r="N152" s="91">
        <f t="shared" si="17"/>
        <v>0</v>
      </c>
      <c r="O152" s="91">
        <f t="shared" si="17"/>
        <v>0</v>
      </c>
      <c r="P152" s="91">
        <f t="shared" si="17"/>
        <v>0</v>
      </c>
      <c r="Q152" s="91">
        <f t="shared" si="17"/>
        <v>0</v>
      </c>
      <c r="R152" s="8"/>
      <c r="S152" s="8"/>
      <c r="T152" s="8"/>
      <c r="U152" s="8"/>
      <c r="V152" s="8"/>
      <c r="W152" s="44"/>
      <c r="X152" s="9"/>
      <c r="Y152" s="9"/>
      <c r="Z152" s="9"/>
      <c r="AA152" s="9"/>
      <c r="AB152" s="9"/>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outlineLevel="1">
      <c r="A153" s="12"/>
      <c r="B153" s="12"/>
      <c r="C153" s="12"/>
      <c r="D153" s="12"/>
      <c r="E153" s="12"/>
      <c r="F153" s="137">
        <f>Asset11</f>
        <v>0</v>
      </c>
      <c r="G153" s="175">
        <f t="shared" ref="G153:Q153" si="18">(G51-G85-G119)/G$178</f>
        <v>0</v>
      </c>
      <c r="H153" s="91">
        <f t="shared" si="18"/>
        <v>0</v>
      </c>
      <c r="I153" s="91">
        <f t="shared" si="18"/>
        <v>0</v>
      </c>
      <c r="J153" s="91">
        <f t="shared" si="18"/>
        <v>0</v>
      </c>
      <c r="K153" s="91">
        <f t="shared" si="18"/>
        <v>0</v>
      </c>
      <c r="L153" s="91">
        <f t="shared" si="18"/>
        <v>0</v>
      </c>
      <c r="M153" s="91">
        <f t="shared" si="18"/>
        <v>0</v>
      </c>
      <c r="N153" s="91">
        <f t="shared" si="18"/>
        <v>0</v>
      </c>
      <c r="O153" s="91">
        <f t="shared" si="18"/>
        <v>0</v>
      </c>
      <c r="P153" s="91">
        <f t="shared" si="18"/>
        <v>0</v>
      </c>
      <c r="Q153" s="91">
        <f t="shared" si="18"/>
        <v>0</v>
      </c>
      <c r="R153" s="8"/>
      <c r="S153" s="8"/>
      <c r="T153" s="8"/>
      <c r="U153" s="8"/>
      <c r="V153" s="8"/>
      <c r="W153" s="44"/>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2"/>
      <c r="B154" s="12"/>
      <c r="C154" s="12"/>
      <c r="D154" s="12"/>
      <c r="E154" s="12"/>
      <c r="F154" s="137">
        <f>Asset12</f>
        <v>0</v>
      </c>
      <c r="G154" s="175">
        <f t="shared" ref="G154:Q154" si="19">(G52-G86-G120)/G$178</f>
        <v>0</v>
      </c>
      <c r="H154" s="91">
        <f t="shared" si="19"/>
        <v>0</v>
      </c>
      <c r="I154" s="91">
        <f t="shared" si="19"/>
        <v>0</v>
      </c>
      <c r="J154" s="91">
        <f t="shared" si="19"/>
        <v>0</v>
      </c>
      <c r="K154" s="91">
        <f t="shared" si="19"/>
        <v>0</v>
      </c>
      <c r="L154" s="91">
        <f t="shared" si="19"/>
        <v>0</v>
      </c>
      <c r="M154" s="91">
        <f t="shared" si="19"/>
        <v>0</v>
      </c>
      <c r="N154" s="91">
        <f t="shared" si="19"/>
        <v>0</v>
      </c>
      <c r="O154" s="91">
        <f t="shared" si="19"/>
        <v>0</v>
      </c>
      <c r="P154" s="91">
        <f t="shared" si="19"/>
        <v>0</v>
      </c>
      <c r="Q154" s="91">
        <f t="shared" si="19"/>
        <v>0</v>
      </c>
      <c r="R154" s="8"/>
      <c r="S154" s="8"/>
      <c r="T154" s="8"/>
      <c r="U154" s="8"/>
      <c r="V154" s="8"/>
      <c r="W154" s="44"/>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2"/>
      <c r="B155" s="12"/>
      <c r="C155" s="12"/>
      <c r="D155" s="12"/>
      <c r="E155" s="12"/>
      <c r="F155" s="137">
        <f>Asset13</f>
        <v>0</v>
      </c>
      <c r="G155" s="175">
        <f t="shared" ref="G155:Q155" si="20">(G53-G87-G121)/G$178</f>
        <v>0</v>
      </c>
      <c r="H155" s="91">
        <f t="shared" si="20"/>
        <v>0</v>
      </c>
      <c r="I155" s="91">
        <f t="shared" si="20"/>
        <v>0</v>
      </c>
      <c r="J155" s="91">
        <f t="shared" si="20"/>
        <v>0</v>
      </c>
      <c r="K155" s="91">
        <f t="shared" si="20"/>
        <v>0</v>
      </c>
      <c r="L155" s="91">
        <f t="shared" si="20"/>
        <v>0</v>
      </c>
      <c r="M155" s="91">
        <f t="shared" si="20"/>
        <v>0</v>
      </c>
      <c r="N155" s="91">
        <f t="shared" si="20"/>
        <v>0</v>
      </c>
      <c r="O155" s="91">
        <f t="shared" si="20"/>
        <v>0</v>
      </c>
      <c r="P155" s="91">
        <f t="shared" si="20"/>
        <v>0</v>
      </c>
      <c r="Q155" s="91">
        <f t="shared" si="20"/>
        <v>0</v>
      </c>
      <c r="R155" s="8"/>
      <c r="S155" s="8"/>
      <c r="T155" s="8"/>
      <c r="U155" s="8"/>
      <c r="V155" s="8"/>
      <c r="W155" s="44"/>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2"/>
      <c r="B156" s="12"/>
      <c r="C156" s="12"/>
      <c r="D156" s="12"/>
      <c r="E156" s="12"/>
      <c r="F156" s="137">
        <f>Asset14</f>
        <v>0</v>
      </c>
      <c r="G156" s="175">
        <f t="shared" ref="G156:Q156" si="21">(G54-G88-G122)/G$178</f>
        <v>0</v>
      </c>
      <c r="H156" s="91">
        <f t="shared" si="21"/>
        <v>0</v>
      </c>
      <c r="I156" s="91">
        <f t="shared" si="21"/>
        <v>0</v>
      </c>
      <c r="J156" s="91">
        <f t="shared" si="21"/>
        <v>0</v>
      </c>
      <c r="K156" s="91">
        <f t="shared" si="21"/>
        <v>0</v>
      </c>
      <c r="L156" s="91">
        <f t="shared" si="21"/>
        <v>0</v>
      </c>
      <c r="M156" s="91">
        <f t="shared" si="21"/>
        <v>0</v>
      </c>
      <c r="N156" s="91">
        <f t="shared" si="21"/>
        <v>0</v>
      </c>
      <c r="O156" s="91">
        <f t="shared" si="21"/>
        <v>0</v>
      </c>
      <c r="P156" s="91">
        <f t="shared" si="21"/>
        <v>0</v>
      </c>
      <c r="Q156" s="91">
        <f t="shared" si="21"/>
        <v>0</v>
      </c>
      <c r="R156" s="8"/>
      <c r="S156" s="8"/>
      <c r="T156" s="8"/>
      <c r="U156" s="8"/>
      <c r="V156" s="8"/>
      <c r="W156" s="44"/>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2"/>
      <c r="B157" s="12"/>
      <c r="C157" s="12"/>
      <c r="D157" s="12"/>
      <c r="E157" s="12"/>
      <c r="F157" s="137">
        <f>Asset15</f>
        <v>0</v>
      </c>
      <c r="G157" s="175">
        <f t="shared" ref="G157:Q157" si="22">(G55-G89-G123)/G$178</f>
        <v>0</v>
      </c>
      <c r="H157" s="91">
        <f t="shared" si="22"/>
        <v>0</v>
      </c>
      <c r="I157" s="91">
        <f t="shared" si="22"/>
        <v>0</v>
      </c>
      <c r="J157" s="91">
        <f t="shared" si="22"/>
        <v>0</v>
      </c>
      <c r="K157" s="91">
        <f t="shared" si="22"/>
        <v>0</v>
      </c>
      <c r="L157" s="91">
        <f t="shared" si="22"/>
        <v>0</v>
      </c>
      <c r="M157" s="91">
        <f t="shared" si="22"/>
        <v>0</v>
      </c>
      <c r="N157" s="91">
        <f t="shared" si="22"/>
        <v>0</v>
      </c>
      <c r="O157" s="91">
        <f t="shared" si="22"/>
        <v>0</v>
      </c>
      <c r="P157" s="91">
        <f t="shared" si="22"/>
        <v>0</v>
      </c>
      <c r="Q157" s="91">
        <f t="shared" si="22"/>
        <v>0</v>
      </c>
      <c r="R157" s="8"/>
      <c r="S157" s="8"/>
      <c r="T157" s="8"/>
      <c r="U157" s="8"/>
      <c r="V157" s="8"/>
      <c r="W157" s="44"/>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2"/>
      <c r="B158" s="12"/>
      <c r="C158" s="12"/>
      <c r="D158" s="12"/>
      <c r="E158" s="12"/>
      <c r="F158" s="137">
        <f>Asset16</f>
        <v>0</v>
      </c>
      <c r="G158" s="175">
        <f t="shared" ref="G158:Q158" si="23">(G56-G90-G124)/G$178</f>
        <v>0</v>
      </c>
      <c r="H158" s="91">
        <f t="shared" si="23"/>
        <v>0</v>
      </c>
      <c r="I158" s="91">
        <f t="shared" si="23"/>
        <v>0</v>
      </c>
      <c r="J158" s="91">
        <f t="shared" si="23"/>
        <v>0</v>
      </c>
      <c r="K158" s="91">
        <f t="shared" si="23"/>
        <v>0</v>
      </c>
      <c r="L158" s="91">
        <f t="shared" si="23"/>
        <v>0</v>
      </c>
      <c r="M158" s="91">
        <f t="shared" si="23"/>
        <v>0</v>
      </c>
      <c r="N158" s="91">
        <f t="shared" si="23"/>
        <v>0</v>
      </c>
      <c r="O158" s="91">
        <f t="shared" si="23"/>
        <v>0</v>
      </c>
      <c r="P158" s="91">
        <f t="shared" si="23"/>
        <v>0</v>
      </c>
      <c r="Q158" s="91">
        <f t="shared" si="23"/>
        <v>0</v>
      </c>
      <c r="R158" s="8"/>
      <c r="S158" s="8"/>
      <c r="T158" s="8"/>
      <c r="U158" s="8"/>
      <c r="V158" s="8"/>
      <c r="W158" s="44"/>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2"/>
      <c r="B159" s="12"/>
      <c r="C159" s="12"/>
      <c r="D159" s="12"/>
      <c r="E159" s="12"/>
      <c r="F159" s="137">
        <f>Asset17</f>
        <v>0</v>
      </c>
      <c r="G159" s="175">
        <f t="shared" ref="G159:Q159" si="24">(G57-G91-G125)/G$178</f>
        <v>0</v>
      </c>
      <c r="H159" s="91">
        <f t="shared" si="24"/>
        <v>0</v>
      </c>
      <c r="I159" s="91">
        <f t="shared" si="24"/>
        <v>0</v>
      </c>
      <c r="J159" s="91">
        <f t="shared" si="24"/>
        <v>0</v>
      </c>
      <c r="K159" s="91">
        <f t="shared" si="24"/>
        <v>0</v>
      </c>
      <c r="L159" s="91">
        <f t="shared" si="24"/>
        <v>0</v>
      </c>
      <c r="M159" s="91">
        <f t="shared" si="24"/>
        <v>0</v>
      </c>
      <c r="N159" s="91">
        <f t="shared" si="24"/>
        <v>0</v>
      </c>
      <c r="O159" s="91">
        <f t="shared" si="24"/>
        <v>0</v>
      </c>
      <c r="P159" s="91">
        <f t="shared" si="24"/>
        <v>0</v>
      </c>
      <c r="Q159" s="91">
        <f t="shared" si="24"/>
        <v>0</v>
      </c>
      <c r="R159" s="8"/>
      <c r="S159" s="8"/>
      <c r="T159" s="8"/>
      <c r="U159" s="8"/>
      <c r="V159" s="8"/>
      <c r="W159" s="44"/>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2"/>
      <c r="B160" s="12"/>
      <c r="C160" s="12"/>
      <c r="D160" s="12"/>
      <c r="E160" s="12"/>
      <c r="F160" s="137">
        <f>Asset18</f>
        <v>0</v>
      </c>
      <c r="G160" s="175">
        <f t="shared" ref="G160:Q160" si="25">(G58-G92-G126)/G$178</f>
        <v>0</v>
      </c>
      <c r="H160" s="91">
        <f t="shared" si="25"/>
        <v>0</v>
      </c>
      <c r="I160" s="91">
        <f t="shared" si="25"/>
        <v>0</v>
      </c>
      <c r="J160" s="91">
        <f t="shared" si="25"/>
        <v>0</v>
      </c>
      <c r="K160" s="91">
        <f t="shared" si="25"/>
        <v>0</v>
      </c>
      <c r="L160" s="91">
        <f t="shared" si="25"/>
        <v>0</v>
      </c>
      <c r="M160" s="91">
        <f t="shared" si="25"/>
        <v>0</v>
      </c>
      <c r="N160" s="91">
        <f t="shared" si="25"/>
        <v>0</v>
      </c>
      <c r="O160" s="91">
        <f t="shared" si="25"/>
        <v>0</v>
      </c>
      <c r="P160" s="91">
        <f t="shared" si="25"/>
        <v>0</v>
      </c>
      <c r="Q160" s="91">
        <f t="shared" si="25"/>
        <v>0</v>
      </c>
      <c r="R160" s="8"/>
      <c r="S160" s="8"/>
      <c r="T160" s="8"/>
      <c r="U160" s="8"/>
      <c r="V160" s="8"/>
      <c r="W160" s="44"/>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2"/>
      <c r="B161" s="12"/>
      <c r="C161" s="12"/>
      <c r="D161" s="12"/>
      <c r="E161" s="12"/>
      <c r="F161" s="137">
        <f>Asset19</f>
        <v>0</v>
      </c>
      <c r="G161" s="175">
        <f t="shared" ref="G161:Q161" si="26">(G59-G93-G127)/G$178</f>
        <v>0</v>
      </c>
      <c r="H161" s="91">
        <f t="shared" si="26"/>
        <v>0</v>
      </c>
      <c r="I161" s="91">
        <f t="shared" si="26"/>
        <v>0</v>
      </c>
      <c r="J161" s="91">
        <f t="shared" si="26"/>
        <v>0</v>
      </c>
      <c r="K161" s="91">
        <f t="shared" si="26"/>
        <v>0</v>
      </c>
      <c r="L161" s="91">
        <f t="shared" si="26"/>
        <v>0</v>
      </c>
      <c r="M161" s="91">
        <f t="shared" si="26"/>
        <v>0</v>
      </c>
      <c r="N161" s="91">
        <f t="shared" si="26"/>
        <v>0</v>
      </c>
      <c r="O161" s="91">
        <f t="shared" si="26"/>
        <v>0</v>
      </c>
      <c r="P161" s="91">
        <f t="shared" si="26"/>
        <v>0</v>
      </c>
      <c r="Q161" s="91">
        <f t="shared" si="26"/>
        <v>0</v>
      </c>
      <c r="R161" s="8"/>
      <c r="S161" s="8"/>
      <c r="T161" s="8"/>
      <c r="U161" s="8"/>
      <c r="V161" s="8"/>
      <c r="W161" s="44"/>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2"/>
      <c r="B162" s="12"/>
      <c r="C162" s="12"/>
      <c r="D162" s="12"/>
      <c r="E162" s="12"/>
      <c r="F162" s="137">
        <f>Asset20</f>
        <v>0</v>
      </c>
      <c r="G162" s="175">
        <f t="shared" ref="G162:Q162" si="27">(G60-G94-G128)/G$178</f>
        <v>0</v>
      </c>
      <c r="H162" s="91">
        <f t="shared" si="27"/>
        <v>0</v>
      </c>
      <c r="I162" s="91">
        <f t="shared" si="27"/>
        <v>0</v>
      </c>
      <c r="J162" s="91">
        <f t="shared" si="27"/>
        <v>0</v>
      </c>
      <c r="K162" s="91">
        <f t="shared" si="27"/>
        <v>0</v>
      </c>
      <c r="L162" s="91">
        <f t="shared" si="27"/>
        <v>0</v>
      </c>
      <c r="M162" s="91">
        <f t="shared" si="27"/>
        <v>0</v>
      </c>
      <c r="N162" s="91">
        <f t="shared" si="27"/>
        <v>0</v>
      </c>
      <c r="O162" s="91">
        <f t="shared" si="27"/>
        <v>0</v>
      </c>
      <c r="P162" s="91">
        <f t="shared" si="27"/>
        <v>0</v>
      </c>
      <c r="Q162" s="91">
        <f t="shared" si="27"/>
        <v>0</v>
      </c>
      <c r="R162" s="8"/>
      <c r="S162" s="8"/>
      <c r="T162" s="8"/>
      <c r="U162" s="8"/>
      <c r="V162" s="8"/>
      <c r="W162" s="44"/>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2"/>
      <c r="B163" s="12"/>
      <c r="C163" s="12"/>
      <c r="D163" s="12"/>
      <c r="E163" s="12"/>
      <c r="F163" s="40">
        <f>Asset21</f>
        <v>0</v>
      </c>
      <c r="G163" s="175">
        <f t="shared" ref="G163:Q163" si="28">(G61-G95-G129)/G$178</f>
        <v>0</v>
      </c>
      <c r="H163" s="91">
        <f t="shared" si="28"/>
        <v>0</v>
      </c>
      <c r="I163" s="91">
        <f t="shared" si="28"/>
        <v>0</v>
      </c>
      <c r="J163" s="91">
        <f t="shared" si="28"/>
        <v>0</v>
      </c>
      <c r="K163" s="91">
        <f t="shared" si="28"/>
        <v>0</v>
      </c>
      <c r="L163" s="91">
        <f t="shared" si="28"/>
        <v>0</v>
      </c>
      <c r="M163" s="91">
        <f t="shared" si="28"/>
        <v>0</v>
      </c>
      <c r="N163" s="91">
        <f t="shared" si="28"/>
        <v>0</v>
      </c>
      <c r="O163" s="91">
        <f t="shared" si="28"/>
        <v>0</v>
      </c>
      <c r="P163" s="91">
        <f t="shared" si="28"/>
        <v>0</v>
      </c>
      <c r="Q163" s="91">
        <f t="shared" si="28"/>
        <v>0</v>
      </c>
      <c r="R163" s="8"/>
      <c r="S163" s="8"/>
      <c r="T163" s="8"/>
      <c r="U163" s="8"/>
      <c r="V163" s="8"/>
      <c r="W163" s="44"/>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2"/>
      <c r="B164" s="12"/>
      <c r="C164" s="12"/>
      <c r="D164" s="12"/>
      <c r="E164" s="12"/>
      <c r="F164" s="40">
        <f>Asset22</f>
        <v>0</v>
      </c>
      <c r="G164" s="175">
        <f t="shared" ref="G164:Q164" si="29">(G62-G96-G130)/G$178</f>
        <v>0</v>
      </c>
      <c r="H164" s="91">
        <f t="shared" si="29"/>
        <v>0</v>
      </c>
      <c r="I164" s="91">
        <f t="shared" si="29"/>
        <v>0</v>
      </c>
      <c r="J164" s="91">
        <f t="shared" si="29"/>
        <v>0</v>
      </c>
      <c r="K164" s="91">
        <f t="shared" si="29"/>
        <v>0</v>
      </c>
      <c r="L164" s="91">
        <f t="shared" si="29"/>
        <v>0</v>
      </c>
      <c r="M164" s="91">
        <f t="shared" si="29"/>
        <v>0</v>
      </c>
      <c r="N164" s="91">
        <f t="shared" si="29"/>
        <v>0</v>
      </c>
      <c r="O164" s="91">
        <f t="shared" si="29"/>
        <v>0</v>
      </c>
      <c r="P164" s="91">
        <f t="shared" si="29"/>
        <v>0</v>
      </c>
      <c r="Q164" s="91">
        <f t="shared" si="29"/>
        <v>0</v>
      </c>
      <c r="R164" s="8"/>
      <c r="S164" s="8"/>
      <c r="T164" s="8"/>
      <c r="U164" s="8"/>
      <c r="V164" s="8"/>
      <c r="W164" s="44"/>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2"/>
      <c r="B165" s="12"/>
      <c r="C165" s="12"/>
      <c r="D165" s="12"/>
      <c r="E165" s="12"/>
      <c r="F165" s="40">
        <f>Asset23</f>
        <v>0</v>
      </c>
      <c r="G165" s="175">
        <f t="shared" ref="G165:Q165" si="30">(G63-G97-G131)/G$178</f>
        <v>0</v>
      </c>
      <c r="H165" s="91">
        <f t="shared" si="30"/>
        <v>0</v>
      </c>
      <c r="I165" s="91">
        <f t="shared" si="30"/>
        <v>0</v>
      </c>
      <c r="J165" s="91">
        <f t="shared" si="30"/>
        <v>0</v>
      </c>
      <c r="K165" s="91">
        <f t="shared" si="30"/>
        <v>0</v>
      </c>
      <c r="L165" s="91">
        <f t="shared" si="30"/>
        <v>0</v>
      </c>
      <c r="M165" s="91">
        <f t="shared" si="30"/>
        <v>0</v>
      </c>
      <c r="N165" s="91">
        <f t="shared" si="30"/>
        <v>0</v>
      </c>
      <c r="O165" s="91">
        <f t="shared" si="30"/>
        <v>0</v>
      </c>
      <c r="P165" s="91">
        <f t="shared" si="30"/>
        <v>0</v>
      </c>
      <c r="Q165" s="91">
        <f t="shared" si="30"/>
        <v>0</v>
      </c>
      <c r="R165" s="8"/>
      <c r="S165" s="8"/>
      <c r="T165" s="8"/>
      <c r="U165" s="8"/>
      <c r="V165" s="8"/>
      <c r="W165" s="44"/>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2"/>
      <c r="B166" s="12"/>
      <c r="C166" s="12"/>
      <c r="D166" s="12"/>
      <c r="E166" s="12"/>
      <c r="F166" s="40">
        <f>Asset24</f>
        <v>0</v>
      </c>
      <c r="G166" s="175">
        <f t="shared" ref="G166:Q166" si="31">(G64-G98-G132)/G$178</f>
        <v>0</v>
      </c>
      <c r="H166" s="91">
        <f t="shared" si="31"/>
        <v>0</v>
      </c>
      <c r="I166" s="91">
        <f t="shared" si="31"/>
        <v>0</v>
      </c>
      <c r="J166" s="91">
        <f t="shared" si="31"/>
        <v>0</v>
      </c>
      <c r="K166" s="91">
        <f t="shared" si="31"/>
        <v>0</v>
      </c>
      <c r="L166" s="91">
        <f t="shared" si="31"/>
        <v>0</v>
      </c>
      <c r="M166" s="91">
        <f t="shared" si="31"/>
        <v>0</v>
      </c>
      <c r="N166" s="91">
        <f t="shared" si="31"/>
        <v>0</v>
      </c>
      <c r="O166" s="91">
        <f t="shared" si="31"/>
        <v>0</v>
      </c>
      <c r="P166" s="91">
        <f t="shared" si="31"/>
        <v>0</v>
      </c>
      <c r="Q166" s="91">
        <f t="shared" si="31"/>
        <v>0</v>
      </c>
      <c r="R166" s="8"/>
      <c r="S166" s="8"/>
      <c r="T166" s="8"/>
      <c r="U166" s="8"/>
      <c r="V166" s="8"/>
      <c r="W166" s="44"/>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2"/>
      <c r="B167" s="12"/>
      <c r="C167" s="12"/>
      <c r="D167" s="12"/>
      <c r="E167" s="12"/>
      <c r="F167" s="40">
        <f>Asset25</f>
        <v>0</v>
      </c>
      <c r="G167" s="175">
        <f t="shared" ref="G167:Q167" si="32">(G65-G99-G133)/G$178</f>
        <v>0</v>
      </c>
      <c r="H167" s="91">
        <f t="shared" si="32"/>
        <v>0</v>
      </c>
      <c r="I167" s="91">
        <f t="shared" si="32"/>
        <v>0</v>
      </c>
      <c r="J167" s="91">
        <f t="shared" si="32"/>
        <v>0</v>
      </c>
      <c r="K167" s="91">
        <f t="shared" si="32"/>
        <v>0</v>
      </c>
      <c r="L167" s="91">
        <f t="shared" si="32"/>
        <v>0</v>
      </c>
      <c r="M167" s="91">
        <f t="shared" si="32"/>
        <v>0</v>
      </c>
      <c r="N167" s="91">
        <f t="shared" si="32"/>
        <v>0</v>
      </c>
      <c r="O167" s="91">
        <f t="shared" si="32"/>
        <v>0</v>
      </c>
      <c r="P167" s="91">
        <f t="shared" si="32"/>
        <v>0</v>
      </c>
      <c r="Q167" s="91">
        <f t="shared" si="32"/>
        <v>0</v>
      </c>
      <c r="R167" s="8"/>
      <c r="S167" s="8"/>
      <c r="T167" s="8"/>
      <c r="U167" s="8"/>
      <c r="V167" s="8"/>
      <c r="W167" s="44"/>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2"/>
      <c r="B168" s="12"/>
      <c r="C168" s="12"/>
      <c r="D168" s="12"/>
      <c r="E168" s="12"/>
      <c r="F168" s="40">
        <f>Asset26</f>
        <v>0</v>
      </c>
      <c r="G168" s="175">
        <f t="shared" ref="G168:Q168" si="33">(G66-G100-G134)/G$178</f>
        <v>0</v>
      </c>
      <c r="H168" s="91">
        <f t="shared" si="33"/>
        <v>0</v>
      </c>
      <c r="I168" s="91">
        <f t="shared" si="33"/>
        <v>0</v>
      </c>
      <c r="J168" s="91">
        <f t="shared" si="33"/>
        <v>0</v>
      </c>
      <c r="K168" s="91">
        <f t="shared" si="33"/>
        <v>0</v>
      </c>
      <c r="L168" s="91">
        <f t="shared" si="33"/>
        <v>0</v>
      </c>
      <c r="M168" s="91">
        <f t="shared" si="33"/>
        <v>0</v>
      </c>
      <c r="N168" s="91">
        <f t="shared" si="33"/>
        <v>0</v>
      </c>
      <c r="O168" s="91">
        <f t="shared" si="33"/>
        <v>0</v>
      </c>
      <c r="P168" s="91">
        <f t="shared" si="33"/>
        <v>0</v>
      </c>
      <c r="Q168" s="91">
        <f t="shared" si="33"/>
        <v>0</v>
      </c>
      <c r="R168" s="8"/>
      <c r="S168" s="8"/>
      <c r="T168" s="8"/>
      <c r="U168" s="8"/>
      <c r="V168" s="8"/>
      <c r="W168" s="44"/>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2"/>
      <c r="B169" s="12"/>
      <c r="C169" s="12"/>
      <c r="D169" s="12"/>
      <c r="E169" s="12"/>
      <c r="F169" s="40">
        <f>Asset27</f>
        <v>0</v>
      </c>
      <c r="G169" s="175">
        <f t="shared" ref="G169:Q169" si="34">(G67-G101-G135)/G$178</f>
        <v>0</v>
      </c>
      <c r="H169" s="91">
        <f t="shared" si="34"/>
        <v>0</v>
      </c>
      <c r="I169" s="91">
        <f t="shared" si="34"/>
        <v>0</v>
      </c>
      <c r="J169" s="91">
        <f t="shared" si="34"/>
        <v>0</v>
      </c>
      <c r="K169" s="91">
        <f t="shared" si="34"/>
        <v>0</v>
      </c>
      <c r="L169" s="91">
        <f t="shared" si="34"/>
        <v>0</v>
      </c>
      <c r="M169" s="91">
        <f t="shared" si="34"/>
        <v>0</v>
      </c>
      <c r="N169" s="91">
        <f t="shared" si="34"/>
        <v>0</v>
      </c>
      <c r="O169" s="91">
        <f t="shared" si="34"/>
        <v>0</v>
      </c>
      <c r="P169" s="91">
        <f t="shared" si="34"/>
        <v>0</v>
      </c>
      <c r="Q169" s="91">
        <f t="shared" si="34"/>
        <v>0</v>
      </c>
      <c r="R169" s="8"/>
      <c r="S169" s="8"/>
      <c r="T169" s="8"/>
      <c r="U169" s="8"/>
      <c r="V169" s="8"/>
      <c r="W169" s="44"/>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outlineLevel="1">
      <c r="A170" s="12"/>
      <c r="B170" s="12"/>
      <c r="C170" s="12"/>
      <c r="D170" s="12"/>
      <c r="E170" s="12"/>
      <c r="F170" s="40">
        <f>Asset28</f>
        <v>0</v>
      </c>
      <c r="G170" s="175">
        <f t="shared" ref="G170:Q170" si="35">(G68-G102-G136)/G$178</f>
        <v>0</v>
      </c>
      <c r="H170" s="91">
        <f t="shared" si="35"/>
        <v>0</v>
      </c>
      <c r="I170" s="91">
        <f t="shared" si="35"/>
        <v>0</v>
      </c>
      <c r="J170" s="91">
        <f t="shared" si="35"/>
        <v>0</v>
      </c>
      <c r="K170" s="91">
        <f t="shared" si="35"/>
        <v>0</v>
      </c>
      <c r="L170" s="91">
        <f t="shared" si="35"/>
        <v>0</v>
      </c>
      <c r="M170" s="91">
        <f t="shared" si="35"/>
        <v>0</v>
      </c>
      <c r="N170" s="91">
        <f t="shared" si="35"/>
        <v>0</v>
      </c>
      <c r="O170" s="91">
        <f t="shared" si="35"/>
        <v>0</v>
      </c>
      <c r="P170" s="91">
        <f t="shared" si="35"/>
        <v>0</v>
      </c>
      <c r="Q170" s="91">
        <f t="shared" si="35"/>
        <v>0</v>
      </c>
      <c r="R170" s="8"/>
      <c r="S170" s="8" t="s">
        <v>130</v>
      </c>
      <c r="T170" s="8"/>
      <c r="U170" s="8"/>
      <c r="V170" s="8"/>
      <c r="W170" s="44"/>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outlineLevel="1">
      <c r="A171" s="12"/>
      <c r="B171" s="12"/>
      <c r="C171" s="12"/>
      <c r="D171" s="12"/>
      <c r="E171" s="12"/>
      <c r="F171" s="40">
        <f>Asset29</f>
        <v>0</v>
      </c>
      <c r="G171" s="175">
        <f t="shared" ref="G171:Q171" si="36">(G69-G103-G137)/G$178</f>
        <v>0</v>
      </c>
      <c r="H171" s="91">
        <f t="shared" si="36"/>
        <v>0</v>
      </c>
      <c r="I171" s="91">
        <f t="shared" si="36"/>
        <v>0</v>
      </c>
      <c r="J171" s="91">
        <f t="shared" si="36"/>
        <v>0</v>
      </c>
      <c r="K171" s="91">
        <f t="shared" si="36"/>
        <v>0</v>
      </c>
      <c r="L171" s="91">
        <f t="shared" si="36"/>
        <v>0</v>
      </c>
      <c r="M171" s="91">
        <f t="shared" si="36"/>
        <v>0</v>
      </c>
      <c r="N171" s="91">
        <f t="shared" si="36"/>
        <v>0</v>
      </c>
      <c r="O171" s="91">
        <f t="shared" si="36"/>
        <v>0</v>
      </c>
      <c r="P171" s="91">
        <f t="shared" si="36"/>
        <v>0</v>
      </c>
      <c r="Q171" s="91">
        <f t="shared" si="36"/>
        <v>0</v>
      </c>
      <c r="R171" s="8"/>
      <c r="S171" s="8"/>
      <c r="T171" s="8"/>
      <c r="U171" s="8"/>
      <c r="V171" s="8"/>
      <c r="W171" s="44"/>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outlineLevel="1">
      <c r="A172" s="12"/>
      <c r="B172" s="12"/>
      <c r="C172" s="12"/>
      <c r="D172" s="12"/>
      <c r="E172" s="12"/>
      <c r="F172" s="40">
        <f>Asset30</f>
        <v>0</v>
      </c>
      <c r="G172" s="175">
        <f t="shared" ref="G172:Q172" si="37">(G70-G104-G138)/G$178</f>
        <v>0</v>
      </c>
      <c r="H172" s="91">
        <f t="shared" si="37"/>
        <v>0</v>
      </c>
      <c r="I172" s="91">
        <f t="shared" si="37"/>
        <v>0</v>
      </c>
      <c r="J172" s="91">
        <f t="shared" si="37"/>
        <v>0</v>
      </c>
      <c r="K172" s="91">
        <f t="shared" si="37"/>
        <v>0</v>
      </c>
      <c r="L172" s="91">
        <f t="shared" si="37"/>
        <v>0</v>
      </c>
      <c r="M172" s="91">
        <f t="shared" si="37"/>
        <v>0</v>
      </c>
      <c r="N172" s="91">
        <f t="shared" si="37"/>
        <v>0</v>
      </c>
      <c r="O172" s="91">
        <f t="shared" si="37"/>
        <v>0</v>
      </c>
      <c r="P172" s="91">
        <f t="shared" si="37"/>
        <v>0</v>
      </c>
      <c r="Q172" s="91">
        <f t="shared" si="37"/>
        <v>0</v>
      </c>
      <c r="R172" s="8"/>
      <c r="S172" s="8"/>
      <c r="T172" s="8"/>
      <c r="U172" s="8"/>
      <c r="V172" s="8"/>
      <c r="W172" s="44"/>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c r="A173" s="12"/>
      <c r="B173" s="12"/>
      <c r="C173" s="12"/>
      <c r="D173" s="12"/>
      <c r="E173" s="12"/>
      <c r="F173" s="40" t="s">
        <v>22</v>
      </c>
      <c r="G173" s="242">
        <f>SUM(G143:G172)</f>
        <v>101.33199999999999</v>
      </c>
      <c r="H173" s="242">
        <f t="shared" ref="H173:Q173" si="38">SUM(H143:H172)</f>
        <v>96.494387705363437</v>
      </c>
      <c r="I173" s="242">
        <f t="shared" si="38"/>
        <v>103.86123504630957</v>
      </c>
      <c r="J173" s="242">
        <f t="shared" si="38"/>
        <v>115.27432068709929</v>
      </c>
      <c r="K173" s="242">
        <f t="shared" si="38"/>
        <v>80.104016587655053</v>
      </c>
      <c r="L173" s="242">
        <f>SUM(L143:L172)</f>
        <v>91.352577696526495</v>
      </c>
      <c r="M173" s="242">
        <f t="shared" si="38"/>
        <v>0</v>
      </c>
      <c r="N173" s="242">
        <f t="shared" si="38"/>
        <v>0</v>
      </c>
      <c r="O173" s="242">
        <f t="shared" si="38"/>
        <v>0</v>
      </c>
      <c r="P173" s="242">
        <f t="shared" si="38"/>
        <v>0</v>
      </c>
      <c r="Q173" s="242">
        <f t="shared" si="38"/>
        <v>0</v>
      </c>
      <c r="R173" s="38"/>
      <c r="S173" s="38"/>
      <c r="T173" s="38"/>
      <c r="U173" s="38"/>
      <c r="V173" s="38"/>
      <c r="W173" s="38"/>
      <c r="X173" s="88"/>
      <c r="Y173" s="8"/>
      <c r="Z173" s="8"/>
      <c r="AA173" s="44"/>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t="21" customHeight="1">
      <c r="A174" s="12"/>
      <c r="B174" s="12"/>
      <c r="C174" s="12"/>
      <c r="D174" s="12"/>
      <c r="E174" s="12"/>
      <c r="F174" s="40"/>
      <c r="G174" s="60"/>
      <c r="H174" s="60"/>
      <c r="I174" s="60"/>
      <c r="J174" s="60"/>
      <c r="K174" s="60"/>
      <c r="L174" s="60"/>
      <c r="M174" s="60"/>
      <c r="N174" s="38"/>
      <c r="O174" s="38"/>
      <c r="P174" s="38"/>
      <c r="Q174" s="38"/>
      <c r="R174" s="241">
        <f>SUM(G173:Q173)</f>
        <v>588.41853772295383</v>
      </c>
      <c r="S174" s="38"/>
      <c r="T174" s="38"/>
      <c r="U174" s="38"/>
      <c r="V174" s="38"/>
      <c r="W174" s="38"/>
      <c r="X174" s="38"/>
      <c r="Y174" s="8"/>
      <c r="Z174" s="8"/>
      <c r="AA174" s="44"/>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t="14.25" customHeight="1">
      <c r="A175" s="77"/>
      <c r="B175" s="77"/>
      <c r="C175" s="77"/>
      <c r="D175" s="77"/>
      <c r="E175" s="77"/>
      <c r="F175" s="97" t="s">
        <v>27</v>
      </c>
      <c r="G175" s="97"/>
      <c r="H175" s="97"/>
      <c r="I175" s="97"/>
      <c r="J175" s="78"/>
      <c r="K175" s="79"/>
      <c r="L175" s="79"/>
      <c r="M175" s="79"/>
      <c r="N175" s="79"/>
      <c r="O175" s="79"/>
      <c r="P175" s="79"/>
      <c r="Q175" s="79"/>
      <c r="R175" s="79"/>
      <c r="S175" s="79"/>
      <c r="T175" s="79"/>
      <c r="U175" s="79"/>
      <c r="V175" s="79"/>
      <c r="W175" s="79"/>
      <c r="X175" s="9"/>
      <c r="Y175" s="9"/>
      <c r="Z175" s="9"/>
      <c r="AA175" s="45"/>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t="14.25" customHeight="1">
      <c r="A176" s="12"/>
      <c r="B176" s="12"/>
      <c r="C176" s="12"/>
      <c r="D176" s="12"/>
      <c r="E176" s="12"/>
      <c r="F176" s="15"/>
      <c r="G176" s="145">
        <f>G40</f>
        <v>2012</v>
      </c>
      <c r="H176" s="145">
        <f t="shared" ref="H176:Q176" si="39">H40</f>
        <v>2013</v>
      </c>
      <c r="I176" s="145" t="str">
        <f t="shared" si="39"/>
        <v>2014</v>
      </c>
      <c r="J176" s="145" t="str">
        <f t="shared" si="39"/>
        <v>2015</v>
      </c>
      <c r="K176" s="145" t="str">
        <f t="shared" si="39"/>
        <v>2016</v>
      </c>
      <c r="L176" s="145" t="str">
        <f t="shared" si="39"/>
        <v>2017</v>
      </c>
      <c r="M176" s="145" t="str">
        <f t="shared" si="39"/>
        <v>2018</v>
      </c>
      <c r="N176" s="145" t="str">
        <f t="shared" si="39"/>
        <v>2019</v>
      </c>
      <c r="O176" s="145" t="str">
        <f t="shared" si="39"/>
        <v>2020</v>
      </c>
      <c r="P176" s="145" t="str">
        <f t="shared" si="39"/>
        <v>2021</v>
      </c>
      <c r="Q176" s="145" t="str">
        <f t="shared" si="39"/>
        <v>2022</v>
      </c>
      <c r="R176" s="13"/>
      <c r="S176" s="13"/>
      <c r="T176" s="13"/>
      <c r="U176" s="13"/>
      <c r="V176" s="13"/>
      <c r="W176" s="1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t="12.75" customHeight="1">
      <c r="A177" s="12"/>
      <c r="B177" s="12"/>
      <c r="C177" s="12"/>
      <c r="D177" s="12"/>
      <c r="E177" s="12"/>
      <c r="F177" s="633" t="s">
        <v>231</v>
      </c>
      <c r="G177" s="595">
        <v>3.5199076745527913E-2</v>
      </c>
      <c r="H177" s="595">
        <v>2.0040080160320661E-2</v>
      </c>
      <c r="I177" s="595">
        <v>2.16110019646365E-2</v>
      </c>
      <c r="J177" s="595">
        <v>2.3076923076923217E-2</v>
      </c>
      <c r="K177" s="595">
        <v>1.5037593984962294E-2</v>
      </c>
      <c r="L177" s="595">
        <v>1.2962962962963065E-2</v>
      </c>
      <c r="M177" s="107">
        <v>2.47E-2</v>
      </c>
      <c r="N177" s="107">
        <v>2.47E-2</v>
      </c>
      <c r="O177" s="107">
        <v>2.47E-2</v>
      </c>
      <c r="P177" s="107">
        <v>2.47E-2</v>
      </c>
      <c r="Q177" s="107">
        <v>2.47E-2</v>
      </c>
      <c r="R177" s="14"/>
      <c r="S177" s="14"/>
      <c r="T177" s="14"/>
      <c r="U177" s="14"/>
      <c r="V177" s="14"/>
      <c r="W177" s="14"/>
      <c r="X177" s="14"/>
      <c r="Y177" s="14"/>
      <c r="Z177" s="8"/>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t="13.5" customHeight="1">
      <c r="A178" s="12"/>
      <c r="B178" s="12"/>
      <c r="C178" s="12"/>
      <c r="D178" s="12"/>
      <c r="E178" s="12"/>
      <c r="F178" s="95" t="s">
        <v>74</v>
      </c>
      <c r="G178" s="239">
        <v>1</v>
      </c>
      <c r="H178" s="596">
        <f>G178*(1+H177)</f>
        <v>1.0200400801603207</v>
      </c>
      <c r="I178" s="596">
        <f t="shared" ref="I178:L178" si="40">H178*(1+I177)</f>
        <v>1.0420841683366733</v>
      </c>
      <c r="J178" s="596">
        <f t="shared" si="40"/>
        <v>1.0661322645290583</v>
      </c>
      <c r="K178" s="596">
        <f t="shared" si="40"/>
        <v>1.0821643286573146</v>
      </c>
      <c r="L178" s="596">
        <f t="shared" si="40"/>
        <v>1.0961923847695392</v>
      </c>
      <c r="M178" s="596">
        <f t="shared" ref="M178:N178" si="41">L178*(1+L177)</f>
        <v>1.1104022860535889</v>
      </c>
      <c r="N178" s="596">
        <f t="shared" si="41"/>
        <v>1.1378292225191124</v>
      </c>
      <c r="O178" s="596">
        <f t="shared" ref="O178:Q178" si="42">N178*(1+N177)</f>
        <v>1.1659336043153345</v>
      </c>
      <c r="P178" s="596">
        <f t="shared" si="42"/>
        <v>1.1947321643419233</v>
      </c>
      <c r="Q178" s="596">
        <f t="shared" si="42"/>
        <v>1.2242420488011687</v>
      </c>
      <c r="R178" s="14"/>
      <c r="S178" s="14"/>
      <c r="T178" s="14"/>
      <c r="U178" s="14"/>
      <c r="V178" s="14"/>
      <c r="W178" s="14"/>
      <c r="X178" s="14"/>
      <c r="Y178" s="14"/>
      <c r="Z178" s="8"/>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t="13.5" customHeight="1">
      <c r="A179" s="12"/>
      <c r="B179" s="12"/>
      <c r="C179" s="12"/>
      <c r="D179" s="12"/>
      <c r="E179" s="12"/>
      <c r="F179" s="95" t="s">
        <v>38</v>
      </c>
      <c r="G179" s="332">
        <v>2.5999999999999999E-2</v>
      </c>
      <c r="H179" s="580">
        <v>2.5000000000000001E-2</v>
      </c>
      <c r="I179" s="333">
        <f>H179</f>
        <v>2.5000000000000001E-2</v>
      </c>
      <c r="J179" s="333">
        <f>I179</f>
        <v>2.5000000000000001E-2</v>
      </c>
      <c r="K179" s="333">
        <f t="shared" ref="K179:Q179" si="43">J179</f>
        <v>2.5000000000000001E-2</v>
      </c>
      <c r="L179" s="333">
        <f t="shared" si="43"/>
        <v>2.5000000000000001E-2</v>
      </c>
      <c r="M179" s="333">
        <f t="shared" si="43"/>
        <v>2.5000000000000001E-2</v>
      </c>
      <c r="N179" s="333">
        <f t="shared" si="43"/>
        <v>2.5000000000000001E-2</v>
      </c>
      <c r="O179" s="333">
        <f t="shared" si="43"/>
        <v>2.5000000000000001E-2</v>
      </c>
      <c r="P179" s="333">
        <f t="shared" si="43"/>
        <v>2.5000000000000001E-2</v>
      </c>
      <c r="Q179" s="333">
        <f t="shared" si="43"/>
        <v>2.5000000000000001E-2</v>
      </c>
      <c r="R179" s="14"/>
      <c r="S179" s="14"/>
      <c r="T179" s="14"/>
      <c r="U179" s="14"/>
      <c r="V179" s="14"/>
      <c r="W179" s="14"/>
      <c r="X179" s="14"/>
      <c r="Y179" s="14"/>
      <c r="Z179" s="8"/>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t="12.75" customHeight="1">
      <c r="A180" s="12"/>
      <c r="B180" s="12"/>
      <c r="C180" s="12"/>
      <c r="D180" s="12"/>
      <c r="E180" s="12"/>
      <c r="F180" s="95" t="s">
        <v>37</v>
      </c>
      <c r="G180" s="239">
        <v>1</v>
      </c>
      <c r="H180" s="92">
        <f>G180*(1+H179)</f>
        <v>1.0249999999999999</v>
      </c>
      <c r="I180" s="92">
        <f t="shared" ref="I180:Q180" si="44">H180*(1+I179)</f>
        <v>1.0506249999999999</v>
      </c>
      <c r="J180" s="92">
        <f t="shared" si="44"/>
        <v>1.0768906249999999</v>
      </c>
      <c r="K180" s="92">
        <f t="shared" si="44"/>
        <v>1.1038128906249998</v>
      </c>
      <c r="L180" s="92">
        <f t="shared" si="44"/>
        <v>1.1314082128906247</v>
      </c>
      <c r="M180" s="92">
        <f t="shared" si="44"/>
        <v>1.1596934182128902</v>
      </c>
      <c r="N180" s="92">
        <f t="shared" si="44"/>
        <v>1.1886857536682123</v>
      </c>
      <c r="O180" s="92">
        <f t="shared" si="44"/>
        <v>1.2184028975099175</v>
      </c>
      <c r="P180" s="92">
        <f t="shared" si="44"/>
        <v>1.2488629699476652</v>
      </c>
      <c r="Q180" s="92">
        <f t="shared" si="44"/>
        <v>1.2800845441963566</v>
      </c>
      <c r="R180" s="14"/>
      <c r="S180" s="14"/>
      <c r="T180" s="14"/>
      <c r="U180" s="14"/>
      <c r="V180" s="14"/>
      <c r="W180" s="14"/>
      <c r="X180" s="14"/>
      <c r="Y180" s="14"/>
      <c r="Z180" s="8"/>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t="14.25" customHeight="1">
      <c r="A181" s="12"/>
      <c r="B181" s="12"/>
      <c r="C181" s="12"/>
      <c r="D181" s="12"/>
      <c r="E181" s="12"/>
      <c r="F181" s="12"/>
      <c r="G181" s="93"/>
      <c r="H181" s="93"/>
      <c r="I181" s="93"/>
      <c r="J181" s="93"/>
      <c r="K181" s="93"/>
      <c r="L181" s="93"/>
      <c r="M181" s="9"/>
      <c r="N181" s="14"/>
      <c r="O181" s="14"/>
      <c r="P181" s="14"/>
      <c r="Q181" s="14"/>
      <c r="R181" s="14"/>
      <c r="S181" s="14"/>
      <c r="T181" s="14"/>
      <c r="U181" s="14"/>
      <c r="V181" s="14"/>
      <c r="W181" s="14"/>
      <c r="X181" s="14"/>
      <c r="Y181" s="14"/>
      <c r="Z181" s="8"/>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t="14.25" customHeight="1">
      <c r="A182" s="12"/>
      <c r="B182" s="12"/>
      <c r="C182" s="12"/>
      <c r="D182" s="12"/>
      <c r="E182" s="12"/>
      <c r="F182" s="96" t="s">
        <v>87</v>
      </c>
      <c r="G182" s="582">
        <f>(1+G179)*(1+G183)-1</f>
        <v>9.0637999999999996E-2</v>
      </c>
      <c r="H182" s="330">
        <v>7.3894199999999993E-2</v>
      </c>
      <c r="I182" s="331">
        <f>H182</f>
        <v>7.3894199999999993E-2</v>
      </c>
      <c r="J182" s="331">
        <f t="shared" ref="J182:Q182" si="45">I182</f>
        <v>7.3894199999999993E-2</v>
      </c>
      <c r="K182" s="331">
        <f t="shared" si="45"/>
        <v>7.3894199999999993E-2</v>
      </c>
      <c r="L182" s="331">
        <f t="shared" si="45"/>
        <v>7.3894199999999993E-2</v>
      </c>
      <c r="M182" s="331">
        <f t="shared" si="45"/>
        <v>7.3894199999999993E-2</v>
      </c>
      <c r="N182" s="331">
        <f t="shared" si="45"/>
        <v>7.3894199999999993E-2</v>
      </c>
      <c r="O182" s="331">
        <f t="shared" si="45"/>
        <v>7.3894199999999993E-2</v>
      </c>
      <c r="P182" s="331">
        <f t="shared" si="45"/>
        <v>7.3894199999999993E-2</v>
      </c>
      <c r="Q182" s="331">
        <f t="shared" si="45"/>
        <v>7.3894199999999993E-2</v>
      </c>
      <c r="R182" s="14"/>
      <c r="S182" s="14"/>
      <c r="T182" s="14"/>
      <c r="U182" s="14"/>
      <c r="V182" s="14"/>
      <c r="W182" s="14"/>
      <c r="X182" s="14"/>
      <c r="Y182" s="14"/>
      <c r="Z182" s="8"/>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c r="A183" s="12"/>
      <c r="B183" s="12"/>
      <c r="C183" s="12"/>
      <c r="D183" s="12"/>
      <c r="E183" s="12"/>
      <c r="F183" s="95" t="s">
        <v>88</v>
      </c>
      <c r="G183" s="581">
        <v>6.3E-2</v>
      </c>
      <c r="H183" s="41">
        <f>(1+H182)/(1+H179)-1</f>
        <v>4.7701658536585478E-2</v>
      </c>
      <c r="I183" s="41">
        <f>H183</f>
        <v>4.7701658536585478E-2</v>
      </c>
      <c r="J183" s="41">
        <f t="shared" ref="J183:Q183" si="46">I183</f>
        <v>4.7701658536585478E-2</v>
      </c>
      <c r="K183" s="41">
        <f t="shared" si="46"/>
        <v>4.7701658536585478E-2</v>
      </c>
      <c r="L183" s="41">
        <f t="shared" si="46"/>
        <v>4.7701658536585478E-2</v>
      </c>
      <c r="M183" s="41">
        <f>L183</f>
        <v>4.7701658536585478E-2</v>
      </c>
      <c r="N183" s="41">
        <f t="shared" si="46"/>
        <v>4.7701658536585478E-2</v>
      </c>
      <c r="O183" s="41">
        <f t="shared" si="46"/>
        <v>4.7701658536585478E-2</v>
      </c>
      <c r="P183" s="41">
        <f t="shared" si="46"/>
        <v>4.7701658536585478E-2</v>
      </c>
      <c r="Q183" s="41">
        <f t="shared" si="46"/>
        <v>4.7701658536585478E-2</v>
      </c>
      <c r="R183" s="9"/>
      <c r="S183" s="9"/>
      <c r="T183" s="9"/>
      <c r="U183" s="9"/>
      <c r="V183" s="9"/>
      <c r="W183" s="9"/>
      <c r="X183" s="9"/>
      <c r="Y183" s="9"/>
      <c r="Z183" s="1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t="24" customHeight="1">
      <c r="A184" s="12"/>
      <c r="B184" s="12"/>
      <c r="C184" s="12"/>
      <c r="D184" s="12"/>
      <c r="E184" s="12"/>
      <c r="F184" s="160" t="s">
        <v>89</v>
      </c>
      <c r="G184" s="581">
        <v>0</v>
      </c>
      <c r="H184" s="41">
        <f>(1+H183)*(1+H177)-1</f>
        <v>6.8697683757759531E-2</v>
      </c>
      <c r="I184" s="41">
        <f t="shared" ref="I184:L184" si="47">(1+I183)*(1+I177)-1</f>
        <v>7.0343541137572574E-2</v>
      </c>
      <c r="J184" s="41">
        <f t="shared" si="47"/>
        <v>7.1879389118199244E-2</v>
      </c>
      <c r="K184" s="41">
        <f t="shared" si="47"/>
        <v>6.3456570695030301E-2</v>
      </c>
      <c r="L184" s="41">
        <f t="shared" si="47"/>
        <v>6.1282976332430295E-2</v>
      </c>
      <c r="M184" s="41">
        <f>IF(M177=0, 0, (1+M183)*(1+M177)-1)</f>
        <v>7.35798895024391E-2</v>
      </c>
      <c r="N184" s="41">
        <f>IF(N177=0, 0, (1+N183)*(1+N177)-1)</f>
        <v>7.35798895024391E-2</v>
      </c>
      <c r="O184" s="41">
        <f>IF(O177=0, 0, (1+O183)*(1+O177)-1)</f>
        <v>7.35798895024391E-2</v>
      </c>
      <c r="P184" s="41">
        <f>IF(P177=0, 0, (1+P183)*(1+P177)-1)</f>
        <v>7.35798895024391E-2</v>
      </c>
      <c r="Q184" s="41">
        <f>IF(Q177=0, 0, (1+Q183)*(1+Q177)-1)</f>
        <v>7.35798895024391E-2</v>
      </c>
      <c r="R184" s="9"/>
      <c r="S184" s="9"/>
      <c r="T184" s="9"/>
      <c r="U184" s="9"/>
      <c r="V184" s="9"/>
      <c r="W184" s="9"/>
      <c r="X184" s="9"/>
      <c r="Y184" s="9"/>
      <c r="Z184" s="1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c r="A185" s="12"/>
      <c r="B185" s="12"/>
      <c r="C185" s="12"/>
      <c r="D185" s="12"/>
      <c r="E185" s="12"/>
      <c r="F185" s="95"/>
      <c r="G185" s="95"/>
      <c r="H185" s="144"/>
      <c r="I185" s="144"/>
      <c r="J185" s="144"/>
      <c r="K185" s="144"/>
      <c r="L185" s="144"/>
      <c r="M185" s="144"/>
      <c r="N185" s="12"/>
      <c r="O185" s="12"/>
      <c r="P185" s="12"/>
      <c r="Q185" s="12"/>
      <c r="R185" s="12"/>
      <c r="S185" s="12"/>
      <c r="T185" s="12"/>
      <c r="U185" s="12"/>
      <c r="V185" s="9"/>
      <c r="W185" s="9"/>
      <c r="X185" s="9"/>
      <c r="Y185" s="9"/>
      <c r="Z185" s="9"/>
      <c r="AA185" s="1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s="9" customFormat="1">
      <c r="A186" s="12"/>
      <c r="B186" s="12"/>
      <c r="C186" s="12"/>
      <c r="D186" s="12"/>
      <c r="E186" s="12"/>
      <c r="H186" s="18"/>
      <c r="I186" s="20"/>
      <c r="AA186" s="19"/>
      <c r="AE186" s="187"/>
      <c r="AF186" s="187"/>
      <c r="AG186" s="187"/>
      <c r="AH186" s="187"/>
      <c r="AI186" s="187"/>
      <c r="AJ186" s="187"/>
      <c r="AK186" s="187"/>
      <c r="AL186" s="187"/>
      <c r="AM186" s="187"/>
      <c r="AN186" s="187"/>
      <c r="AO186" s="187"/>
      <c r="AP186" s="187"/>
      <c r="AQ186" s="187"/>
      <c r="AR186" s="187"/>
      <c r="AS186" s="187"/>
      <c r="AT186" s="187"/>
      <c r="AU186" s="187"/>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35:I35"/>
    <mergeCell ref="G36:I36"/>
    <mergeCell ref="G31:I31"/>
    <mergeCell ref="G32:I32"/>
    <mergeCell ref="G33:I33"/>
    <mergeCell ref="G34:I34"/>
    <mergeCell ref="G9:I9"/>
    <mergeCell ref="G10:I10"/>
    <mergeCell ref="G29:I29"/>
    <mergeCell ref="G30:I30"/>
    <mergeCell ref="G23:I23"/>
    <mergeCell ref="G24:I24"/>
    <mergeCell ref="G26:I26"/>
    <mergeCell ref="G27:I27"/>
    <mergeCell ref="G28:I28"/>
    <mergeCell ref="G25:I25"/>
    <mergeCell ref="G2:H2"/>
    <mergeCell ref="G6:I6"/>
    <mergeCell ref="G22:I22"/>
    <mergeCell ref="G17:I17"/>
    <mergeCell ref="G18:I18"/>
    <mergeCell ref="G19:I19"/>
    <mergeCell ref="G20:I20"/>
    <mergeCell ref="G21:I21"/>
    <mergeCell ref="G13:I13"/>
    <mergeCell ref="G14:I14"/>
    <mergeCell ref="G15:I15"/>
    <mergeCell ref="G16:I16"/>
    <mergeCell ref="G12:I12"/>
    <mergeCell ref="G11:I11"/>
    <mergeCell ref="G7:I7"/>
    <mergeCell ref="G8:I8"/>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K179:L179 M179:Q179"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D13" sqref="D13"/>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20"/>
      <c r="BK1" s="220"/>
    </row>
    <row r="2" spans="1:256" ht="15.75">
      <c r="A2" s="9"/>
      <c r="B2" s="56" t="s">
        <v>76</v>
      </c>
      <c r="C2" s="9"/>
      <c r="D2" s="9"/>
      <c r="E2" s="9"/>
      <c r="F2" s="9"/>
      <c r="G2" s="9"/>
      <c r="H2" s="9"/>
      <c r="I2" s="9"/>
      <c r="J2" s="9"/>
      <c r="K2" s="9"/>
      <c r="L2" s="9"/>
      <c r="M2" s="9"/>
      <c r="N2" s="9"/>
      <c r="O2" s="9"/>
      <c r="P2" s="9"/>
      <c r="Q2" s="9"/>
      <c r="R2" s="12"/>
      <c r="S2" s="12"/>
      <c r="T2" s="12"/>
      <c r="U2" s="12"/>
      <c r="V2" s="12"/>
      <c r="W2" s="12"/>
      <c r="X2" s="12"/>
      <c r="Y2" s="12"/>
      <c r="Z2" s="12"/>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25"/>
      <c r="BK3" s="225"/>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146">
        <f>G4-1</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51"/>
      <c r="T4" s="17"/>
      <c r="U4" s="17"/>
      <c r="V4" s="17"/>
      <c r="W4" s="17"/>
      <c r="X4" s="17"/>
      <c r="Y4" s="17"/>
      <c r="Z4" s="17"/>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20"/>
      <c r="BK4" s="22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20"/>
      <c r="BK5" s="22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35</v>
      </c>
      <c r="C6" s="9"/>
      <c r="D6" s="41"/>
      <c r="E6" s="9"/>
      <c r="F6" s="584"/>
      <c r="G6" s="191">
        <f>Input!G177</f>
        <v>3.5199076745527913E-2</v>
      </c>
      <c r="H6" s="20"/>
      <c r="I6" s="20"/>
      <c r="J6" s="20"/>
      <c r="K6" s="20"/>
      <c r="L6" s="20"/>
      <c r="M6" s="20"/>
      <c r="N6" s="20"/>
      <c r="O6" s="20"/>
      <c r="P6" s="20"/>
      <c r="Q6" s="20"/>
      <c r="R6" s="41"/>
      <c r="S6" s="51"/>
      <c r="T6" s="41"/>
      <c r="U6" s="41"/>
      <c r="V6" s="41"/>
      <c r="W6" s="41"/>
      <c r="X6" s="41"/>
      <c r="Y6" s="41"/>
      <c r="Z6" s="41"/>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20"/>
      <c r="BK6" s="220"/>
    </row>
    <row r="7" spans="1:256">
      <c r="A7" s="9"/>
      <c r="B7" s="95" t="s">
        <v>83</v>
      </c>
      <c r="C7" s="9"/>
      <c r="D7" s="9"/>
      <c r="E7" s="9"/>
      <c r="F7" s="9"/>
      <c r="G7" s="191"/>
      <c r="H7" s="235">
        <f>vanilla1</f>
        <v>6.8697683757759531E-2</v>
      </c>
      <c r="I7" s="94">
        <f>vanilla2</f>
        <v>7.0343541137572574E-2</v>
      </c>
      <c r="J7" s="94">
        <f>vanilla3</f>
        <v>7.1879389118199244E-2</v>
      </c>
      <c r="K7" s="94">
        <f>vanilla4</f>
        <v>6.3456570695030301E-2</v>
      </c>
      <c r="L7" s="94">
        <f>vanilla5</f>
        <v>6.1282976332430295E-2</v>
      </c>
      <c r="M7" s="94">
        <f>vanilla6</f>
        <v>7.35798895024391E-2</v>
      </c>
      <c r="N7" s="94">
        <f>vanilla7</f>
        <v>7.35798895024391E-2</v>
      </c>
      <c r="O7" s="94">
        <f>vanilla8</f>
        <v>7.35798895024391E-2</v>
      </c>
      <c r="P7" s="94">
        <f>vanilla9</f>
        <v>7.35798895024391E-2</v>
      </c>
      <c r="Q7" s="94">
        <f>vanilla10</f>
        <v>7.35798895024391E-2</v>
      </c>
      <c r="R7" s="94"/>
      <c r="S7" s="51"/>
      <c r="T7" s="139"/>
      <c r="U7" s="139"/>
      <c r="V7" s="139"/>
      <c r="W7" s="139"/>
      <c r="X7" s="139"/>
      <c r="Y7" s="139"/>
      <c r="Z7" s="139"/>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0"/>
      <c r="BK7" s="220"/>
    </row>
    <row r="8" spans="1:256">
      <c r="A8" s="9"/>
      <c r="B8" s="95"/>
      <c r="C8" s="9"/>
      <c r="D8" s="9"/>
      <c r="E8" s="9"/>
      <c r="F8" s="9"/>
      <c r="G8" s="144"/>
      <c r="H8" s="144"/>
      <c r="I8" s="144"/>
      <c r="J8" s="144"/>
      <c r="K8" s="144"/>
      <c r="L8" s="144"/>
      <c r="M8" s="138"/>
      <c r="N8" s="138"/>
      <c r="O8" s="138"/>
      <c r="P8" s="138"/>
      <c r="Q8" s="138"/>
      <c r="R8" s="139"/>
      <c r="S8" s="12"/>
      <c r="T8" s="139"/>
      <c r="U8" s="139"/>
      <c r="V8" s="139"/>
      <c r="W8" s="139"/>
      <c r="X8" s="139"/>
      <c r="Y8" s="139"/>
      <c r="Z8" s="139"/>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0"/>
      <c r="BK8" s="220"/>
    </row>
    <row r="9" spans="1:256">
      <c r="A9" s="80"/>
      <c r="B9" s="80" t="s">
        <v>40</v>
      </c>
      <c r="C9" s="109"/>
      <c r="D9" s="109"/>
      <c r="E9" s="109"/>
      <c r="F9" s="109"/>
      <c r="G9" s="109"/>
      <c r="H9" s="73"/>
      <c r="I9" s="73"/>
      <c r="J9" s="73"/>
      <c r="K9" s="73"/>
      <c r="L9" s="73"/>
      <c r="M9" s="73"/>
      <c r="N9" s="73"/>
      <c r="O9" s="73"/>
      <c r="P9" s="73"/>
      <c r="Q9" s="73"/>
      <c r="R9" s="73"/>
      <c r="S9" s="51"/>
      <c r="T9" s="139"/>
      <c r="U9" s="139"/>
      <c r="V9" s="139"/>
      <c r="W9" s="139"/>
      <c r="X9" s="139"/>
      <c r="Y9" s="139"/>
      <c r="Z9" s="139"/>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0"/>
      <c r="BK9" s="220"/>
    </row>
    <row r="10" spans="1:256">
      <c r="A10" s="17"/>
      <c r="B10" s="17"/>
      <c r="C10" s="122"/>
      <c r="D10" s="122"/>
      <c r="E10" s="122"/>
      <c r="F10" s="122"/>
      <c r="G10" s="122"/>
      <c r="H10" s="12"/>
      <c r="I10" s="12"/>
      <c r="J10" s="12"/>
      <c r="K10" s="12"/>
      <c r="L10" s="12"/>
      <c r="M10" s="12"/>
      <c r="N10" s="12"/>
      <c r="O10" s="12"/>
      <c r="P10" s="12"/>
      <c r="Q10" s="12"/>
      <c r="R10" s="139"/>
      <c r="S10" s="51"/>
      <c r="T10" s="139"/>
      <c r="U10" s="139"/>
      <c r="V10" s="139"/>
      <c r="W10" s="139"/>
      <c r="X10" s="139"/>
      <c r="Y10" s="139"/>
      <c r="Z10" s="139"/>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0"/>
      <c r="BK10" s="220"/>
    </row>
    <row r="11" spans="1:256">
      <c r="A11" s="9"/>
      <c r="B11" s="46" t="s">
        <v>79</v>
      </c>
      <c r="C11" s="9"/>
      <c r="D11" s="9"/>
      <c r="E11" s="9"/>
      <c r="F11" s="9"/>
      <c r="G11" s="192">
        <f>SUM(G12:G41)</f>
        <v>95.596769927678125</v>
      </c>
      <c r="H11" s="144"/>
      <c r="I11" s="144"/>
      <c r="J11" s="144"/>
      <c r="K11" s="144"/>
      <c r="L11" s="144"/>
      <c r="M11" s="138"/>
      <c r="N11" s="138"/>
      <c r="O11" s="138"/>
      <c r="P11" s="138"/>
      <c r="Q11" s="138"/>
      <c r="R11" s="139"/>
      <c r="S11" s="12"/>
      <c r="T11" s="139"/>
      <c r="U11" s="139"/>
      <c r="V11" s="139"/>
      <c r="W11" s="139"/>
      <c r="X11" s="139"/>
      <c r="Y11" s="139"/>
      <c r="Z11" s="139"/>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0"/>
      <c r="BK11" s="220"/>
    </row>
    <row r="12" spans="1:256" ht="12.75" customHeight="1" outlineLevel="1">
      <c r="A12" s="9"/>
      <c r="B12" s="9"/>
      <c r="C12" s="129" t="str">
        <f>Asset1</f>
        <v>Mains &amp; Services</v>
      </c>
      <c r="D12" s="9"/>
      <c r="E12" s="9"/>
      <c r="F12" s="9"/>
      <c r="G12" s="193">
        <f>Input!M7</f>
        <v>81.316072764121174</v>
      </c>
      <c r="H12" s="144"/>
      <c r="I12" s="144"/>
      <c r="J12" s="144"/>
      <c r="K12" s="144"/>
      <c r="L12" s="144"/>
      <c r="M12" s="138"/>
      <c r="N12" s="138"/>
      <c r="O12" s="138"/>
      <c r="P12" s="138"/>
      <c r="Q12" s="138"/>
      <c r="R12" s="139"/>
      <c r="S12" s="51"/>
      <c r="T12" s="139"/>
      <c r="U12" s="139"/>
      <c r="V12" s="139"/>
      <c r="W12" s="139"/>
      <c r="X12" s="139"/>
      <c r="Y12" s="139"/>
      <c r="Z12" s="139"/>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0"/>
      <c r="BK12" s="220"/>
    </row>
    <row r="13" spans="1:256" ht="12.75" customHeight="1" outlineLevel="1">
      <c r="A13" s="9"/>
      <c r="B13" s="46"/>
      <c r="C13" s="129" t="str">
        <f>Asset2</f>
        <v>Meters</v>
      </c>
      <c r="D13" s="9"/>
      <c r="E13" s="9"/>
      <c r="F13" s="141"/>
      <c r="G13" s="193">
        <f>Input!M8</f>
        <v>9.5519727888084951</v>
      </c>
      <c r="H13" s="144"/>
      <c r="I13" s="144"/>
      <c r="J13" s="144"/>
      <c r="K13" s="144"/>
      <c r="L13" s="144"/>
      <c r="M13" s="138"/>
      <c r="N13" s="138"/>
      <c r="O13" s="138"/>
      <c r="P13" s="138"/>
      <c r="Q13" s="138"/>
      <c r="R13" s="139"/>
      <c r="S13" s="51"/>
      <c r="T13" s="139"/>
      <c r="U13" s="139"/>
      <c r="V13" s="139"/>
      <c r="W13" s="139"/>
      <c r="X13" s="139"/>
      <c r="Y13" s="139"/>
      <c r="Z13" s="139"/>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0"/>
      <c r="BK13" s="220"/>
    </row>
    <row r="14" spans="1:256" ht="12.75" customHeight="1" outlineLevel="1">
      <c r="A14" s="9"/>
      <c r="B14" s="46"/>
      <c r="C14" s="129" t="str">
        <f>Asset3</f>
        <v>Buildings</v>
      </c>
      <c r="D14" s="9"/>
      <c r="E14" s="9"/>
      <c r="F14" s="141"/>
      <c r="G14" s="193">
        <f>Input!M9</f>
        <v>0</v>
      </c>
      <c r="H14" s="144"/>
      <c r="I14" s="144"/>
      <c r="J14" s="144"/>
      <c r="K14" s="144"/>
      <c r="L14" s="144"/>
      <c r="M14" s="138"/>
      <c r="N14" s="138"/>
      <c r="O14" s="138"/>
      <c r="P14" s="138"/>
      <c r="Q14" s="138"/>
      <c r="R14" s="139"/>
      <c r="S14" s="12"/>
      <c r="T14" s="139"/>
      <c r="U14" s="139"/>
      <c r="V14" s="139"/>
      <c r="W14" s="139"/>
      <c r="X14" s="139"/>
      <c r="Y14" s="139"/>
      <c r="Z14" s="139"/>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0"/>
      <c r="BK14" s="220"/>
    </row>
    <row r="15" spans="1:256" ht="12.75" customHeight="1" outlineLevel="1">
      <c r="A15" s="9"/>
      <c r="B15" s="46"/>
      <c r="C15" s="129" t="str">
        <f>Asset4</f>
        <v>SCADA</v>
      </c>
      <c r="D15" s="9"/>
      <c r="E15" s="9"/>
      <c r="F15" s="141"/>
      <c r="G15" s="193">
        <f>Input!M10</f>
        <v>0.37096865358991299</v>
      </c>
      <c r="H15" s="144"/>
      <c r="I15" s="144"/>
      <c r="J15" s="144"/>
      <c r="K15" s="144"/>
      <c r="L15" s="144"/>
      <c r="M15" s="138"/>
      <c r="N15" s="138"/>
      <c r="O15" s="138"/>
      <c r="P15" s="138"/>
      <c r="Q15" s="138"/>
      <c r="R15" s="139"/>
      <c r="S15" s="51"/>
      <c r="T15" s="139"/>
      <c r="U15" s="139"/>
      <c r="V15" s="139"/>
      <c r="W15" s="139"/>
      <c r="X15" s="139"/>
      <c r="Y15" s="139"/>
      <c r="Z15" s="139"/>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0"/>
      <c r="BK15" s="220"/>
    </row>
    <row r="16" spans="1:256" ht="12.75" customHeight="1" outlineLevel="1">
      <c r="A16" s="9"/>
      <c r="B16" s="46"/>
      <c r="C16" s="129" t="str">
        <f>Asset5</f>
        <v>Computer Equipment</v>
      </c>
      <c r="D16" s="9"/>
      <c r="E16" s="9"/>
      <c r="F16" s="171"/>
      <c r="G16" s="193">
        <f>Input!M11</f>
        <v>0.42811690253671564</v>
      </c>
      <c r="H16" s="144"/>
      <c r="I16" s="144"/>
      <c r="J16" s="144"/>
      <c r="K16" s="144"/>
      <c r="L16" s="144"/>
      <c r="M16" s="138"/>
      <c r="N16" s="138"/>
      <c r="O16" s="138"/>
      <c r="P16" s="138"/>
      <c r="Q16" s="138"/>
      <c r="R16" s="139"/>
      <c r="S16" s="51"/>
      <c r="T16" s="139"/>
      <c r="U16" s="139"/>
      <c r="V16" s="139"/>
      <c r="W16" s="139"/>
      <c r="X16" s="139"/>
      <c r="Y16" s="139"/>
      <c r="Z16" s="139"/>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0"/>
      <c r="BK16" s="220"/>
    </row>
    <row r="17" spans="1:63" ht="12.75" customHeight="1" outlineLevel="1">
      <c r="A17" s="9"/>
      <c r="B17" s="46"/>
      <c r="C17" s="129" t="str">
        <f>Asset6</f>
        <v>Other Assets</v>
      </c>
      <c r="D17" s="9"/>
      <c r="E17" s="9"/>
      <c r="F17" s="141"/>
      <c r="G17" s="193">
        <f>Input!M12</f>
        <v>3.9296388186218278</v>
      </c>
      <c r="H17" s="144"/>
      <c r="I17" s="144"/>
      <c r="J17" s="144"/>
      <c r="K17" s="144"/>
      <c r="L17" s="144"/>
      <c r="M17" s="138"/>
      <c r="N17" s="138"/>
      <c r="O17" s="138"/>
      <c r="P17" s="138"/>
      <c r="Q17" s="138"/>
      <c r="R17" s="139"/>
      <c r="S17" s="12"/>
      <c r="T17" s="139"/>
      <c r="U17" s="139"/>
      <c r="V17" s="139"/>
      <c r="W17" s="139"/>
      <c r="X17" s="139"/>
      <c r="Y17" s="139"/>
      <c r="Z17" s="139"/>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0"/>
      <c r="BK17" s="220"/>
    </row>
    <row r="18" spans="1:63" ht="12.75" customHeight="1" outlineLevel="1">
      <c r="A18" s="9"/>
      <c r="B18" s="46"/>
      <c r="C18" s="129" t="str">
        <f>Asset7</f>
        <v>Equity Raising Costs</v>
      </c>
      <c r="D18" s="9"/>
      <c r="E18" s="9"/>
      <c r="F18" s="141"/>
      <c r="G18" s="193">
        <f>Input!M13</f>
        <v>0</v>
      </c>
      <c r="H18" s="144"/>
      <c r="I18" s="144"/>
      <c r="J18" s="144"/>
      <c r="K18" s="144"/>
      <c r="L18" s="144"/>
      <c r="M18" s="138"/>
      <c r="N18" s="138"/>
      <c r="O18" s="138"/>
      <c r="P18" s="138"/>
      <c r="Q18" s="138"/>
      <c r="R18" s="139"/>
      <c r="S18" s="51"/>
      <c r="T18" s="139"/>
      <c r="U18" s="139"/>
      <c r="V18" s="139"/>
      <c r="W18" s="139"/>
      <c r="X18" s="139"/>
      <c r="Y18" s="139"/>
      <c r="Z18" s="139"/>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0"/>
      <c r="BK18" s="220"/>
    </row>
    <row r="19" spans="1:63" ht="12.75" customHeight="1" outlineLevel="1">
      <c r="A19" s="9"/>
      <c r="B19" s="46"/>
      <c r="C19" s="129" t="str">
        <f>Asset8</f>
        <v>Land</v>
      </c>
      <c r="D19" s="9"/>
      <c r="E19" s="9"/>
      <c r="F19" s="141"/>
      <c r="G19" s="193">
        <f>Input!M14</f>
        <v>0</v>
      </c>
      <c r="H19" s="144"/>
      <c r="I19" s="144"/>
      <c r="J19" s="144"/>
      <c r="K19" s="144"/>
      <c r="L19" s="144"/>
      <c r="M19" s="138"/>
      <c r="N19" s="138"/>
      <c r="O19" s="138"/>
      <c r="P19" s="138"/>
      <c r="Q19" s="138"/>
      <c r="R19" s="139"/>
      <c r="S19" s="51"/>
      <c r="T19" s="139"/>
      <c r="U19" s="139"/>
      <c r="V19" s="139"/>
      <c r="W19" s="139"/>
      <c r="X19" s="139"/>
      <c r="Y19" s="139"/>
      <c r="Z19" s="139"/>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0"/>
      <c r="BK19" s="220"/>
    </row>
    <row r="20" spans="1:63" ht="12.75" customHeight="1" outlineLevel="1">
      <c r="A20" s="9"/>
      <c r="B20" s="46"/>
      <c r="C20" s="129">
        <f>Asset9</f>
        <v>0</v>
      </c>
      <c r="D20" s="9"/>
      <c r="E20" s="9"/>
      <c r="F20" s="141"/>
      <c r="G20" s="193">
        <f>Input!M15</f>
        <v>0</v>
      </c>
      <c r="H20" s="144"/>
      <c r="I20" s="144"/>
      <c r="J20" s="144"/>
      <c r="K20" s="144"/>
      <c r="L20" s="144"/>
      <c r="M20" s="138"/>
      <c r="N20" s="138"/>
      <c r="O20" s="138"/>
      <c r="P20" s="138"/>
      <c r="Q20" s="138"/>
      <c r="R20" s="139"/>
      <c r="S20" s="12"/>
      <c r="T20" s="139"/>
      <c r="U20" s="139"/>
      <c r="V20" s="139"/>
      <c r="W20" s="139"/>
      <c r="X20" s="139"/>
      <c r="Y20" s="139"/>
      <c r="Z20" s="139"/>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0"/>
      <c r="BK20" s="220"/>
    </row>
    <row r="21" spans="1:63" ht="12.75" customHeight="1" outlineLevel="1">
      <c r="A21" s="9"/>
      <c r="B21" s="46"/>
      <c r="C21" s="129">
        <f>Asset10</f>
        <v>0</v>
      </c>
      <c r="D21" s="9"/>
      <c r="E21" s="9"/>
      <c r="F21" s="141"/>
      <c r="G21" s="193">
        <f>Input!M16</f>
        <v>0</v>
      </c>
      <c r="H21" s="144"/>
      <c r="I21" s="144"/>
      <c r="J21" s="144"/>
      <c r="K21" s="144"/>
      <c r="L21" s="144"/>
      <c r="M21" s="138"/>
      <c r="N21" s="138"/>
      <c r="O21" s="138"/>
      <c r="P21" s="138"/>
      <c r="Q21" s="138"/>
      <c r="R21" s="139"/>
      <c r="S21" s="51"/>
      <c r="T21" s="139"/>
      <c r="U21" s="139"/>
      <c r="V21" s="139"/>
      <c r="W21" s="139"/>
      <c r="X21" s="139"/>
      <c r="Y21" s="139"/>
      <c r="Z21" s="139"/>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0"/>
      <c r="BK21" s="220"/>
    </row>
    <row r="22" spans="1:63" ht="12.75" customHeight="1" outlineLevel="1">
      <c r="A22" s="9"/>
      <c r="B22" s="46"/>
      <c r="C22" s="129">
        <f>Asset11</f>
        <v>0</v>
      </c>
      <c r="D22" s="9"/>
      <c r="E22" s="9"/>
      <c r="F22" s="141"/>
      <c r="G22" s="193">
        <f>Input!M17</f>
        <v>0</v>
      </c>
      <c r="H22" s="144"/>
      <c r="I22" s="144"/>
      <c r="J22" s="144"/>
      <c r="K22" s="144"/>
      <c r="L22" s="144"/>
      <c r="M22" s="138"/>
      <c r="N22" s="138"/>
      <c r="O22" s="138"/>
      <c r="P22" s="138"/>
      <c r="Q22" s="138"/>
      <c r="R22" s="139"/>
      <c r="S22" s="51"/>
      <c r="T22" s="139"/>
      <c r="U22" s="139"/>
      <c r="V22" s="139"/>
      <c r="W22" s="139"/>
      <c r="X22" s="139"/>
      <c r="Y22" s="139"/>
      <c r="Z22" s="139"/>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0"/>
      <c r="BK22" s="220"/>
    </row>
    <row r="23" spans="1:63" ht="12.75" customHeight="1" outlineLevel="1">
      <c r="A23" s="9"/>
      <c r="B23" s="46"/>
      <c r="C23" s="129">
        <f>Asset12</f>
        <v>0</v>
      </c>
      <c r="D23" s="9"/>
      <c r="E23" s="9"/>
      <c r="F23" s="141"/>
      <c r="G23" s="193">
        <f>Input!M18</f>
        <v>0</v>
      </c>
      <c r="H23" s="144"/>
      <c r="I23" s="144"/>
      <c r="J23" s="144"/>
      <c r="K23" s="144"/>
      <c r="L23" s="144"/>
      <c r="M23" s="138"/>
      <c r="N23" s="138"/>
      <c r="O23" s="138"/>
      <c r="P23" s="138"/>
      <c r="Q23" s="138"/>
      <c r="R23" s="139"/>
      <c r="S23" s="12"/>
      <c r="T23" s="139"/>
      <c r="U23" s="139"/>
      <c r="V23" s="139"/>
      <c r="W23" s="139"/>
      <c r="X23" s="139"/>
      <c r="Y23" s="139"/>
      <c r="Z23" s="139"/>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0"/>
      <c r="BK23" s="220"/>
    </row>
    <row r="24" spans="1:63" ht="12.75" customHeight="1" outlineLevel="1">
      <c r="A24" s="9"/>
      <c r="B24" s="46"/>
      <c r="C24" s="129">
        <f>Asset13</f>
        <v>0</v>
      </c>
      <c r="D24" s="9"/>
      <c r="E24" s="9"/>
      <c r="F24" s="141"/>
      <c r="G24" s="193">
        <f>Input!M19</f>
        <v>0</v>
      </c>
      <c r="H24" s="144"/>
      <c r="I24" s="144"/>
      <c r="J24" s="144"/>
      <c r="K24" s="144"/>
      <c r="L24" s="144"/>
      <c r="M24" s="138"/>
      <c r="N24" s="138"/>
      <c r="O24" s="138"/>
      <c r="P24" s="138"/>
      <c r="Q24" s="138"/>
      <c r="R24" s="139"/>
      <c r="S24" s="51"/>
      <c r="T24" s="139"/>
      <c r="U24" s="139"/>
      <c r="V24" s="139"/>
      <c r="W24" s="139"/>
      <c r="X24" s="139"/>
      <c r="Y24" s="139"/>
      <c r="Z24" s="139"/>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0"/>
      <c r="BK24" s="220"/>
    </row>
    <row r="25" spans="1:63" ht="12.75" customHeight="1" outlineLevel="1">
      <c r="A25" s="9"/>
      <c r="B25" s="46"/>
      <c r="C25" s="129">
        <f>Asset14</f>
        <v>0</v>
      </c>
      <c r="D25" s="9"/>
      <c r="E25" s="9"/>
      <c r="F25" s="141"/>
      <c r="G25" s="193">
        <f>Input!M20</f>
        <v>0</v>
      </c>
      <c r="H25" s="144"/>
      <c r="I25" s="144"/>
      <c r="J25" s="144"/>
      <c r="K25" s="144"/>
      <c r="L25" s="144"/>
      <c r="M25" s="138"/>
      <c r="N25" s="138"/>
      <c r="O25" s="138"/>
      <c r="P25" s="138"/>
      <c r="Q25" s="138"/>
      <c r="R25" s="139"/>
      <c r="S25" s="51"/>
      <c r="T25" s="139"/>
      <c r="U25" s="139"/>
      <c r="V25" s="139"/>
      <c r="W25" s="139"/>
      <c r="X25" s="139"/>
      <c r="Y25" s="139"/>
      <c r="Z25" s="139"/>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0"/>
      <c r="BK25" s="220"/>
    </row>
    <row r="26" spans="1:63" ht="12.75" customHeight="1" outlineLevel="1">
      <c r="A26" s="9"/>
      <c r="B26" s="46"/>
      <c r="C26" s="129">
        <f>Asset15</f>
        <v>0</v>
      </c>
      <c r="D26" s="9"/>
      <c r="E26" s="9"/>
      <c r="F26" s="141"/>
      <c r="G26" s="193">
        <f>Input!M21</f>
        <v>0</v>
      </c>
      <c r="H26" s="144"/>
      <c r="I26" s="144"/>
      <c r="J26" s="144"/>
      <c r="K26" s="144"/>
      <c r="L26" s="144"/>
      <c r="M26" s="138"/>
      <c r="N26" s="138"/>
      <c r="O26" s="138"/>
      <c r="P26" s="138"/>
      <c r="Q26" s="138"/>
      <c r="R26" s="139"/>
      <c r="S26" s="12"/>
      <c r="T26" s="139"/>
      <c r="U26" s="139"/>
      <c r="V26" s="139"/>
      <c r="W26" s="139"/>
      <c r="X26" s="139"/>
      <c r="Y26" s="139"/>
      <c r="Z26" s="139"/>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0"/>
      <c r="BK26" s="220"/>
    </row>
    <row r="27" spans="1:63" ht="12.75" customHeight="1" outlineLevel="1">
      <c r="A27" s="9"/>
      <c r="B27" s="46"/>
      <c r="C27" s="129">
        <f>Asset16</f>
        <v>0</v>
      </c>
      <c r="D27" s="9"/>
      <c r="E27" s="9"/>
      <c r="F27" s="141"/>
      <c r="G27" s="193">
        <f>Input!M22</f>
        <v>0</v>
      </c>
      <c r="H27" s="144"/>
      <c r="I27" s="144"/>
      <c r="J27" s="144"/>
      <c r="K27" s="144"/>
      <c r="L27" s="144"/>
      <c r="M27" s="138"/>
      <c r="N27" s="138"/>
      <c r="O27" s="138"/>
      <c r="P27" s="138"/>
      <c r="Q27" s="138"/>
      <c r="R27" s="139"/>
      <c r="S27" s="51"/>
      <c r="T27" s="139"/>
      <c r="U27" s="139"/>
      <c r="V27" s="139"/>
      <c r="W27" s="139"/>
      <c r="X27" s="139"/>
      <c r="Y27" s="139"/>
      <c r="Z27" s="139"/>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0"/>
      <c r="BK27" s="220"/>
    </row>
    <row r="28" spans="1:63" ht="12.75" customHeight="1" outlineLevel="1">
      <c r="A28" s="9"/>
      <c r="B28" s="46"/>
      <c r="C28" s="129">
        <f>Asset17</f>
        <v>0</v>
      </c>
      <c r="D28" s="9"/>
      <c r="E28" s="9"/>
      <c r="F28" s="141"/>
      <c r="G28" s="193">
        <f>Input!M23</f>
        <v>0</v>
      </c>
      <c r="H28" s="144"/>
      <c r="I28" s="144"/>
      <c r="J28" s="144"/>
      <c r="K28" s="144"/>
      <c r="L28" s="144"/>
      <c r="M28" s="138"/>
      <c r="N28" s="138"/>
      <c r="O28" s="138"/>
      <c r="P28" s="138"/>
      <c r="Q28" s="138"/>
      <c r="R28" s="139"/>
      <c r="S28" s="51"/>
      <c r="T28" s="139"/>
      <c r="U28" s="139"/>
      <c r="V28" s="139"/>
      <c r="W28" s="139"/>
      <c r="X28" s="139"/>
      <c r="Y28" s="139"/>
      <c r="Z28" s="139"/>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0"/>
      <c r="BK28" s="220"/>
    </row>
    <row r="29" spans="1:63" ht="12.75" customHeight="1" outlineLevel="1">
      <c r="A29" s="9"/>
      <c r="B29" s="46"/>
      <c r="C29" s="129">
        <f>Asset18</f>
        <v>0</v>
      </c>
      <c r="D29" s="9"/>
      <c r="E29" s="9"/>
      <c r="F29" s="141"/>
      <c r="G29" s="193">
        <f>Input!M24</f>
        <v>0</v>
      </c>
      <c r="H29" s="144"/>
      <c r="I29" s="144"/>
      <c r="J29" s="144"/>
      <c r="K29" s="144"/>
      <c r="L29" s="144"/>
      <c r="M29" s="138"/>
      <c r="N29" s="138"/>
      <c r="O29" s="138"/>
      <c r="P29" s="138"/>
      <c r="Q29" s="138"/>
      <c r="R29" s="139"/>
      <c r="S29" s="12"/>
      <c r="T29" s="139"/>
      <c r="U29" s="139"/>
      <c r="V29" s="139"/>
      <c r="W29" s="139"/>
      <c r="X29" s="139"/>
      <c r="Y29" s="139"/>
      <c r="Z29" s="139"/>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0"/>
      <c r="BK29" s="220"/>
    </row>
    <row r="30" spans="1:63" ht="12.75" customHeight="1" outlineLevel="1">
      <c r="A30" s="9"/>
      <c r="B30" s="46"/>
      <c r="C30" s="129">
        <f>Asset19</f>
        <v>0</v>
      </c>
      <c r="D30" s="9"/>
      <c r="E30" s="9"/>
      <c r="F30" s="141"/>
      <c r="G30" s="193">
        <f>Input!M25</f>
        <v>0</v>
      </c>
      <c r="H30" s="144"/>
      <c r="I30" s="144"/>
      <c r="J30" s="144"/>
      <c r="K30" s="144"/>
      <c r="L30" s="144"/>
      <c r="M30" s="138"/>
      <c r="N30" s="138"/>
      <c r="O30" s="138"/>
      <c r="P30" s="138"/>
      <c r="Q30" s="138"/>
      <c r="R30" s="139"/>
      <c r="S30" s="51"/>
      <c r="T30" s="139"/>
      <c r="U30" s="139"/>
      <c r="V30" s="139"/>
      <c r="W30" s="139"/>
      <c r="X30" s="139"/>
      <c r="Y30" s="139"/>
      <c r="Z30" s="139"/>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0"/>
      <c r="BK30" s="220"/>
    </row>
    <row r="31" spans="1:63" ht="12.75" customHeight="1" outlineLevel="1">
      <c r="A31" s="9"/>
      <c r="B31" s="46"/>
      <c r="C31" s="129">
        <f>Asset20</f>
        <v>0</v>
      </c>
      <c r="D31" s="9"/>
      <c r="E31" s="9"/>
      <c r="F31" s="141"/>
      <c r="G31" s="193">
        <f>Input!M26</f>
        <v>0</v>
      </c>
      <c r="H31" s="144"/>
      <c r="I31" s="144"/>
      <c r="J31" s="144"/>
      <c r="K31" s="144"/>
      <c r="L31" s="144"/>
      <c r="M31" s="138"/>
      <c r="N31" s="138"/>
      <c r="O31" s="138"/>
      <c r="P31" s="138"/>
      <c r="Q31" s="138"/>
      <c r="R31" s="139"/>
      <c r="S31" s="51"/>
      <c r="T31" s="139"/>
      <c r="U31" s="139"/>
      <c r="V31" s="139"/>
      <c r="W31" s="139"/>
      <c r="X31" s="139"/>
      <c r="Y31" s="139"/>
      <c r="Z31" s="139"/>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0"/>
      <c r="BK31" s="220"/>
    </row>
    <row r="32" spans="1:63" ht="12.75" customHeight="1" outlineLevel="1">
      <c r="A32" s="9"/>
      <c r="B32" s="46"/>
      <c r="C32" s="129">
        <f>Asset21</f>
        <v>0</v>
      </c>
      <c r="D32" s="9"/>
      <c r="E32" s="9"/>
      <c r="F32" s="141"/>
      <c r="G32" s="193">
        <f>Input!M27</f>
        <v>0</v>
      </c>
      <c r="H32" s="144"/>
      <c r="I32" s="144"/>
      <c r="J32" s="144"/>
      <c r="K32" s="144"/>
      <c r="L32" s="144"/>
      <c r="M32" s="138"/>
      <c r="N32" s="138"/>
      <c r="O32" s="138"/>
      <c r="P32" s="138"/>
      <c r="Q32" s="138"/>
      <c r="R32" s="139"/>
      <c r="S32" s="51"/>
      <c r="T32" s="139"/>
      <c r="U32" s="139"/>
      <c r="V32" s="139"/>
      <c r="W32" s="139"/>
      <c r="X32" s="139"/>
      <c r="Y32" s="139"/>
      <c r="Z32" s="139"/>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0"/>
      <c r="BK32" s="220"/>
    </row>
    <row r="33" spans="1:63" ht="12.75" customHeight="1" outlineLevel="1">
      <c r="A33" s="9"/>
      <c r="B33" s="46"/>
      <c r="C33" s="129">
        <f>Asset22</f>
        <v>0</v>
      </c>
      <c r="D33" s="9"/>
      <c r="E33" s="9"/>
      <c r="F33" s="141"/>
      <c r="G33" s="193">
        <f>Input!M28</f>
        <v>0</v>
      </c>
      <c r="H33" s="144"/>
      <c r="I33" s="144"/>
      <c r="J33" s="144"/>
      <c r="K33" s="144"/>
      <c r="L33" s="144"/>
      <c r="M33" s="138"/>
      <c r="N33" s="138"/>
      <c r="O33" s="138"/>
      <c r="P33" s="138"/>
      <c r="Q33" s="138"/>
      <c r="R33" s="139"/>
      <c r="S33" s="51"/>
      <c r="T33" s="139"/>
      <c r="U33" s="139"/>
      <c r="V33" s="139"/>
      <c r="W33" s="139"/>
      <c r="X33" s="139"/>
      <c r="Y33" s="139"/>
      <c r="Z33" s="139"/>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0"/>
      <c r="BK33" s="220"/>
    </row>
    <row r="34" spans="1:63" ht="12.75" customHeight="1" outlineLevel="1">
      <c r="A34" s="9"/>
      <c r="B34" s="46"/>
      <c r="C34" s="129">
        <f>Asset23</f>
        <v>0</v>
      </c>
      <c r="D34" s="9"/>
      <c r="E34" s="9"/>
      <c r="F34" s="141"/>
      <c r="G34" s="193">
        <f>Input!M29</f>
        <v>0</v>
      </c>
      <c r="H34" s="144"/>
      <c r="I34" s="144"/>
      <c r="J34" s="144"/>
      <c r="K34" s="144"/>
      <c r="L34" s="144"/>
      <c r="M34" s="138"/>
      <c r="N34" s="138"/>
      <c r="O34" s="138"/>
      <c r="P34" s="138"/>
      <c r="Q34" s="138"/>
      <c r="R34" s="139"/>
      <c r="S34" s="51"/>
      <c r="T34" s="139"/>
      <c r="U34" s="139"/>
      <c r="V34" s="139"/>
      <c r="W34" s="139"/>
      <c r="X34" s="139"/>
      <c r="Y34" s="139"/>
      <c r="Z34" s="139"/>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0"/>
      <c r="BK34" s="220"/>
    </row>
    <row r="35" spans="1:63" ht="12.75" customHeight="1" outlineLevel="1">
      <c r="A35" s="9"/>
      <c r="B35" s="46"/>
      <c r="C35" s="129">
        <f>Asset24</f>
        <v>0</v>
      </c>
      <c r="D35" s="9"/>
      <c r="E35" s="9"/>
      <c r="F35" s="141"/>
      <c r="G35" s="193">
        <f>Input!M30</f>
        <v>0</v>
      </c>
      <c r="H35" s="144"/>
      <c r="I35" s="144"/>
      <c r="J35" s="144"/>
      <c r="K35" s="144"/>
      <c r="L35" s="144"/>
      <c r="M35" s="138"/>
      <c r="N35" s="138"/>
      <c r="O35" s="138"/>
      <c r="P35" s="138"/>
      <c r="Q35" s="138"/>
      <c r="R35" s="139"/>
      <c r="S35" s="51"/>
      <c r="T35" s="139"/>
      <c r="U35" s="139"/>
      <c r="V35" s="139"/>
      <c r="W35" s="139"/>
      <c r="X35" s="139"/>
      <c r="Y35" s="139"/>
      <c r="Z35" s="139"/>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0"/>
      <c r="BK35" s="220"/>
    </row>
    <row r="36" spans="1:63" ht="12.75" customHeight="1" outlineLevel="1">
      <c r="A36" s="9"/>
      <c r="B36" s="46"/>
      <c r="C36" s="129">
        <f>Asset25</f>
        <v>0</v>
      </c>
      <c r="D36" s="9"/>
      <c r="E36" s="9"/>
      <c r="F36" s="141"/>
      <c r="G36" s="193">
        <f>Input!M31</f>
        <v>0</v>
      </c>
      <c r="H36" s="144"/>
      <c r="I36" s="144"/>
      <c r="J36" s="144"/>
      <c r="K36" s="144"/>
      <c r="L36" s="144"/>
      <c r="M36" s="138"/>
      <c r="N36" s="138"/>
      <c r="O36" s="138"/>
      <c r="P36" s="138"/>
      <c r="Q36" s="138"/>
      <c r="R36" s="139"/>
      <c r="S36" s="51"/>
      <c r="T36" s="139"/>
      <c r="U36" s="139"/>
      <c r="V36" s="139"/>
      <c r="W36" s="139"/>
      <c r="X36" s="139"/>
      <c r="Y36" s="139"/>
      <c r="Z36" s="139"/>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0"/>
      <c r="BK36" s="220"/>
    </row>
    <row r="37" spans="1:63" ht="12.75" customHeight="1" outlineLevel="1">
      <c r="A37" s="9"/>
      <c r="B37" s="46"/>
      <c r="C37" s="129">
        <f>Asset26</f>
        <v>0</v>
      </c>
      <c r="D37" s="9"/>
      <c r="E37" s="9"/>
      <c r="F37" s="141"/>
      <c r="G37" s="193">
        <f>Input!M32</f>
        <v>0</v>
      </c>
      <c r="H37" s="144"/>
      <c r="I37" s="144"/>
      <c r="J37" s="144"/>
      <c r="K37" s="144"/>
      <c r="L37" s="144"/>
      <c r="M37" s="138"/>
      <c r="N37" s="138"/>
      <c r="O37" s="138"/>
      <c r="P37" s="138"/>
      <c r="Q37" s="138"/>
      <c r="R37" s="139"/>
      <c r="S37" s="51"/>
      <c r="T37" s="139"/>
      <c r="U37" s="139"/>
      <c r="V37" s="139"/>
      <c r="W37" s="139"/>
      <c r="X37" s="139"/>
      <c r="Y37" s="139"/>
      <c r="Z37" s="139"/>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0"/>
      <c r="BK37" s="220"/>
    </row>
    <row r="38" spans="1:63" ht="12.75" customHeight="1" outlineLevel="1">
      <c r="A38" s="9"/>
      <c r="B38" s="46"/>
      <c r="C38" s="129">
        <f>Asset27</f>
        <v>0</v>
      </c>
      <c r="D38" s="9"/>
      <c r="E38" s="9"/>
      <c r="F38" s="141"/>
      <c r="G38" s="193">
        <f>Input!M33</f>
        <v>0</v>
      </c>
      <c r="H38" s="144"/>
      <c r="I38" s="144"/>
      <c r="J38" s="144"/>
      <c r="K38" s="144"/>
      <c r="L38" s="144"/>
      <c r="M38" s="138"/>
      <c r="N38" s="138"/>
      <c r="O38" s="138"/>
      <c r="P38" s="138"/>
      <c r="Q38" s="138"/>
      <c r="R38" s="139"/>
      <c r="S38" s="51"/>
      <c r="T38" s="139"/>
      <c r="U38" s="139"/>
      <c r="V38" s="139"/>
      <c r="W38" s="139"/>
      <c r="X38" s="139"/>
      <c r="Y38" s="139"/>
      <c r="Z38" s="139"/>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0"/>
      <c r="BK38" s="220"/>
    </row>
    <row r="39" spans="1:63" ht="12.75" customHeight="1" outlineLevel="1">
      <c r="A39" s="9"/>
      <c r="B39" s="46"/>
      <c r="C39" s="129">
        <f>Asset28</f>
        <v>0</v>
      </c>
      <c r="D39" s="9"/>
      <c r="E39" s="9"/>
      <c r="F39" s="141"/>
      <c r="G39" s="193">
        <f>Input!M34</f>
        <v>0</v>
      </c>
      <c r="H39" s="144"/>
      <c r="I39" s="144"/>
      <c r="J39" s="144"/>
      <c r="K39" s="144"/>
      <c r="L39" s="144"/>
      <c r="M39" s="138"/>
      <c r="N39" s="138"/>
      <c r="O39" s="138"/>
      <c r="P39" s="138"/>
      <c r="Q39" s="138"/>
      <c r="R39" s="139"/>
      <c r="S39" s="51"/>
      <c r="T39" s="139"/>
      <c r="U39" s="139"/>
      <c r="V39" s="139"/>
      <c r="W39" s="139"/>
      <c r="X39" s="139"/>
      <c r="Y39" s="139"/>
      <c r="Z39" s="139"/>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0"/>
      <c r="BK39" s="220"/>
    </row>
    <row r="40" spans="1:63" ht="12.75" customHeight="1" outlineLevel="1">
      <c r="A40" s="9"/>
      <c r="B40" s="46"/>
      <c r="C40" s="129">
        <f>Asset29</f>
        <v>0</v>
      </c>
      <c r="D40" s="9"/>
      <c r="E40" s="9"/>
      <c r="F40" s="141"/>
      <c r="G40" s="193">
        <f>Input!M35</f>
        <v>0</v>
      </c>
      <c r="H40" s="144"/>
      <c r="I40" s="144"/>
      <c r="J40" s="144"/>
      <c r="K40" s="144"/>
      <c r="L40" s="144"/>
      <c r="M40" s="138"/>
      <c r="N40" s="138"/>
      <c r="O40" s="138"/>
      <c r="P40" s="138"/>
      <c r="Q40" s="138"/>
      <c r="R40" s="139"/>
      <c r="S40" s="51"/>
      <c r="T40" s="139"/>
      <c r="U40" s="139"/>
      <c r="V40" s="139"/>
      <c r="W40" s="139"/>
      <c r="X40" s="139"/>
      <c r="Y40" s="139"/>
      <c r="Z40" s="139"/>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0"/>
      <c r="BK40" s="220"/>
    </row>
    <row r="41" spans="1:63" ht="12.75" customHeight="1" outlineLevel="1">
      <c r="A41" s="9"/>
      <c r="B41" s="46"/>
      <c r="C41" s="129">
        <f>Asset30</f>
        <v>0</v>
      </c>
      <c r="D41" s="9"/>
      <c r="E41" s="9"/>
      <c r="F41" s="141"/>
      <c r="G41" s="193">
        <f>Input!M36</f>
        <v>0</v>
      </c>
      <c r="H41" s="144"/>
      <c r="I41" s="144"/>
      <c r="J41" s="144"/>
      <c r="K41" s="144"/>
      <c r="L41" s="144"/>
      <c r="M41" s="138"/>
      <c r="N41" s="138"/>
      <c r="O41" s="138"/>
      <c r="P41" s="138"/>
      <c r="Q41" s="138"/>
      <c r="R41" s="139"/>
      <c r="S41" s="51"/>
      <c r="T41" s="139"/>
      <c r="U41" s="139"/>
      <c r="V41" s="139"/>
      <c r="W41" s="139"/>
      <c r="X41" s="139"/>
      <c r="Y41" s="139"/>
      <c r="Z41" s="139"/>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0"/>
      <c r="BK41" s="220"/>
    </row>
    <row r="42" spans="1:63">
      <c r="A42" s="9"/>
      <c r="B42" s="46"/>
      <c r="C42" s="129"/>
      <c r="D42" s="9"/>
      <c r="E42" s="9"/>
      <c r="F42" s="141"/>
      <c r="G42" s="193"/>
      <c r="H42" s="144"/>
      <c r="I42" s="144"/>
      <c r="J42" s="144"/>
      <c r="K42" s="144"/>
      <c r="L42" s="144"/>
      <c r="M42" s="138"/>
      <c r="N42" s="138"/>
      <c r="O42" s="138"/>
      <c r="P42" s="138"/>
      <c r="Q42" s="138"/>
      <c r="R42" s="139"/>
      <c r="S42" s="12"/>
      <c r="T42" s="139"/>
      <c r="U42" s="139"/>
      <c r="V42" s="139"/>
      <c r="W42" s="139"/>
      <c r="X42" s="139"/>
      <c r="Y42" s="139"/>
      <c r="Z42" s="139"/>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0"/>
      <c r="BK42" s="220"/>
    </row>
    <row r="43" spans="1:63">
      <c r="A43" s="9"/>
      <c r="B43" s="46" t="s">
        <v>34</v>
      </c>
      <c r="C43" s="9"/>
      <c r="D43" s="9"/>
      <c r="E43" s="9"/>
      <c r="F43" s="9"/>
      <c r="G43" s="192">
        <f>SUM(G44:G73)</f>
        <v>101.33199999999999</v>
      </c>
      <c r="H43" s="140"/>
      <c r="I43" s="140"/>
      <c r="J43" s="140"/>
      <c r="K43" s="140"/>
      <c r="L43" s="140"/>
      <c r="M43" s="140"/>
      <c r="N43" s="138"/>
      <c r="O43" s="138"/>
      <c r="P43" s="138"/>
      <c r="Q43" s="138"/>
      <c r="R43" s="139"/>
      <c r="S43" s="139"/>
      <c r="T43" s="139"/>
      <c r="U43" s="139"/>
      <c r="V43" s="139"/>
      <c r="W43" s="139"/>
      <c r="X43" s="139"/>
      <c r="Y43" s="139"/>
      <c r="Z43" s="139"/>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0"/>
      <c r="BK43" s="220"/>
    </row>
    <row r="44" spans="1:63" outlineLevel="1">
      <c r="A44" s="9"/>
      <c r="B44" s="9"/>
      <c r="C44" s="129" t="str">
        <f>Asset1</f>
        <v>Mains &amp; Services</v>
      </c>
      <c r="D44" s="9"/>
      <c r="E44" s="9"/>
      <c r="F44" s="9"/>
      <c r="G44" s="193">
        <f>Input!G143*(1+previous_vanilla)^0.5</f>
        <v>74.687999999999988</v>
      </c>
      <c r="H44" s="111"/>
      <c r="I44" s="111"/>
      <c r="J44" s="111"/>
      <c r="K44" s="111"/>
      <c r="L44" s="111"/>
      <c r="M44" s="111"/>
      <c r="N44" s="9"/>
      <c r="O44" s="9"/>
      <c r="P44" s="9"/>
      <c r="Q44" s="9"/>
      <c r="R44" s="9"/>
      <c r="S44" s="9"/>
      <c r="T44" s="9"/>
      <c r="U44" s="9"/>
      <c r="V44" s="9"/>
      <c r="W44" s="9"/>
      <c r="X44" s="9"/>
      <c r="Y44" s="9"/>
      <c r="Z44" s="9"/>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row>
    <row r="45" spans="1:63" outlineLevel="1">
      <c r="A45" s="9"/>
      <c r="B45" s="46"/>
      <c r="C45" s="129" t="str">
        <f>Asset2</f>
        <v>Meters</v>
      </c>
      <c r="D45" s="9"/>
      <c r="E45" s="9"/>
      <c r="F45" s="141"/>
      <c r="G45" s="193">
        <f>Input!G144*(1+previous_vanilla)^0.5</f>
        <v>8.7110000000000003</v>
      </c>
      <c r="H45" s="111"/>
      <c r="I45" s="111"/>
      <c r="J45" s="111"/>
      <c r="K45" s="111"/>
      <c r="L45" s="111"/>
      <c r="M45" s="111"/>
      <c r="N45" s="29"/>
      <c r="O45" s="29"/>
      <c r="P45" s="29"/>
      <c r="Q45" s="29"/>
      <c r="R45" s="100"/>
      <c r="S45" s="100"/>
      <c r="T45" s="100"/>
      <c r="U45" s="100"/>
      <c r="V45" s="100"/>
      <c r="W45" s="100"/>
      <c r="X45" s="100"/>
      <c r="Y45" s="100"/>
      <c r="Z45" s="100"/>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0"/>
      <c r="BK45" s="220"/>
    </row>
    <row r="46" spans="1:63" outlineLevel="1">
      <c r="A46" s="9"/>
      <c r="B46" s="46"/>
      <c r="C46" s="129" t="str">
        <f>Asset3</f>
        <v>Buildings</v>
      </c>
      <c r="D46" s="9"/>
      <c r="E46" s="9"/>
      <c r="F46" s="141"/>
      <c r="G46" s="193">
        <f>Input!G145*(1+previous_vanilla)^0.5</f>
        <v>0</v>
      </c>
      <c r="H46" s="111"/>
      <c r="I46" s="111"/>
      <c r="J46" s="111"/>
      <c r="K46" s="111"/>
      <c r="L46" s="111"/>
      <c r="M46" s="111"/>
      <c r="N46" s="29"/>
      <c r="O46" s="29"/>
      <c r="P46" s="29"/>
      <c r="Q46" s="29"/>
      <c r="R46" s="100"/>
      <c r="S46" s="100"/>
      <c r="T46" s="100"/>
      <c r="U46" s="100"/>
      <c r="V46" s="100"/>
      <c r="W46" s="100"/>
      <c r="X46" s="100"/>
      <c r="Y46" s="100"/>
      <c r="Z46" s="100"/>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0"/>
      <c r="BK46" s="220"/>
    </row>
    <row r="47" spans="1:63" outlineLevel="1">
      <c r="A47" s="9"/>
      <c r="B47" s="46"/>
      <c r="C47" s="129" t="str">
        <f>Asset4</f>
        <v>SCADA</v>
      </c>
      <c r="D47" s="9"/>
      <c r="E47" s="9"/>
      <c r="F47" s="141"/>
      <c r="G47" s="193">
        <f>Input!G146*(1+previous_vanilla)^0.5</f>
        <v>0.16700000000000001</v>
      </c>
      <c r="H47" s="111"/>
      <c r="I47" s="111"/>
      <c r="J47" s="111"/>
      <c r="K47" s="111"/>
      <c r="L47" s="111"/>
      <c r="M47" s="111"/>
      <c r="N47" s="29"/>
      <c r="O47" s="29"/>
      <c r="P47" s="29"/>
      <c r="Q47" s="29"/>
      <c r="R47" s="100"/>
      <c r="S47" s="100"/>
      <c r="T47" s="100"/>
      <c r="U47" s="100"/>
      <c r="V47" s="100"/>
      <c r="W47" s="100"/>
      <c r="X47" s="100"/>
      <c r="Y47" s="100"/>
      <c r="Z47" s="100"/>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0"/>
      <c r="BK47" s="220"/>
    </row>
    <row r="48" spans="1:63" outlineLevel="1">
      <c r="A48" s="9"/>
      <c r="B48" s="46"/>
      <c r="C48" s="129" t="str">
        <f>Asset5</f>
        <v>Computer Equipment</v>
      </c>
      <c r="D48" s="9"/>
      <c r="E48" s="9"/>
      <c r="F48" s="141"/>
      <c r="G48" s="193">
        <f>Input!G147*(1+previous_vanilla)^0.5</f>
        <v>0.05</v>
      </c>
      <c r="H48" s="111"/>
      <c r="I48" s="111"/>
      <c r="J48" s="111"/>
      <c r="K48" s="111"/>
      <c r="L48" s="111"/>
      <c r="M48" s="111"/>
      <c r="N48" s="29"/>
      <c r="O48" s="29"/>
      <c r="P48" s="29"/>
      <c r="Q48" s="29"/>
      <c r="R48" s="100"/>
      <c r="S48" s="100"/>
      <c r="T48" s="100"/>
      <c r="U48" s="100"/>
      <c r="V48" s="100"/>
      <c r="W48" s="100"/>
      <c r="X48" s="100"/>
      <c r="Y48" s="100"/>
      <c r="Z48" s="100"/>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0"/>
      <c r="BK48" s="220"/>
    </row>
    <row r="49" spans="1:63" outlineLevel="1">
      <c r="A49" s="9"/>
      <c r="B49" s="46"/>
      <c r="C49" s="129" t="str">
        <f>Asset6</f>
        <v>Other Assets</v>
      </c>
      <c r="D49" s="9"/>
      <c r="E49" s="9"/>
      <c r="F49" s="141"/>
      <c r="G49" s="193">
        <f>Input!G148*(1+previous_vanilla)^0.5</f>
        <v>17.716000000000001</v>
      </c>
      <c r="H49" s="111"/>
      <c r="I49" s="111"/>
      <c r="J49" s="111"/>
      <c r="K49" s="111"/>
      <c r="L49" s="111"/>
      <c r="M49" s="111"/>
      <c r="N49" s="29"/>
      <c r="O49" s="29"/>
      <c r="P49" s="29"/>
      <c r="Q49" s="29"/>
      <c r="R49" s="100"/>
      <c r="S49" s="100"/>
      <c r="T49" s="100"/>
      <c r="U49" s="100"/>
      <c r="V49" s="100"/>
      <c r="W49" s="100"/>
      <c r="X49" s="100"/>
      <c r="Y49" s="100"/>
      <c r="Z49" s="100"/>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0"/>
      <c r="BK49" s="220"/>
    </row>
    <row r="50" spans="1:63" outlineLevel="1">
      <c r="A50" s="9"/>
      <c r="B50" s="46"/>
      <c r="C50" s="129" t="str">
        <f>Asset7</f>
        <v>Equity Raising Costs</v>
      </c>
      <c r="D50" s="9"/>
      <c r="E50" s="9"/>
      <c r="F50" s="141"/>
      <c r="G50" s="193">
        <f>Input!G149*(1+previous_vanilla)^0.5</f>
        <v>0</v>
      </c>
      <c r="H50" s="111"/>
      <c r="I50" s="111"/>
      <c r="J50" s="111"/>
      <c r="K50" s="111"/>
      <c r="L50" s="111"/>
      <c r="M50" s="111"/>
      <c r="N50" s="29"/>
      <c r="O50" s="29"/>
      <c r="P50" s="29"/>
      <c r="Q50" s="29"/>
      <c r="R50" s="100"/>
      <c r="S50" s="100"/>
      <c r="T50" s="100"/>
      <c r="U50" s="100"/>
      <c r="V50" s="100"/>
      <c r="W50" s="100"/>
      <c r="X50" s="100"/>
      <c r="Y50" s="100"/>
      <c r="Z50" s="100"/>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0"/>
      <c r="BK50" s="220"/>
    </row>
    <row r="51" spans="1:63" outlineLevel="1">
      <c r="A51" s="9"/>
      <c r="B51" s="46"/>
      <c r="C51" s="129" t="str">
        <f>Asset8</f>
        <v>Land</v>
      </c>
      <c r="D51" s="9"/>
      <c r="E51" s="9"/>
      <c r="F51" s="141"/>
      <c r="G51" s="193">
        <f>Input!G150*(1+previous_vanilla)^0.5</f>
        <v>0</v>
      </c>
      <c r="H51" s="111"/>
      <c r="I51" s="111"/>
      <c r="J51" s="111"/>
      <c r="K51" s="111"/>
      <c r="L51" s="111"/>
      <c r="M51" s="111"/>
      <c r="N51" s="29"/>
      <c r="O51" s="29"/>
      <c r="P51" s="29"/>
      <c r="Q51" s="29"/>
      <c r="R51" s="100"/>
      <c r="S51" s="100"/>
      <c r="T51" s="100"/>
      <c r="U51" s="100"/>
      <c r="V51" s="100"/>
      <c r="W51" s="100"/>
      <c r="X51" s="100"/>
      <c r="Y51" s="100"/>
      <c r="Z51" s="100"/>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0"/>
      <c r="BK51" s="220"/>
    </row>
    <row r="52" spans="1:63" outlineLevel="1">
      <c r="A52" s="9"/>
      <c r="B52" s="46"/>
      <c r="C52" s="129">
        <f>Asset9</f>
        <v>0</v>
      </c>
      <c r="D52" s="9"/>
      <c r="E52" s="9"/>
      <c r="F52" s="141"/>
      <c r="G52" s="193">
        <f>Input!G151*(1+previous_vanilla)^0.5</f>
        <v>0</v>
      </c>
      <c r="H52" s="111"/>
      <c r="I52" s="111"/>
      <c r="J52" s="111"/>
      <c r="K52" s="111"/>
      <c r="L52" s="111"/>
      <c r="M52" s="111"/>
      <c r="N52" s="29"/>
      <c r="O52" s="29"/>
      <c r="P52" s="29"/>
      <c r="Q52" s="29"/>
      <c r="R52" s="100"/>
      <c r="S52" s="100"/>
      <c r="T52" s="100"/>
      <c r="U52" s="100"/>
      <c r="V52" s="100"/>
      <c r="W52" s="100"/>
      <c r="X52" s="100"/>
      <c r="Y52" s="100"/>
      <c r="Z52" s="100"/>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0"/>
      <c r="BK52" s="220"/>
    </row>
    <row r="53" spans="1:63" outlineLevel="1">
      <c r="A53" s="9"/>
      <c r="B53" s="46"/>
      <c r="C53" s="129">
        <f>Asset10</f>
        <v>0</v>
      </c>
      <c r="D53" s="9"/>
      <c r="E53" s="9"/>
      <c r="F53" s="141"/>
      <c r="G53" s="193">
        <f>Input!G152*(1+previous_vanilla)^0.5</f>
        <v>0</v>
      </c>
      <c r="H53" s="111"/>
      <c r="I53" s="111"/>
      <c r="J53" s="111"/>
      <c r="K53" s="111"/>
      <c r="L53" s="111"/>
      <c r="M53" s="111"/>
      <c r="N53" s="29"/>
      <c r="O53" s="29"/>
      <c r="P53" s="29"/>
      <c r="Q53" s="29"/>
      <c r="R53" s="100"/>
      <c r="S53" s="100"/>
      <c r="T53" s="100"/>
      <c r="U53" s="100"/>
      <c r="V53" s="100"/>
      <c r="W53" s="100"/>
      <c r="X53" s="100"/>
      <c r="Y53" s="100"/>
      <c r="Z53" s="100"/>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0"/>
      <c r="BK53" s="220"/>
    </row>
    <row r="54" spans="1:63" outlineLevel="1">
      <c r="A54" s="9"/>
      <c r="B54" s="46"/>
      <c r="C54" s="129">
        <f>Asset11</f>
        <v>0</v>
      </c>
      <c r="D54" s="9"/>
      <c r="E54" s="9"/>
      <c r="F54" s="141"/>
      <c r="G54" s="193">
        <f>Input!G153*(1+previous_vanilla)^0.5</f>
        <v>0</v>
      </c>
      <c r="H54" s="111"/>
      <c r="I54" s="111"/>
      <c r="J54" s="111"/>
      <c r="K54" s="111"/>
      <c r="L54" s="111"/>
      <c r="M54" s="111"/>
      <c r="N54" s="29"/>
      <c r="O54" s="29"/>
      <c r="P54" s="29"/>
      <c r="Q54" s="29"/>
      <c r="R54" s="100"/>
      <c r="S54" s="100"/>
      <c r="T54" s="100"/>
      <c r="U54" s="100"/>
      <c r="V54" s="100"/>
      <c r="W54" s="100"/>
      <c r="X54" s="100"/>
      <c r="Y54" s="100"/>
      <c r="Z54" s="100"/>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0"/>
      <c r="BK54" s="220"/>
    </row>
    <row r="55" spans="1:63" outlineLevel="1">
      <c r="A55" s="9"/>
      <c r="B55" s="46"/>
      <c r="C55" s="129">
        <f>Asset12</f>
        <v>0</v>
      </c>
      <c r="D55" s="9"/>
      <c r="E55" s="9"/>
      <c r="F55" s="141"/>
      <c r="G55" s="193">
        <f>Input!G154*(1+previous_vanilla)^0.5</f>
        <v>0</v>
      </c>
      <c r="H55" s="111"/>
      <c r="I55" s="111"/>
      <c r="J55" s="111"/>
      <c r="K55" s="111"/>
      <c r="L55" s="111"/>
      <c r="M55" s="111"/>
      <c r="N55" s="29"/>
      <c r="O55" s="29"/>
      <c r="P55" s="29"/>
      <c r="Q55" s="29"/>
      <c r="R55" s="100"/>
      <c r="S55" s="100"/>
      <c r="T55" s="100"/>
      <c r="U55" s="100"/>
      <c r="V55" s="100"/>
      <c r="W55" s="100"/>
      <c r="X55" s="100"/>
      <c r="Y55" s="100"/>
      <c r="Z55" s="100"/>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0"/>
      <c r="BK55" s="220"/>
    </row>
    <row r="56" spans="1:63" outlineLevel="1">
      <c r="A56" s="9"/>
      <c r="B56" s="46"/>
      <c r="C56" s="129">
        <f>Asset13</f>
        <v>0</v>
      </c>
      <c r="D56" s="9"/>
      <c r="E56" s="9"/>
      <c r="F56" s="141"/>
      <c r="G56" s="193">
        <f>Input!G155*(1+previous_vanilla)^0.5</f>
        <v>0</v>
      </c>
      <c r="H56" s="111"/>
      <c r="I56" s="111"/>
      <c r="J56" s="111"/>
      <c r="K56" s="111"/>
      <c r="L56" s="111"/>
      <c r="M56" s="111"/>
      <c r="N56" s="29"/>
      <c r="O56" s="29"/>
      <c r="P56" s="29"/>
      <c r="Q56" s="29"/>
      <c r="R56" s="100"/>
      <c r="S56" s="100"/>
      <c r="T56" s="100"/>
      <c r="U56" s="100"/>
      <c r="V56" s="100"/>
      <c r="W56" s="100"/>
      <c r="X56" s="100"/>
      <c r="Y56" s="100"/>
      <c r="Z56" s="100"/>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0"/>
      <c r="BK56" s="220"/>
    </row>
    <row r="57" spans="1:63" outlineLevel="1">
      <c r="A57" s="9"/>
      <c r="B57" s="46"/>
      <c r="C57" s="129">
        <f>Asset14</f>
        <v>0</v>
      </c>
      <c r="D57" s="9"/>
      <c r="E57" s="9"/>
      <c r="F57" s="141"/>
      <c r="G57" s="193">
        <f>Input!G156*(1+previous_vanilla)^0.5</f>
        <v>0</v>
      </c>
      <c r="H57" s="111"/>
      <c r="I57" s="111"/>
      <c r="J57" s="111"/>
      <c r="K57" s="111"/>
      <c r="L57" s="111"/>
      <c r="M57" s="111"/>
      <c r="N57" s="29"/>
      <c r="O57" s="29"/>
      <c r="P57" s="29"/>
      <c r="Q57" s="29"/>
      <c r="R57" s="100"/>
      <c r="S57" s="100"/>
      <c r="T57" s="100"/>
      <c r="U57" s="100"/>
      <c r="V57" s="100"/>
      <c r="W57" s="100"/>
      <c r="X57" s="100"/>
      <c r="Y57" s="100"/>
      <c r="Z57" s="100"/>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0"/>
      <c r="BK57" s="220"/>
    </row>
    <row r="58" spans="1:63" outlineLevel="1">
      <c r="A58" s="9"/>
      <c r="B58" s="46"/>
      <c r="C58" s="129">
        <f>Asset15</f>
        <v>0</v>
      </c>
      <c r="D58" s="9"/>
      <c r="E58" s="9"/>
      <c r="F58" s="141"/>
      <c r="G58" s="193">
        <f>Input!G157*(1+previous_vanilla)^0.5</f>
        <v>0</v>
      </c>
      <c r="H58" s="111"/>
      <c r="I58" s="111"/>
      <c r="J58" s="111"/>
      <c r="K58" s="111"/>
      <c r="L58" s="111"/>
      <c r="M58" s="111"/>
      <c r="N58" s="29"/>
      <c r="O58" s="29"/>
      <c r="P58" s="29"/>
      <c r="Q58" s="29"/>
      <c r="R58" s="100"/>
      <c r="S58" s="100"/>
      <c r="T58" s="100"/>
      <c r="U58" s="100"/>
      <c r="V58" s="100"/>
      <c r="W58" s="100"/>
      <c r="X58" s="100"/>
      <c r="Y58" s="100"/>
      <c r="Z58" s="100"/>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0"/>
      <c r="BK58" s="220"/>
    </row>
    <row r="59" spans="1:63" outlineLevel="1">
      <c r="A59" s="9"/>
      <c r="B59" s="46"/>
      <c r="C59" s="129">
        <f>Asset16</f>
        <v>0</v>
      </c>
      <c r="D59" s="9"/>
      <c r="E59" s="9"/>
      <c r="F59" s="141"/>
      <c r="G59" s="193">
        <f>Input!G158*(1+previous_vanilla)^0.5</f>
        <v>0</v>
      </c>
      <c r="H59" s="111"/>
      <c r="I59" s="111"/>
      <c r="J59" s="111"/>
      <c r="K59" s="111"/>
      <c r="L59" s="111"/>
      <c r="M59" s="111"/>
      <c r="N59" s="29"/>
      <c r="O59" s="29"/>
      <c r="P59" s="29"/>
      <c r="Q59" s="29"/>
      <c r="R59" s="100"/>
      <c r="S59" s="100"/>
      <c r="T59" s="100"/>
      <c r="U59" s="100"/>
      <c r="V59" s="100"/>
      <c r="W59" s="100"/>
      <c r="X59" s="100"/>
      <c r="Y59" s="100"/>
      <c r="Z59" s="100"/>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0"/>
      <c r="BK59" s="220"/>
    </row>
    <row r="60" spans="1:63" outlineLevel="1">
      <c r="A60" s="9"/>
      <c r="B60" s="46"/>
      <c r="C60" s="129">
        <f>Asset17</f>
        <v>0</v>
      </c>
      <c r="D60" s="9"/>
      <c r="E60" s="9"/>
      <c r="F60" s="141"/>
      <c r="G60" s="193">
        <f>Input!G159*(1+previous_vanilla)^0.5</f>
        <v>0</v>
      </c>
      <c r="H60" s="111"/>
      <c r="I60" s="111"/>
      <c r="J60" s="111"/>
      <c r="K60" s="111"/>
      <c r="L60" s="111"/>
      <c r="M60" s="111"/>
      <c r="N60" s="29"/>
      <c r="O60" s="29"/>
      <c r="P60" s="29"/>
      <c r="Q60" s="29"/>
      <c r="R60" s="100"/>
      <c r="S60" s="100"/>
      <c r="T60" s="100"/>
      <c r="U60" s="100"/>
      <c r="V60" s="100"/>
      <c r="W60" s="100"/>
      <c r="X60" s="100"/>
      <c r="Y60" s="100"/>
      <c r="Z60" s="100"/>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0"/>
      <c r="BK60" s="220"/>
    </row>
    <row r="61" spans="1:63" outlineLevel="1">
      <c r="A61" s="9"/>
      <c r="B61" s="46"/>
      <c r="C61" s="129">
        <f>Asset18</f>
        <v>0</v>
      </c>
      <c r="D61" s="9"/>
      <c r="E61" s="9"/>
      <c r="F61" s="141"/>
      <c r="G61" s="193">
        <f>Input!G160*(1+previous_vanilla)^0.5</f>
        <v>0</v>
      </c>
      <c r="H61" s="111"/>
      <c r="I61" s="111"/>
      <c r="J61" s="111"/>
      <c r="K61" s="111"/>
      <c r="L61" s="111"/>
      <c r="M61" s="111"/>
      <c r="N61" s="29"/>
      <c r="O61" s="29"/>
      <c r="P61" s="29"/>
      <c r="Q61" s="29"/>
      <c r="R61" s="100"/>
      <c r="S61" s="100"/>
      <c r="T61" s="100"/>
      <c r="U61" s="100"/>
      <c r="V61" s="100"/>
      <c r="W61" s="100"/>
      <c r="X61" s="100"/>
      <c r="Y61" s="100"/>
      <c r="Z61" s="100"/>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0"/>
      <c r="BK61" s="220"/>
    </row>
    <row r="62" spans="1:63" outlineLevel="1">
      <c r="A62" s="9"/>
      <c r="B62" s="46"/>
      <c r="C62" s="129">
        <f>Asset19</f>
        <v>0</v>
      </c>
      <c r="D62" s="9"/>
      <c r="E62" s="9"/>
      <c r="F62" s="141"/>
      <c r="G62" s="193">
        <f>Input!G161*(1+previous_vanilla)^0.5</f>
        <v>0</v>
      </c>
      <c r="H62" s="111"/>
      <c r="I62" s="111"/>
      <c r="J62" s="111"/>
      <c r="K62" s="111"/>
      <c r="L62" s="111"/>
      <c r="M62" s="111"/>
      <c r="N62" s="29"/>
      <c r="O62" s="29"/>
      <c r="P62" s="29"/>
      <c r="Q62" s="29"/>
      <c r="R62" s="100"/>
      <c r="S62" s="100"/>
      <c r="T62" s="100"/>
      <c r="U62" s="100"/>
      <c r="V62" s="100"/>
      <c r="W62" s="100"/>
      <c r="X62" s="100"/>
      <c r="Y62" s="100"/>
      <c r="Z62" s="100"/>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0"/>
      <c r="BK62" s="220"/>
    </row>
    <row r="63" spans="1:63" outlineLevel="1">
      <c r="A63" s="9"/>
      <c r="B63" s="46"/>
      <c r="C63" s="129">
        <f>Asset20</f>
        <v>0</v>
      </c>
      <c r="D63" s="9"/>
      <c r="E63" s="9"/>
      <c r="F63" s="141"/>
      <c r="G63" s="193">
        <f>Input!G162*(1+previous_vanilla)^0.5</f>
        <v>0</v>
      </c>
      <c r="H63" s="111"/>
      <c r="I63" s="111"/>
      <c r="J63" s="111"/>
      <c r="K63" s="111"/>
      <c r="L63" s="111"/>
      <c r="M63" s="111"/>
      <c r="N63" s="29"/>
      <c r="O63" s="29"/>
      <c r="P63" s="29"/>
      <c r="Q63" s="29"/>
      <c r="R63" s="100"/>
      <c r="S63" s="100"/>
      <c r="T63" s="100"/>
      <c r="U63" s="100"/>
      <c r="V63" s="100"/>
      <c r="W63" s="100"/>
      <c r="X63" s="100"/>
      <c r="Y63" s="100"/>
      <c r="Z63" s="100"/>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0"/>
      <c r="BK63" s="220"/>
    </row>
    <row r="64" spans="1:63" outlineLevel="1">
      <c r="A64" s="9"/>
      <c r="B64" s="46"/>
      <c r="C64" s="129">
        <f>Asset21</f>
        <v>0</v>
      </c>
      <c r="D64" s="9"/>
      <c r="E64" s="9"/>
      <c r="F64" s="141"/>
      <c r="G64" s="193">
        <f>Input!G163*(1+previous_vanilla)^0.5</f>
        <v>0</v>
      </c>
      <c r="H64" s="111"/>
      <c r="I64" s="111"/>
      <c r="J64" s="111"/>
      <c r="K64" s="111"/>
      <c r="L64" s="111"/>
      <c r="M64" s="111"/>
      <c r="N64" s="29"/>
      <c r="O64" s="29"/>
      <c r="P64" s="29"/>
      <c r="Q64" s="29"/>
      <c r="R64" s="100"/>
      <c r="S64" s="100"/>
      <c r="T64" s="100"/>
      <c r="U64" s="100"/>
      <c r="V64" s="100"/>
      <c r="W64" s="100"/>
      <c r="X64" s="100"/>
      <c r="Y64" s="100"/>
      <c r="Z64" s="100"/>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0"/>
      <c r="BK64" s="220"/>
    </row>
    <row r="65" spans="1:63" outlineLevel="1">
      <c r="A65" s="9"/>
      <c r="B65" s="46"/>
      <c r="C65" s="129">
        <f>Asset22</f>
        <v>0</v>
      </c>
      <c r="D65" s="9"/>
      <c r="E65" s="9"/>
      <c r="F65" s="141"/>
      <c r="G65" s="193">
        <f>Input!G164*(1+previous_vanilla)^0.5</f>
        <v>0</v>
      </c>
      <c r="H65" s="111"/>
      <c r="I65" s="111"/>
      <c r="J65" s="111"/>
      <c r="K65" s="111"/>
      <c r="L65" s="111"/>
      <c r="M65" s="111"/>
      <c r="N65" s="29"/>
      <c r="O65" s="29"/>
      <c r="P65" s="29"/>
      <c r="Q65" s="29"/>
      <c r="R65" s="100"/>
      <c r="S65" s="100"/>
      <c r="T65" s="100"/>
      <c r="U65" s="100"/>
      <c r="V65" s="100"/>
      <c r="W65" s="100"/>
      <c r="X65" s="100"/>
      <c r="Y65" s="100"/>
      <c r="Z65" s="100"/>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0"/>
      <c r="BK65" s="220"/>
    </row>
    <row r="66" spans="1:63" outlineLevel="1">
      <c r="A66" s="9"/>
      <c r="B66" s="46"/>
      <c r="C66" s="129">
        <f>Asset23</f>
        <v>0</v>
      </c>
      <c r="D66" s="9"/>
      <c r="E66" s="9"/>
      <c r="F66" s="141"/>
      <c r="G66" s="193">
        <f>Input!G165*(1+previous_vanilla)^0.5</f>
        <v>0</v>
      </c>
      <c r="H66" s="111"/>
      <c r="I66" s="111"/>
      <c r="J66" s="111"/>
      <c r="K66" s="111"/>
      <c r="L66" s="111"/>
      <c r="M66" s="111"/>
      <c r="N66" s="29"/>
      <c r="O66" s="29"/>
      <c r="P66" s="29"/>
      <c r="Q66" s="29"/>
      <c r="R66" s="100"/>
      <c r="S66" s="100"/>
      <c r="T66" s="100"/>
      <c r="U66" s="100"/>
      <c r="V66" s="100"/>
      <c r="W66" s="100"/>
      <c r="X66" s="100"/>
      <c r="Y66" s="100"/>
      <c r="Z66" s="100"/>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0"/>
      <c r="BK66" s="220"/>
    </row>
    <row r="67" spans="1:63" outlineLevel="1">
      <c r="A67" s="9"/>
      <c r="B67" s="46"/>
      <c r="C67" s="129">
        <f>Asset24</f>
        <v>0</v>
      </c>
      <c r="D67" s="9"/>
      <c r="E67" s="9"/>
      <c r="F67" s="141"/>
      <c r="G67" s="193">
        <f>Input!G166*(1+previous_vanilla)^0.5</f>
        <v>0</v>
      </c>
      <c r="H67" s="111"/>
      <c r="I67" s="111"/>
      <c r="J67" s="111"/>
      <c r="K67" s="111"/>
      <c r="L67" s="111"/>
      <c r="M67" s="111"/>
      <c r="N67" s="29"/>
      <c r="O67" s="29"/>
      <c r="P67" s="29"/>
      <c r="Q67" s="29"/>
      <c r="R67" s="100"/>
      <c r="S67" s="100"/>
      <c r="T67" s="100"/>
      <c r="U67" s="100"/>
      <c r="V67" s="100"/>
      <c r="W67" s="100"/>
      <c r="X67" s="100"/>
      <c r="Y67" s="100"/>
      <c r="Z67" s="100"/>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0"/>
      <c r="BK67" s="220"/>
    </row>
    <row r="68" spans="1:63" outlineLevel="1">
      <c r="A68" s="9"/>
      <c r="B68" s="46"/>
      <c r="C68" s="129">
        <f>Asset25</f>
        <v>0</v>
      </c>
      <c r="D68" s="9"/>
      <c r="E68" s="9"/>
      <c r="F68" s="141"/>
      <c r="G68" s="193">
        <f>Input!G167*(1+previous_vanilla)^0.5</f>
        <v>0</v>
      </c>
      <c r="H68" s="111"/>
      <c r="I68" s="111"/>
      <c r="J68" s="111"/>
      <c r="K68" s="111"/>
      <c r="L68" s="111"/>
      <c r="M68" s="111"/>
      <c r="N68" s="29"/>
      <c r="O68" s="29"/>
      <c r="P68" s="29"/>
      <c r="Q68" s="29"/>
      <c r="R68" s="100"/>
      <c r="S68" s="100"/>
      <c r="T68" s="100"/>
      <c r="U68" s="100"/>
      <c r="V68" s="100"/>
      <c r="W68" s="100"/>
      <c r="X68" s="100"/>
      <c r="Y68" s="100"/>
      <c r="Z68" s="100"/>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0"/>
      <c r="BK68" s="220"/>
    </row>
    <row r="69" spans="1:63" outlineLevel="1">
      <c r="A69" s="9"/>
      <c r="B69" s="46"/>
      <c r="C69" s="129">
        <f>Asset26</f>
        <v>0</v>
      </c>
      <c r="D69" s="9"/>
      <c r="E69" s="9"/>
      <c r="F69" s="141"/>
      <c r="G69" s="193">
        <f>Input!G168*(1+previous_vanilla)^0.5</f>
        <v>0</v>
      </c>
      <c r="H69" s="111"/>
      <c r="I69" s="111"/>
      <c r="J69" s="111"/>
      <c r="K69" s="111"/>
      <c r="L69" s="111"/>
      <c r="M69" s="111"/>
      <c r="N69" s="29"/>
      <c r="O69" s="29"/>
      <c r="P69" s="29"/>
      <c r="Q69" s="29"/>
      <c r="R69" s="100"/>
      <c r="S69" s="100"/>
      <c r="T69" s="100"/>
      <c r="U69" s="100"/>
      <c r="V69" s="100"/>
      <c r="W69" s="100"/>
      <c r="X69" s="100"/>
      <c r="Y69" s="100"/>
      <c r="Z69" s="100"/>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0"/>
      <c r="BK69" s="220"/>
    </row>
    <row r="70" spans="1:63" outlineLevel="1">
      <c r="A70" s="9"/>
      <c r="B70" s="46"/>
      <c r="C70" s="129">
        <f>Asset27</f>
        <v>0</v>
      </c>
      <c r="D70" s="9"/>
      <c r="E70" s="9"/>
      <c r="F70" s="141"/>
      <c r="G70" s="193">
        <f>Input!G169*(1+previous_vanilla)^0.5</f>
        <v>0</v>
      </c>
      <c r="H70" s="111"/>
      <c r="I70" s="111"/>
      <c r="J70" s="111"/>
      <c r="K70" s="111"/>
      <c r="L70" s="111"/>
      <c r="M70" s="111"/>
      <c r="N70" s="29"/>
      <c r="O70" s="29"/>
      <c r="P70" s="29"/>
      <c r="Q70" s="29"/>
      <c r="R70" s="100"/>
      <c r="S70" s="100"/>
      <c r="T70" s="100"/>
      <c r="U70" s="100"/>
      <c r="V70" s="100"/>
      <c r="W70" s="100"/>
      <c r="X70" s="100"/>
      <c r="Y70" s="100"/>
      <c r="Z70" s="100"/>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0"/>
      <c r="BK70" s="220"/>
    </row>
    <row r="71" spans="1:63" outlineLevel="1">
      <c r="A71" s="9"/>
      <c r="B71" s="46"/>
      <c r="C71" s="129">
        <f>Asset28</f>
        <v>0</v>
      </c>
      <c r="D71" s="9"/>
      <c r="E71" s="9"/>
      <c r="F71" s="141"/>
      <c r="G71" s="193">
        <f>Input!G170*(1+previous_vanilla)^0.5</f>
        <v>0</v>
      </c>
      <c r="H71" s="111"/>
      <c r="I71" s="111"/>
      <c r="J71" s="111"/>
      <c r="K71" s="111"/>
      <c r="L71" s="111"/>
      <c r="M71" s="111"/>
      <c r="N71" s="29"/>
      <c r="O71" s="29"/>
      <c r="P71" s="29"/>
      <c r="Q71" s="29"/>
      <c r="R71" s="100"/>
      <c r="S71" s="100"/>
      <c r="T71" s="100"/>
      <c r="U71" s="100"/>
      <c r="V71" s="100"/>
      <c r="W71" s="100"/>
      <c r="X71" s="100"/>
      <c r="Y71" s="100"/>
      <c r="Z71" s="100"/>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0"/>
      <c r="BK71" s="220"/>
    </row>
    <row r="72" spans="1:63" outlineLevel="1">
      <c r="A72" s="9"/>
      <c r="B72" s="46"/>
      <c r="C72" s="129">
        <f>Asset29</f>
        <v>0</v>
      </c>
      <c r="D72" s="9"/>
      <c r="E72" s="9"/>
      <c r="F72" s="141"/>
      <c r="G72" s="193">
        <f>Input!G171*(1+previous_vanilla)^0.5</f>
        <v>0</v>
      </c>
      <c r="H72" s="111"/>
      <c r="I72" s="111"/>
      <c r="J72" s="111"/>
      <c r="K72" s="111"/>
      <c r="L72" s="111"/>
      <c r="M72" s="111"/>
      <c r="N72" s="29"/>
      <c r="O72" s="29"/>
      <c r="P72" s="29"/>
      <c r="Q72" s="29"/>
      <c r="R72" s="100"/>
      <c r="S72" s="100"/>
      <c r="T72" s="100"/>
      <c r="U72" s="100"/>
      <c r="V72" s="100"/>
      <c r="W72" s="100"/>
      <c r="X72" s="100"/>
      <c r="Y72" s="100"/>
      <c r="Z72" s="100"/>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0"/>
      <c r="BK72" s="220"/>
    </row>
    <row r="73" spans="1:63" outlineLevel="1">
      <c r="A73" s="9"/>
      <c r="B73" s="46"/>
      <c r="C73" s="129">
        <f>Asset30</f>
        <v>0</v>
      </c>
      <c r="D73" s="9"/>
      <c r="E73" s="9"/>
      <c r="F73" s="141"/>
      <c r="G73" s="193">
        <f>Input!G172*(1+previous_vanilla)^0.5</f>
        <v>0</v>
      </c>
      <c r="H73" s="111"/>
      <c r="I73" s="111"/>
      <c r="J73" s="111"/>
      <c r="K73" s="111"/>
      <c r="L73" s="111"/>
      <c r="M73" s="111"/>
      <c r="N73" s="29"/>
      <c r="O73" s="29"/>
      <c r="P73" s="29"/>
      <c r="Q73" s="29"/>
      <c r="R73" s="100"/>
      <c r="S73" s="100"/>
      <c r="T73" s="100"/>
      <c r="U73" s="100"/>
      <c r="V73" s="100"/>
      <c r="W73" s="100"/>
      <c r="X73" s="100"/>
      <c r="Y73" s="100"/>
      <c r="Z73" s="100"/>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0"/>
      <c r="BK73" s="220"/>
    </row>
    <row r="74" spans="1:63">
      <c r="A74" s="9"/>
      <c r="B74" s="46"/>
      <c r="C74" s="114"/>
      <c r="D74" s="9"/>
      <c r="E74" s="9"/>
      <c r="F74" s="141"/>
      <c r="G74" s="194"/>
      <c r="H74" s="37"/>
      <c r="I74" s="37"/>
      <c r="J74" s="37"/>
      <c r="K74" s="37"/>
      <c r="L74" s="37"/>
      <c r="M74" s="37"/>
      <c r="N74" s="29"/>
      <c r="O74" s="29"/>
      <c r="P74" s="29"/>
      <c r="Q74" s="29"/>
      <c r="R74" s="100"/>
      <c r="S74" s="100"/>
      <c r="T74" s="100"/>
      <c r="U74" s="100"/>
      <c r="V74" s="100"/>
      <c r="W74" s="100"/>
      <c r="X74" s="100"/>
      <c r="Y74" s="100"/>
      <c r="Z74" s="100"/>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0"/>
      <c r="BK74" s="220"/>
    </row>
    <row r="75" spans="1:63">
      <c r="A75" s="9"/>
      <c r="B75" s="46" t="s">
        <v>41</v>
      </c>
      <c r="C75" s="9"/>
      <c r="D75" s="9"/>
      <c r="E75" s="9"/>
      <c r="F75" s="141"/>
      <c r="G75" s="194">
        <f>SUM(G76:G105)</f>
        <v>5.7352300723218637</v>
      </c>
      <c r="H75" s="37"/>
      <c r="I75" s="37"/>
      <c r="J75" s="37"/>
      <c r="K75" s="37"/>
      <c r="L75" s="37"/>
      <c r="M75" s="110"/>
      <c r="N75" s="29"/>
      <c r="O75" s="29"/>
      <c r="P75" s="29"/>
      <c r="Q75" s="29"/>
      <c r="R75" s="100"/>
      <c r="S75" s="100"/>
      <c r="T75" s="100"/>
      <c r="U75" s="100"/>
      <c r="V75" s="100"/>
      <c r="W75" s="100"/>
      <c r="X75" s="100"/>
      <c r="Y75" s="100"/>
      <c r="Z75" s="100"/>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0"/>
      <c r="BK75" s="220"/>
    </row>
    <row r="76" spans="1:63" outlineLevel="1">
      <c r="A76" s="9"/>
      <c r="B76" s="46"/>
      <c r="C76" s="129" t="str">
        <f>Asset1</f>
        <v>Mains &amp; Services</v>
      </c>
      <c r="D76" s="9"/>
      <c r="E76" s="9"/>
      <c r="F76" s="141"/>
      <c r="G76" s="583">
        <f>G44-G12</f>
        <v>-6.6280727641211854</v>
      </c>
      <c r="H76" s="117"/>
      <c r="I76" s="117"/>
      <c r="J76" s="117"/>
      <c r="K76" s="117"/>
      <c r="L76" s="117"/>
      <c r="M76" s="151"/>
      <c r="N76" s="152"/>
      <c r="O76" s="152"/>
      <c r="P76" s="152"/>
      <c r="Q76" s="152"/>
      <c r="R76" s="100"/>
      <c r="S76" s="100"/>
      <c r="T76" s="100"/>
      <c r="U76" s="100"/>
      <c r="V76" s="100"/>
      <c r="W76" s="100"/>
      <c r="X76" s="100"/>
      <c r="Y76" s="100"/>
      <c r="Z76" s="100"/>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0"/>
      <c r="BK76" s="220"/>
    </row>
    <row r="77" spans="1:63" outlineLevel="1">
      <c r="A77" s="9"/>
      <c r="B77" s="46"/>
      <c r="C77" s="129" t="str">
        <f>Asset2</f>
        <v>Meters</v>
      </c>
      <c r="D77" s="9"/>
      <c r="E77" s="9"/>
      <c r="F77" s="141"/>
      <c r="G77" s="583">
        <f>G45-G13</f>
        <v>-0.8409727888084948</v>
      </c>
      <c r="H77" s="117"/>
      <c r="I77" s="117"/>
      <c r="J77" s="117"/>
      <c r="K77" s="117"/>
      <c r="L77" s="117"/>
      <c r="M77" s="151"/>
      <c r="N77" s="152"/>
      <c r="O77" s="152"/>
      <c r="P77" s="152"/>
      <c r="Q77" s="152"/>
      <c r="R77" s="100"/>
      <c r="S77" s="100"/>
      <c r="T77" s="100"/>
      <c r="U77" s="100"/>
      <c r="V77" s="100"/>
      <c r="W77" s="100"/>
      <c r="X77" s="100"/>
      <c r="Y77" s="100"/>
      <c r="Z77" s="100"/>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0"/>
      <c r="BK77" s="220"/>
    </row>
    <row r="78" spans="1:63" outlineLevel="1">
      <c r="A78" s="9"/>
      <c r="B78" s="46"/>
      <c r="C78" s="129" t="str">
        <f>Asset3</f>
        <v>Buildings</v>
      </c>
      <c r="D78" s="9"/>
      <c r="E78" s="9"/>
      <c r="F78" s="141"/>
      <c r="G78" s="583">
        <f t="shared" ref="G78:G105" si="0">G46-G14</f>
        <v>0</v>
      </c>
      <c r="H78" s="117"/>
      <c r="I78" s="117"/>
      <c r="J78" s="117"/>
      <c r="K78" s="117"/>
      <c r="L78" s="117"/>
      <c r="M78" s="151"/>
      <c r="N78" s="152"/>
      <c r="O78" s="152"/>
      <c r="P78" s="152"/>
      <c r="Q78" s="152"/>
      <c r="R78" s="100"/>
      <c r="S78" s="100"/>
      <c r="T78" s="100"/>
      <c r="U78" s="100"/>
      <c r="V78" s="100"/>
      <c r="W78" s="100"/>
      <c r="X78" s="100"/>
      <c r="Y78" s="100"/>
      <c r="Z78" s="100"/>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0"/>
      <c r="BK78" s="220"/>
    </row>
    <row r="79" spans="1:63" outlineLevel="1">
      <c r="A79" s="9"/>
      <c r="B79" s="46"/>
      <c r="C79" s="129" t="str">
        <f>Asset4</f>
        <v>SCADA</v>
      </c>
      <c r="D79" s="9"/>
      <c r="E79" s="9"/>
      <c r="F79" s="141"/>
      <c r="G79" s="583">
        <f t="shared" si="0"/>
        <v>-0.20396865358991298</v>
      </c>
      <c r="H79" s="117"/>
      <c r="I79" s="117"/>
      <c r="J79" s="117"/>
      <c r="K79" s="117"/>
      <c r="L79" s="117"/>
      <c r="M79" s="151"/>
      <c r="N79" s="152"/>
      <c r="O79" s="152"/>
      <c r="P79" s="152"/>
      <c r="Q79" s="152"/>
      <c r="R79" s="100"/>
      <c r="S79" s="100"/>
      <c r="T79" s="100"/>
      <c r="U79" s="100"/>
      <c r="V79" s="100"/>
      <c r="W79" s="100"/>
      <c r="X79" s="100"/>
      <c r="Y79" s="100"/>
      <c r="Z79" s="100"/>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0"/>
      <c r="BK79" s="220"/>
    </row>
    <row r="80" spans="1:63" outlineLevel="1">
      <c r="A80" s="9"/>
      <c r="B80" s="46"/>
      <c r="C80" s="129" t="str">
        <f>Asset5</f>
        <v>Computer Equipment</v>
      </c>
      <c r="D80" s="9"/>
      <c r="E80" s="9"/>
      <c r="F80" s="141"/>
      <c r="G80" s="583">
        <f t="shared" si="0"/>
        <v>-0.37811690253671565</v>
      </c>
      <c r="H80" s="117"/>
      <c r="I80" s="117"/>
      <c r="J80" s="117"/>
      <c r="K80" s="117"/>
      <c r="L80" s="117"/>
      <c r="M80" s="151"/>
      <c r="N80" s="152"/>
      <c r="O80" s="152"/>
      <c r="P80" s="152"/>
      <c r="Q80" s="152"/>
      <c r="R80" s="100"/>
      <c r="S80" s="100"/>
      <c r="T80" s="100"/>
      <c r="U80" s="100"/>
      <c r="V80" s="100"/>
      <c r="W80" s="100"/>
      <c r="X80" s="100"/>
      <c r="Y80" s="100"/>
      <c r="Z80" s="100"/>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0"/>
      <c r="BK80" s="220"/>
    </row>
    <row r="81" spans="1:63" outlineLevel="1">
      <c r="A81" s="9"/>
      <c r="B81" s="46"/>
      <c r="C81" s="129" t="str">
        <f>Asset6</f>
        <v>Other Assets</v>
      </c>
      <c r="D81" s="9"/>
      <c r="E81" s="9"/>
      <c r="F81" s="141"/>
      <c r="G81" s="583">
        <f t="shared" si="0"/>
        <v>13.786361181378172</v>
      </c>
      <c r="H81" s="117"/>
      <c r="I81" s="117"/>
      <c r="J81" s="117"/>
      <c r="K81" s="117"/>
      <c r="L81" s="117"/>
      <c r="M81" s="151"/>
      <c r="N81" s="152"/>
      <c r="O81" s="152"/>
      <c r="P81" s="152"/>
      <c r="Q81" s="152"/>
      <c r="R81" s="100"/>
      <c r="S81" s="100"/>
      <c r="T81" s="100"/>
      <c r="U81" s="100"/>
      <c r="V81" s="100"/>
      <c r="W81" s="100"/>
      <c r="X81" s="100"/>
      <c r="Y81" s="100"/>
      <c r="Z81" s="100"/>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0"/>
      <c r="BK81" s="220"/>
    </row>
    <row r="82" spans="1:63" outlineLevel="1">
      <c r="A82" s="9"/>
      <c r="B82" s="46"/>
      <c r="C82" s="129" t="str">
        <f>Asset7</f>
        <v>Equity Raising Costs</v>
      </c>
      <c r="D82" s="9"/>
      <c r="E82" s="9"/>
      <c r="F82" s="141"/>
      <c r="G82" s="583">
        <f t="shared" si="0"/>
        <v>0</v>
      </c>
      <c r="H82" s="117"/>
      <c r="I82" s="117"/>
      <c r="J82" s="117"/>
      <c r="K82" s="117"/>
      <c r="L82" s="117"/>
      <c r="M82" s="151"/>
      <c r="N82" s="152"/>
      <c r="O82" s="152"/>
      <c r="P82" s="152"/>
      <c r="Q82" s="152"/>
      <c r="R82" s="100"/>
      <c r="S82" s="100"/>
      <c r="T82" s="100"/>
      <c r="U82" s="100"/>
      <c r="V82" s="100"/>
      <c r="W82" s="100"/>
      <c r="X82" s="100"/>
      <c r="Y82" s="100"/>
      <c r="Z82" s="100"/>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0"/>
      <c r="BK82" s="220"/>
    </row>
    <row r="83" spans="1:63" outlineLevel="1">
      <c r="A83" s="9"/>
      <c r="B83" s="46"/>
      <c r="C83" s="129" t="str">
        <f>Asset8</f>
        <v>Land</v>
      </c>
      <c r="D83" s="9"/>
      <c r="E83" s="9"/>
      <c r="F83" s="141"/>
      <c r="G83" s="583">
        <f t="shared" si="0"/>
        <v>0</v>
      </c>
      <c r="H83" s="117"/>
      <c r="I83" s="117"/>
      <c r="J83" s="117"/>
      <c r="K83" s="117"/>
      <c r="L83" s="117"/>
      <c r="M83" s="151"/>
      <c r="N83" s="152"/>
      <c r="O83" s="152"/>
      <c r="P83" s="152"/>
      <c r="Q83" s="152"/>
      <c r="R83" s="100"/>
      <c r="S83" s="100"/>
      <c r="T83" s="100"/>
      <c r="U83" s="100"/>
      <c r="V83" s="100"/>
      <c r="W83" s="100"/>
      <c r="X83" s="100"/>
      <c r="Y83" s="100"/>
      <c r="Z83" s="100"/>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0"/>
      <c r="BK83" s="220"/>
    </row>
    <row r="84" spans="1:63" outlineLevel="1">
      <c r="A84" s="9"/>
      <c r="B84" s="46"/>
      <c r="C84" s="129">
        <f>Asset9</f>
        <v>0</v>
      </c>
      <c r="D84" s="9"/>
      <c r="E84" s="9"/>
      <c r="F84" s="141"/>
      <c r="G84" s="583">
        <f t="shared" si="0"/>
        <v>0</v>
      </c>
      <c r="H84" s="117"/>
      <c r="I84" s="117"/>
      <c r="J84" s="117"/>
      <c r="K84" s="117"/>
      <c r="L84" s="117"/>
      <c r="M84" s="151"/>
      <c r="N84" s="152"/>
      <c r="O84" s="152"/>
      <c r="P84" s="152"/>
      <c r="Q84" s="152"/>
      <c r="R84" s="100"/>
      <c r="S84" s="100"/>
      <c r="T84" s="100"/>
      <c r="U84" s="100"/>
      <c r="V84" s="100"/>
      <c r="W84" s="100"/>
      <c r="X84" s="100"/>
      <c r="Y84" s="100"/>
      <c r="Z84" s="100"/>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0"/>
      <c r="BK84" s="220"/>
    </row>
    <row r="85" spans="1:63" outlineLevel="1">
      <c r="A85" s="9"/>
      <c r="B85" s="46"/>
      <c r="C85" s="129">
        <f>Asset10</f>
        <v>0</v>
      </c>
      <c r="D85" s="9"/>
      <c r="E85" s="9"/>
      <c r="F85" s="141"/>
      <c r="G85" s="583">
        <f t="shared" si="0"/>
        <v>0</v>
      </c>
      <c r="H85" s="117"/>
      <c r="I85" s="117"/>
      <c r="J85" s="117"/>
      <c r="K85" s="117"/>
      <c r="L85" s="117"/>
      <c r="M85" s="151"/>
      <c r="N85" s="152"/>
      <c r="O85" s="152"/>
      <c r="P85" s="152"/>
      <c r="Q85" s="152"/>
      <c r="R85" s="100"/>
      <c r="S85" s="100"/>
      <c r="T85" s="100"/>
      <c r="U85" s="100"/>
      <c r="V85" s="100"/>
      <c r="W85" s="100"/>
      <c r="X85" s="100"/>
      <c r="Y85" s="100"/>
      <c r="Z85" s="100"/>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0"/>
      <c r="BK85" s="220"/>
    </row>
    <row r="86" spans="1:63" outlineLevel="1">
      <c r="A86" s="9"/>
      <c r="B86" s="46"/>
      <c r="C86" s="129">
        <f>Asset11</f>
        <v>0</v>
      </c>
      <c r="D86" s="9"/>
      <c r="E86" s="9"/>
      <c r="F86" s="141"/>
      <c r="G86" s="583">
        <f t="shared" si="0"/>
        <v>0</v>
      </c>
      <c r="H86" s="117"/>
      <c r="I86" s="117"/>
      <c r="J86" s="117"/>
      <c r="K86" s="117"/>
      <c r="L86" s="117"/>
      <c r="M86" s="151"/>
      <c r="N86" s="152"/>
      <c r="O86" s="152"/>
      <c r="P86" s="152"/>
      <c r="Q86" s="152"/>
      <c r="R86" s="100"/>
      <c r="S86" s="100"/>
      <c r="T86" s="100"/>
      <c r="U86" s="100"/>
      <c r="V86" s="100"/>
      <c r="W86" s="100"/>
      <c r="X86" s="100"/>
      <c r="Y86" s="100"/>
      <c r="Z86" s="100"/>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0"/>
      <c r="BK86" s="220"/>
    </row>
    <row r="87" spans="1:63" outlineLevel="1">
      <c r="A87" s="9"/>
      <c r="B87" s="46"/>
      <c r="C87" s="129">
        <f>Asset12</f>
        <v>0</v>
      </c>
      <c r="D87" s="9"/>
      <c r="E87" s="9"/>
      <c r="F87" s="141"/>
      <c r="G87" s="583">
        <f t="shared" si="0"/>
        <v>0</v>
      </c>
      <c r="H87" s="117"/>
      <c r="I87" s="117"/>
      <c r="J87" s="117"/>
      <c r="K87" s="117"/>
      <c r="L87" s="117"/>
      <c r="M87" s="151"/>
      <c r="N87" s="152"/>
      <c r="O87" s="152"/>
      <c r="P87" s="152"/>
      <c r="Q87" s="152"/>
      <c r="R87" s="100"/>
      <c r="S87" s="100"/>
      <c r="T87" s="100"/>
      <c r="U87" s="100"/>
      <c r="V87" s="100"/>
      <c r="W87" s="100"/>
      <c r="X87" s="100"/>
      <c r="Y87" s="100"/>
      <c r="Z87" s="100"/>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0"/>
      <c r="BK87" s="220"/>
    </row>
    <row r="88" spans="1:63" outlineLevel="1">
      <c r="A88" s="9"/>
      <c r="B88" s="46"/>
      <c r="C88" s="129">
        <f>Asset13</f>
        <v>0</v>
      </c>
      <c r="D88" s="9"/>
      <c r="E88" s="9"/>
      <c r="F88" s="141"/>
      <c r="G88" s="583">
        <f t="shared" si="0"/>
        <v>0</v>
      </c>
      <c r="H88" s="117"/>
      <c r="I88" s="117"/>
      <c r="J88" s="117"/>
      <c r="K88" s="117"/>
      <c r="L88" s="117"/>
      <c r="M88" s="151"/>
      <c r="N88" s="152"/>
      <c r="O88" s="152"/>
      <c r="P88" s="152"/>
      <c r="Q88" s="152"/>
      <c r="R88" s="100"/>
      <c r="S88" s="100"/>
      <c r="T88" s="100"/>
      <c r="U88" s="100"/>
      <c r="V88" s="100"/>
      <c r="W88" s="100"/>
      <c r="X88" s="100"/>
      <c r="Y88" s="100"/>
      <c r="Z88" s="100"/>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0"/>
      <c r="BK88" s="220"/>
    </row>
    <row r="89" spans="1:63" outlineLevel="1">
      <c r="A89" s="9"/>
      <c r="B89" s="46"/>
      <c r="C89" s="129">
        <f>Asset14</f>
        <v>0</v>
      </c>
      <c r="D89" s="9"/>
      <c r="E89" s="9"/>
      <c r="F89" s="141"/>
      <c r="G89" s="583">
        <f t="shared" si="0"/>
        <v>0</v>
      </c>
      <c r="H89" s="117"/>
      <c r="I89" s="117"/>
      <c r="J89" s="117"/>
      <c r="K89" s="117"/>
      <c r="L89" s="117"/>
      <c r="M89" s="151"/>
      <c r="N89" s="152"/>
      <c r="O89" s="152"/>
      <c r="P89" s="152"/>
      <c r="Q89" s="152"/>
      <c r="R89" s="100"/>
      <c r="S89" s="100"/>
      <c r="T89" s="100"/>
      <c r="U89" s="100"/>
      <c r="V89" s="100"/>
      <c r="W89" s="100"/>
      <c r="X89" s="100"/>
      <c r="Y89" s="100"/>
      <c r="Z89" s="100"/>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0"/>
      <c r="BK89" s="220"/>
    </row>
    <row r="90" spans="1:63" outlineLevel="1">
      <c r="A90" s="9"/>
      <c r="B90" s="46"/>
      <c r="C90" s="129">
        <f>Asset15</f>
        <v>0</v>
      </c>
      <c r="D90" s="9"/>
      <c r="E90" s="9"/>
      <c r="F90" s="141"/>
      <c r="G90" s="583">
        <f t="shared" si="0"/>
        <v>0</v>
      </c>
      <c r="H90" s="117"/>
      <c r="I90" s="117"/>
      <c r="J90" s="117"/>
      <c r="K90" s="117"/>
      <c r="L90" s="117"/>
      <c r="M90" s="151"/>
      <c r="N90" s="152"/>
      <c r="O90" s="152"/>
      <c r="P90" s="152"/>
      <c r="Q90" s="152"/>
      <c r="R90" s="100"/>
      <c r="S90" s="100"/>
      <c r="T90" s="100"/>
      <c r="U90" s="100"/>
      <c r="V90" s="100"/>
      <c r="W90" s="100"/>
      <c r="X90" s="100"/>
      <c r="Y90" s="100"/>
      <c r="Z90" s="100"/>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0"/>
      <c r="BK90" s="220"/>
    </row>
    <row r="91" spans="1:63" outlineLevel="1">
      <c r="A91" s="9"/>
      <c r="B91" s="46"/>
      <c r="C91" s="129">
        <f>Asset16</f>
        <v>0</v>
      </c>
      <c r="D91" s="9"/>
      <c r="E91" s="9"/>
      <c r="F91" s="141"/>
      <c r="G91" s="583">
        <f t="shared" si="0"/>
        <v>0</v>
      </c>
      <c r="H91" s="117"/>
      <c r="I91" s="117"/>
      <c r="J91" s="117"/>
      <c r="K91" s="117"/>
      <c r="L91" s="117"/>
      <c r="M91" s="151"/>
      <c r="N91" s="152"/>
      <c r="O91" s="152"/>
      <c r="P91" s="152"/>
      <c r="Q91" s="152"/>
      <c r="R91" s="100"/>
      <c r="S91" s="100"/>
      <c r="T91" s="100"/>
      <c r="U91" s="100"/>
      <c r="V91" s="100"/>
      <c r="W91" s="100"/>
      <c r="X91" s="100"/>
      <c r="Y91" s="100"/>
      <c r="Z91" s="100"/>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0"/>
      <c r="BK91" s="220"/>
    </row>
    <row r="92" spans="1:63" outlineLevel="1">
      <c r="A92" s="9"/>
      <c r="B92" s="46"/>
      <c r="C92" s="129">
        <f>Asset17</f>
        <v>0</v>
      </c>
      <c r="D92" s="9"/>
      <c r="E92" s="9"/>
      <c r="F92" s="141"/>
      <c r="G92" s="583">
        <f t="shared" si="0"/>
        <v>0</v>
      </c>
      <c r="H92" s="117"/>
      <c r="I92" s="117"/>
      <c r="J92" s="117"/>
      <c r="K92" s="117"/>
      <c r="L92" s="117"/>
      <c r="M92" s="151"/>
      <c r="N92" s="152"/>
      <c r="O92" s="152"/>
      <c r="P92" s="152"/>
      <c r="Q92" s="152"/>
      <c r="R92" s="100"/>
      <c r="S92" s="100"/>
      <c r="T92" s="100"/>
      <c r="U92" s="100"/>
      <c r="V92" s="100"/>
      <c r="W92" s="100"/>
      <c r="X92" s="100"/>
      <c r="Y92" s="100"/>
      <c r="Z92" s="100"/>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0"/>
      <c r="BK92" s="220"/>
    </row>
    <row r="93" spans="1:63" outlineLevel="1">
      <c r="A93" s="9"/>
      <c r="B93" s="46"/>
      <c r="C93" s="129">
        <f>Asset18</f>
        <v>0</v>
      </c>
      <c r="D93" s="9"/>
      <c r="E93" s="9"/>
      <c r="F93" s="141"/>
      <c r="G93" s="583">
        <f t="shared" si="0"/>
        <v>0</v>
      </c>
      <c r="H93" s="117"/>
      <c r="I93" s="117"/>
      <c r="J93" s="117"/>
      <c r="K93" s="117"/>
      <c r="L93" s="117"/>
      <c r="M93" s="151"/>
      <c r="N93" s="152"/>
      <c r="O93" s="152"/>
      <c r="P93" s="152"/>
      <c r="Q93" s="152"/>
      <c r="R93" s="100"/>
      <c r="S93" s="100"/>
      <c r="T93" s="100"/>
      <c r="U93" s="100"/>
      <c r="V93" s="100"/>
      <c r="W93" s="100"/>
      <c r="X93" s="100"/>
      <c r="Y93" s="100"/>
      <c r="Z93" s="100"/>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0"/>
      <c r="BK93" s="220"/>
    </row>
    <row r="94" spans="1:63" outlineLevel="1">
      <c r="A94" s="9"/>
      <c r="B94" s="46"/>
      <c r="C94" s="129">
        <f>Asset19</f>
        <v>0</v>
      </c>
      <c r="D94" s="9"/>
      <c r="E94" s="9"/>
      <c r="F94" s="141"/>
      <c r="G94" s="583">
        <f t="shared" si="0"/>
        <v>0</v>
      </c>
      <c r="H94" s="117"/>
      <c r="I94" s="117"/>
      <c r="J94" s="117"/>
      <c r="K94" s="117"/>
      <c r="L94" s="117"/>
      <c r="M94" s="151"/>
      <c r="N94" s="152"/>
      <c r="O94" s="152"/>
      <c r="P94" s="152"/>
      <c r="Q94" s="152"/>
      <c r="R94" s="100"/>
      <c r="S94" s="100"/>
      <c r="T94" s="100"/>
      <c r="U94" s="100"/>
      <c r="V94" s="100"/>
      <c r="W94" s="100"/>
      <c r="X94" s="100"/>
      <c r="Y94" s="100"/>
      <c r="Z94" s="100"/>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0"/>
      <c r="BK94" s="220"/>
    </row>
    <row r="95" spans="1:63" outlineLevel="1">
      <c r="A95" s="9"/>
      <c r="B95" s="46"/>
      <c r="C95" s="129">
        <f>Asset20</f>
        <v>0</v>
      </c>
      <c r="D95" s="9"/>
      <c r="E95" s="9"/>
      <c r="F95" s="141"/>
      <c r="G95" s="583">
        <f t="shared" si="0"/>
        <v>0</v>
      </c>
      <c r="H95" s="117"/>
      <c r="I95" s="117"/>
      <c r="J95" s="117"/>
      <c r="K95" s="117"/>
      <c r="L95" s="117"/>
      <c r="M95" s="151"/>
      <c r="N95" s="152"/>
      <c r="O95" s="152"/>
      <c r="P95" s="152"/>
      <c r="Q95" s="152"/>
      <c r="R95" s="100"/>
      <c r="S95" s="100"/>
      <c r="T95" s="100"/>
      <c r="U95" s="100"/>
      <c r="V95" s="100"/>
      <c r="W95" s="100"/>
      <c r="X95" s="100"/>
      <c r="Y95" s="100"/>
      <c r="Z95" s="100"/>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0"/>
      <c r="BK95" s="220"/>
    </row>
    <row r="96" spans="1:63" outlineLevel="1">
      <c r="A96" s="9"/>
      <c r="B96" s="46"/>
      <c r="C96" s="129">
        <f>Asset21</f>
        <v>0</v>
      </c>
      <c r="D96" s="9"/>
      <c r="E96" s="9"/>
      <c r="F96" s="141"/>
      <c r="G96" s="583">
        <f t="shared" si="0"/>
        <v>0</v>
      </c>
      <c r="H96" s="117"/>
      <c r="I96" s="117"/>
      <c r="J96" s="117"/>
      <c r="K96" s="117"/>
      <c r="L96" s="117"/>
      <c r="M96" s="151"/>
      <c r="N96" s="152"/>
      <c r="O96" s="152"/>
      <c r="P96" s="152"/>
      <c r="Q96" s="152"/>
      <c r="R96" s="100"/>
      <c r="S96" s="100"/>
      <c r="T96" s="100"/>
      <c r="U96" s="100"/>
      <c r="V96" s="100"/>
      <c r="W96" s="100"/>
      <c r="X96" s="100"/>
      <c r="Y96" s="100"/>
      <c r="Z96" s="100"/>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0"/>
      <c r="BK96" s="220"/>
    </row>
    <row r="97" spans="1:63" outlineLevel="1">
      <c r="A97" s="9"/>
      <c r="B97" s="46"/>
      <c r="C97" s="129">
        <f>Asset22</f>
        <v>0</v>
      </c>
      <c r="D97" s="9"/>
      <c r="E97" s="9"/>
      <c r="F97" s="141"/>
      <c r="G97" s="583">
        <f t="shared" si="0"/>
        <v>0</v>
      </c>
      <c r="H97" s="117"/>
      <c r="I97" s="117"/>
      <c r="J97" s="117"/>
      <c r="K97" s="117"/>
      <c r="L97" s="117"/>
      <c r="M97" s="151"/>
      <c r="N97" s="152"/>
      <c r="O97" s="152"/>
      <c r="P97" s="152"/>
      <c r="Q97" s="152"/>
      <c r="R97" s="100"/>
      <c r="S97" s="100"/>
      <c r="T97" s="100"/>
      <c r="U97" s="100"/>
      <c r="V97" s="100"/>
      <c r="W97" s="100"/>
      <c r="X97" s="100"/>
      <c r="Y97" s="100"/>
      <c r="Z97" s="100"/>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0"/>
      <c r="BK97" s="220"/>
    </row>
    <row r="98" spans="1:63" outlineLevel="1">
      <c r="A98" s="9"/>
      <c r="B98" s="46"/>
      <c r="C98" s="129">
        <f>Asset23</f>
        <v>0</v>
      </c>
      <c r="D98" s="9"/>
      <c r="E98" s="9"/>
      <c r="F98" s="141"/>
      <c r="G98" s="583">
        <f t="shared" si="0"/>
        <v>0</v>
      </c>
      <c r="H98" s="117"/>
      <c r="I98" s="117"/>
      <c r="J98" s="117"/>
      <c r="K98" s="117"/>
      <c r="L98" s="117"/>
      <c r="M98" s="151"/>
      <c r="N98" s="152"/>
      <c r="O98" s="152"/>
      <c r="P98" s="152"/>
      <c r="Q98" s="152"/>
      <c r="R98" s="100"/>
      <c r="S98" s="100"/>
      <c r="T98" s="100"/>
      <c r="U98" s="100"/>
      <c r="V98" s="100"/>
      <c r="W98" s="100"/>
      <c r="X98" s="100"/>
      <c r="Y98" s="100"/>
      <c r="Z98" s="100"/>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0"/>
      <c r="BK98" s="220"/>
    </row>
    <row r="99" spans="1:63" outlineLevel="1">
      <c r="A99" s="9"/>
      <c r="B99" s="46"/>
      <c r="C99" s="129">
        <f>Asset24</f>
        <v>0</v>
      </c>
      <c r="D99" s="9"/>
      <c r="E99" s="9"/>
      <c r="F99" s="141"/>
      <c r="G99" s="583">
        <f t="shared" si="0"/>
        <v>0</v>
      </c>
      <c r="H99" s="117"/>
      <c r="I99" s="117"/>
      <c r="J99" s="117"/>
      <c r="K99" s="117"/>
      <c r="L99" s="117"/>
      <c r="M99" s="151"/>
      <c r="N99" s="152"/>
      <c r="O99" s="152"/>
      <c r="P99" s="152"/>
      <c r="Q99" s="152"/>
      <c r="R99" s="100"/>
      <c r="S99" s="100"/>
      <c r="T99" s="100"/>
      <c r="U99" s="100"/>
      <c r="V99" s="100"/>
      <c r="W99" s="100"/>
      <c r="X99" s="100"/>
      <c r="Y99" s="100"/>
      <c r="Z99" s="100"/>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0"/>
      <c r="BK99" s="220"/>
    </row>
    <row r="100" spans="1:63" outlineLevel="1">
      <c r="A100" s="9"/>
      <c r="B100" s="46"/>
      <c r="C100" s="129">
        <f>Asset25</f>
        <v>0</v>
      </c>
      <c r="D100" s="9"/>
      <c r="E100" s="9"/>
      <c r="F100" s="141"/>
      <c r="G100" s="583">
        <f t="shared" si="0"/>
        <v>0</v>
      </c>
      <c r="H100" s="117"/>
      <c r="I100" s="117"/>
      <c r="J100" s="117"/>
      <c r="K100" s="117"/>
      <c r="L100" s="117"/>
      <c r="M100" s="151"/>
      <c r="N100" s="152"/>
      <c r="O100" s="152"/>
      <c r="P100" s="152"/>
      <c r="Q100" s="152"/>
      <c r="R100" s="100"/>
      <c r="S100" s="100"/>
      <c r="T100" s="100"/>
      <c r="U100" s="100"/>
      <c r="V100" s="100"/>
      <c r="W100" s="100"/>
      <c r="X100" s="100"/>
      <c r="Y100" s="100"/>
      <c r="Z100" s="100"/>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0"/>
      <c r="BK100" s="220"/>
    </row>
    <row r="101" spans="1:63" outlineLevel="1">
      <c r="A101" s="9"/>
      <c r="B101" s="46"/>
      <c r="C101" s="129">
        <f>Asset26</f>
        <v>0</v>
      </c>
      <c r="D101" s="9"/>
      <c r="E101" s="9"/>
      <c r="F101" s="141"/>
      <c r="G101" s="583">
        <f t="shared" si="0"/>
        <v>0</v>
      </c>
      <c r="H101" s="117"/>
      <c r="I101" s="117"/>
      <c r="J101" s="117"/>
      <c r="K101" s="117"/>
      <c r="L101" s="117"/>
      <c r="M101" s="151"/>
      <c r="N101" s="152"/>
      <c r="O101" s="152"/>
      <c r="P101" s="152"/>
      <c r="Q101" s="152"/>
      <c r="R101" s="100"/>
      <c r="S101" s="100"/>
      <c r="T101" s="100"/>
      <c r="U101" s="100"/>
      <c r="V101" s="100"/>
      <c r="W101" s="100"/>
      <c r="X101" s="100"/>
      <c r="Y101" s="100"/>
      <c r="Z101" s="100"/>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0"/>
      <c r="BK101" s="220"/>
    </row>
    <row r="102" spans="1:63" outlineLevel="1">
      <c r="A102" s="9"/>
      <c r="B102" s="46"/>
      <c r="C102" s="129">
        <f>Asset27</f>
        <v>0</v>
      </c>
      <c r="D102" s="9"/>
      <c r="E102" s="9"/>
      <c r="F102" s="141"/>
      <c r="G102" s="583">
        <f t="shared" si="0"/>
        <v>0</v>
      </c>
      <c r="H102" s="117"/>
      <c r="I102" s="117"/>
      <c r="J102" s="117"/>
      <c r="K102" s="117"/>
      <c r="L102" s="117"/>
      <c r="M102" s="151"/>
      <c r="N102" s="152"/>
      <c r="O102" s="152"/>
      <c r="P102" s="152"/>
      <c r="Q102" s="152"/>
      <c r="R102" s="100"/>
      <c r="S102" s="100"/>
      <c r="T102" s="100"/>
      <c r="U102" s="100"/>
      <c r="V102" s="100"/>
      <c r="W102" s="100"/>
      <c r="X102" s="100"/>
      <c r="Y102" s="100"/>
      <c r="Z102" s="100"/>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0"/>
      <c r="BK102" s="220"/>
    </row>
    <row r="103" spans="1:63" outlineLevel="1">
      <c r="A103" s="9"/>
      <c r="B103" s="46"/>
      <c r="C103" s="129">
        <f>Asset28</f>
        <v>0</v>
      </c>
      <c r="D103" s="9"/>
      <c r="E103" s="9"/>
      <c r="F103" s="141"/>
      <c r="G103" s="583">
        <f t="shared" si="0"/>
        <v>0</v>
      </c>
      <c r="H103" s="117"/>
      <c r="I103" s="117"/>
      <c r="J103" s="117"/>
      <c r="K103" s="117"/>
      <c r="L103" s="117"/>
      <c r="M103" s="151"/>
      <c r="N103" s="152"/>
      <c r="O103" s="152"/>
      <c r="P103" s="152"/>
      <c r="Q103" s="152"/>
      <c r="R103" s="100"/>
      <c r="S103" s="100"/>
      <c r="T103" s="100"/>
      <c r="U103" s="100"/>
      <c r="V103" s="100"/>
      <c r="W103" s="100"/>
      <c r="X103" s="100"/>
      <c r="Y103" s="100"/>
      <c r="Z103" s="100"/>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0"/>
      <c r="BK103" s="220"/>
    </row>
    <row r="104" spans="1:63" outlineLevel="1">
      <c r="A104" s="9"/>
      <c r="B104" s="46"/>
      <c r="C104" s="129">
        <f>Asset29</f>
        <v>0</v>
      </c>
      <c r="D104" s="9"/>
      <c r="E104" s="9"/>
      <c r="F104" s="141"/>
      <c r="G104" s="583">
        <f t="shared" si="0"/>
        <v>0</v>
      </c>
      <c r="H104" s="117"/>
      <c r="I104" s="117"/>
      <c r="J104" s="117"/>
      <c r="K104" s="117"/>
      <c r="L104" s="117"/>
      <c r="M104" s="151"/>
      <c r="N104" s="152"/>
      <c r="O104" s="152"/>
      <c r="P104" s="152"/>
      <c r="Q104" s="152"/>
      <c r="R104" s="100"/>
      <c r="S104" s="100"/>
      <c r="T104" s="100"/>
      <c r="U104" s="100"/>
      <c r="V104" s="100"/>
      <c r="W104" s="100"/>
      <c r="X104" s="100"/>
      <c r="Y104" s="100"/>
      <c r="Z104" s="100"/>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0"/>
      <c r="BK104" s="220"/>
    </row>
    <row r="105" spans="1:63" outlineLevel="1">
      <c r="A105" s="9"/>
      <c r="B105" s="46"/>
      <c r="C105" s="129">
        <f>Asset30</f>
        <v>0</v>
      </c>
      <c r="D105" s="9"/>
      <c r="E105" s="9"/>
      <c r="F105" s="141"/>
      <c r="G105" s="583">
        <f t="shared" si="0"/>
        <v>0</v>
      </c>
      <c r="H105" s="117"/>
      <c r="I105" s="117"/>
      <c r="J105" s="117"/>
      <c r="K105" s="117"/>
      <c r="L105" s="117"/>
      <c r="M105" s="151"/>
      <c r="N105" s="152"/>
      <c r="O105" s="152"/>
      <c r="P105" s="152"/>
      <c r="Q105" s="152"/>
      <c r="R105" s="100"/>
      <c r="S105" s="100"/>
      <c r="T105" s="100"/>
      <c r="U105" s="100"/>
      <c r="V105" s="100"/>
      <c r="W105" s="100"/>
      <c r="X105" s="100"/>
      <c r="Y105" s="100"/>
      <c r="Z105" s="100"/>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0"/>
      <c r="BK105" s="220"/>
    </row>
    <row r="106" spans="1:63">
      <c r="A106" s="9"/>
      <c r="B106" s="46"/>
      <c r="C106" s="129"/>
      <c r="D106" s="9"/>
      <c r="E106" s="9"/>
      <c r="F106" s="141"/>
      <c r="G106" s="193"/>
      <c r="H106" s="117"/>
      <c r="I106" s="117"/>
      <c r="J106" s="117"/>
      <c r="K106" s="117"/>
      <c r="L106" s="117"/>
      <c r="M106" s="151"/>
      <c r="N106" s="152"/>
      <c r="O106" s="152"/>
      <c r="P106" s="152"/>
      <c r="Q106" s="152"/>
      <c r="R106" s="100"/>
      <c r="S106" s="100"/>
      <c r="T106" s="100"/>
      <c r="U106" s="100"/>
      <c r="V106" s="100"/>
      <c r="W106" s="100"/>
      <c r="X106" s="100"/>
      <c r="Y106" s="100"/>
      <c r="Z106" s="100"/>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0"/>
      <c r="BK106" s="220"/>
    </row>
    <row r="107" spans="1:63">
      <c r="A107" s="9"/>
      <c r="B107" s="46" t="s">
        <v>59</v>
      </c>
      <c r="C107" s="9"/>
      <c r="D107" s="9"/>
      <c r="E107" s="9"/>
      <c r="F107" s="141"/>
      <c r="G107" s="194"/>
      <c r="H107" s="37">
        <f>SUM(H108,H110,H112,H114,H116,H118,H120,H122,H124,H126,H128,H130,H132,H134,H136,H138,H140,H142,H144,H146,H148,H150,H152,H154,H156,H158,H160,H162,H164,H166)</f>
        <v>0.39399702178635965</v>
      </c>
      <c r="I107" s="37">
        <f>SUM(I108,I110,I112,I114,I116,I118,I120,I122,I124,I126,I128,I130,I132,I134,I136,I138,I140,I142,I144,I146,I148,I150,I152,I154,I156,I158,I160,I162,I164,I166)</f>
        <v>0.43115153823592611</v>
      </c>
      <c r="J107" s="37">
        <f>SUM(J108,J110,J112,J114,J116,J118,J120,J122,J124,J126,J128,J130,J132,J134,J136,J138,J140,J142,J144,J146,J148,J150,J152,J154,J156,J158,J160,J162,J164,J166)</f>
        <v>0.47155600847698498</v>
      </c>
      <c r="K107" s="37">
        <f>SUM(K108,K110,K112,K114,K116,K118,K120,K122,K124,K126,K128,K130,K132,K134,K136,K138,K140,K142,K144,K146,K148,K150,K152,K154,K156,K158,K160,K162,K164,K166)</f>
        <v>0.44622245765809876</v>
      </c>
      <c r="L107" s="37">
        <f>SUM(L108,L110,L112,L114,L116,L118,L120,L122,L124,L126,L128,L130,L132,L134,L136,L138,L140,L142,L144,L146,L148,L150,L152,L154,L156,L158,L160,L162,L164,L166)</f>
        <v>0.45828372447629839</v>
      </c>
      <c r="M107" s="37">
        <f t="shared" ref="M107:Q107" si="1">SUM(M108,M110,M112,M114,M116,M118,M120,M122,M124,M126,M128,M130,M132,M134,M136,M138,M140,M142,M144,M146,M148,M150,M152,M154,M156,M158,M160,M162,M164,M166)</f>
        <v>0</v>
      </c>
      <c r="N107" s="37">
        <f t="shared" si="1"/>
        <v>0</v>
      </c>
      <c r="O107" s="37">
        <f t="shared" si="1"/>
        <v>0</v>
      </c>
      <c r="P107" s="37">
        <f t="shared" si="1"/>
        <v>0</v>
      </c>
      <c r="Q107" s="37">
        <f t="shared" si="1"/>
        <v>0</v>
      </c>
      <c r="R107" s="100"/>
      <c r="S107" s="100"/>
      <c r="T107" s="100"/>
      <c r="U107" s="100"/>
      <c r="V107" s="100"/>
      <c r="W107" s="100"/>
      <c r="X107" s="100"/>
      <c r="Y107" s="100"/>
      <c r="Z107" s="100"/>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0"/>
      <c r="BK107" s="220"/>
    </row>
    <row r="108" spans="1:63" outlineLevel="1">
      <c r="A108" s="9"/>
      <c r="B108" s="46"/>
      <c r="C108" s="129" t="str">
        <f>Asset1</f>
        <v>Mains &amp; Services</v>
      </c>
      <c r="D108" s="9"/>
      <c r="E108" s="9"/>
      <c r="F108" s="141"/>
      <c r="G108" s="193"/>
      <c r="H108" s="585">
        <f>($G76+(SUM($G108:G108)))*H$7</f>
        <v>-0.45533324667301628</v>
      </c>
      <c r="I108" s="585">
        <f>($G76+(SUM($G108:H108)))*I$7</f>
        <v>-0.49827186211443081</v>
      </c>
      <c r="J108" s="585">
        <f>($G76+(SUM($G108:I108)))*J$7</f>
        <v>-0.54496637399564074</v>
      </c>
      <c r="K108" s="585">
        <f>($G76+(SUM($G108:J108)))*K$7</f>
        <v>-0.51568897516704237</v>
      </c>
      <c r="L108" s="585">
        <f>($G76+(SUM($G108:K108)))*L$7</f>
        <v>-0.52962790230517243</v>
      </c>
      <c r="M108" s="111"/>
      <c r="N108" s="111"/>
      <c r="O108" s="111"/>
      <c r="P108" s="111"/>
      <c r="Q108" s="111"/>
      <c r="R108" s="100"/>
      <c r="S108" s="100"/>
      <c r="T108" s="100"/>
      <c r="U108" s="100"/>
      <c r="V108" s="100"/>
      <c r="W108" s="100"/>
      <c r="X108" s="100"/>
      <c r="Y108" s="100"/>
      <c r="Z108" s="100"/>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0"/>
      <c r="BK108" s="220"/>
    </row>
    <row r="109" spans="1:63" outlineLevel="1">
      <c r="A109" s="9"/>
      <c r="B109" s="46"/>
      <c r="C109" s="154" t="s">
        <v>29</v>
      </c>
      <c r="D109" s="9"/>
      <c r="E109" s="9"/>
      <c r="F109" s="141"/>
      <c r="G109" s="193"/>
      <c r="H109" s="111"/>
      <c r="I109" s="111"/>
      <c r="J109" s="111"/>
      <c r="K109" s="111"/>
      <c r="L109" s="111">
        <f>IF(M108=0, SUM($G108:L108), 0)</f>
        <v>-2.5438883602553028</v>
      </c>
      <c r="M109" s="111">
        <f>IF(N108=0, IF(M108=0, 0, SUM($G108:M108)), 0)</f>
        <v>0</v>
      </c>
      <c r="N109" s="111">
        <f>IF(O108=0, IF(N108=0, 0, SUM($G108:N108)), 0)</f>
        <v>0</v>
      </c>
      <c r="O109" s="111">
        <f>IF(P108=0, IF(O108=0, 0, SUM($G108:O108)), 0)</f>
        <v>0</v>
      </c>
      <c r="P109" s="111">
        <f>IF(Q108=0, IF(P108=0, 0, SUM($G108:P108)), 0)</f>
        <v>0</v>
      </c>
      <c r="Q109" s="111">
        <f>IF(R108=0, IF(Q108=0, 0, SUM($G108:Q108)), 0)</f>
        <v>0</v>
      </c>
      <c r="R109" s="100"/>
      <c r="S109" s="100"/>
      <c r="T109" s="100"/>
      <c r="U109" s="100"/>
      <c r="V109" s="100"/>
      <c r="W109" s="100"/>
      <c r="X109" s="100"/>
      <c r="Y109" s="100"/>
      <c r="Z109" s="100"/>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0"/>
      <c r="BK109" s="220"/>
    </row>
    <row r="110" spans="1:63" outlineLevel="1">
      <c r="A110" s="9"/>
      <c r="B110" s="46"/>
      <c r="C110" s="129" t="str">
        <f>Asset2</f>
        <v>Meters</v>
      </c>
      <c r="D110" s="9"/>
      <c r="E110" s="9"/>
      <c r="F110" s="141"/>
      <c r="G110" s="193"/>
      <c r="H110" s="585">
        <f>($G77+(SUM($G110:G110)))*H$7</f>
        <v>-5.7772882694447067E-2</v>
      </c>
      <c r="I110" s="585">
        <f>($G77+(SUM($G110:H110)))*I$7</f>
        <v>-6.3220953115582471E-2</v>
      </c>
      <c r="J110" s="585">
        <f>($G77+(SUM($G110:I110)))*J$7</f>
        <v>-6.9145573329675608E-2</v>
      </c>
      <c r="K110" s="585">
        <f>($G77+(SUM($G110:J110)))*K$7</f>
        <v>-6.5430844083608025E-2</v>
      </c>
      <c r="L110" s="585">
        <f>($G77+(SUM($G110:K110)))*L$7</f>
        <v>-6.7199421292326394E-2</v>
      </c>
      <c r="M110" s="111"/>
      <c r="N110" s="111"/>
      <c r="O110" s="111"/>
      <c r="P110" s="111"/>
      <c r="Q110" s="111"/>
      <c r="R110" s="100"/>
      <c r="S110" s="100"/>
      <c r="T110" s="100"/>
      <c r="U110" s="100"/>
      <c r="V110" s="100"/>
      <c r="W110" s="100"/>
      <c r="X110" s="100"/>
      <c r="Y110" s="100"/>
      <c r="Z110" s="100"/>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0"/>
      <c r="BK110" s="220"/>
    </row>
    <row r="111" spans="1:63" outlineLevel="1">
      <c r="A111" s="9"/>
      <c r="B111" s="46"/>
      <c r="C111" s="154" t="s">
        <v>29</v>
      </c>
      <c r="D111" s="9"/>
      <c r="E111" s="9"/>
      <c r="F111" s="141"/>
      <c r="G111" s="193"/>
      <c r="H111" s="111"/>
      <c r="I111" s="111"/>
      <c r="J111" s="111"/>
      <c r="K111" s="111"/>
      <c r="L111" s="111">
        <f>IF(M110=0, SUM($G110:L110), 0)</f>
        <v>-0.32276967451563954</v>
      </c>
      <c r="M111" s="111">
        <f>IF(N110=0, IF(M110=0, 0, SUM($G110:M110)), 0)</f>
        <v>0</v>
      </c>
      <c r="N111" s="111">
        <f>IF(O110=0, IF(N110=0, 0, SUM($G110:N110)), 0)</f>
        <v>0</v>
      </c>
      <c r="O111" s="111">
        <f>IF(P110=0, IF(O110=0, 0, SUM($G110:O110)), 0)</f>
        <v>0</v>
      </c>
      <c r="P111" s="111">
        <f>IF(Q110=0, IF(P110=0, 0, SUM($G110:P110)), 0)</f>
        <v>0</v>
      </c>
      <c r="Q111" s="111">
        <f>IF(R110=0, IF(Q110=0, 0, SUM($G110:Q110)), 0)</f>
        <v>0</v>
      </c>
      <c r="R111" s="100"/>
      <c r="S111" s="100"/>
      <c r="T111" s="100"/>
      <c r="U111" s="100"/>
      <c r="V111" s="100"/>
      <c r="W111" s="100"/>
      <c r="X111" s="100"/>
      <c r="Y111" s="100"/>
      <c r="Z111" s="100"/>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0"/>
      <c r="BK111" s="220"/>
    </row>
    <row r="112" spans="1:63" outlineLevel="1">
      <c r="A112" s="9"/>
      <c r="B112" s="46"/>
      <c r="C112" s="129" t="str">
        <f>Asset3</f>
        <v>Buildings</v>
      </c>
      <c r="D112" s="9"/>
      <c r="E112" s="9"/>
      <c r="F112" s="141"/>
      <c r="G112" s="193"/>
      <c r="H112" s="585">
        <f>($G78+(SUM($G112:G112)))*H$7</f>
        <v>0</v>
      </c>
      <c r="I112" s="585">
        <f>($G78+(SUM($G112:H112)))*I$7</f>
        <v>0</v>
      </c>
      <c r="J112" s="585">
        <f>($G78+(SUM($G112:I112)))*J$7</f>
        <v>0</v>
      </c>
      <c r="K112" s="585">
        <f>($G78+(SUM($G112:J112)))*K$7</f>
        <v>0</v>
      </c>
      <c r="L112" s="585">
        <f>($G78+(SUM($G112:K112)))*L$7</f>
        <v>0</v>
      </c>
      <c r="M112" s="585"/>
      <c r="N112" s="585"/>
      <c r="O112" s="585"/>
      <c r="P112" s="585"/>
      <c r="Q112" s="585"/>
      <c r="R112" s="100"/>
      <c r="S112" s="100"/>
      <c r="T112" s="100"/>
      <c r="U112" s="100"/>
      <c r="V112" s="100"/>
      <c r="W112" s="100"/>
      <c r="X112" s="100"/>
      <c r="Y112" s="100"/>
      <c r="Z112" s="100"/>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0"/>
      <c r="BK112" s="220"/>
    </row>
    <row r="113" spans="1:63" outlineLevel="1">
      <c r="A113" s="9"/>
      <c r="B113" s="46"/>
      <c r="C113" s="154" t="s">
        <v>29</v>
      </c>
      <c r="D113" s="9"/>
      <c r="E113" s="9"/>
      <c r="F113" s="141"/>
      <c r="G113" s="193"/>
      <c r="H113" s="111"/>
      <c r="I113" s="111"/>
      <c r="J113" s="111"/>
      <c r="K113" s="111"/>
      <c r="L113" s="111">
        <f>IF(M112=0, SUM($G112:L112), 0)</f>
        <v>0</v>
      </c>
      <c r="M113" s="111">
        <f>IF(N112=0, IF(M112=0, 0, SUM($G112:M112)), 0)</f>
        <v>0</v>
      </c>
      <c r="N113" s="111">
        <f>IF(O112=0, IF(N112=0, 0, SUM($G112:N112)), 0)</f>
        <v>0</v>
      </c>
      <c r="O113" s="111">
        <f>IF(P112=0, IF(O112=0, 0, SUM($G112:O112)), 0)</f>
        <v>0</v>
      </c>
      <c r="P113" s="111">
        <f>IF(Q112=0, IF(P112=0, 0, SUM($G112:P112)), 0)</f>
        <v>0</v>
      </c>
      <c r="Q113" s="111">
        <f>IF(R112=0, IF(Q112=0, 0, SUM($G112:Q112)), 0)</f>
        <v>0</v>
      </c>
      <c r="R113" s="100"/>
      <c r="S113" s="100"/>
      <c r="T113" s="100"/>
      <c r="U113" s="100"/>
      <c r="V113" s="100"/>
      <c r="W113" s="100"/>
      <c r="X113" s="100"/>
      <c r="Y113" s="100"/>
      <c r="Z113" s="100"/>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0"/>
      <c r="BK113" s="220"/>
    </row>
    <row r="114" spans="1:63" outlineLevel="1">
      <c r="A114" s="9"/>
      <c r="B114" s="46"/>
      <c r="C114" s="129" t="str">
        <f>Asset4</f>
        <v>SCADA</v>
      </c>
      <c r="D114" s="9"/>
      <c r="E114" s="9"/>
      <c r="F114" s="141"/>
      <c r="G114" s="193"/>
      <c r="H114" s="585">
        <f>($G79+(SUM($G114:G114)))*H$7</f>
        <v>-1.4012174060815846E-2</v>
      </c>
      <c r="I114" s="585">
        <f>($G79+(SUM($G114:H114)))*I$7</f>
        <v>-1.5333543317051159E-2</v>
      </c>
      <c r="J114" s="585">
        <f>($G79+(SUM($G114:I114)))*J$7</f>
        <v>-1.6770494457660948E-2</v>
      </c>
      <c r="K114" s="585">
        <f>($G79+(SUM($G114:J114)))*K$7</f>
        <v>-1.5869527942626634E-2</v>
      </c>
      <c r="L114" s="585">
        <f>($G79+(SUM($G114:K114)))*L$7</f>
        <v>-1.6298476794281144E-2</v>
      </c>
      <c r="M114" s="111"/>
      <c r="N114" s="111"/>
      <c r="O114" s="111"/>
      <c r="P114" s="111"/>
      <c r="Q114" s="111"/>
      <c r="R114" s="100"/>
      <c r="S114" s="100"/>
      <c r="T114" s="100"/>
      <c r="U114" s="100"/>
      <c r="V114" s="100"/>
      <c r="W114" s="100"/>
      <c r="X114" s="100"/>
      <c r="Y114" s="100"/>
      <c r="Z114" s="100"/>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0"/>
      <c r="BK114" s="220"/>
    </row>
    <row r="115" spans="1:63" outlineLevel="1">
      <c r="A115" s="9"/>
      <c r="B115" s="46"/>
      <c r="C115" s="154" t="s">
        <v>29</v>
      </c>
      <c r="D115" s="9"/>
      <c r="E115" s="9"/>
      <c r="F115" s="141"/>
      <c r="G115" s="193"/>
      <c r="H115" s="111"/>
      <c r="I115" s="111"/>
      <c r="J115" s="111"/>
      <c r="K115" s="111"/>
      <c r="L115" s="111">
        <f>IF(M114=0, SUM($G114:L114), 0)</f>
        <v>-7.8284216572435741E-2</v>
      </c>
      <c r="M115" s="111">
        <f>IF(N114=0, IF(M114=0, 0, SUM($G114:M114)), 0)</f>
        <v>0</v>
      </c>
      <c r="N115" s="111">
        <f>IF(O114=0, IF(N114=0, 0, SUM($G114:N114)), 0)</f>
        <v>0</v>
      </c>
      <c r="O115" s="111">
        <f>IF(P114=0, IF(O114=0, 0, SUM($G114:O114)), 0)</f>
        <v>0</v>
      </c>
      <c r="P115" s="111">
        <f>IF(Q114=0, IF(P114=0, 0, SUM($G114:P114)), 0)</f>
        <v>0</v>
      </c>
      <c r="Q115" s="111">
        <f>IF(R114=0, IF(Q114=0, 0, SUM($G114:Q114)), 0)</f>
        <v>0</v>
      </c>
      <c r="R115" s="100"/>
      <c r="S115" s="100"/>
      <c r="T115" s="100"/>
      <c r="U115" s="100"/>
      <c r="V115" s="100"/>
      <c r="W115" s="100"/>
      <c r="X115" s="100"/>
      <c r="Y115" s="100"/>
      <c r="Z115" s="100"/>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0"/>
      <c r="BK115" s="220"/>
    </row>
    <row r="116" spans="1:63" outlineLevel="1">
      <c r="A116" s="9"/>
      <c r="B116" s="46"/>
      <c r="C116" s="129" t="str">
        <f>Asset5</f>
        <v>Computer Equipment</v>
      </c>
      <c r="D116" s="9"/>
      <c r="E116" s="9"/>
      <c r="F116" s="141"/>
      <c r="G116" s="193"/>
      <c r="H116" s="585">
        <f>($G80+(SUM($G116:G116)))*H$7</f>
        <v>-2.5975755393930874E-2</v>
      </c>
      <c r="I116" s="585">
        <f>($G80+(SUM($G116:H116)))*I$7</f>
        <v>-2.8425308506535477E-2</v>
      </c>
      <c r="J116" s="585">
        <f>($G80+(SUM($G116:I116)))*J$7</f>
        <v>-3.1089127210150443E-2</v>
      </c>
      <c r="K116" s="585">
        <f>($G80+(SUM($G116:J116)))*K$7</f>
        <v>-2.9418916312749482E-2</v>
      </c>
      <c r="L116" s="585">
        <f>($G80+(SUM($G116:K116)))*L$7</f>
        <v>-3.0214101299656244E-2</v>
      </c>
      <c r="M116" s="111"/>
      <c r="N116" s="111"/>
      <c r="O116" s="111"/>
      <c r="P116" s="111"/>
      <c r="Q116" s="111"/>
      <c r="R116" s="100"/>
      <c r="S116" s="100"/>
      <c r="T116" s="100"/>
      <c r="U116" s="100"/>
      <c r="V116" s="100"/>
      <c r="W116" s="100"/>
      <c r="X116" s="100"/>
      <c r="Y116" s="100"/>
      <c r="Z116" s="100"/>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0"/>
      <c r="BK116" s="220"/>
    </row>
    <row r="117" spans="1:63" outlineLevel="1">
      <c r="A117" s="9"/>
      <c r="B117" s="46"/>
      <c r="C117" s="154" t="s">
        <v>29</v>
      </c>
      <c r="D117" s="9"/>
      <c r="E117" s="9"/>
      <c r="F117" s="141"/>
      <c r="G117" s="193"/>
      <c r="H117" s="111"/>
      <c r="I117" s="111"/>
      <c r="J117" s="111"/>
      <c r="K117" s="111"/>
      <c r="L117" s="111">
        <f>IF(M116=0, SUM($G116:L116), 0)</f>
        <v>-0.14512320872302253</v>
      </c>
      <c r="M117" s="111">
        <f>IF(N116=0, IF(M116=0, 0, SUM($G116:M116)), 0)</f>
        <v>0</v>
      </c>
      <c r="N117" s="111">
        <f>IF(O116=0, IF(N116=0, 0, SUM($G116:N116)), 0)</f>
        <v>0</v>
      </c>
      <c r="O117" s="111">
        <f>IF(P116=0, IF(O116=0, 0, SUM($G116:O116)), 0)</f>
        <v>0</v>
      </c>
      <c r="P117" s="111">
        <f>IF(Q116=0, IF(P116=0, 0, SUM($G116:P116)), 0)</f>
        <v>0</v>
      </c>
      <c r="Q117" s="111">
        <f>IF(R116=0, IF(Q116=0, 0, SUM($G116:Q116)), 0)</f>
        <v>0</v>
      </c>
      <c r="R117" s="100"/>
      <c r="S117" s="100"/>
      <c r="T117" s="100"/>
      <c r="U117" s="100"/>
      <c r="V117" s="100"/>
      <c r="W117" s="100"/>
      <c r="X117" s="100"/>
      <c r="Y117" s="100"/>
      <c r="Z117" s="100"/>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0"/>
      <c r="BK117" s="220"/>
    </row>
    <row r="118" spans="1:63" outlineLevel="1">
      <c r="A118" s="9"/>
      <c r="B118" s="46"/>
      <c r="C118" s="129" t="str">
        <f>Asset6</f>
        <v>Other Assets</v>
      </c>
      <c r="D118" s="9"/>
      <c r="E118" s="9"/>
      <c r="F118" s="141"/>
      <c r="G118" s="193"/>
      <c r="H118" s="585">
        <f>($G81+(SUM($G118:G118)))*H$7</f>
        <v>0.94709108060856972</v>
      </c>
      <c r="I118" s="585">
        <f>($G81+(SUM($G118:H118)))*I$7</f>
        <v>1.036403205289526</v>
      </c>
      <c r="J118" s="585">
        <f>($G81+(SUM($G118:I118)))*J$7</f>
        <v>1.1335275774701128</v>
      </c>
      <c r="K118" s="585">
        <f>($G81+(SUM($G118:J118)))*K$7</f>
        <v>1.0726307211641253</v>
      </c>
      <c r="L118" s="585">
        <f>($G81+(SUM($G118:K118)))*L$7</f>
        <v>1.1016236261677346</v>
      </c>
      <c r="M118" s="111"/>
      <c r="N118" s="111"/>
      <c r="O118" s="111"/>
      <c r="P118" s="111"/>
      <c r="Q118" s="111"/>
      <c r="R118" s="100"/>
      <c r="S118" s="100"/>
      <c r="T118" s="100"/>
      <c r="U118" s="100"/>
      <c r="V118" s="100"/>
      <c r="W118" s="100"/>
      <c r="X118" s="100"/>
      <c r="Y118" s="100"/>
      <c r="Z118" s="100"/>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0"/>
      <c r="BK118" s="220"/>
    </row>
    <row r="119" spans="1:63" outlineLevel="1">
      <c r="A119" s="9"/>
      <c r="B119" s="46"/>
      <c r="C119" s="154" t="s">
        <v>29</v>
      </c>
      <c r="D119" s="9"/>
      <c r="E119" s="9"/>
      <c r="F119" s="141"/>
      <c r="G119" s="193"/>
      <c r="H119" s="111"/>
      <c r="I119" s="111"/>
      <c r="J119" s="111"/>
      <c r="K119" s="111"/>
      <c r="L119" s="111">
        <f>IF(M118=0, SUM($G118:L118), 0)</f>
        <v>5.2912762107000679</v>
      </c>
      <c r="M119" s="111">
        <f>IF(N118=0, IF(M118=0, 0, SUM($G118:M118)), 0)</f>
        <v>0</v>
      </c>
      <c r="N119" s="111">
        <f>IF(O118=0, IF(N118=0, 0, SUM($G118:N118)), 0)</f>
        <v>0</v>
      </c>
      <c r="O119" s="111">
        <f>IF(P118=0, IF(O118=0, 0, SUM($G118:O118)), 0)</f>
        <v>0</v>
      </c>
      <c r="P119" s="111">
        <f>IF(Q118=0, IF(P118=0, 0, SUM($G118:P118)), 0)</f>
        <v>0</v>
      </c>
      <c r="Q119" s="111">
        <f>IF(R118=0, IF(Q118=0, 0, SUM($G118:Q118)), 0)</f>
        <v>0</v>
      </c>
      <c r="R119" s="100"/>
      <c r="S119" s="100"/>
      <c r="T119" s="100"/>
      <c r="U119" s="100"/>
      <c r="V119" s="100"/>
      <c r="W119" s="100"/>
      <c r="X119" s="100"/>
      <c r="Y119" s="100"/>
      <c r="Z119" s="100"/>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0"/>
      <c r="BK119" s="220"/>
    </row>
    <row r="120" spans="1:63" outlineLevel="1">
      <c r="A120" s="9"/>
      <c r="B120" s="46"/>
      <c r="C120" s="129" t="str">
        <f>Asset7</f>
        <v>Equity Raising Costs</v>
      </c>
      <c r="D120" s="9"/>
      <c r="E120" s="9"/>
      <c r="F120" s="141"/>
      <c r="G120" s="193"/>
      <c r="H120" s="111">
        <f>($G82+(SUM($G120:G120)))*H$7</f>
        <v>0</v>
      </c>
      <c r="I120" s="111">
        <f>($G82+(SUM($G120:H120)))*I$7</f>
        <v>0</v>
      </c>
      <c r="J120" s="111">
        <f>($G82+(SUM($G120:I120)))*J$7</f>
        <v>0</v>
      </c>
      <c r="K120" s="111">
        <f>($G82+(SUM($G120:J120)))*K$7</f>
        <v>0</v>
      </c>
      <c r="L120" s="111">
        <f>($G82+(SUM($G120:K120)))*L$7</f>
        <v>0</v>
      </c>
      <c r="M120" s="111">
        <f>($G82+(SUM($G120:L120)))*M$7</f>
        <v>0</v>
      </c>
      <c r="N120" s="111">
        <f>($G82+(SUM($G120:M120)))*N$7</f>
        <v>0</v>
      </c>
      <c r="O120" s="111">
        <f>($G82+(SUM($G120:N120)))*O$7</f>
        <v>0</v>
      </c>
      <c r="P120" s="111">
        <f>($G82+(SUM($G120:O120)))*P$7</f>
        <v>0</v>
      </c>
      <c r="Q120" s="111">
        <f>($G82+(SUM($G120:P120)))*Q$7</f>
        <v>0</v>
      </c>
      <c r="R120" s="100"/>
      <c r="S120" s="100"/>
      <c r="T120" s="100"/>
      <c r="U120" s="100"/>
      <c r="V120" s="100"/>
      <c r="W120" s="100"/>
      <c r="X120" s="100"/>
      <c r="Y120" s="100"/>
      <c r="Z120" s="100"/>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0"/>
      <c r="BK120" s="220"/>
    </row>
    <row r="121" spans="1:63" outlineLevel="1">
      <c r="A121" s="9"/>
      <c r="B121" s="46"/>
      <c r="C121" s="154" t="s">
        <v>29</v>
      </c>
      <c r="D121" s="9"/>
      <c r="E121" s="9"/>
      <c r="F121" s="141"/>
      <c r="G121" s="193"/>
      <c r="H121" s="111"/>
      <c r="I121" s="111"/>
      <c r="J121" s="111"/>
      <c r="K121" s="111"/>
      <c r="L121" s="111">
        <f>IF(M120=0, SUM($G120:L120), 0)</f>
        <v>0</v>
      </c>
      <c r="M121" s="111">
        <f>IF(N120=0, IF(M120=0, 0, SUM($G120:M120)), 0)</f>
        <v>0</v>
      </c>
      <c r="N121" s="111">
        <f>IF(O120=0, IF(N120=0, 0, SUM($G120:N120)), 0)</f>
        <v>0</v>
      </c>
      <c r="O121" s="111">
        <f>IF(P120=0, IF(O120=0, 0, SUM($G120:O120)), 0)</f>
        <v>0</v>
      </c>
      <c r="P121" s="111">
        <f>IF(Q120=0, IF(P120=0, 0, SUM($G120:P120)), 0)</f>
        <v>0</v>
      </c>
      <c r="Q121" s="111">
        <f>IF(R120=0, IF(Q120=0, 0, SUM($G120:Q120)), 0)</f>
        <v>0</v>
      </c>
      <c r="R121" s="100"/>
      <c r="S121" s="100"/>
      <c r="T121" s="100"/>
      <c r="U121" s="100"/>
      <c r="V121" s="100"/>
      <c r="W121" s="100"/>
      <c r="X121" s="100"/>
      <c r="Y121" s="100"/>
      <c r="Z121" s="100"/>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0"/>
      <c r="BK121" s="220"/>
    </row>
    <row r="122" spans="1:63" outlineLevel="1">
      <c r="A122" s="9"/>
      <c r="B122" s="46"/>
      <c r="C122" s="129" t="str">
        <f>Asset8</f>
        <v>Land</v>
      </c>
      <c r="D122" s="9"/>
      <c r="E122" s="9"/>
      <c r="F122" s="141"/>
      <c r="G122" s="193"/>
      <c r="H122" s="111">
        <f>($G83+(SUM($G122:G122)))*H$7</f>
        <v>0</v>
      </c>
      <c r="I122" s="111">
        <f>($G83+(SUM($G122:H122)))*I$7</f>
        <v>0</v>
      </c>
      <c r="J122" s="111">
        <f>($G83+(SUM($G122:I122)))*J$7</f>
        <v>0</v>
      </c>
      <c r="K122" s="111">
        <f>($G83+(SUM($G122:J122)))*K$7</f>
        <v>0</v>
      </c>
      <c r="L122" s="111">
        <f>($G83+(SUM($G122:K122)))*L$7</f>
        <v>0</v>
      </c>
      <c r="M122" s="111">
        <f>($G83+(SUM($G122:L122)))*M$7</f>
        <v>0</v>
      </c>
      <c r="N122" s="111">
        <f>($G83+(SUM($G122:M122)))*N$7</f>
        <v>0</v>
      </c>
      <c r="O122" s="111">
        <f>($G83+(SUM($G122:N122)))*O$7</f>
        <v>0</v>
      </c>
      <c r="P122" s="111">
        <f>($G83+(SUM($G122:O122)))*P$7</f>
        <v>0</v>
      </c>
      <c r="Q122" s="111">
        <f>($G83+(SUM($G122:P122)))*Q$7</f>
        <v>0</v>
      </c>
      <c r="R122" s="100"/>
      <c r="S122" s="100"/>
      <c r="T122" s="100"/>
      <c r="U122" s="100"/>
      <c r="V122" s="100"/>
      <c r="W122" s="100"/>
      <c r="X122" s="100"/>
      <c r="Y122" s="100"/>
      <c r="Z122" s="100"/>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0"/>
      <c r="BK122" s="220"/>
    </row>
    <row r="123" spans="1:63" outlineLevel="1">
      <c r="A123" s="9"/>
      <c r="B123" s="46"/>
      <c r="C123" s="154" t="s">
        <v>29</v>
      </c>
      <c r="D123" s="9"/>
      <c r="E123" s="9"/>
      <c r="F123" s="141"/>
      <c r="G123" s="193"/>
      <c r="H123" s="111"/>
      <c r="I123" s="111"/>
      <c r="J123" s="111"/>
      <c r="K123" s="111"/>
      <c r="L123" s="111">
        <f>IF(M122=0, SUM($G122:L122), 0)</f>
        <v>0</v>
      </c>
      <c r="M123" s="111">
        <f>IF(N122=0, IF(M122=0, 0, SUM($G122:M122)), 0)</f>
        <v>0</v>
      </c>
      <c r="N123" s="111">
        <f>IF(O122=0, IF(N122=0, 0, SUM($G122:N122)), 0)</f>
        <v>0</v>
      </c>
      <c r="O123" s="111">
        <f>IF(P122=0, IF(O122=0, 0, SUM($G122:O122)), 0)</f>
        <v>0</v>
      </c>
      <c r="P123" s="111">
        <f>IF(Q122=0, IF(P122=0, 0, SUM($G122:P122)), 0)</f>
        <v>0</v>
      </c>
      <c r="Q123" s="111">
        <f>IF(R122=0, IF(Q122=0, 0, SUM($G122:Q122)), 0)</f>
        <v>0</v>
      </c>
      <c r="R123" s="100"/>
      <c r="S123" s="100"/>
      <c r="T123" s="100"/>
      <c r="U123" s="100"/>
      <c r="V123" s="100"/>
      <c r="W123" s="100"/>
      <c r="X123" s="100"/>
      <c r="Y123" s="100"/>
      <c r="Z123" s="100"/>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0"/>
      <c r="BK123" s="220"/>
    </row>
    <row r="124" spans="1:63" outlineLevel="1">
      <c r="A124" s="9"/>
      <c r="B124" s="46"/>
      <c r="C124" s="129">
        <f>Asset9</f>
        <v>0</v>
      </c>
      <c r="D124" s="9"/>
      <c r="E124" s="9"/>
      <c r="F124" s="141"/>
      <c r="G124" s="193"/>
      <c r="H124" s="111">
        <f>($G84+(SUM($G124:G124)))*H$7</f>
        <v>0</v>
      </c>
      <c r="I124" s="111">
        <f>($G84+(SUM($G124:H124)))*I$7</f>
        <v>0</v>
      </c>
      <c r="J124" s="111">
        <f>($G84+(SUM($G124:I124)))*J$7</f>
        <v>0</v>
      </c>
      <c r="K124" s="111">
        <f>($G84+(SUM($G124:J124)))*K$7</f>
        <v>0</v>
      </c>
      <c r="L124" s="111">
        <f>($G84+(SUM($G124:K124)))*L$7</f>
        <v>0</v>
      </c>
      <c r="M124" s="111">
        <f>($G84+(SUM($G124:L124)))*M$7</f>
        <v>0</v>
      </c>
      <c r="N124" s="111">
        <f>($G84+(SUM($G124:M124)))*N$7</f>
        <v>0</v>
      </c>
      <c r="O124" s="111">
        <f>($G84+(SUM($G124:N124)))*O$7</f>
        <v>0</v>
      </c>
      <c r="P124" s="111">
        <f>($G84+(SUM($G124:O124)))*P$7</f>
        <v>0</v>
      </c>
      <c r="Q124" s="111">
        <f>($G84+(SUM($G124:P124)))*Q$7</f>
        <v>0</v>
      </c>
      <c r="R124" s="100"/>
      <c r="S124" s="100"/>
      <c r="T124" s="100"/>
      <c r="U124" s="100"/>
      <c r="V124" s="100"/>
      <c r="W124" s="100"/>
      <c r="X124" s="100"/>
      <c r="Y124" s="100"/>
      <c r="Z124" s="100"/>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0"/>
      <c r="BK124" s="220"/>
    </row>
    <row r="125" spans="1:63" outlineLevel="1">
      <c r="A125" s="9"/>
      <c r="B125" s="46"/>
      <c r="C125" s="154" t="s">
        <v>29</v>
      </c>
      <c r="D125" s="9"/>
      <c r="E125" s="9"/>
      <c r="F125" s="141"/>
      <c r="G125" s="193"/>
      <c r="H125" s="111"/>
      <c r="I125" s="111"/>
      <c r="J125" s="111"/>
      <c r="K125" s="111"/>
      <c r="L125" s="111">
        <f>IF(M124=0, SUM($G124:L124), 0)</f>
        <v>0</v>
      </c>
      <c r="M125" s="111">
        <f>IF(N124=0, IF(M124=0, 0, SUM($G124:M124)), 0)</f>
        <v>0</v>
      </c>
      <c r="N125" s="111">
        <f>IF(O124=0, IF(N124=0, 0, SUM($G124:N124)), 0)</f>
        <v>0</v>
      </c>
      <c r="O125" s="111">
        <f>IF(P124=0, IF(O124=0, 0, SUM($G124:O124)), 0)</f>
        <v>0</v>
      </c>
      <c r="P125" s="111">
        <f>IF(Q124=0, IF(P124=0, 0, SUM($G124:P124)), 0)</f>
        <v>0</v>
      </c>
      <c r="Q125" s="111">
        <f>IF(R124=0, IF(Q124=0, 0, SUM($G124:Q124)), 0)</f>
        <v>0</v>
      </c>
      <c r="R125" s="100"/>
      <c r="S125" s="100"/>
      <c r="T125" s="100"/>
      <c r="U125" s="100"/>
      <c r="V125" s="100"/>
      <c r="W125" s="100"/>
      <c r="X125" s="100"/>
      <c r="Y125" s="100"/>
      <c r="Z125" s="100"/>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0"/>
      <c r="BK125" s="220"/>
    </row>
    <row r="126" spans="1:63" outlineLevel="1">
      <c r="A126" s="9"/>
      <c r="B126" s="46"/>
      <c r="C126" s="129">
        <f>Asset10</f>
        <v>0</v>
      </c>
      <c r="D126" s="9"/>
      <c r="E126" s="9"/>
      <c r="F126" s="141"/>
      <c r="G126" s="193"/>
      <c r="H126" s="111">
        <f>($G85+(SUM($G126:G126)))*H$7</f>
        <v>0</v>
      </c>
      <c r="I126" s="111">
        <f>($G85+(SUM($G126:H126)))*I$7</f>
        <v>0</v>
      </c>
      <c r="J126" s="111">
        <f>($G85+(SUM($G126:I126)))*J$7</f>
        <v>0</v>
      </c>
      <c r="K126" s="111">
        <f>($G85+(SUM($G126:J126)))*K$7</f>
        <v>0</v>
      </c>
      <c r="L126" s="111">
        <f>($G85+(SUM($G126:K126)))*L$7</f>
        <v>0</v>
      </c>
      <c r="M126" s="111">
        <f>($G85+(SUM($G126:L126)))*M$7</f>
        <v>0</v>
      </c>
      <c r="N126" s="111">
        <f>($G85+(SUM($G126:M126)))*N$7</f>
        <v>0</v>
      </c>
      <c r="O126" s="111">
        <f>($G85+(SUM($G126:N126)))*O$7</f>
        <v>0</v>
      </c>
      <c r="P126" s="111">
        <f>($G85+(SUM($G126:O126)))*P$7</f>
        <v>0</v>
      </c>
      <c r="Q126" s="111">
        <f>($G85+(SUM($G126:P126)))*Q$7</f>
        <v>0</v>
      </c>
      <c r="R126" s="100"/>
      <c r="S126" s="100"/>
      <c r="T126" s="100"/>
      <c r="U126" s="100"/>
      <c r="V126" s="100"/>
      <c r="W126" s="100"/>
      <c r="X126" s="100"/>
      <c r="Y126" s="100"/>
      <c r="Z126" s="100"/>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0"/>
      <c r="BK126" s="220"/>
    </row>
    <row r="127" spans="1:63" outlineLevel="1">
      <c r="A127" s="9"/>
      <c r="B127" s="46"/>
      <c r="C127" s="154" t="s">
        <v>29</v>
      </c>
      <c r="D127" s="9"/>
      <c r="E127" s="9"/>
      <c r="F127" s="141"/>
      <c r="G127" s="193"/>
      <c r="H127" s="111"/>
      <c r="I127" s="111"/>
      <c r="J127" s="111"/>
      <c r="K127" s="111"/>
      <c r="L127" s="111">
        <f>IF(M126=0, SUM($G126:L126), 0)</f>
        <v>0</v>
      </c>
      <c r="M127" s="111">
        <f>IF(N126=0, IF(M126=0, 0, SUM($G126:M126)), 0)</f>
        <v>0</v>
      </c>
      <c r="N127" s="111">
        <f>IF(O126=0, IF(N126=0, 0, SUM($G126:N126)), 0)</f>
        <v>0</v>
      </c>
      <c r="O127" s="111">
        <f>IF(P126=0, IF(O126=0, 0, SUM($G126:O126)), 0)</f>
        <v>0</v>
      </c>
      <c r="P127" s="111">
        <f>IF(Q126=0, IF(P126=0, 0, SUM($G126:P126)), 0)</f>
        <v>0</v>
      </c>
      <c r="Q127" s="111">
        <f>IF(R126=0, IF(Q126=0, 0, SUM($G126:Q126)), 0)</f>
        <v>0</v>
      </c>
      <c r="R127" s="100"/>
      <c r="S127" s="100"/>
      <c r="T127" s="100"/>
      <c r="U127" s="100"/>
      <c r="V127" s="100"/>
      <c r="W127" s="100"/>
      <c r="X127" s="100"/>
      <c r="Y127" s="100"/>
      <c r="Z127" s="100"/>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0"/>
      <c r="BK127" s="220"/>
    </row>
    <row r="128" spans="1:63" outlineLevel="1">
      <c r="A128" s="9"/>
      <c r="B128" s="46"/>
      <c r="C128" s="129">
        <f>Asset11</f>
        <v>0</v>
      </c>
      <c r="D128" s="9"/>
      <c r="E128" s="9"/>
      <c r="F128" s="141"/>
      <c r="G128" s="193"/>
      <c r="H128" s="111">
        <f>($G86+(SUM($G128:G128)))*H$7</f>
        <v>0</v>
      </c>
      <c r="I128" s="111">
        <f>($G86+(SUM($G128:H128)))*I$7</f>
        <v>0</v>
      </c>
      <c r="J128" s="111">
        <f>($G86+(SUM($G128:I128)))*J$7</f>
        <v>0</v>
      </c>
      <c r="K128" s="111">
        <f>($G86+(SUM($G128:J128)))*K$7</f>
        <v>0</v>
      </c>
      <c r="L128" s="111">
        <f>($G86+(SUM($G128:K128)))*L$7</f>
        <v>0</v>
      </c>
      <c r="M128" s="111">
        <f>($G86+(SUM($G128:L128)))*M$7</f>
        <v>0</v>
      </c>
      <c r="N128" s="111">
        <f>($G86+(SUM($G128:M128)))*N$7</f>
        <v>0</v>
      </c>
      <c r="O128" s="111">
        <f>($G86+(SUM($G128:N128)))*O$7</f>
        <v>0</v>
      </c>
      <c r="P128" s="111">
        <f>($G86+(SUM($G128:O128)))*P$7</f>
        <v>0</v>
      </c>
      <c r="Q128" s="111">
        <f>($G86+(SUM($G128:P128)))*Q$7</f>
        <v>0</v>
      </c>
      <c r="R128" s="100"/>
      <c r="S128" s="100"/>
      <c r="T128" s="100"/>
      <c r="U128" s="100"/>
      <c r="V128" s="100"/>
      <c r="W128" s="100"/>
      <c r="X128" s="100"/>
      <c r="Y128" s="100"/>
      <c r="Z128" s="100"/>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0"/>
      <c r="BK128" s="220"/>
    </row>
    <row r="129" spans="1:63" outlineLevel="1">
      <c r="A129" s="9"/>
      <c r="B129" s="46"/>
      <c r="C129" s="154" t="s">
        <v>29</v>
      </c>
      <c r="D129" s="9"/>
      <c r="E129" s="9"/>
      <c r="F129" s="141"/>
      <c r="G129" s="193"/>
      <c r="H129" s="111"/>
      <c r="I129" s="111"/>
      <c r="J129" s="111"/>
      <c r="K129" s="111"/>
      <c r="L129" s="111">
        <f>IF(M128=0, SUM($G128:L128), 0)</f>
        <v>0</v>
      </c>
      <c r="M129" s="111">
        <f>IF(N128=0, IF(M128=0, 0, SUM($G128:M128)), 0)</f>
        <v>0</v>
      </c>
      <c r="N129" s="111">
        <f>IF(O128=0, IF(N128=0, 0, SUM($G128:N128)), 0)</f>
        <v>0</v>
      </c>
      <c r="O129" s="111">
        <f>IF(P128=0, IF(O128=0, 0, SUM($G128:O128)), 0)</f>
        <v>0</v>
      </c>
      <c r="P129" s="111">
        <f>IF(Q128=0, IF(P128=0, 0, SUM($G128:P128)), 0)</f>
        <v>0</v>
      </c>
      <c r="Q129" s="111">
        <f>IF(R128=0, IF(Q128=0, 0, SUM($G128:Q128)), 0)</f>
        <v>0</v>
      </c>
      <c r="R129" s="100"/>
      <c r="S129" s="100"/>
      <c r="T129" s="100"/>
      <c r="U129" s="100"/>
      <c r="V129" s="100"/>
      <c r="W129" s="100"/>
      <c r="X129" s="100"/>
      <c r="Y129" s="100"/>
      <c r="Z129" s="100"/>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0"/>
      <c r="BK129" s="220"/>
    </row>
    <row r="130" spans="1:63" outlineLevel="1">
      <c r="A130" s="9"/>
      <c r="B130" s="46"/>
      <c r="C130" s="129">
        <f>Asset12</f>
        <v>0</v>
      </c>
      <c r="D130" s="9"/>
      <c r="E130" s="9"/>
      <c r="F130" s="141"/>
      <c r="G130" s="193"/>
      <c r="H130" s="111">
        <f>($G87+(SUM($G130:G130)))*H$7</f>
        <v>0</v>
      </c>
      <c r="I130" s="111">
        <f>($G87+(SUM($G130:H130)))*I$7</f>
        <v>0</v>
      </c>
      <c r="J130" s="111">
        <f>($G87+(SUM($G130:I130)))*J$7</f>
        <v>0</v>
      </c>
      <c r="K130" s="111">
        <f>($G87+(SUM($G130:J130)))*K$7</f>
        <v>0</v>
      </c>
      <c r="L130" s="111">
        <f>($G87+(SUM($G130:K130)))*L$7</f>
        <v>0</v>
      </c>
      <c r="M130" s="111">
        <f>($G87+(SUM($G130:L130)))*M$7</f>
        <v>0</v>
      </c>
      <c r="N130" s="111">
        <f>($G87+(SUM($G130:M130)))*N$7</f>
        <v>0</v>
      </c>
      <c r="O130" s="111">
        <f>($G87+(SUM($G130:N130)))*O$7</f>
        <v>0</v>
      </c>
      <c r="P130" s="111">
        <f>($G87+(SUM($G130:O130)))*P$7</f>
        <v>0</v>
      </c>
      <c r="Q130" s="111">
        <f>($G87+(SUM($G130:P130)))*Q$7</f>
        <v>0</v>
      </c>
      <c r="R130" s="100"/>
      <c r="S130" s="100"/>
      <c r="T130" s="100"/>
      <c r="U130" s="100"/>
      <c r="V130" s="100"/>
      <c r="W130" s="100"/>
      <c r="X130" s="100"/>
      <c r="Y130" s="100"/>
      <c r="Z130" s="100"/>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0"/>
      <c r="BK130" s="220"/>
    </row>
    <row r="131" spans="1:63" outlineLevel="1">
      <c r="A131" s="9"/>
      <c r="B131" s="46"/>
      <c r="C131" s="154" t="s">
        <v>29</v>
      </c>
      <c r="D131" s="9"/>
      <c r="E131" s="9"/>
      <c r="F131" s="141"/>
      <c r="G131" s="193"/>
      <c r="H131" s="111"/>
      <c r="I131" s="111"/>
      <c r="J131" s="111"/>
      <c r="K131" s="111"/>
      <c r="L131" s="111">
        <f>IF(M130=0, SUM($G130:L130), 0)</f>
        <v>0</v>
      </c>
      <c r="M131" s="111">
        <f>IF(N130=0, IF(M130=0, 0, SUM($G130:M130)), 0)</f>
        <v>0</v>
      </c>
      <c r="N131" s="111">
        <f>IF(O130=0, IF(N130=0, 0, SUM($G130:N130)), 0)</f>
        <v>0</v>
      </c>
      <c r="O131" s="111">
        <f>IF(P130=0, IF(O130=0, 0, SUM($G130:O130)), 0)</f>
        <v>0</v>
      </c>
      <c r="P131" s="111">
        <f>IF(Q130=0, IF(P130=0, 0, SUM($G130:P130)), 0)</f>
        <v>0</v>
      </c>
      <c r="Q131" s="111">
        <f>IF(R130=0, IF(Q130=0, 0, SUM($G130:Q130)), 0)</f>
        <v>0</v>
      </c>
      <c r="R131" s="100"/>
      <c r="S131" s="100"/>
      <c r="T131" s="100"/>
      <c r="U131" s="100"/>
      <c r="V131" s="100"/>
      <c r="W131" s="100"/>
      <c r="X131" s="100"/>
      <c r="Y131" s="100"/>
      <c r="Z131" s="100"/>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0"/>
      <c r="BK131" s="220"/>
    </row>
    <row r="132" spans="1:63" outlineLevel="1">
      <c r="A132" s="9"/>
      <c r="B132" s="46"/>
      <c r="C132" s="129">
        <f>Asset13</f>
        <v>0</v>
      </c>
      <c r="D132" s="9"/>
      <c r="E132" s="9"/>
      <c r="F132" s="141"/>
      <c r="G132" s="193"/>
      <c r="H132" s="111">
        <f>($G88+(SUM($G132:G132)))*H$7</f>
        <v>0</v>
      </c>
      <c r="I132" s="111">
        <f>($G88+(SUM($G132:H132)))*I$7</f>
        <v>0</v>
      </c>
      <c r="J132" s="111">
        <f>($G88+(SUM($G132:I132)))*J$7</f>
        <v>0</v>
      </c>
      <c r="K132" s="111">
        <f>($G88+(SUM($G132:J132)))*K$7</f>
        <v>0</v>
      </c>
      <c r="L132" s="111">
        <f>($G88+(SUM($G132:K132)))*L$7</f>
        <v>0</v>
      </c>
      <c r="M132" s="111">
        <f>($G88+(SUM($G132:L132)))*M$7</f>
        <v>0</v>
      </c>
      <c r="N132" s="111">
        <f>($G88+(SUM($G132:M132)))*N$7</f>
        <v>0</v>
      </c>
      <c r="O132" s="111">
        <f>($G88+(SUM($G132:N132)))*O$7</f>
        <v>0</v>
      </c>
      <c r="P132" s="111">
        <f>($G88+(SUM($G132:O132)))*P$7</f>
        <v>0</v>
      </c>
      <c r="Q132" s="111">
        <f>($G88+(SUM($G132:P132)))*Q$7</f>
        <v>0</v>
      </c>
      <c r="R132" s="100"/>
      <c r="S132" s="100"/>
      <c r="T132" s="100"/>
      <c r="U132" s="100"/>
      <c r="V132" s="100"/>
      <c r="W132" s="100"/>
      <c r="X132" s="100"/>
      <c r="Y132" s="100"/>
      <c r="Z132" s="100"/>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0"/>
      <c r="BK132" s="220"/>
    </row>
    <row r="133" spans="1:63" outlineLevel="1">
      <c r="A133" s="9"/>
      <c r="B133" s="46"/>
      <c r="C133" s="154" t="s">
        <v>29</v>
      </c>
      <c r="D133" s="9"/>
      <c r="E133" s="9"/>
      <c r="F133" s="141"/>
      <c r="G133" s="193"/>
      <c r="H133" s="111"/>
      <c r="I133" s="111"/>
      <c r="J133" s="111"/>
      <c r="K133" s="111"/>
      <c r="L133" s="111">
        <f>IF(M132=0, SUM($G132:L132), 0)</f>
        <v>0</v>
      </c>
      <c r="M133" s="111">
        <f>IF(N132=0, IF(M132=0, 0, SUM($G132:M132)), 0)</f>
        <v>0</v>
      </c>
      <c r="N133" s="111">
        <f>IF(O132=0, IF(N132=0, 0, SUM($G132:N132)), 0)</f>
        <v>0</v>
      </c>
      <c r="O133" s="111">
        <f>IF(P132=0, IF(O132=0, 0, SUM($G132:O132)), 0)</f>
        <v>0</v>
      </c>
      <c r="P133" s="111">
        <f>IF(Q132=0, IF(P132=0, 0, SUM($G132:P132)), 0)</f>
        <v>0</v>
      </c>
      <c r="Q133" s="111">
        <f>IF(R132=0, IF(Q132=0, 0, SUM($G132:Q132)), 0)</f>
        <v>0</v>
      </c>
      <c r="R133" s="100"/>
      <c r="S133" s="100"/>
      <c r="T133" s="100"/>
      <c r="U133" s="100"/>
      <c r="V133" s="100"/>
      <c r="W133" s="100"/>
      <c r="X133" s="100"/>
      <c r="Y133" s="100"/>
      <c r="Z133" s="100"/>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0"/>
      <c r="BK133" s="220"/>
    </row>
    <row r="134" spans="1:63" outlineLevel="1">
      <c r="A134" s="9"/>
      <c r="B134" s="46"/>
      <c r="C134" s="129">
        <f>Asset14</f>
        <v>0</v>
      </c>
      <c r="D134" s="9"/>
      <c r="E134" s="9"/>
      <c r="F134" s="141"/>
      <c r="G134" s="193"/>
      <c r="H134" s="111">
        <f>($G89+(SUM($G134:G134)))*H$7</f>
        <v>0</v>
      </c>
      <c r="I134" s="111">
        <f>($G89+(SUM($G134:H134)))*I$7</f>
        <v>0</v>
      </c>
      <c r="J134" s="111">
        <f>($G89+(SUM($G134:I134)))*J$7</f>
        <v>0</v>
      </c>
      <c r="K134" s="111">
        <f>($G89+(SUM($G134:J134)))*K$7</f>
        <v>0</v>
      </c>
      <c r="L134" s="111">
        <f>($G89+(SUM($G134:K134)))*L$7</f>
        <v>0</v>
      </c>
      <c r="M134" s="111">
        <f>($G89+(SUM($G134:L134)))*M$7</f>
        <v>0</v>
      </c>
      <c r="N134" s="111">
        <f>($G89+(SUM($G134:M134)))*N$7</f>
        <v>0</v>
      </c>
      <c r="O134" s="111">
        <f>($G89+(SUM($G134:N134)))*O$7</f>
        <v>0</v>
      </c>
      <c r="P134" s="111">
        <f>($G89+(SUM($G134:O134)))*P$7</f>
        <v>0</v>
      </c>
      <c r="Q134" s="111">
        <f>($G89+(SUM($G134:P134)))*Q$7</f>
        <v>0</v>
      </c>
      <c r="R134" s="100"/>
      <c r="S134" s="100"/>
      <c r="T134" s="100"/>
      <c r="U134" s="100"/>
      <c r="V134" s="100"/>
      <c r="W134" s="100"/>
      <c r="X134" s="100"/>
      <c r="Y134" s="100"/>
      <c r="Z134" s="100"/>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0"/>
      <c r="BK134" s="220"/>
    </row>
    <row r="135" spans="1:63" outlineLevel="1">
      <c r="A135" s="9"/>
      <c r="B135" s="46"/>
      <c r="C135" s="154" t="s">
        <v>29</v>
      </c>
      <c r="D135" s="9"/>
      <c r="E135" s="9"/>
      <c r="F135" s="141"/>
      <c r="G135" s="193"/>
      <c r="H135" s="111"/>
      <c r="I135" s="111"/>
      <c r="J135" s="111"/>
      <c r="K135" s="111"/>
      <c r="L135" s="111">
        <f>IF(M134=0, SUM($G134:L134), 0)</f>
        <v>0</v>
      </c>
      <c r="M135" s="111">
        <f>IF(N134=0, IF(M134=0, 0, SUM($G134:M134)), 0)</f>
        <v>0</v>
      </c>
      <c r="N135" s="111">
        <f>IF(O134=0, IF(N134=0, 0, SUM($G134:N134)), 0)</f>
        <v>0</v>
      </c>
      <c r="O135" s="111">
        <f>IF(P134=0, IF(O134=0, 0, SUM($G134:O134)), 0)</f>
        <v>0</v>
      </c>
      <c r="P135" s="111">
        <f>IF(Q134=0, IF(P134=0, 0, SUM($G134:P134)), 0)</f>
        <v>0</v>
      </c>
      <c r="Q135" s="111">
        <f>IF(R134=0, IF(Q134=0, 0, SUM($G134:Q134)), 0)</f>
        <v>0</v>
      </c>
      <c r="R135" s="100"/>
      <c r="S135" s="100"/>
      <c r="T135" s="100"/>
      <c r="U135" s="100"/>
      <c r="V135" s="100"/>
      <c r="W135" s="100"/>
      <c r="X135" s="100"/>
      <c r="Y135" s="100"/>
      <c r="Z135" s="100"/>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0"/>
      <c r="BK135" s="220"/>
    </row>
    <row r="136" spans="1:63" outlineLevel="1">
      <c r="A136" s="9"/>
      <c r="B136" s="46"/>
      <c r="C136" s="129">
        <f>Asset15</f>
        <v>0</v>
      </c>
      <c r="D136" s="9"/>
      <c r="E136" s="9"/>
      <c r="F136" s="141"/>
      <c r="G136" s="193"/>
      <c r="H136" s="111">
        <f>($G90+(SUM($G136:G136)))*H$7</f>
        <v>0</v>
      </c>
      <c r="I136" s="111">
        <f>($G90+(SUM($G136:H136)))*I$7</f>
        <v>0</v>
      </c>
      <c r="J136" s="111">
        <f>($G90+(SUM($G136:I136)))*J$7</f>
        <v>0</v>
      </c>
      <c r="K136" s="111">
        <f>($G90+(SUM($G136:J136)))*K$7</f>
        <v>0</v>
      </c>
      <c r="L136" s="111">
        <f>($G90+(SUM($G136:K136)))*L$7</f>
        <v>0</v>
      </c>
      <c r="M136" s="111">
        <f>($G90+(SUM($G136:L136)))*M$7</f>
        <v>0</v>
      </c>
      <c r="N136" s="111">
        <f>($G90+(SUM($G136:M136)))*N$7</f>
        <v>0</v>
      </c>
      <c r="O136" s="111">
        <f>($G90+(SUM($G136:N136)))*O$7</f>
        <v>0</v>
      </c>
      <c r="P136" s="111">
        <f>($G90+(SUM($G136:O136)))*P$7</f>
        <v>0</v>
      </c>
      <c r="Q136" s="111">
        <f>($G90+(SUM($G136:P136)))*Q$7</f>
        <v>0</v>
      </c>
      <c r="R136" s="100"/>
      <c r="S136" s="100"/>
      <c r="T136" s="100"/>
      <c r="U136" s="100"/>
      <c r="V136" s="100"/>
      <c r="W136" s="100"/>
      <c r="X136" s="100"/>
      <c r="Y136" s="100"/>
      <c r="Z136" s="100"/>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0"/>
      <c r="BK136" s="220"/>
    </row>
    <row r="137" spans="1:63" outlineLevel="1">
      <c r="A137" s="9"/>
      <c r="B137" s="46"/>
      <c r="C137" s="154" t="s">
        <v>29</v>
      </c>
      <c r="D137" s="9"/>
      <c r="E137" s="9"/>
      <c r="F137" s="141"/>
      <c r="G137" s="193"/>
      <c r="H137" s="111"/>
      <c r="I137" s="111"/>
      <c r="J137" s="111"/>
      <c r="K137" s="111"/>
      <c r="L137" s="111">
        <f>IF(M136=0, SUM($G136:L136), 0)</f>
        <v>0</v>
      </c>
      <c r="M137" s="111">
        <f>IF(N136=0, IF(M136=0, 0, SUM($G136:M136)), 0)</f>
        <v>0</v>
      </c>
      <c r="N137" s="111">
        <f>IF(O136=0, IF(N136=0, 0, SUM($G136:N136)), 0)</f>
        <v>0</v>
      </c>
      <c r="O137" s="111">
        <f>IF(P136=0, IF(O136=0, 0, SUM($G136:O136)), 0)</f>
        <v>0</v>
      </c>
      <c r="P137" s="111">
        <f>IF(Q136=0, IF(P136=0, 0, SUM($G136:P136)), 0)</f>
        <v>0</v>
      </c>
      <c r="Q137" s="111">
        <f>IF(R136=0, IF(Q136=0, 0, SUM($G136:Q136)), 0)</f>
        <v>0</v>
      </c>
      <c r="R137" s="100"/>
      <c r="S137" s="100"/>
      <c r="T137" s="100"/>
      <c r="U137" s="100"/>
      <c r="V137" s="100"/>
      <c r="W137" s="100"/>
      <c r="X137" s="100"/>
      <c r="Y137" s="100"/>
      <c r="Z137" s="100"/>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0"/>
      <c r="BK137" s="220"/>
    </row>
    <row r="138" spans="1:63" outlineLevel="1">
      <c r="A138" s="9"/>
      <c r="B138" s="46"/>
      <c r="C138" s="129">
        <f>Asset16</f>
        <v>0</v>
      </c>
      <c r="D138" s="9"/>
      <c r="E138" s="9"/>
      <c r="F138" s="141"/>
      <c r="G138" s="193"/>
      <c r="H138" s="111">
        <f>($G91+(SUM($G138:G138)))*H$7</f>
        <v>0</v>
      </c>
      <c r="I138" s="111">
        <f>($G91+(SUM($G138:H138)))*I$7</f>
        <v>0</v>
      </c>
      <c r="J138" s="111">
        <f>($G91+(SUM($G138:I138)))*J$7</f>
        <v>0</v>
      </c>
      <c r="K138" s="111">
        <f>($G91+(SUM($G138:J138)))*K$7</f>
        <v>0</v>
      </c>
      <c r="L138" s="111">
        <f>($G91+(SUM($G138:K138)))*L$7</f>
        <v>0</v>
      </c>
      <c r="M138" s="111">
        <f>($G91+(SUM($G138:L138)))*M$7</f>
        <v>0</v>
      </c>
      <c r="N138" s="111">
        <f>($G91+(SUM($G138:M138)))*N$7</f>
        <v>0</v>
      </c>
      <c r="O138" s="111">
        <f>($G91+(SUM($G138:N138)))*O$7</f>
        <v>0</v>
      </c>
      <c r="P138" s="111">
        <f>($G91+(SUM($G138:O138)))*P$7</f>
        <v>0</v>
      </c>
      <c r="Q138" s="111">
        <f>($G91+(SUM($G138:P138)))*Q$7</f>
        <v>0</v>
      </c>
      <c r="R138" s="100"/>
      <c r="S138" s="100"/>
      <c r="T138" s="100"/>
      <c r="U138" s="100"/>
      <c r="V138" s="100"/>
      <c r="W138" s="100"/>
      <c r="X138" s="100"/>
      <c r="Y138" s="100"/>
      <c r="Z138" s="100"/>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0"/>
      <c r="BK138" s="220"/>
    </row>
    <row r="139" spans="1:63" outlineLevel="1">
      <c r="A139" s="9"/>
      <c r="B139" s="46"/>
      <c r="C139" s="154" t="s">
        <v>29</v>
      </c>
      <c r="D139" s="9"/>
      <c r="E139" s="9"/>
      <c r="F139" s="141"/>
      <c r="G139" s="193"/>
      <c r="H139" s="111"/>
      <c r="I139" s="111"/>
      <c r="J139" s="111"/>
      <c r="K139" s="111"/>
      <c r="L139" s="111">
        <f>IF(M138=0, SUM($G138:L138), 0)</f>
        <v>0</v>
      </c>
      <c r="M139" s="111">
        <f>IF(N138=0, IF(M138=0, 0, SUM($G138:M138)), 0)</f>
        <v>0</v>
      </c>
      <c r="N139" s="111">
        <f>IF(O138=0, IF(N138=0, 0, SUM($G138:N138)), 0)</f>
        <v>0</v>
      </c>
      <c r="O139" s="111">
        <f>IF(P138=0, IF(O138=0, 0, SUM($G138:O138)), 0)</f>
        <v>0</v>
      </c>
      <c r="P139" s="111">
        <f>IF(Q138=0, IF(P138=0, 0, SUM($G138:P138)), 0)</f>
        <v>0</v>
      </c>
      <c r="Q139" s="111">
        <f>IF(R138=0, IF(Q138=0, 0, SUM($G138:Q138)), 0)</f>
        <v>0</v>
      </c>
      <c r="R139" s="100"/>
      <c r="S139" s="100"/>
      <c r="T139" s="100"/>
      <c r="U139" s="100"/>
      <c r="V139" s="100"/>
      <c r="W139" s="100"/>
      <c r="X139" s="100"/>
      <c r="Y139" s="100"/>
      <c r="Z139" s="100"/>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0"/>
      <c r="BK139" s="220"/>
    </row>
    <row r="140" spans="1:63" outlineLevel="1">
      <c r="A140" s="9"/>
      <c r="B140" s="46"/>
      <c r="C140" s="129">
        <f>Asset17</f>
        <v>0</v>
      </c>
      <c r="D140" s="9"/>
      <c r="E140" s="9"/>
      <c r="F140" s="141"/>
      <c r="G140" s="193"/>
      <c r="H140" s="111">
        <f>($G92+(SUM($G140:G140)))*H$7</f>
        <v>0</v>
      </c>
      <c r="I140" s="111">
        <f>($G92+(SUM($G140:H140)))*I$7</f>
        <v>0</v>
      </c>
      <c r="J140" s="111">
        <f>($G92+(SUM($G140:I140)))*J$7</f>
        <v>0</v>
      </c>
      <c r="K140" s="111">
        <f>($G92+(SUM($G140:J140)))*K$7</f>
        <v>0</v>
      </c>
      <c r="L140" s="111">
        <f>($G92+(SUM($G140:K140)))*L$7</f>
        <v>0</v>
      </c>
      <c r="M140" s="111">
        <f>($G92+(SUM($G140:L140)))*M$7</f>
        <v>0</v>
      </c>
      <c r="N140" s="111">
        <f>($G92+(SUM($G140:M140)))*N$7</f>
        <v>0</v>
      </c>
      <c r="O140" s="111">
        <f>($G92+(SUM($G140:N140)))*O$7</f>
        <v>0</v>
      </c>
      <c r="P140" s="111">
        <f>($G92+(SUM($G140:O140)))*P$7</f>
        <v>0</v>
      </c>
      <c r="Q140" s="111">
        <f>($G92+(SUM($G140:P140)))*Q$7</f>
        <v>0</v>
      </c>
      <c r="R140" s="100"/>
      <c r="S140" s="100"/>
      <c r="T140" s="100"/>
      <c r="U140" s="100"/>
      <c r="V140" s="100"/>
      <c r="W140" s="100"/>
      <c r="X140" s="100"/>
      <c r="Y140" s="100"/>
      <c r="Z140" s="100"/>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0"/>
      <c r="BK140" s="220"/>
    </row>
    <row r="141" spans="1:63" outlineLevel="1">
      <c r="A141" s="9"/>
      <c r="B141" s="46"/>
      <c r="C141" s="154" t="s">
        <v>29</v>
      </c>
      <c r="D141" s="9"/>
      <c r="E141" s="9"/>
      <c r="F141" s="141"/>
      <c r="G141" s="193"/>
      <c r="H141" s="111"/>
      <c r="I141" s="111"/>
      <c r="J141" s="111"/>
      <c r="K141" s="111"/>
      <c r="L141" s="111">
        <f>IF(M140=0, SUM($G140:L140), 0)</f>
        <v>0</v>
      </c>
      <c r="M141" s="111">
        <f>IF(N140=0, IF(M140=0, 0, SUM($G140:M140)), 0)</f>
        <v>0</v>
      </c>
      <c r="N141" s="111">
        <f>IF(O140=0, IF(N140=0, 0, SUM($G140:N140)), 0)</f>
        <v>0</v>
      </c>
      <c r="O141" s="111">
        <f>IF(P140=0, IF(O140=0, 0, SUM($G140:O140)), 0)</f>
        <v>0</v>
      </c>
      <c r="P141" s="111">
        <f>IF(Q140=0, IF(P140=0, 0, SUM($G140:P140)), 0)</f>
        <v>0</v>
      </c>
      <c r="Q141" s="111">
        <f>IF(R140=0, IF(Q140=0, 0, SUM($G140:Q140)), 0)</f>
        <v>0</v>
      </c>
      <c r="R141" s="100"/>
      <c r="S141" s="100"/>
      <c r="T141" s="100"/>
      <c r="U141" s="100"/>
      <c r="V141" s="100"/>
      <c r="W141" s="100"/>
      <c r="X141" s="100"/>
      <c r="Y141" s="100"/>
      <c r="Z141" s="100"/>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0"/>
      <c r="BK141" s="220"/>
    </row>
    <row r="142" spans="1:63" outlineLevel="1">
      <c r="A142" s="9"/>
      <c r="B142" s="46"/>
      <c r="C142" s="129">
        <f>Asset18</f>
        <v>0</v>
      </c>
      <c r="D142" s="9"/>
      <c r="E142" s="9"/>
      <c r="F142" s="141"/>
      <c r="G142" s="193"/>
      <c r="H142" s="111">
        <f>($G93+(SUM($G142:G142)))*H$7</f>
        <v>0</v>
      </c>
      <c r="I142" s="111">
        <f>($G93+(SUM($G142:H142)))*I$7</f>
        <v>0</v>
      </c>
      <c r="J142" s="111">
        <f>($G93+(SUM($G142:I142)))*J$7</f>
        <v>0</v>
      </c>
      <c r="K142" s="111">
        <f>($G93+(SUM($G142:J142)))*K$7</f>
        <v>0</v>
      </c>
      <c r="L142" s="111">
        <f>($G93+(SUM($G142:K142)))*L$7</f>
        <v>0</v>
      </c>
      <c r="M142" s="111">
        <f>($G93+(SUM($G142:L142)))*M$7</f>
        <v>0</v>
      </c>
      <c r="N142" s="111">
        <f>($G93+(SUM($G142:M142)))*N$7</f>
        <v>0</v>
      </c>
      <c r="O142" s="111">
        <f>($G93+(SUM($G142:N142)))*O$7</f>
        <v>0</v>
      </c>
      <c r="P142" s="111">
        <f>($G93+(SUM($G142:O142)))*P$7</f>
        <v>0</v>
      </c>
      <c r="Q142" s="111">
        <f>($G93+(SUM($G142:P142)))*Q$7</f>
        <v>0</v>
      </c>
      <c r="R142" s="100"/>
      <c r="S142" s="100"/>
      <c r="T142" s="100"/>
      <c r="U142" s="100"/>
      <c r="V142" s="100"/>
      <c r="W142" s="100"/>
      <c r="X142" s="100"/>
      <c r="Y142" s="100"/>
      <c r="Z142" s="100"/>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0"/>
      <c r="BK142" s="220"/>
    </row>
    <row r="143" spans="1:63" outlineLevel="1">
      <c r="A143" s="9"/>
      <c r="B143" s="46"/>
      <c r="C143" s="154" t="s">
        <v>29</v>
      </c>
      <c r="D143" s="9"/>
      <c r="E143" s="9"/>
      <c r="F143" s="141"/>
      <c r="G143" s="193"/>
      <c r="H143" s="111"/>
      <c r="I143" s="111"/>
      <c r="J143" s="111"/>
      <c r="K143" s="111"/>
      <c r="L143" s="111">
        <f>IF(M142=0, SUM($G142:L142), 0)</f>
        <v>0</v>
      </c>
      <c r="M143" s="111">
        <f>IF(N142=0, IF(M142=0, 0, SUM($G142:M142)), 0)</f>
        <v>0</v>
      </c>
      <c r="N143" s="111">
        <f>IF(O142=0, IF(N142=0, 0, SUM($G142:N142)), 0)</f>
        <v>0</v>
      </c>
      <c r="O143" s="111">
        <f>IF(P142=0, IF(O142=0, 0, SUM($G142:O142)), 0)</f>
        <v>0</v>
      </c>
      <c r="P143" s="111">
        <f>IF(Q142=0, IF(P142=0, 0, SUM($G142:P142)), 0)</f>
        <v>0</v>
      </c>
      <c r="Q143" s="111">
        <f>IF(R142=0, IF(Q142=0, 0, SUM($G142:Q142)), 0)</f>
        <v>0</v>
      </c>
      <c r="R143" s="100"/>
      <c r="S143" s="100"/>
      <c r="T143" s="100"/>
      <c r="U143" s="100"/>
      <c r="V143" s="100"/>
      <c r="W143" s="100"/>
      <c r="X143" s="100"/>
      <c r="Y143" s="100"/>
      <c r="Z143" s="100"/>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0"/>
      <c r="BK143" s="220"/>
    </row>
    <row r="144" spans="1:63" outlineLevel="1">
      <c r="A144" s="9"/>
      <c r="B144" s="46"/>
      <c r="C144" s="129">
        <f>Asset19</f>
        <v>0</v>
      </c>
      <c r="D144" s="9"/>
      <c r="E144" s="9"/>
      <c r="F144" s="141"/>
      <c r="G144" s="193"/>
      <c r="H144" s="111">
        <f>($G94+(SUM($G144:G144)))*H$7</f>
        <v>0</v>
      </c>
      <c r="I144" s="111">
        <f>($G94+(SUM($G144:H144)))*I$7</f>
        <v>0</v>
      </c>
      <c r="J144" s="111">
        <f>($G94+(SUM($G144:I144)))*J$7</f>
        <v>0</v>
      </c>
      <c r="K144" s="111">
        <f>($G94+(SUM($G144:J144)))*K$7</f>
        <v>0</v>
      </c>
      <c r="L144" s="111">
        <f>($G94+(SUM($G144:K144)))*L$7</f>
        <v>0</v>
      </c>
      <c r="M144" s="111">
        <f>($G94+(SUM($G144:L144)))*M$7</f>
        <v>0</v>
      </c>
      <c r="N144" s="111">
        <f>($G94+(SUM($G144:M144)))*N$7</f>
        <v>0</v>
      </c>
      <c r="O144" s="111">
        <f>($G94+(SUM($G144:N144)))*O$7</f>
        <v>0</v>
      </c>
      <c r="P144" s="111">
        <f>($G94+(SUM($G144:O144)))*P$7</f>
        <v>0</v>
      </c>
      <c r="Q144" s="111">
        <f>($G94+(SUM($G144:P144)))*Q$7</f>
        <v>0</v>
      </c>
      <c r="R144" s="100"/>
      <c r="S144" s="100"/>
      <c r="T144" s="100"/>
      <c r="U144" s="100"/>
      <c r="V144" s="100"/>
      <c r="W144" s="100"/>
      <c r="X144" s="100"/>
      <c r="Y144" s="100"/>
      <c r="Z144" s="100"/>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0"/>
      <c r="BK144" s="220"/>
    </row>
    <row r="145" spans="1:63" outlineLevel="1">
      <c r="A145" s="9"/>
      <c r="B145" s="46"/>
      <c r="C145" s="154" t="s">
        <v>29</v>
      </c>
      <c r="D145" s="9"/>
      <c r="E145" s="9"/>
      <c r="F145" s="141"/>
      <c r="G145" s="193"/>
      <c r="H145" s="111"/>
      <c r="I145" s="111"/>
      <c r="J145" s="111"/>
      <c r="K145" s="111"/>
      <c r="L145" s="111">
        <f>IF(M144=0, SUM($G144:L144), 0)</f>
        <v>0</v>
      </c>
      <c r="M145" s="111">
        <f>IF(N144=0, IF(M144=0, 0, SUM($G144:M144)), 0)</f>
        <v>0</v>
      </c>
      <c r="N145" s="111">
        <f>IF(O144=0, IF(N144=0, 0, SUM($G144:N144)), 0)</f>
        <v>0</v>
      </c>
      <c r="O145" s="111">
        <f>IF(P144=0, IF(O144=0, 0, SUM($G144:O144)), 0)</f>
        <v>0</v>
      </c>
      <c r="P145" s="111">
        <f>IF(Q144=0, IF(P144=0, 0, SUM($G144:P144)), 0)</f>
        <v>0</v>
      </c>
      <c r="Q145" s="111">
        <f>IF(R144=0, IF(Q144=0, 0, SUM($G144:Q144)), 0)</f>
        <v>0</v>
      </c>
      <c r="R145" s="100"/>
      <c r="S145" s="100"/>
      <c r="T145" s="100"/>
      <c r="U145" s="100"/>
      <c r="V145" s="100"/>
      <c r="W145" s="100"/>
      <c r="X145" s="100"/>
      <c r="Y145" s="100"/>
      <c r="Z145" s="100"/>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0"/>
      <c r="BK145" s="220"/>
    </row>
    <row r="146" spans="1:63" outlineLevel="1">
      <c r="A146" s="9"/>
      <c r="B146" s="46"/>
      <c r="C146" s="129">
        <f>Asset20</f>
        <v>0</v>
      </c>
      <c r="D146" s="9"/>
      <c r="E146" s="9"/>
      <c r="F146" s="141"/>
      <c r="G146" s="193"/>
      <c r="H146" s="111">
        <f>($G95+(SUM($G146:G146)))*H$7</f>
        <v>0</v>
      </c>
      <c r="I146" s="111">
        <f>($G95+(SUM($G146:H146)))*I$7</f>
        <v>0</v>
      </c>
      <c r="J146" s="111">
        <f>($G95+(SUM($G146:I146)))*J$7</f>
        <v>0</v>
      </c>
      <c r="K146" s="111">
        <f>($G95+(SUM($G146:J146)))*K$7</f>
        <v>0</v>
      </c>
      <c r="L146" s="111">
        <f>($G95+(SUM($G146:K146)))*L$7</f>
        <v>0</v>
      </c>
      <c r="M146" s="111">
        <f>($G95+(SUM($G146:L146)))*M$7</f>
        <v>0</v>
      </c>
      <c r="N146" s="111">
        <f>($G95+(SUM($G146:M146)))*N$7</f>
        <v>0</v>
      </c>
      <c r="O146" s="111">
        <f>($G95+(SUM($G146:N146)))*O$7</f>
        <v>0</v>
      </c>
      <c r="P146" s="111">
        <f>($G95+(SUM($G146:O146)))*P$7</f>
        <v>0</v>
      </c>
      <c r="Q146" s="111">
        <f>($G95+(SUM($G146:P146)))*Q$7</f>
        <v>0</v>
      </c>
      <c r="R146" s="100"/>
      <c r="S146" s="100"/>
      <c r="T146" s="100"/>
      <c r="U146" s="100"/>
      <c r="V146" s="100"/>
      <c r="W146" s="100"/>
      <c r="X146" s="100"/>
      <c r="Y146" s="100"/>
      <c r="Z146" s="100"/>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0"/>
      <c r="BK146" s="220"/>
    </row>
    <row r="147" spans="1:63" outlineLevel="1">
      <c r="A147" s="9"/>
      <c r="B147" s="46"/>
      <c r="C147" s="154" t="s">
        <v>29</v>
      </c>
      <c r="D147" s="9"/>
      <c r="E147" s="9"/>
      <c r="F147" s="141"/>
      <c r="G147" s="193"/>
      <c r="H147" s="111"/>
      <c r="I147" s="111"/>
      <c r="J147" s="111"/>
      <c r="K147" s="111"/>
      <c r="L147" s="111">
        <f>IF(M146=0, SUM($G146:L146), 0)</f>
        <v>0</v>
      </c>
      <c r="M147" s="111">
        <f>IF(N146=0, IF(M146=0, 0, SUM($G146:M146)), 0)</f>
        <v>0</v>
      </c>
      <c r="N147" s="111">
        <f>IF(O146=0, IF(N146=0, 0, SUM($G146:N146)), 0)</f>
        <v>0</v>
      </c>
      <c r="O147" s="111">
        <f>IF(P146=0, IF(O146=0, 0, SUM($G146:O146)), 0)</f>
        <v>0</v>
      </c>
      <c r="P147" s="111">
        <f>IF(Q146=0, IF(P146=0, 0, SUM($G146:P146)), 0)</f>
        <v>0</v>
      </c>
      <c r="Q147" s="111">
        <f>IF(R146=0, IF(Q146=0, 0, SUM($G146:Q146)), 0)</f>
        <v>0</v>
      </c>
      <c r="R147" s="100"/>
      <c r="S147" s="100"/>
      <c r="T147" s="100"/>
      <c r="U147" s="100"/>
      <c r="V147" s="100"/>
      <c r="W147" s="100"/>
      <c r="X147" s="100"/>
      <c r="Y147" s="100"/>
      <c r="Z147" s="100"/>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0"/>
      <c r="BK147" s="220"/>
    </row>
    <row r="148" spans="1:63" outlineLevel="1">
      <c r="A148" s="9"/>
      <c r="B148" s="46"/>
      <c r="C148" s="129">
        <f>Asset21</f>
        <v>0</v>
      </c>
      <c r="D148" s="9"/>
      <c r="E148" s="9"/>
      <c r="F148" s="141"/>
      <c r="G148" s="193"/>
      <c r="H148" s="111">
        <f>($G96+(SUM($G148:G148)))*H$7</f>
        <v>0</v>
      </c>
      <c r="I148" s="111">
        <f>($G96+(SUM($G148:H148)))*I$7</f>
        <v>0</v>
      </c>
      <c r="J148" s="111">
        <f>($G96+(SUM($G148:I148)))*J$7</f>
        <v>0</v>
      </c>
      <c r="K148" s="111">
        <f>($G96+(SUM($G148:J148)))*K$7</f>
        <v>0</v>
      </c>
      <c r="L148" s="111">
        <f>($G96+(SUM($G148:K148)))*L$7</f>
        <v>0</v>
      </c>
      <c r="M148" s="111">
        <f>($G96+(SUM($G148:L148)))*M$7</f>
        <v>0</v>
      </c>
      <c r="N148" s="111">
        <f>($G96+(SUM($G148:M148)))*N$7</f>
        <v>0</v>
      </c>
      <c r="O148" s="111">
        <f>($G96+(SUM($G148:N148)))*O$7</f>
        <v>0</v>
      </c>
      <c r="P148" s="111">
        <f>($G96+(SUM($G148:O148)))*P$7</f>
        <v>0</v>
      </c>
      <c r="Q148" s="111">
        <f>($G96+(SUM($G148:P148)))*Q$7</f>
        <v>0</v>
      </c>
      <c r="R148" s="100"/>
      <c r="S148" s="100"/>
      <c r="T148" s="100"/>
      <c r="U148" s="100"/>
      <c r="V148" s="100"/>
      <c r="W148" s="100"/>
      <c r="X148" s="100"/>
      <c r="Y148" s="100"/>
      <c r="Z148" s="100"/>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0"/>
      <c r="BK148" s="220"/>
    </row>
    <row r="149" spans="1:63" outlineLevel="1">
      <c r="A149" s="9"/>
      <c r="B149" s="46"/>
      <c r="C149" s="154" t="s">
        <v>29</v>
      </c>
      <c r="D149" s="9"/>
      <c r="E149" s="9"/>
      <c r="F149" s="141"/>
      <c r="G149" s="193"/>
      <c r="H149" s="111"/>
      <c r="I149" s="111"/>
      <c r="J149" s="111"/>
      <c r="K149" s="111"/>
      <c r="L149" s="111">
        <f>IF(M148=0, SUM($G148:L148), 0)</f>
        <v>0</v>
      </c>
      <c r="M149" s="111">
        <f>IF(N148=0, IF(M148=0, 0, SUM($G148:M148)), 0)</f>
        <v>0</v>
      </c>
      <c r="N149" s="111">
        <f>IF(O148=0, IF(N148=0, 0, SUM($G148:N148)), 0)</f>
        <v>0</v>
      </c>
      <c r="O149" s="111">
        <f>IF(P148=0, IF(O148=0, 0, SUM($G148:O148)), 0)</f>
        <v>0</v>
      </c>
      <c r="P149" s="111">
        <f>IF(Q148=0, IF(P148=0, 0, SUM($G148:P148)), 0)</f>
        <v>0</v>
      </c>
      <c r="Q149" s="111">
        <f>IF(R148=0, IF(Q148=0, 0, SUM($G148:Q148)), 0)</f>
        <v>0</v>
      </c>
      <c r="R149" s="100"/>
      <c r="S149" s="100"/>
      <c r="T149" s="100"/>
      <c r="U149" s="100"/>
      <c r="V149" s="100"/>
      <c r="W149" s="100"/>
      <c r="X149" s="100"/>
      <c r="Y149" s="100"/>
      <c r="Z149" s="100"/>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0"/>
      <c r="BK149" s="220"/>
    </row>
    <row r="150" spans="1:63" outlineLevel="1">
      <c r="A150" s="9"/>
      <c r="B150" s="46"/>
      <c r="C150" s="129">
        <f>Asset22</f>
        <v>0</v>
      </c>
      <c r="D150" s="9"/>
      <c r="E150" s="9"/>
      <c r="F150" s="141"/>
      <c r="G150" s="193"/>
      <c r="H150" s="111">
        <f>($G97+(SUM($G150:G150)))*H$7</f>
        <v>0</v>
      </c>
      <c r="I150" s="111">
        <f>($G97+(SUM($G150:H150)))*I$7</f>
        <v>0</v>
      </c>
      <c r="J150" s="111">
        <f>($G97+(SUM($G150:I150)))*J$7</f>
        <v>0</v>
      </c>
      <c r="K150" s="111">
        <f>($G97+(SUM($G150:J150)))*K$7</f>
        <v>0</v>
      </c>
      <c r="L150" s="111">
        <f>($G97+(SUM($G150:K150)))*L$7</f>
        <v>0</v>
      </c>
      <c r="M150" s="111">
        <f>($G97+(SUM($G150:L150)))*M$7</f>
        <v>0</v>
      </c>
      <c r="N150" s="111">
        <f>($G97+(SUM($G150:M150)))*N$7</f>
        <v>0</v>
      </c>
      <c r="O150" s="111">
        <f>($G97+(SUM($G150:N150)))*O$7</f>
        <v>0</v>
      </c>
      <c r="P150" s="111">
        <f>($G97+(SUM($G150:O150)))*P$7</f>
        <v>0</v>
      </c>
      <c r="Q150" s="111">
        <f>($G97+(SUM($G150:P150)))*Q$7</f>
        <v>0</v>
      </c>
      <c r="R150" s="100"/>
      <c r="S150" s="100"/>
      <c r="T150" s="100"/>
      <c r="U150" s="100"/>
      <c r="V150" s="100"/>
      <c r="W150" s="100"/>
      <c r="X150" s="100"/>
      <c r="Y150" s="100"/>
      <c r="Z150" s="100"/>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0"/>
      <c r="BK150" s="220"/>
    </row>
    <row r="151" spans="1:63" outlineLevel="1">
      <c r="A151" s="9"/>
      <c r="B151" s="46"/>
      <c r="C151" s="154" t="s">
        <v>29</v>
      </c>
      <c r="D151" s="9"/>
      <c r="E151" s="9"/>
      <c r="F151" s="141"/>
      <c r="G151" s="193"/>
      <c r="H151" s="111"/>
      <c r="I151" s="111"/>
      <c r="J151" s="111"/>
      <c r="K151" s="111"/>
      <c r="L151" s="111">
        <f>IF(M150=0, SUM($G150:L150), 0)</f>
        <v>0</v>
      </c>
      <c r="M151" s="111">
        <f>IF(N150=0, IF(M150=0, 0, SUM($G150:M150)), 0)</f>
        <v>0</v>
      </c>
      <c r="N151" s="111">
        <f>IF(O150=0, IF(N150=0, 0, SUM($G150:N150)), 0)</f>
        <v>0</v>
      </c>
      <c r="O151" s="111">
        <f>IF(P150=0, IF(O150=0, 0, SUM($G150:O150)), 0)</f>
        <v>0</v>
      </c>
      <c r="P151" s="111">
        <f>IF(Q150=0, IF(P150=0, 0, SUM($G150:P150)), 0)</f>
        <v>0</v>
      </c>
      <c r="Q151" s="111">
        <f>IF(R150=0, IF(Q150=0, 0, SUM($G150:Q150)), 0)</f>
        <v>0</v>
      </c>
      <c r="R151" s="100"/>
      <c r="S151" s="100"/>
      <c r="T151" s="100"/>
      <c r="U151" s="100"/>
      <c r="V151" s="100"/>
      <c r="W151" s="100"/>
      <c r="X151" s="100"/>
      <c r="Y151" s="100"/>
      <c r="Z151" s="100"/>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0"/>
      <c r="BK151" s="220"/>
    </row>
    <row r="152" spans="1:63" outlineLevel="1">
      <c r="A152" s="9"/>
      <c r="B152" s="46"/>
      <c r="C152" s="129">
        <f>Asset23</f>
        <v>0</v>
      </c>
      <c r="D152" s="9"/>
      <c r="E152" s="9"/>
      <c r="F152" s="141"/>
      <c r="G152" s="193"/>
      <c r="H152" s="111">
        <f>($G98+(SUM($G152:G152)))*H$7</f>
        <v>0</v>
      </c>
      <c r="I152" s="111">
        <f>($G98+(SUM($G152:H152)))*I$7</f>
        <v>0</v>
      </c>
      <c r="J152" s="111">
        <f>($G98+(SUM($G152:I152)))*J$7</f>
        <v>0</v>
      </c>
      <c r="K152" s="111">
        <f>($G98+(SUM($G152:J152)))*K$7</f>
        <v>0</v>
      </c>
      <c r="L152" s="111">
        <f>($G98+(SUM($G152:K152)))*L$7</f>
        <v>0</v>
      </c>
      <c r="M152" s="111">
        <f>($G98+(SUM($G152:L152)))*M$7</f>
        <v>0</v>
      </c>
      <c r="N152" s="111">
        <f>($G98+(SUM($G152:M152)))*N$7</f>
        <v>0</v>
      </c>
      <c r="O152" s="111">
        <f>($G98+(SUM($G152:N152)))*O$7</f>
        <v>0</v>
      </c>
      <c r="P152" s="111">
        <f>($G98+(SUM($G152:O152)))*P$7</f>
        <v>0</v>
      </c>
      <c r="Q152" s="111">
        <f>($G98+(SUM($G152:P152)))*Q$7</f>
        <v>0</v>
      </c>
      <c r="R152" s="100"/>
      <c r="S152" s="100"/>
      <c r="T152" s="100"/>
      <c r="U152" s="100"/>
      <c r="V152" s="100"/>
      <c r="W152" s="100"/>
      <c r="X152" s="100"/>
      <c r="Y152" s="100"/>
      <c r="Z152" s="100"/>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0"/>
      <c r="BK152" s="220"/>
    </row>
    <row r="153" spans="1:63" outlineLevel="1">
      <c r="A153" s="9"/>
      <c r="B153" s="46"/>
      <c r="C153" s="154" t="s">
        <v>29</v>
      </c>
      <c r="D153" s="9"/>
      <c r="E153" s="9"/>
      <c r="F153" s="141"/>
      <c r="G153" s="193"/>
      <c r="H153" s="111"/>
      <c r="I153" s="111"/>
      <c r="J153" s="111"/>
      <c r="K153" s="111"/>
      <c r="L153" s="111">
        <f>IF(M152=0, SUM($G152:L152), 0)</f>
        <v>0</v>
      </c>
      <c r="M153" s="111">
        <f>IF(N152=0, IF(M152=0, 0, SUM($G152:M152)), 0)</f>
        <v>0</v>
      </c>
      <c r="N153" s="111">
        <f>IF(O152=0, IF(N152=0, 0, SUM($G152:N152)), 0)</f>
        <v>0</v>
      </c>
      <c r="O153" s="111">
        <f>IF(P152=0, IF(O152=0, 0, SUM($G152:O152)), 0)</f>
        <v>0</v>
      </c>
      <c r="P153" s="111">
        <f>IF(Q152=0, IF(P152=0, 0, SUM($G152:P152)), 0)</f>
        <v>0</v>
      </c>
      <c r="Q153" s="111">
        <f>IF(R152=0, IF(Q152=0, 0, SUM($G152:Q152)), 0)</f>
        <v>0</v>
      </c>
      <c r="R153" s="100"/>
      <c r="S153" s="100"/>
      <c r="T153" s="100"/>
      <c r="U153" s="100"/>
      <c r="V153" s="100"/>
      <c r="W153" s="100"/>
      <c r="X153" s="100"/>
      <c r="Y153" s="100"/>
      <c r="Z153" s="100"/>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0"/>
      <c r="BK153" s="220"/>
    </row>
    <row r="154" spans="1:63" outlineLevel="1">
      <c r="A154" s="9"/>
      <c r="B154" s="46"/>
      <c r="C154" s="129">
        <f>Asset24</f>
        <v>0</v>
      </c>
      <c r="D154" s="9"/>
      <c r="E154" s="9"/>
      <c r="F154" s="141"/>
      <c r="G154" s="193"/>
      <c r="H154" s="111">
        <f>($G99+(SUM($G154:G154)))*H$7</f>
        <v>0</v>
      </c>
      <c r="I154" s="111">
        <f>($G99+(SUM($G154:H154)))*I$7</f>
        <v>0</v>
      </c>
      <c r="J154" s="111">
        <f>($G99+(SUM($G154:I154)))*J$7</f>
        <v>0</v>
      </c>
      <c r="K154" s="111">
        <f>($G99+(SUM($G154:J154)))*K$7</f>
        <v>0</v>
      </c>
      <c r="L154" s="111">
        <f>($G99+(SUM($G154:K154)))*L$7</f>
        <v>0</v>
      </c>
      <c r="M154" s="111">
        <f>($G99+(SUM($G154:L154)))*M$7</f>
        <v>0</v>
      </c>
      <c r="N154" s="111">
        <f>($G99+(SUM($G154:M154)))*N$7</f>
        <v>0</v>
      </c>
      <c r="O154" s="111">
        <f>($G99+(SUM($G154:N154)))*O$7</f>
        <v>0</v>
      </c>
      <c r="P154" s="111">
        <f>($G99+(SUM($G154:O154)))*P$7</f>
        <v>0</v>
      </c>
      <c r="Q154" s="111">
        <f>($G99+(SUM($G154:P154)))*Q$7</f>
        <v>0</v>
      </c>
      <c r="R154" s="100"/>
      <c r="S154" s="100"/>
      <c r="T154" s="100"/>
      <c r="U154" s="100"/>
      <c r="V154" s="100"/>
      <c r="W154" s="100"/>
      <c r="X154" s="100"/>
      <c r="Y154" s="100"/>
      <c r="Z154" s="100"/>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0"/>
      <c r="BK154" s="220"/>
    </row>
    <row r="155" spans="1:63" outlineLevel="1">
      <c r="A155" s="9"/>
      <c r="B155" s="46"/>
      <c r="C155" s="154" t="s">
        <v>29</v>
      </c>
      <c r="D155" s="9"/>
      <c r="E155" s="9"/>
      <c r="F155" s="141"/>
      <c r="G155" s="193"/>
      <c r="H155" s="111"/>
      <c r="I155" s="111"/>
      <c r="J155" s="111"/>
      <c r="K155" s="111"/>
      <c r="L155" s="111">
        <f>IF(M154=0, SUM($G154:L154), 0)</f>
        <v>0</v>
      </c>
      <c r="M155" s="111">
        <f>IF(N154=0, IF(M154=0, 0, SUM($G154:M154)), 0)</f>
        <v>0</v>
      </c>
      <c r="N155" s="111">
        <f>IF(O154=0, IF(N154=0, 0, SUM($G154:N154)), 0)</f>
        <v>0</v>
      </c>
      <c r="O155" s="111">
        <f>IF(P154=0, IF(O154=0, 0, SUM($G154:O154)), 0)</f>
        <v>0</v>
      </c>
      <c r="P155" s="111">
        <f>IF(Q154=0, IF(P154=0, 0, SUM($G154:P154)), 0)</f>
        <v>0</v>
      </c>
      <c r="Q155" s="111">
        <f>IF(R154=0, IF(Q154=0, 0, SUM($G154:Q154)), 0)</f>
        <v>0</v>
      </c>
      <c r="R155" s="100"/>
      <c r="S155" s="100"/>
      <c r="T155" s="100"/>
      <c r="U155" s="100"/>
      <c r="V155" s="100"/>
      <c r="W155" s="100"/>
      <c r="X155" s="100"/>
      <c r="Y155" s="100"/>
      <c r="Z155" s="100"/>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0"/>
      <c r="BK155" s="220"/>
    </row>
    <row r="156" spans="1:63" outlineLevel="1">
      <c r="A156" s="9"/>
      <c r="B156" s="46"/>
      <c r="C156" s="129">
        <f>Asset25</f>
        <v>0</v>
      </c>
      <c r="D156" s="9"/>
      <c r="E156" s="9"/>
      <c r="F156" s="141"/>
      <c r="G156" s="193"/>
      <c r="H156" s="111">
        <f>($G100+(SUM($G156:G156)))*H$7</f>
        <v>0</v>
      </c>
      <c r="I156" s="111">
        <f>($G100+(SUM($G156:H156)))*I$7</f>
        <v>0</v>
      </c>
      <c r="J156" s="111">
        <f>($G100+(SUM($G156:I156)))*J$7</f>
        <v>0</v>
      </c>
      <c r="K156" s="111">
        <f>($G100+(SUM($G156:J156)))*K$7</f>
        <v>0</v>
      </c>
      <c r="L156" s="111">
        <f>($G100+(SUM($G156:K156)))*L$7</f>
        <v>0</v>
      </c>
      <c r="M156" s="111">
        <f>($G100+(SUM($G156:L156)))*M$7</f>
        <v>0</v>
      </c>
      <c r="N156" s="111">
        <f>($G100+(SUM($G156:M156)))*N$7</f>
        <v>0</v>
      </c>
      <c r="O156" s="111">
        <f>($G100+(SUM($G156:N156)))*O$7</f>
        <v>0</v>
      </c>
      <c r="P156" s="111">
        <f>($G100+(SUM($G156:O156)))*P$7</f>
        <v>0</v>
      </c>
      <c r="Q156" s="111">
        <f>($G100+(SUM($G156:P156)))*Q$7</f>
        <v>0</v>
      </c>
      <c r="R156" s="100"/>
      <c r="S156" s="100"/>
      <c r="T156" s="100"/>
      <c r="U156" s="100"/>
      <c r="V156" s="100"/>
      <c r="W156" s="100"/>
      <c r="X156" s="100"/>
      <c r="Y156" s="100"/>
      <c r="Z156" s="100"/>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0"/>
      <c r="BK156" s="220"/>
    </row>
    <row r="157" spans="1:63" outlineLevel="1">
      <c r="A157" s="9"/>
      <c r="B157" s="46"/>
      <c r="C157" s="154" t="s">
        <v>29</v>
      </c>
      <c r="D157" s="9"/>
      <c r="E157" s="9"/>
      <c r="F157" s="141"/>
      <c r="G157" s="193"/>
      <c r="H157" s="111"/>
      <c r="I157" s="111"/>
      <c r="J157" s="111"/>
      <c r="K157" s="111"/>
      <c r="L157" s="111">
        <f>IF(M156=0, SUM($G156:L156), 0)</f>
        <v>0</v>
      </c>
      <c r="M157" s="111">
        <f>IF(N156=0, IF(M156=0, 0, SUM($G156:M156)), 0)</f>
        <v>0</v>
      </c>
      <c r="N157" s="111">
        <f>IF(O156=0, IF(N156=0, 0, SUM($G156:N156)), 0)</f>
        <v>0</v>
      </c>
      <c r="O157" s="111">
        <f>IF(P156=0, IF(O156=0, 0, SUM($G156:O156)), 0)</f>
        <v>0</v>
      </c>
      <c r="P157" s="111">
        <f>IF(Q156=0, IF(P156=0, 0, SUM($G156:P156)), 0)</f>
        <v>0</v>
      </c>
      <c r="Q157" s="111">
        <f>IF(R156=0, IF(Q156=0, 0, SUM($G156:Q156)), 0)</f>
        <v>0</v>
      </c>
      <c r="R157" s="100"/>
      <c r="S157" s="100"/>
      <c r="T157" s="100"/>
      <c r="U157" s="100"/>
      <c r="V157" s="100"/>
      <c r="W157" s="100"/>
      <c r="X157" s="100"/>
      <c r="Y157" s="100"/>
      <c r="Z157" s="100"/>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0"/>
      <c r="BK157" s="220"/>
    </row>
    <row r="158" spans="1:63" outlineLevel="1">
      <c r="A158" s="9"/>
      <c r="B158" s="46"/>
      <c r="C158" s="129">
        <f>Asset26</f>
        <v>0</v>
      </c>
      <c r="D158" s="9"/>
      <c r="E158" s="9"/>
      <c r="F158" s="141"/>
      <c r="G158" s="193"/>
      <c r="H158" s="111">
        <f>($G101+(SUM($G158:G158)))*H$7</f>
        <v>0</v>
      </c>
      <c r="I158" s="111">
        <f>($G101+(SUM($G158:H158)))*I$7</f>
        <v>0</v>
      </c>
      <c r="J158" s="111">
        <f>($G101+(SUM($G158:I158)))*J$7</f>
        <v>0</v>
      </c>
      <c r="K158" s="111">
        <f>($G101+(SUM($G158:J158)))*K$7</f>
        <v>0</v>
      </c>
      <c r="L158" s="111">
        <f>($G101+(SUM($G158:K158)))*L$7</f>
        <v>0</v>
      </c>
      <c r="M158" s="111">
        <f>($G101+(SUM($G158:L158)))*M$7</f>
        <v>0</v>
      </c>
      <c r="N158" s="111">
        <f>($G101+(SUM($G158:M158)))*N$7</f>
        <v>0</v>
      </c>
      <c r="O158" s="111">
        <f>($G101+(SUM($G158:N158)))*O$7</f>
        <v>0</v>
      </c>
      <c r="P158" s="111">
        <f>($G101+(SUM($G158:O158)))*P$7</f>
        <v>0</v>
      </c>
      <c r="Q158" s="111">
        <f>($G101+(SUM($G158:P158)))*Q$7</f>
        <v>0</v>
      </c>
      <c r="R158" s="100"/>
      <c r="S158" s="100"/>
      <c r="T158" s="100"/>
      <c r="U158" s="100"/>
      <c r="V158" s="100"/>
      <c r="W158" s="100"/>
      <c r="X158" s="100"/>
      <c r="Y158" s="100"/>
      <c r="Z158" s="100"/>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0"/>
      <c r="BK158" s="220"/>
    </row>
    <row r="159" spans="1:63" outlineLevel="1">
      <c r="A159" s="9"/>
      <c r="B159" s="46"/>
      <c r="C159" s="154" t="s">
        <v>29</v>
      </c>
      <c r="D159" s="9"/>
      <c r="E159" s="9"/>
      <c r="F159" s="141"/>
      <c r="G159" s="193"/>
      <c r="H159" s="111"/>
      <c r="I159" s="111"/>
      <c r="J159" s="111"/>
      <c r="K159" s="111"/>
      <c r="L159" s="111">
        <f>IF(M158=0, SUM($G158:L158), 0)</f>
        <v>0</v>
      </c>
      <c r="M159" s="111">
        <f>IF(N158=0, IF(M158=0, 0, SUM($G158:M158)), 0)</f>
        <v>0</v>
      </c>
      <c r="N159" s="111">
        <f>IF(O158=0, IF(N158=0, 0, SUM($G158:N158)), 0)</f>
        <v>0</v>
      </c>
      <c r="O159" s="111">
        <f>IF(P158=0, IF(O158=0, 0, SUM($G158:O158)), 0)</f>
        <v>0</v>
      </c>
      <c r="P159" s="111">
        <f>IF(Q158=0, IF(P158=0, 0, SUM($G158:P158)), 0)</f>
        <v>0</v>
      </c>
      <c r="Q159" s="111">
        <f>IF(R158=0, IF(Q158=0, 0, SUM($G158:Q158)), 0)</f>
        <v>0</v>
      </c>
      <c r="R159" s="100"/>
      <c r="S159" s="100"/>
      <c r="T159" s="100"/>
      <c r="U159" s="100"/>
      <c r="V159" s="100"/>
      <c r="W159" s="100"/>
      <c r="X159" s="100"/>
      <c r="Y159" s="100"/>
      <c r="Z159" s="100"/>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0"/>
      <c r="BK159" s="220"/>
    </row>
    <row r="160" spans="1:63" outlineLevel="1">
      <c r="A160" s="9"/>
      <c r="B160" s="46"/>
      <c r="C160" s="129">
        <f>Asset27</f>
        <v>0</v>
      </c>
      <c r="D160" s="9"/>
      <c r="E160" s="9"/>
      <c r="F160" s="141"/>
      <c r="G160" s="193"/>
      <c r="H160" s="111">
        <f>($G102+(SUM($G160:G160)))*H$7</f>
        <v>0</v>
      </c>
      <c r="I160" s="111">
        <f>($G102+(SUM($G160:H160)))*I$7</f>
        <v>0</v>
      </c>
      <c r="J160" s="111">
        <f>($G102+(SUM($G160:I160)))*J$7</f>
        <v>0</v>
      </c>
      <c r="K160" s="111">
        <f>($G102+(SUM($G160:J160)))*K$7</f>
        <v>0</v>
      </c>
      <c r="L160" s="111">
        <f>($G102+(SUM($G160:K160)))*L$7</f>
        <v>0</v>
      </c>
      <c r="M160" s="111">
        <f>($G102+(SUM($G160:L160)))*M$7</f>
        <v>0</v>
      </c>
      <c r="N160" s="111">
        <f>($G102+(SUM($G160:M160)))*N$7</f>
        <v>0</v>
      </c>
      <c r="O160" s="111">
        <f>($G102+(SUM($G160:N160)))*O$7</f>
        <v>0</v>
      </c>
      <c r="P160" s="111">
        <f>($G102+(SUM($G160:O160)))*P$7</f>
        <v>0</v>
      </c>
      <c r="Q160" s="111">
        <f>($G102+(SUM($G160:P160)))*Q$7</f>
        <v>0</v>
      </c>
      <c r="R160" s="100"/>
      <c r="S160" s="100"/>
      <c r="T160" s="100"/>
      <c r="U160" s="100"/>
      <c r="V160" s="100"/>
      <c r="W160" s="100"/>
      <c r="X160" s="100"/>
      <c r="Y160" s="100"/>
      <c r="Z160" s="100"/>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0"/>
      <c r="BK160" s="220"/>
    </row>
    <row r="161" spans="1:63" outlineLevel="1">
      <c r="A161" s="9"/>
      <c r="B161" s="46"/>
      <c r="C161" s="154" t="s">
        <v>29</v>
      </c>
      <c r="D161" s="9"/>
      <c r="E161" s="9"/>
      <c r="F161" s="141"/>
      <c r="G161" s="193"/>
      <c r="H161" s="111"/>
      <c r="I161" s="111"/>
      <c r="J161" s="111"/>
      <c r="K161" s="111"/>
      <c r="L161" s="111">
        <f>IF(M160=0, SUM($G160:L160), 0)</f>
        <v>0</v>
      </c>
      <c r="M161" s="111">
        <f>IF(N160=0, IF(M160=0, 0, SUM($G160:M160)), 0)</f>
        <v>0</v>
      </c>
      <c r="N161" s="111">
        <f>IF(O160=0, IF(N160=0, 0, SUM($G160:N160)), 0)</f>
        <v>0</v>
      </c>
      <c r="O161" s="111">
        <f>IF(P160=0, IF(O160=0, 0, SUM($G160:O160)), 0)</f>
        <v>0</v>
      </c>
      <c r="P161" s="111">
        <f>IF(Q160=0, IF(P160=0, 0, SUM($G160:P160)), 0)</f>
        <v>0</v>
      </c>
      <c r="Q161" s="111">
        <f>IF(R160=0, IF(Q160=0, 0, SUM($G160:Q160)), 0)</f>
        <v>0</v>
      </c>
      <c r="R161" s="100"/>
      <c r="S161" s="100"/>
      <c r="T161" s="100"/>
      <c r="U161" s="100"/>
      <c r="V161" s="100"/>
      <c r="W161" s="100"/>
      <c r="X161" s="100"/>
      <c r="Y161" s="100"/>
      <c r="Z161" s="100"/>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0"/>
      <c r="BK161" s="220"/>
    </row>
    <row r="162" spans="1:63" outlineLevel="1">
      <c r="A162" s="9"/>
      <c r="B162" s="46"/>
      <c r="C162" s="129">
        <f>Asset28</f>
        <v>0</v>
      </c>
      <c r="D162" s="9"/>
      <c r="E162" s="9"/>
      <c r="F162" s="141"/>
      <c r="G162" s="193"/>
      <c r="H162" s="111">
        <f>($G103+(SUM($G162:G162)))*H$7</f>
        <v>0</v>
      </c>
      <c r="I162" s="111">
        <f>($G103+(SUM($G162:H162)))*I$7</f>
        <v>0</v>
      </c>
      <c r="J162" s="111">
        <f>($G103+(SUM($G162:I162)))*J$7</f>
        <v>0</v>
      </c>
      <c r="K162" s="111">
        <f>($G103+(SUM($G162:J162)))*K$7</f>
        <v>0</v>
      </c>
      <c r="L162" s="111">
        <f>($G103+(SUM($G162:K162)))*L$7</f>
        <v>0</v>
      </c>
      <c r="M162" s="111">
        <f>($G103+(SUM($G162:L162)))*M$7</f>
        <v>0</v>
      </c>
      <c r="N162" s="111">
        <f>($G103+(SUM($G162:M162)))*N$7</f>
        <v>0</v>
      </c>
      <c r="O162" s="111">
        <f>($G103+(SUM($G162:N162)))*O$7</f>
        <v>0</v>
      </c>
      <c r="P162" s="111">
        <f>($G103+(SUM($G162:O162)))*P$7</f>
        <v>0</v>
      </c>
      <c r="Q162" s="111">
        <f>($G103+(SUM($G162:P162)))*Q$7</f>
        <v>0</v>
      </c>
      <c r="R162" s="100"/>
      <c r="S162" s="100"/>
      <c r="T162" s="100"/>
      <c r="U162" s="100"/>
      <c r="V162" s="100"/>
      <c r="W162" s="100"/>
      <c r="X162" s="100"/>
      <c r="Y162" s="100"/>
      <c r="Z162" s="100"/>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0"/>
      <c r="BK162" s="220"/>
    </row>
    <row r="163" spans="1:63" outlineLevel="1">
      <c r="A163" s="9"/>
      <c r="B163" s="46"/>
      <c r="C163" s="154" t="s">
        <v>29</v>
      </c>
      <c r="D163" s="9"/>
      <c r="E163" s="9"/>
      <c r="F163" s="141"/>
      <c r="G163" s="193"/>
      <c r="H163" s="111"/>
      <c r="I163" s="111"/>
      <c r="J163" s="111"/>
      <c r="K163" s="111"/>
      <c r="L163" s="111">
        <f>IF(M162=0, SUM($G162:L162), 0)</f>
        <v>0</v>
      </c>
      <c r="M163" s="111">
        <f>IF(N162=0, IF(M162=0, 0, SUM($G162:M162)), 0)</f>
        <v>0</v>
      </c>
      <c r="N163" s="111">
        <f>IF(O162=0, IF(N162=0, 0, SUM($G162:N162)), 0)</f>
        <v>0</v>
      </c>
      <c r="O163" s="111">
        <f>IF(P162=0, IF(O162=0, 0, SUM($G162:O162)), 0)</f>
        <v>0</v>
      </c>
      <c r="P163" s="111">
        <f>IF(Q162=0, IF(P162=0, 0, SUM($G162:P162)), 0)</f>
        <v>0</v>
      </c>
      <c r="Q163" s="111">
        <f>IF(R162=0, IF(Q162=0, 0, SUM($G162:Q162)), 0)</f>
        <v>0</v>
      </c>
      <c r="R163" s="100"/>
      <c r="S163" s="100"/>
      <c r="T163" s="100"/>
      <c r="U163" s="100"/>
      <c r="V163" s="100"/>
      <c r="W163" s="100"/>
      <c r="X163" s="100"/>
      <c r="Y163" s="100"/>
      <c r="Z163" s="100"/>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0"/>
      <c r="BK163" s="220"/>
    </row>
    <row r="164" spans="1:63" outlineLevel="1">
      <c r="A164" s="9"/>
      <c r="B164" s="46"/>
      <c r="C164" s="129">
        <f>Asset29</f>
        <v>0</v>
      </c>
      <c r="D164" s="9"/>
      <c r="E164" s="9"/>
      <c r="F164" s="141"/>
      <c r="G164" s="193"/>
      <c r="H164" s="111">
        <f>($G104+(SUM($G164:G164)))*H$7</f>
        <v>0</v>
      </c>
      <c r="I164" s="111">
        <f>($G104+(SUM($G164:H164)))*I$7</f>
        <v>0</v>
      </c>
      <c r="J164" s="111">
        <f>($G104+(SUM($G164:I164)))*J$7</f>
        <v>0</v>
      </c>
      <c r="K164" s="111">
        <f>($G104+(SUM($G164:J164)))*K$7</f>
        <v>0</v>
      </c>
      <c r="L164" s="111">
        <f>($G104+(SUM($G164:K164)))*L$7</f>
        <v>0</v>
      </c>
      <c r="M164" s="111">
        <f>($G104+(SUM($G164:L164)))*M$7</f>
        <v>0</v>
      </c>
      <c r="N164" s="111">
        <f>($G104+(SUM($G164:M164)))*N$7</f>
        <v>0</v>
      </c>
      <c r="O164" s="111">
        <f>($G104+(SUM($G164:N164)))*O$7</f>
        <v>0</v>
      </c>
      <c r="P164" s="111">
        <f>($G104+(SUM($G164:O164)))*P$7</f>
        <v>0</v>
      </c>
      <c r="Q164" s="111">
        <f>($G104+(SUM($G164:P164)))*Q$7</f>
        <v>0</v>
      </c>
      <c r="R164" s="100"/>
      <c r="S164" s="100"/>
      <c r="T164" s="100"/>
      <c r="U164" s="100"/>
      <c r="V164" s="100"/>
      <c r="W164" s="100"/>
      <c r="X164" s="100"/>
      <c r="Y164" s="100"/>
      <c r="Z164" s="100"/>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0"/>
      <c r="BK164" s="220"/>
    </row>
    <row r="165" spans="1:63" outlineLevel="1">
      <c r="A165" s="9"/>
      <c r="B165" s="46"/>
      <c r="C165" s="154" t="s">
        <v>29</v>
      </c>
      <c r="D165" s="9"/>
      <c r="E165" s="9"/>
      <c r="F165" s="141"/>
      <c r="G165" s="193"/>
      <c r="H165" s="111"/>
      <c r="I165" s="111"/>
      <c r="J165" s="111"/>
      <c r="K165" s="111"/>
      <c r="L165" s="111">
        <f>IF(M164=0, SUM($G164:L164), 0)</f>
        <v>0</v>
      </c>
      <c r="M165" s="111">
        <f>IF(N164=0, IF(M164=0, 0, SUM($G164:M164)), 0)</f>
        <v>0</v>
      </c>
      <c r="N165" s="111">
        <f>IF(O164=0, IF(N164=0, 0, SUM($G164:N164)), 0)</f>
        <v>0</v>
      </c>
      <c r="O165" s="111">
        <f>IF(P164=0, IF(O164=0, 0, SUM($G164:O164)), 0)</f>
        <v>0</v>
      </c>
      <c r="P165" s="111">
        <f>IF(Q164=0, IF(P164=0, 0, SUM($G164:P164)), 0)</f>
        <v>0</v>
      </c>
      <c r="Q165" s="111">
        <f>IF(R164=0, IF(Q164=0, 0, SUM($G164:Q164)), 0)</f>
        <v>0</v>
      </c>
      <c r="R165" s="100"/>
      <c r="S165" s="100"/>
      <c r="T165" s="100"/>
      <c r="U165" s="100"/>
      <c r="V165" s="100"/>
      <c r="W165" s="100"/>
      <c r="X165" s="100"/>
      <c r="Y165" s="100"/>
      <c r="Z165" s="100"/>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0"/>
      <c r="BK165" s="220"/>
    </row>
    <row r="166" spans="1:63" outlineLevel="1">
      <c r="A166" s="9"/>
      <c r="B166" s="46"/>
      <c r="C166" s="129">
        <f>Asset30</f>
        <v>0</v>
      </c>
      <c r="D166" s="9"/>
      <c r="E166" s="9"/>
      <c r="F166" s="141"/>
      <c r="G166" s="193"/>
      <c r="H166" s="111">
        <f>($G105+(SUM($G166:G166)))*H$7</f>
        <v>0</v>
      </c>
      <c r="I166" s="111">
        <f>($G105+(SUM($G166:H166)))*I$7</f>
        <v>0</v>
      </c>
      <c r="J166" s="111">
        <f>($G105+(SUM($G166:I166)))*J$7</f>
        <v>0</v>
      </c>
      <c r="K166" s="111">
        <f>($G105+(SUM($G166:J166)))*K$7</f>
        <v>0</v>
      </c>
      <c r="L166" s="111">
        <f>($G105+(SUM($G166:K166)))*L$7</f>
        <v>0</v>
      </c>
      <c r="M166" s="111">
        <f>($G105+(SUM($G166:L166)))*M$7</f>
        <v>0</v>
      </c>
      <c r="N166" s="111">
        <f>($G105+(SUM($G166:M166)))*N$7</f>
        <v>0</v>
      </c>
      <c r="O166" s="111">
        <f>($G105+(SUM($G166:N166)))*O$7</f>
        <v>0</v>
      </c>
      <c r="P166" s="111">
        <f>($G105+(SUM($G166:O166)))*P$7</f>
        <v>0</v>
      </c>
      <c r="Q166" s="111">
        <f>($G105+(SUM($G166:P166)))*Q$7</f>
        <v>0</v>
      </c>
      <c r="R166" s="100"/>
      <c r="S166" s="100"/>
      <c r="T166" s="100"/>
      <c r="U166" s="100"/>
      <c r="V166" s="100"/>
      <c r="W166" s="100"/>
      <c r="X166" s="100"/>
      <c r="Y166" s="100"/>
      <c r="Z166" s="100"/>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0"/>
      <c r="BK166" s="220"/>
    </row>
    <row r="167" spans="1:63" outlineLevel="1">
      <c r="A167" s="9"/>
      <c r="B167" s="46"/>
      <c r="C167" s="154" t="s">
        <v>29</v>
      </c>
      <c r="D167" s="9"/>
      <c r="E167" s="9"/>
      <c r="F167" s="141"/>
      <c r="G167" s="193"/>
      <c r="H167" s="111"/>
      <c r="I167" s="111"/>
      <c r="J167" s="111"/>
      <c r="K167" s="111"/>
      <c r="L167" s="111">
        <f>IF(M166=0, SUM($G166:L166), 0)</f>
        <v>0</v>
      </c>
      <c r="M167" s="111">
        <f>IF(N166=0, IF(M166=0, 0, SUM($G166:M166)), 0)</f>
        <v>0</v>
      </c>
      <c r="N167" s="111">
        <f>IF(O166=0, IF(N166=0, 0, SUM($G166:N166)), 0)</f>
        <v>0</v>
      </c>
      <c r="O167" s="111">
        <f>IF(P166=0, IF(O166=0, 0, SUM($G166:O166)), 0)</f>
        <v>0</v>
      </c>
      <c r="P167" s="111">
        <f>IF(Q166=0, IF(P166=0, 0, SUM($G166:P166)), 0)</f>
        <v>0</v>
      </c>
      <c r="Q167" s="111">
        <f>IF(R166=0, IF(Q166=0, 0, SUM($G166:Q166)), 0)</f>
        <v>0</v>
      </c>
      <c r="R167" s="100"/>
      <c r="S167" s="100"/>
      <c r="T167" s="100"/>
      <c r="U167" s="100"/>
      <c r="V167" s="100"/>
      <c r="W167" s="100"/>
      <c r="X167" s="100"/>
      <c r="Y167" s="100"/>
      <c r="Z167" s="100"/>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0"/>
      <c r="BK167" s="220"/>
    </row>
    <row r="168" spans="1:63">
      <c r="A168" s="9"/>
      <c r="B168" s="184" t="s">
        <v>42</v>
      </c>
      <c r="D168" s="9"/>
      <c r="E168" s="9"/>
      <c r="F168" s="141"/>
      <c r="G168" s="195"/>
      <c r="H168" s="117"/>
      <c r="I168" s="117"/>
      <c r="J168" s="117"/>
      <c r="K168" s="117"/>
      <c r="L168" s="117">
        <f>IF(M107=0, SUM($G107:L107), 0)</f>
        <v>2.2012107506336678</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0"/>
      <c r="S168" s="100"/>
      <c r="T168" s="100"/>
      <c r="U168" s="100"/>
      <c r="V168" s="100"/>
      <c r="W168" s="100"/>
      <c r="X168" s="100"/>
      <c r="Y168" s="100"/>
      <c r="Z168" s="100"/>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0"/>
      <c r="BK168" s="220"/>
    </row>
    <row r="169" spans="1:63">
      <c r="A169" s="9"/>
      <c r="B169" s="153"/>
      <c r="C169" s="26"/>
      <c r="D169" s="9"/>
      <c r="E169" s="9"/>
      <c r="F169" s="141"/>
      <c r="G169" s="117"/>
      <c r="H169" s="117"/>
      <c r="I169" s="117"/>
      <c r="J169" s="117"/>
      <c r="K169" s="117"/>
      <c r="L169" s="117"/>
      <c r="M169" s="9"/>
      <c r="N169" s="111"/>
      <c r="O169" s="152"/>
      <c r="P169" s="152"/>
      <c r="Q169" s="152"/>
      <c r="R169" s="100"/>
      <c r="S169" s="100"/>
      <c r="T169" s="100"/>
      <c r="U169" s="100"/>
      <c r="V169" s="100"/>
      <c r="W169" s="100"/>
      <c r="X169" s="100"/>
      <c r="Y169" s="100"/>
      <c r="Z169" s="100"/>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0"/>
      <c r="BK169" s="220"/>
    </row>
    <row r="170" spans="1:63">
      <c r="A170" s="73"/>
      <c r="B170" s="178" t="s">
        <v>52</v>
      </c>
      <c r="C170" s="179"/>
      <c r="D170" s="73"/>
      <c r="E170" s="73"/>
      <c r="F170" s="180"/>
      <c r="G170" s="181"/>
      <c r="H170" s="181"/>
      <c r="I170" s="181"/>
      <c r="J170" s="181"/>
      <c r="K170" s="181"/>
      <c r="L170" s="181"/>
      <c r="M170" s="73"/>
      <c r="N170" s="182"/>
      <c r="O170" s="183"/>
      <c r="P170" s="183"/>
      <c r="Q170" s="183"/>
      <c r="R170" s="183"/>
      <c r="S170" s="100"/>
      <c r="T170" s="100"/>
      <c r="U170" s="100"/>
      <c r="V170" s="100"/>
      <c r="W170" s="100"/>
      <c r="X170" s="100"/>
      <c r="Y170" s="100"/>
      <c r="Z170" s="100"/>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0"/>
      <c r="BK170" s="220"/>
    </row>
    <row r="171" spans="1:63">
      <c r="A171" s="9"/>
      <c r="B171" s="153"/>
      <c r="C171" s="26"/>
      <c r="D171" s="9"/>
      <c r="E171" s="9"/>
      <c r="F171" s="141"/>
      <c r="G171" s="117"/>
      <c r="H171" s="117"/>
      <c r="I171" s="117"/>
      <c r="J171" s="117"/>
      <c r="K171" s="117"/>
      <c r="L171" s="117"/>
      <c r="M171" s="9"/>
      <c r="N171" s="111"/>
      <c r="O171" s="152"/>
      <c r="P171" s="152"/>
      <c r="Q171" s="152"/>
      <c r="R171" s="100"/>
      <c r="S171" s="100"/>
      <c r="T171" s="100"/>
      <c r="U171" s="100"/>
      <c r="V171" s="100"/>
      <c r="W171" s="100"/>
      <c r="X171" s="100"/>
      <c r="Y171" s="100"/>
      <c r="Z171" s="100"/>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0"/>
      <c r="BK171" s="220"/>
    </row>
    <row r="172" spans="1:63">
      <c r="A172" s="9"/>
      <c r="B172" s="46" t="s">
        <v>53</v>
      </c>
      <c r="C172" s="9"/>
      <c r="D172" s="9"/>
      <c r="E172" s="9"/>
      <c r="F172" s="141"/>
      <c r="G172" s="195">
        <f>SUM(G173:G202)</f>
        <v>0</v>
      </c>
      <c r="H172" s="117"/>
      <c r="I172" s="117"/>
      <c r="J172" s="117"/>
      <c r="K172" s="117"/>
      <c r="L172" s="117"/>
      <c r="M172" s="9"/>
      <c r="N172" s="111"/>
      <c r="O172" s="152"/>
      <c r="P172" s="152"/>
      <c r="Q172" s="152"/>
      <c r="R172" s="100"/>
      <c r="S172" s="100"/>
      <c r="T172" s="100"/>
      <c r="U172" s="100"/>
      <c r="V172" s="100"/>
      <c r="W172" s="100"/>
      <c r="X172" s="100"/>
      <c r="Y172" s="100"/>
      <c r="Z172" s="100"/>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0"/>
      <c r="BK172" s="220"/>
    </row>
    <row r="173" spans="1:63" outlineLevel="1">
      <c r="A173" s="9"/>
      <c r="B173" s="9"/>
      <c r="C173" s="129" t="str">
        <f>Asset1</f>
        <v>Mains &amp; Services</v>
      </c>
      <c r="D173" s="9"/>
      <c r="E173" s="9"/>
      <c r="F173" s="141"/>
      <c r="G173" s="193">
        <f>Input!Q7</f>
        <v>0</v>
      </c>
      <c r="H173" s="117"/>
      <c r="I173" s="117"/>
      <c r="J173" s="117"/>
      <c r="K173" s="117"/>
      <c r="L173" s="117"/>
      <c r="M173" s="9"/>
      <c r="N173" s="111"/>
      <c r="O173" s="152"/>
      <c r="P173" s="152"/>
      <c r="Q173" s="152"/>
      <c r="R173" s="100"/>
      <c r="S173" s="100"/>
      <c r="T173" s="100"/>
      <c r="U173" s="100"/>
      <c r="V173" s="100"/>
      <c r="W173" s="100"/>
      <c r="X173" s="100"/>
      <c r="Y173" s="100"/>
      <c r="Z173" s="100"/>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0"/>
      <c r="BK173" s="220"/>
    </row>
    <row r="174" spans="1:63" outlineLevel="1">
      <c r="A174" s="9"/>
      <c r="B174" s="46"/>
      <c r="C174" s="129" t="str">
        <f>Asset2</f>
        <v>Meters</v>
      </c>
      <c r="D174" s="9"/>
      <c r="E174" s="9"/>
      <c r="F174" s="141"/>
      <c r="G174" s="193">
        <f>Input!Q8</f>
        <v>0</v>
      </c>
      <c r="H174" s="117"/>
      <c r="I174" s="117"/>
      <c r="J174" s="117"/>
      <c r="K174" s="117"/>
      <c r="L174" s="117"/>
      <c r="M174" s="9"/>
      <c r="N174" s="111"/>
      <c r="O174" s="152"/>
      <c r="P174" s="152"/>
      <c r="Q174" s="152"/>
      <c r="R174" s="100"/>
      <c r="S174" s="100"/>
      <c r="T174" s="100"/>
      <c r="U174" s="100"/>
      <c r="V174" s="100"/>
      <c r="W174" s="100"/>
      <c r="X174" s="100"/>
      <c r="Y174" s="100"/>
      <c r="Z174" s="100"/>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0"/>
      <c r="BK174" s="220"/>
    </row>
    <row r="175" spans="1:63" outlineLevel="1">
      <c r="A175" s="9"/>
      <c r="B175" s="46"/>
      <c r="C175" s="129" t="str">
        <f>Asset3</f>
        <v>Buildings</v>
      </c>
      <c r="D175" s="9"/>
      <c r="E175" s="9"/>
      <c r="F175" s="141"/>
      <c r="G175" s="193">
        <f>Input!Q9</f>
        <v>0</v>
      </c>
      <c r="H175" s="117"/>
      <c r="I175" s="117"/>
      <c r="J175" s="117"/>
      <c r="K175" s="117"/>
      <c r="L175" s="117"/>
      <c r="M175" s="9"/>
      <c r="N175" s="111"/>
      <c r="O175" s="152"/>
      <c r="P175" s="152"/>
      <c r="Q175" s="152"/>
      <c r="R175" s="100"/>
      <c r="S175" s="100"/>
      <c r="T175" s="100"/>
      <c r="U175" s="100"/>
      <c r="V175" s="100"/>
      <c r="W175" s="100"/>
      <c r="X175" s="100"/>
      <c r="Y175" s="100"/>
      <c r="Z175" s="100"/>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0"/>
      <c r="BK175" s="220"/>
    </row>
    <row r="176" spans="1:63" outlineLevel="1">
      <c r="A176" s="9"/>
      <c r="B176" s="46"/>
      <c r="C176" s="129" t="str">
        <f>Asset4</f>
        <v>SCADA</v>
      </c>
      <c r="D176" s="9"/>
      <c r="E176" s="9"/>
      <c r="F176" s="141"/>
      <c r="G176" s="193">
        <f>Input!Q10</f>
        <v>0</v>
      </c>
      <c r="H176" s="117"/>
      <c r="I176" s="117"/>
      <c r="J176" s="117"/>
      <c r="K176" s="117"/>
      <c r="L176" s="117"/>
      <c r="M176" s="9"/>
      <c r="N176" s="111"/>
      <c r="O176" s="152"/>
      <c r="P176" s="152"/>
      <c r="Q176" s="152"/>
      <c r="R176" s="100"/>
      <c r="S176" s="100"/>
      <c r="T176" s="100"/>
      <c r="U176" s="100"/>
      <c r="V176" s="100"/>
      <c r="W176" s="100"/>
      <c r="X176" s="100"/>
      <c r="Y176" s="100"/>
      <c r="Z176" s="100"/>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0"/>
      <c r="BK176" s="220"/>
    </row>
    <row r="177" spans="1:63" outlineLevel="1">
      <c r="A177" s="9"/>
      <c r="B177" s="46"/>
      <c r="C177" s="129" t="str">
        <f>Asset5</f>
        <v>Computer Equipment</v>
      </c>
      <c r="D177" s="9"/>
      <c r="E177" s="9"/>
      <c r="F177" s="141"/>
      <c r="G177" s="193">
        <f>Input!Q11</f>
        <v>0</v>
      </c>
      <c r="H177" s="117"/>
      <c r="I177" s="117"/>
      <c r="J177" s="117"/>
      <c r="K177" s="117"/>
      <c r="L177" s="117"/>
      <c r="M177" s="9"/>
      <c r="N177" s="111"/>
      <c r="O177" s="152"/>
      <c r="P177" s="152"/>
      <c r="Q177" s="152"/>
      <c r="R177" s="100"/>
      <c r="S177" s="100"/>
      <c r="T177" s="100"/>
      <c r="U177" s="100"/>
      <c r="V177" s="100"/>
      <c r="W177" s="100"/>
      <c r="X177" s="100"/>
      <c r="Y177" s="100"/>
      <c r="Z177" s="100"/>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0"/>
      <c r="BK177" s="220"/>
    </row>
    <row r="178" spans="1:63" outlineLevel="1">
      <c r="A178" s="9"/>
      <c r="B178" s="46"/>
      <c r="C178" s="129" t="str">
        <f>Asset6</f>
        <v>Other Assets</v>
      </c>
      <c r="D178" s="9"/>
      <c r="E178" s="9"/>
      <c r="F178" s="141"/>
      <c r="G178" s="193">
        <f>Input!Q12</f>
        <v>0</v>
      </c>
      <c r="H178" s="117"/>
      <c r="I178" s="117"/>
      <c r="J178" s="117"/>
      <c r="K178" s="117"/>
      <c r="L178" s="117"/>
      <c r="M178" s="9"/>
      <c r="N178" s="111"/>
      <c r="O178" s="152"/>
      <c r="P178" s="152"/>
      <c r="Q178" s="152"/>
      <c r="R178" s="100"/>
      <c r="S178" s="100"/>
      <c r="T178" s="100"/>
      <c r="U178" s="100"/>
      <c r="V178" s="100"/>
      <c r="W178" s="100"/>
      <c r="X178" s="100"/>
      <c r="Y178" s="100"/>
      <c r="Z178" s="100"/>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0"/>
      <c r="BK178" s="220"/>
    </row>
    <row r="179" spans="1:63" outlineLevel="1">
      <c r="A179" s="9"/>
      <c r="B179" s="46"/>
      <c r="C179" s="129" t="str">
        <f>Asset7</f>
        <v>Equity Raising Costs</v>
      </c>
      <c r="D179" s="9"/>
      <c r="E179" s="9"/>
      <c r="F179" s="141"/>
      <c r="G179" s="193">
        <f>Input!Q13</f>
        <v>0</v>
      </c>
      <c r="H179" s="117"/>
      <c r="I179" s="117"/>
      <c r="J179" s="117"/>
      <c r="K179" s="117"/>
      <c r="L179" s="117"/>
      <c r="M179" s="9"/>
      <c r="N179" s="111"/>
      <c r="O179" s="152"/>
      <c r="P179" s="152"/>
      <c r="Q179" s="152"/>
      <c r="R179" s="100"/>
      <c r="S179" s="100"/>
      <c r="T179" s="100"/>
      <c r="U179" s="100"/>
      <c r="V179" s="100"/>
      <c r="W179" s="100"/>
      <c r="X179" s="100"/>
      <c r="Y179" s="100"/>
      <c r="Z179" s="100"/>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0"/>
      <c r="BK179" s="220"/>
    </row>
    <row r="180" spans="1:63" outlineLevel="1">
      <c r="A180" s="9"/>
      <c r="B180" s="46"/>
      <c r="C180" s="129" t="str">
        <f>Asset8</f>
        <v>Land</v>
      </c>
      <c r="D180" s="9"/>
      <c r="E180" s="9"/>
      <c r="F180" s="141"/>
      <c r="G180" s="193">
        <f>Input!Q14</f>
        <v>0</v>
      </c>
      <c r="H180" s="117"/>
      <c r="I180" s="117"/>
      <c r="J180" s="117"/>
      <c r="K180" s="117"/>
      <c r="L180" s="117"/>
      <c r="M180" s="9"/>
      <c r="N180" s="111"/>
      <c r="O180" s="152"/>
      <c r="P180" s="152"/>
      <c r="Q180" s="152"/>
      <c r="R180" s="100"/>
      <c r="S180" s="100"/>
      <c r="T180" s="100"/>
      <c r="U180" s="100"/>
      <c r="V180" s="100"/>
      <c r="W180" s="100"/>
      <c r="X180" s="100"/>
      <c r="Y180" s="100"/>
      <c r="Z180" s="100"/>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0"/>
      <c r="BK180" s="220"/>
    </row>
    <row r="181" spans="1:63" outlineLevel="1">
      <c r="A181" s="9"/>
      <c r="B181" s="46"/>
      <c r="C181" s="129">
        <f>Asset9</f>
        <v>0</v>
      </c>
      <c r="D181" s="9"/>
      <c r="E181" s="9"/>
      <c r="F181" s="141"/>
      <c r="G181" s="193">
        <f>Input!Q15</f>
        <v>0</v>
      </c>
      <c r="H181" s="117"/>
      <c r="I181" s="117"/>
      <c r="J181" s="117"/>
      <c r="K181" s="117"/>
      <c r="L181" s="117"/>
      <c r="M181" s="9"/>
      <c r="N181" s="111"/>
      <c r="O181" s="152"/>
      <c r="P181" s="152"/>
      <c r="Q181" s="152"/>
      <c r="R181" s="100"/>
      <c r="S181" s="100"/>
      <c r="T181" s="100"/>
      <c r="U181" s="100"/>
      <c r="V181" s="100"/>
      <c r="W181" s="100"/>
      <c r="X181" s="100"/>
      <c r="Y181" s="100"/>
      <c r="Z181" s="100"/>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0"/>
      <c r="BK181" s="220"/>
    </row>
    <row r="182" spans="1:63" outlineLevel="1">
      <c r="A182" s="9"/>
      <c r="B182" s="46"/>
      <c r="C182" s="129">
        <f>Asset10</f>
        <v>0</v>
      </c>
      <c r="D182" s="9"/>
      <c r="E182" s="9"/>
      <c r="F182" s="141"/>
      <c r="G182" s="193">
        <f>Input!Q16</f>
        <v>0</v>
      </c>
      <c r="H182" s="117"/>
      <c r="I182" s="117"/>
      <c r="J182" s="117"/>
      <c r="K182" s="117"/>
      <c r="L182" s="117"/>
      <c r="M182" s="9"/>
      <c r="N182" s="111"/>
      <c r="O182" s="152"/>
      <c r="P182" s="152"/>
      <c r="Q182" s="152"/>
      <c r="R182" s="100"/>
      <c r="S182" s="100"/>
      <c r="T182" s="100"/>
      <c r="U182" s="100"/>
      <c r="V182" s="100"/>
      <c r="W182" s="100"/>
      <c r="X182" s="100"/>
      <c r="Y182" s="100"/>
      <c r="Z182" s="100"/>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0"/>
      <c r="BK182" s="220"/>
    </row>
    <row r="183" spans="1:63" outlineLevel="1">
      <c r="A183" s="9"/>
      <c r="B183" s="46"/>
      <c r="C183" s="129">
        <f>Asset11</f>
        <v>0</v>
      </c>
      <c r="D183" s="9"/>
      <c r="E183" s="9"/>
      <c r="F183" s="141"/>
      <c r="G183" s="193">
        <f>Input!Q17</f>
        <v>0</v>
      </c>
      <c r="H183" s="117"/>
      <c r="I183" s="117"/>
      <c r="J183" s="117"/>
      <c r="K183" s="117"/>
      <c r="L183" s="117"/>
      <c r="M183" s="9"/>
      <c r="N183" s="111"/>
      <c r="O183" s="152"/>
      <c r="P183" s="152"/>
      <c r="Q183" s="152"/>
      <c r="R183" s="100"/>
      <c r="S183" s="100"/>
      <c r="T183" s="100"/>
      <c r="U183" s="100"/>
      <c r="V183" s="100"/>
      <c r="W183" s="100"/>
      <c r="X183" s="100"/>
      <c r="Y183" s="100"/>
      <c r="Z183" s="100"/>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0"/>
      <c r="BK183" s="220"/>
    </row>
    <row r="184" spans="1:63" outlineLevel="1">
      <c r="A184" s="9"/>
      <c r="B184" s="46"/>
      <c r="C184" s="129">
        <f>Asset12</f>
        <v>0</v>
      </c>
      <c r="D184" s="9"/>
      <c r="E184" s="9"/>
      <c r="F184" s="141"/>
      <c r="G184" s="193">
        <f>Input!Q18</f>
        <v>0</v>
      </c>
      <c r="H184" s="117"/>
      <c r="I184" s="117"/>
      <c r="J184" s="117"/>
      <c r="K184" s="117"/>
      <c r="L184" s="117"/>
      <c r="M184" s="9"/>
      <c r="N184" s="111"/>
      <c r="O184" s="152"/>
      <c r="P184" s="152"/>
      <c r="Q184" s="152"/>
      <c r="R184" s="100"/>
      <c r="S184" s="100"/>
      <c r="T184" s="100"/>
      <c r="U184" s="100"/>
      <c r="V184" s="100"/>
      <c r="W184" s="100"/>
      <c r="X184" s="100"/>
      <c r="Y184" s="100"/>
      <c r="Z184" s="100"/>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0"/>
      <c r="BK184" s="220"/>
    </row>
    <row r="185" spans="1:63" outlineLevel="1">
      <c r="A185" s="9"/>
      <c r="B185" s="46"/>
      <c r="C185" s="129">
        <f>Asset13</f>
        <v>0</v>
      </c>
      <c r="D185" s="9"/>
      <c r="E185" s="9"/>
      <c r="F185" s="141"/>
      <c r="G185" s="193">
        <f>Input!Q19</f>
        <v>0</v>
      </c>
      <c r="H185" s="117"/>
      <c r="I185" s="117"/>
      <c r="J185" s="117"/>
      <c r="K185" s="117"/>
      <c r="L185" s="117"/>
      <c r="M185" s="9"/>
      <c r="N185" s="111"/>
      <c r="O185" s="152"/>
      <c r="P185" s="152"/>
      <c r="Q185" s="152"/>
      <c r="R185" s="100"/>
      <c r="S185" s="100"/>
      <c r="T185" s="100"/>
      <c r="U185" s="100"/>
      <c r="V185" s="100"/>
      <c r="W185" s="100"/>
      <c r="X185" s="100"/>
      <c r="Y185" s="100"/>
      <c r="Z185" s="100"/>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0"/>
      <c r="BK185" s="220"/>
    </row>
    <row r="186" spans="1:63" outlineLevel="1">
      <c r="A186" s="9"/>
      <c r="B186" s="46"/>
      <c r="C186" s="129">
        <f>Asset14</f>
        <v>0</v>
      </c>
      <c r="D186" s="9"/>
      <c r="E186" s="9"/>
      <c r="F186" s="141"/>
      <c r="G186" s="193">
        <f>Input!Q20</f>
        <v>0</v>
      </c>
      <c r="H186" s="117"/>
      <c r="I186" s="117"/>
      <c r="J186" s="117"/>
      <c r="K186" s="117"/>
      <c r="L186" s="117"/>
      <c r="M186" s="9"/>
      <c r="N186" s="111"/>
      <c r="O186" s="152"/>
      <c r="P186" s="152"/>
      <c r="Q186" s="152"/>
      <c r="R186" s="100"/>
      <c r="S186" s="100"/>
      <c r="T186" s="100"/>
      <c r="U186" s="100"/>
      <c r="V186" s="100"/>
      <c r="W186" s="100"/>
      <c r="X186" s="100"/>
      <c r="Y186" s="100"/>
      <c r="Z186" s="100"/>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0"/>
      <c r="BK186" s="220"/>
    </row>
    <row r="187" spans="1:63" outlineLevel="1">
      <c r="A187" s="9"/>
      <c r="B187" s="46"/>
      <c r="C187" s="129">
        <f>Asset15</f>
        <v>0</v>
      </c>
      <c r="D187" s="9"/>
      <c r="E187" s="9"/>
      <c r="F187" s="141"/>
      <c r="G187" s="193">
        <f>Input!Q21</f>
        <v>0</v>
      </c>
      <c r="H187" s="117"/>
      <c r="I187" s="117"/>
      <c r="J187" s="117"/>
      <c r="K187" s="117"/>
      <c r="L187" s="117"/>
      <c r="M187" s="9"/>
      <c r="N187" s="111"/>
      <c r="O187" s="152"/>
      <c r="P187" s="152"/>
      <c r="Q187" s="152"/>
      <c r="R187" s="100"/>
      <c r="S187" s="100"/>
      <c r="T187" s="100"/>
      <c r="U187" s="100"/>
      <c r="V187" s="100"/>
      <c r="W187" s="100"/>
      <c r="X187" s="100"/>
      <c r="Y187" s="100"/>
      <c r="Z187" s="100"/>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0"/>
      <c r="BK187" s="220"/>
    </row>
    <row r="188" spans="1:63" outlineLevel="1">
      <c r="A188" s="9"/>
      <c r="B188" s="46"/>
      <c r="C188" s="129">
        <f>Asset16</f>
        <v>0</v>
      </c>
      <c r="D188" s="9"/>
      <c r="E188" s="9"/>
      <c r="F188" s="141"/>
      <c r="G188" s="193">
        <f>Input!Q22</f>
        <v>0</v>
      </c>
      <c r="H188" s="117"/>
      <c r="I188" s="117"/>
      <c r="J188" s="117"/>
      <c r="K188" s="117"/>
      <c r="L188" s="117"/>
      <c r="M188" s="9"/>
      <c r="N188" s="111"/>
      <c r="O188" s="152"/>
      <c r="P188" s="152"/>
      <c r="Q188" s="152"/>
      <c r="R188" s="100"/>
      <c r="S188" s="100"/>
      <c r="T188" s="100"/>
      <c r="U188" s="100"/>
      <c r="V188" s="100"/>
      <c r="W188" s="100"/>
      <c r="X188" s="100"/>
      <c r="Y188" s="100"/>
      <c r="Z188" s="100"/>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0"/>
      <c r="BK188" s="220"/>
    </row>
    <row r="189" spans="1:63" outlineLevel="1">
      <c r="A189" s="9"/>
      <c r="B189" s="46"/>
      <c r="C189" s="129">
        <f>Asset17</f>
        <v>0</v>
      </c>
      <c r="D189" s="9"/>
      <c r="E189" s="9"/>
      <c r="F189" s="141"/>
      <c r="G189" s="193">
        <f>Input!Q23</f>
        <v>0</v>
      </c>
      <c r="H189" s="117"/>
      <c r="I189" s="117"/>
      <c r="J189" s="117"/>
      <c r="K189" s="117"/>
      <c r="L189" s="117"/>
      <c r="M189" s="9"/>
      <c r="N189" s="111"/>
      <c r="O189" s="152"/>
      <c r="P189" s="152"/>
      <c r="Q189" s="152"/>
      <c r="R189" s="100"/>
      <c r="S189" s="100"/>
      <c r="T189" s="100"/>
      <c r="U189" s="100"/>
      <c r="V189" s="100"/>
      <c r="W189" s="100"/>
      <c r="X189" s="100"/>
      <c r="Y189" s="100"/>
      <c r="Z189" s="100"/>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0"/>
      <c r="BK189" s="220"/>
    </row>
    <row r="190" spans="1:63" outlineLevel="1">
      <c r="A190" s="9"/>
      <c r="B190" s="46"/>
      <c r="C190" s="129">
        <f>Asset18</f>
        <v>0</v>
      </c>
      <c r="D190" s="9"/>
      <c r="E190" s="9"/>
      <c r="F190" s="141"/>
      <c r="G190" s="193">
        <f>Input!Q24</f>
        <v>0</v>
      </c>
      <c r="H190" s="117"/>
      <c r="I190" s="117"/>
      <c r="J190" s="117"/>
      <c r="K190" s="117"/>
      <c r="L190" s="117"/>
      <c r="M190" s="9"/>
      <c r="N190" s="111"/>
      <c r="O190" s="152"/>
      <c r="P190" s="152"/>
      <c r="Q190" s="152"/>
      <c r="R190" s="100"/>
      <c r="S190" s="100"/>
      <c r="T190" s="100"/>
      <c r="U190" s="100"/>
      <c r="V190" s="100"/>
      <c r="W190" s="100"/>
      <c r="X190" s="100"/>
      <c r="Y190" s="100"/>
      <c r="Z190" s="100"/>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0"/>
      <c r="BK190" s="220"/>
    </row>
    <row r="191" spans="1:63" outlineLevel="1">
      <c r="A191" s="9"/>
      <c r="B191" s="46"/>
      <c r="C191" s="129">
        <f>Asset19</f>
        <v>0</v>
      </c>
      <c r="D191" s="9"/>
      <c r="E191" s="9"/>
      <c r="F191" s="141"/>
      <c r="G191" s="193">
        <f>Input!Q25</f>
        <v>0</v>
      </c>
      <c r="H191" s="117"/>
      <c r="I191" s="117"/>
      <c r="J191" s="117"/>
      <c r="K191" s="117"/>
      <c r="L191" s="117"/>
      <c r="M191" s="9"/>
      <c r="N191" s="111"/>
      <c r="O191" s="152"/>
      <c r="P191" s="152"/>
      <c r="Q191" s="152"/>
      <c r="R191" s="100"/>
      <c r="S191" s="100"/>
      <c r="T191" s="100"/>
      <c r="U191" s="100"/>
      <c r="V191" s="100"/>
      <c r="W191" s="100"/>
      <c r="X191" s="100"/>
      <c r="Y191" s="100"/>
      <c r="Z191" s="100"/>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0"/>
      <c r="BK191" s="220"/>
    </row>
    <row r="192" spans="1:63" outlineLevel="1">
      <c r="A192" s="9"/>
      <c r="B192" s="46"/>
      <c r="C192" s="129">
        <f>Asset20</f>
        <v>0</v>
      </c>
      <c r="D192" s="9"/>
      <c r="E192" s="9"/>
      <c r="F192" s="141"/>
      <c r="G192" s="193">
        <f>Input!Q26</f>
        <v>0</v>
      </c>
      <c r="H192" s="117"/>
      <c r="I192" s="117"/>
      <c r="J192" s="117"/>
      <c r="K192" s="117"/>
      <c r="L192" s="117"/>
      <c r="M192" s="9"/>
      <c r="N192" s="111"/>
      <c r="O192" s="152"/>
      <c r="P192" s="152"/>
      <c r="Q192" s="152"/>
      <c r="R192" s="100"/>
      <c r="S192" s="100"/>
      <c r="T192" s="100"/>
      <c r="U192" s="100"/>
      <c r="V192" s="100"/>
      <c r="W192" s="100"/>
      <c r="X192" s="100"/>
      <c r="Y192" s="100"/>
      <c r="Z192" s="100"/>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0"/>
      <c r="BK192" s="220"/>
    </row>
    <row r="193" spans="1:63" outlineLevel="1">
      <c r="A193" s="9"/>
      <c r="B193" s="46"/>
      <c r="C193" s="129">
        <f>Asset21</f>
        <v>0</v>
      </c>
      <c r="D193" s="9"/>
      <c r="E193" s="9"/>
      <c r="F193" s="141"/>
      <c r="G193" s="193">
        <f>Input!Q27</f>
        <v>0</v>
      </c>
      <c r="H193" s="117"/>
      <c r="I193" s="117"/>
      <c r="J193" s="117"/>
      <c r="K193" s="117"/>
      <c r="L193" s="117"/>
      <c r="M193" s="9"/>
      <c r="N193" s="111"/>
      <c r="O193" s="152"/>
      <c r="P193" s="152"/>
      <c r="Q193" s="152"/>
      <c r="R193" s="100"/>
      <c r="S193" s="100"/>
      <c r="T193" s="100"/>
      <c r="U193" s="100"/>
      <c r="V193" s="100"/>
      <c r="W193" s="100"/>
      <c r="X193" s="100"/>
      <c r="Y193" s="100"/>
      <c r="Z193" s="100"/>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0"/>
      <c r="BK193" s="220"/>
    </row>
    <row r="194" spans="1:63" outlineLevel="1">
      <c r="A194" s="9"/>
      <c r="B194" s="46"/>
      <c r="C194" s="129">
        <f>Asset22</f>
        <v>0</v>
      </c>
      <c r="D194" s="9"/>
      <c r="E194" s="9"/>
      <c r="F194" s="141"/>
      <c r="G194" s="193">
        <f>Input!Q28</f>
        <v>0</v>
      </c>
      <c r="H194" s="117"/>
      <c r="I194" s="117"/>
      <c r="J194" s="117"/>
      <c r="K194" s="117"/>
      <c r="L194" s="117"/>
      <c r="M194" s="9"/>
      <c r="N194" s="111"/>
      <c r="O194" s="152"/>
      <c r="P194" s="152"/>
      <c r="Q194" s="152"/>
      <c r="R194" s="100"/>
      <c r="S194" s="100"/>
      <c r="T194" s="100"/>
      <c r="U194" s="100"/>
      <c r="V194" s="100"/>
      <c r="W194" s="100"/>
      <c r="X194" s="100"/>
      <c r="Y194" s="100"/>
      <c r="Z194" s="100"/>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0"/>
      <c r="BK194" s="220"/>
    </row>
    <row r="195" spans="1:63" outlineLevel="1">
      <c r="A195" s="9"/>
      <c r="B195" s="46"/>
      <c r="C195" s="129">
        <f>Asset23</f>
        <v>0</v>
      </c>
      <c r="D195" s="9"/>
      <c r="E195" s="9"/>
      <c r="F195" s="141"/>
      <c r="G195" s="193">
        <f>Input!Q29</f>
        <v>0</v>
      </c>
      <c r="H195" s="117"/>
      <c r="I195" s="117"/>
      <c r="J195" s="117"/>
      <c r="K195" s="117"/>
      <c r="L195" s="117"/>
      <c r="M195" s="9"/>
      <c r="N195" s="111"/>
      <c r="O195" s="152"/>
      <c r="P195" s="152"/>
      <c r="Q195" s="152"/>
      <c r="R195" s="100"/>
      <c r="S195" s="100"/>
      <c r="T195" s="100"/>
      <c r="U195" s="100"/>
      <c r="V195" s="100"/>
      <c r="W195" s="100"/>
      <c r="X195" s="100"/>
      <c r="Y195" s="100"/>
      <c r="Z195" s="100"/>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0"/>
      <c r="BK195" s="220"/>
    </row>
    <row r="196" spans="1:63" outlineLevel="1">
      <c r="A196" s="9"/>
      <c r="B196" s="46"/>
      <c r="C196" s="129">
        <f>Asset24</f>
        <v>0</v>
      </c>
      <c r="D196" s="9"/>
      <c r="E196" s="9"/>
      <c r="F196" s="141"/>
      <c r="G196" s="193">
        <f>Input!Q30</f>
        <v>0</v>
      </c>
      <c r="H196" s="117"/>
      <c r="I196" s="117"/>
      <c r="J196" s="117"/>
      <c r="K196" s="117"/>
      <c r="L196" s="117"/>
      <c r="M196" s="9"/>
      <c r="N196" s="111"/>
      <c r="O196" s="152"/>
      <c r="P196" s="152"/>
      <c r="Q196" s="152"/>
      <c r="R196" s="100"/>
      <c r="S196" s="100"/>
      <c r="T196" s="100"/>
      <c r="U196" s="100"/>
      <c r="V196" s="100"/>
      <c r="W196" s="100"/>
      <c r="X196" s="100"/>
      <c r="Y196" s="100"/>
      <c r="Z196" s="100"/>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0"/>
      <c r="BK196" s="220"/>
    </row>
    <row r="197" spans="1:63" outlineLevel="1">
      <c r="A197" s="9"/>
      <c r="B197" s="46"/>
      <c r="C197" s="129">
        <f>Asset25</f>
        <v>0</v>
      </c>
      <c r="D197" s="9"/>
      <c r="E197" s="9"/>
      <c r="F197" s="141"/>
      <c r="G197" s="193">
        <f>Input!Q31</f>
        <v>0</v>
      </c>
      <c r="H197" s="117"/>
      <c r="I197" s="117"/>
      <c r="J197" s="117"/>
      <c r="K197" s="117"/>
      <c r="L197" s="117"/>
      <c r="M197" s="9"/>
      <c r="N197" s="111"/>
      <c r="O197" s="152"/>
      <c r="P197" s="152"/>
      <c r="Q197" s="152"/>
      <c r="R197" s="100"/>
      <c r="S197" s="100"/>
      <c r="T197" s="100"/>
      <c r="U197" s="100"/>
      <c r="V197" s="100"/>
      <c r="W197" s="100"/>
      <c r="X197" s="100"/>
      <c r="Y197" s="100"/>
      <c r="Z197" s="100"/>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0"/>
      <c r="BK197" s="220"/>
    </row>
    <row r="198" spans="1:63" outlineLevel="1">
      <c r="A198" s="9"/>
      <c r="B198" s="46"/>
      <c r="C198" s="129">
        <f>Asset26</f>
        <v>0</v>
      </c>
      <c r="D198" s="9"/>
      <c r="E198" s="9"/>
      <c r="F198" s="141"/>
      <c r="G198" s="193">
        <f>Input!Q32</f>
        <v>0</v>
      </c>
      <c r="H198" s="117"/>
      <c r="I198" s="117"/>
      <c r="J198" s="117"/>
      <c r="K198" s="117"/>
      <c r="L198" s="117"/>
      <c r="M198" s="9"/>
      <c r="N198" s="111"/>
      <c r="O198" s="152"/>
      <c r="P198" s="152"/>
      <c r="Q198" s="152"/>
      <c r="R198" s="100"/>
      <c r="S198" s="100"/>
      <c r="T198" s="100"/>
      <c r="U198" s="100"/>
      <c r="V198" s="100"/>
      <c r="W198" s="100"/>
      <c r="X198" s="100"/>
      <c r="Y198" s="100"/>
      <c r="Z198" s="100"/>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0"/>
      <c r="BK198" s="220"/>
    </row>
    <row r="199" spans="1:63" outlineLevel="1">
      <c r="A199" s="9"/>
      <c r="B199" s="46"/>
      <c r="C199" s="129">
        <f>Asset27</f>
        <v>0</v>
      </c>
      <c r="D199" s="9"/>
      <c r="E199" s="9"/>
      <c r="F199" s="141"/>
      <c r="G199" s="193">
        <f>Input!Q33</f>
        <v>0</v>
      </c>
      <c r="H199" s="117"/>
      <c r="I199" s="117"/>
      <c r="J199" s="117"/>
      <c r="K199" s="117"/>
      <c r="L199" s="117"/>
      <c r="M199" s="9"/>
      <c r="N199" s="111"/>
      <c r="O199" s="152"/>
      <c r="P199" s="152"/>
      <c r="Q199" s="152"/>
      <c r="R199" s="100"/>
      <c r="S199" s="100"/>
      <c r="T199" s="100"/>
      <c r="U199" s="100"/>
      <c r="V199" s="100"/>
      <c r="W199" s="100"/>
      <c r="X199" s="100"/>
      <c r="Y199" s="100"/>
      <c r="Z199" s="100"/>
      <c r="AA199" s="227"/>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0"/>
      <c r="BK199" s="220"/>
    </row>
    <row r="200" spans="1:63" outlineLevel="1">
      <c r="A200" s="9"/>
      <c r="B200" s="46"/>
      <c r="C200" s="129">
        <f>Asset28</f>
        <v>0</v>
      </c>
      <c r="D200" s="9"/>
      <c r="E200" s="9"/>
      <c r="F200" s="141"/>
      <c r="G200" s="193">
        <f>Input!Q34</f>
        <v>0</v>
      </c>
      <c r="H200" s="117"/>
      <c r="I200" s="117"/>
      <c r="J200" s="117"/>
      <c r="K200" s="117"/>
      <c r="L200" s="117"/>
      <c r="M200" s="9"/>
      <c r="N200" s="111"/>
      <c r="O200" s="152"/>
      <c r="P200" s="152"/>
      <c r="Q200" s="152"/>
      <c r="R200" s="100"/>
      <c r="S200" s="100"/>
      <c r="T200" s="100"/>
      <c r="U200" s="100"/>
      <c r="V200" s="100"/>
      <c r="W200" s="100"/>
      <c r="X200" s="100"/>
      <c r="Y200" s="100"/>
      <c r="Z200" s="100"/>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0"/>
      <c r="BK200" s="220"/>
    </row>
    <row r="201" spans="1:63" outlineLevel="1">
      <c r="A201" s="9"/>
      <c r="B201" s="46"/>
      <c r="C201" s="129">
        <f>Asset29</f>
        <v>0</v>
      </c>
      <c r="D201" s="9"/>
      <c r="E201" s="9"/>
      <c r="F201" s="141"/>
      <c r="G201" s="193">
        <f>Input!Q35</f>
        <v>0</v>
      </c>
      <c r="H201" s="117"/>
      <c r="I201" s="117"/>
      <c r="J201" s="117"/>
      <c r="K201" s="117"/>
      <c r="L201" s="117"/>
      <c r="M201" s="9"/>
      <c r="N201" s="111"/>
      <c r="O201" s="152"/>
      <c r="P201" s="152"/>
      <c r="Q201" s="152"/>
      <c r="R201" s="100"/>
      <c r="S201" s="100"/>
      <c r="T201" s="100"/>
      <c r="U201" s="100"/>
      <c r="V201" s="100"/>
      <c r="W201" s="100"/>
      <c r="X201" s="100"/>
      <c r="Y201" s="100"/>
      <c r="Z201" s="100"/>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0"/>
      <c r="BK201" s="220"/>
    </row>
    <row r="202" spans="1:63" outlineLevel="1">
      <c r="A202" s="9"/>
      <c r="B202" s="46"/>
      <c r="C202" s="129">
        <f>Asset30</f>
        <v>0</v>
      </c>
      <c r="D202" s="9"/>
      <c r="E202" s="9"/>
      <c r="F202" s="141"/>
      <c r="G202" s="193">
        <f>Input!Q36</f>
        <v>0</v>
      </c>
      <c r="H202" s="117"/>
      <c r="I202" s="117"/>
      <c r="J202" s="117"/>
      <c r="K202" s="117"/>
      <c r="L202" s="117"/>
      <c r="M202" s="9"/>
      <c r="N202" s="111"/>
      <c r="O202" s="152"/>
      <c r="P202" s="152"/>
      <c r="Q202" s="152"/>
      <c r="R202" s="100"/>
      <c r="S202" s="100"/>
      <c r="T202" s="100"/>
      <c r="U202" s="100"/>
      <c r="V202" s="100"/>
      <c r="W202" s="100"/>
      <c r="X202" s="100"/>
      <c r="Y202" s="100"/>
      <c r="Z202" s="100"/>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0"/>
      <c r="BK202" s="220"/>
    </row>
    <row r="203" spans="1:63">
      <c r="A203" s="9"/>
      <c r="B203" s="153"/>
      <c r="C203" s="26"/>
      <c r="D203" s="9"/>
      <c r="E203" s="9"/>
      <c r="F203" s="141"/>
      <c r="G203" s="195"/>
      <c r="H203" s="117"/>
      <c r="I203" s="117"/>
      <c r="J203" s="117"/>
      <c r="K203" s="117"/>
      <c r="L203" s="117"/>
      <c r="M203" s="9"/>
      <c r="N203" s="111"/>
      <c r="O203" s="152"/>
      <c r="P203" s="152"/>
      <c r="Q203" s="152"/>
      <c r="R203" s="100"/>
      <c r="S203" s="100"/>
      <c r="T203" s="100"/>
      <c r="U203" s="100"/>
      <c r="V203" s="100"/>
      <c r="W203" s="100"/>
      <c r="X203" s="100"/>
      <c r="Y203" s="100"/>
      <c r="Z203" s="100"/>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0"/>
      <c r="BK203" s="220"/>
    </row>
    <row r="204" spans="1:63">
      <c r="A204" s="9"/>
      <c r="B204" s="153" t="s">
        <v>54</v>
      </c>
      <c r="C204" s="26"/>
      <c r="D204" s="9"/>
      <c r="E204" s="9"/>
      <c r="F204" s="141"/>
      <c r="G204" s="195">
        <f>SUM(G205:G234)</f>
        <v>0</v>
      </c>
      <c r="H204" s="117"/>
      <c r="I204" s="117"/>
      <c r="J204" s="117"/>
      <c r="K204" s="117"/>
      <c r="L204" s="117"/>
      <c r="M204" s="9"/>
      <c r="N204" s="111"/>
      <c r="O204" s="152"/>
      <c r="P204" s="152"/>
      <c r="Q204" s="152"/>
      <c r="R204" s="100"/>
      <c r="S204" s="100"/>
      <c r="T204" s="100"/>
      <c r="U204" s="100"/>
      <c r="V204" s="100"/>
      <c r="W204" s="100"/>
      <c r="X204" s="100"/>
      <c r="Y204" s="100"/>
      <c r="Z204" s="100"/>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0"/>
      <c r="BK204" s="220"/>
    </row>
    <row r="205" spans="1:63" outlineLevel="1">
      <c r="A205" s="9"/>
      <c r="B205" s="9"/>
      <c r="C205" s="129" t="str">
        <f>Asset1</f>
        <v>Mains &amp; Services</v>
      </c>
      <c r="D205" s="9"/>
      <c r="E205" s="9"/>
      <c r="F205" s="141"/>
      <c r="G205" s="193">
        <f>Input!R7</f>
        <v>0</v>
      </c>
      <c r="H205" s="117"/>
      <c r="I205" s="117"/>
      <c r="J205" s="117"/>
      <c r="K205" s="117"/>
      <c r="L205" s="117"/>
      <c r="M205" s="9"/>
      <c r="N205" s="111"/>
      <c r="O205" s="152"/>
      <c r="P205" s="152"/>
      <c r="Q205" s="152"/>
      <c r="R205" s="100"/>
      <c r="S205" s="100"/>
      <c r="T205" s="100"/>
      <c r="U205" s="100"/>
      <c r="V205" s="100"/>
      <c r="W205" s="100"/>
      <c r="X205" s="100"/>
      <c r="Y205" s="100"/>
      <c r="Z205" s="100"/>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0"/>
      <c r="BK205" s="220"/>
    </row>
    <row r="206" spans="1:63" outlineLevel="1">
      <c r="A206" s="9"/>
      <c r="B206" s="46"/>
      <c r="C206" s="129" t="str">
        <f>Asset2</f>
        <v>Meters</v>
      </c>
      <c r="D206" s="9"/>
      <c r="E206" s="9"/>
      <c r="F206" s="141"/>
      <c r="G206" s="193">
        <f>Input!R8</f>
        <v>0</v>
      </c>
      <c r="H206" s="117"/>
      <c r="I206" s="117"/>
      <c r="J206" s="117"/>
      <c r="K206" s="117"/>
      <c r="L206" s="117"/>
      <c r="M206" s="9"/>
      <c r="N206" s="111"/>
      <c r="O206" s="152"/>
      <c r="P206" s="152"/>
      <c r="Q206" s="152"/>
      <c r="R206" s="100"/>
      <c r="S206" s="100"/>
      <c r="T206" s="100"/>
      <c r="U206" s="100"/>
      <c r="V206" s="100"/>
      <c r="W206" s="100"/>
      <c r="X206" s="100"/>
      <c r="Y206" s="100"/>
      <c r="Z206" s="100"/>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0"/>
      <c r="BK206" s="220"/>
    </row>
    <row r="207" spans="1:63" outlineLevel="1">
      <c r="A207" s="9"/>
      <c r="B207" s="46"/>
      <c r="C207" s="129" t="str">
        <f>Asset3</f>
        <v>Buildings</v>
      </c>
      <c r="D207" s="9"/>
      <c r="E207" s="9"/>
      <c r="F207" s="141"/>
      <c r="G207" s="193">
        <f>Input!R9</f>
        <v>0</v>
      </c>
      <c r="H207" s="117"/>
      <c r="I207" s="117"/>
      <c r="J207" s="117"/>
      <c r="K207" s="117"/>
      <c r="L207" s="117"/>
      <c r="M207" s="9"/>
      <c r="N207" s="111"/>
      <c r="O207" s="152"/>
      <c r="P207" s="152"/>
      <c r="Q207" s="152"/>
      <c r="R207" s="100"/>
      <c r="S207" s="100"/>
      <c r="T207" s="100"/>
      <c r="U207" s="100"/>
      <c r="V207" s="100"/>
      <c r="W207" s="100"/>
      <c r="X207" s="100"/>
      <c r="Y207" s="100"/>
      <c r="Z207" s="100"/>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0"/>
      <c r="BK207" s="220"/>
    </row>
    <row r="208" spans="1:63" outlineLevel="1">
      <c r="A208" s="9"/>
      <c r="B208" s="46"/>
      <c r="C208" s="129" t="str">
        <f>Asset4</f>
        <v>SCADA</v>
      </c>
      <c r="D208" s="9"/>
      <c r="E208" s="9"/>
      <c r="F208" s="141"/>
      <c r="G208" s="193">
        <f>Input!R10</f>
        <v>0</v>
      </c>
      <c r="H208" s="117"/>
      <c r="I208" s="117"/>
      <c r="J208" s="117"/>
      <c r="K208" s="117"/>
      <c r="L208" s="117"/>
      <c r="M208" s="9"/>
      <c r="N208" s="111"/>
      <c r="O208" s="152"/>
      <c r="P208" s="152"/>
      <c r="Q208" s="152"/>
      <c r="R208" s="100"/>
      <c r="S208" s="100"/>
      <c r="T208" s="100"/>
      <c r="U208" s="100"/>
      <c r="V208" s="100"/>
      <c r="W208" s="100"/>
      <c r="X208" s="100"/>
      <c r="Y208" s="100"/>
      <c r="Z208" s="100"/>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0"/>
      <c r="BK208" s="220"/>
    </row>
    <row r="209" spans="1:63" outlineLevel="1">
      <c r="A209" s="9"/>
      <c r="B209" s="46"/>
      <c r="C209" s="129" t="str">
        <f>Asset5</f>
        <v>Computer Equipment</v>
      </c>
      <c r="D209" s="9"/>
      <c r="E209" s="9"/>
      <c r="F209" s="141"/>
      <c r="G209" s="193">
        <f>Input!R11</f>
        <v>0</v>
      </c>
      <c r="H209" s="117"/>
      <c r="I209" s="117"/>
      <c r="J209" s="117"/>
      <c r="K209" s="117"/>
      <c r="L209" s="117"/>
      <c r="M209" s="9"/>
      <c r="N209" s="111"/>
      <c r="O209" s="152"/>
      <c r="P209" s="152"/>
      <c r="Q209" s="152"/>
      <c r="R209" s="100"/>
      <c r="S209" s="100"/>
      <c r="T209" s="100"/>
      <c r="U209" s="100"/>
      <c r="V209" s="100"/>
      <c r="W209" s="100"/>
      <c r="X209" s="100"/>
      <c r="Y209" s="100"/>
      <c r="Z209" s="100"/>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0"/>
      <c r="BK209" s="220"/>
    </row>
    <row r="210" spans="1:63" outlineLevel="1">
      <c r="A210" s="9"/>
      <c r="B210" s="46"/>
      <c r="C210" s="129" t="str">
        <f>Asset6</f>
        <v>Other Assets</v>
      </c>
      <c r="D210" s="9"/>
      <c r="E210" s="9"/>
      <c r="F210" s="141"/>
      <c r="G210" s="193">
        <f>Input!R12</f>
        <v>0</v>
      </c>
      <c r="H210" s="117"/>
      <c r="I210" s="117"/>
      <c r="J210" s="117"/>
      <c r="K210" s="117"/>
      <c r="L210" s="117"/>
      <c r="M210" s="9"/>
      <c r="N210" s="111"/>
      <c r="O210" s="152"/>
      <c r="P210" s="152"/>
      <c r="Q210" s="152"/>
      <c r="R210" s="100"/>
      <c r="S210" s="100"/>
      <c r="T210" s="100"/>
      <c r="U210" s="100"/>
      <c r="V210" s="100"/>
      <c r="W210" s="100"/>
      <c r="X210" s="100"/>
      <c r="Y210" s="100"/>
      <c r="Z210" s="100"/>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0"/>
      <c r="BK210" s="220"/>
    </row>
    <row r="211" spans="1:63" outlineLevel="1">
      <c r="A211" s="9"/>
      <c r="B211" s="46"/>
      <c r="C211" s="129" t="str">
        <f>Asset7</f>
        <v>Equity Raising Costs</v>
      </c>
      <c r="D211" s="9"/>
      <c r="E211" s="9"/>
      <c r="F211" s="141"/>
      <c r="G211" s="193">
        <f>Input!R13</f>
        <v>0</v>
      </c>
      <c r="H211" s="117"/>
      <c r="I211" s="117"/>
      <c r="J211" s="117"/>
      <c r="K211" s="117"/>
      <c r="L211" s="117"/>
      <c r="M211" s="9"/>
      <c r="N211" s="111"/>
      <c r="O211" s="152"/>
      <c r="P211" s="152"/>
      <c r="Q211" s="152"/>
      <c r="R211" s="100"/>
      <c r="S211" s="100"/>
      <c r="T211" s="100"/>
      <c r="U211" s="100"/>
      <c r="V211" s="100"/>
      <c r="W211" s="100"/>
      <c r="X211" s="100"/>
      <c r="Y211" s="100"/>
      <c r="Z211" s="100"/>
      <c r="AA211" s="227"/>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0"/>
      <c r="BK211" s="220"/>
    </row>
    <row r="212" spans="1:63" outlineLevel="1">
      <c r="A212" s="9"/>
      <c r="B212" s="46"/>
      <c r="C212" s="129" t="str">
        <f>Asset8</f>
        <v>Land</v>
      </c>
      <c r="D212" s="9"/>
      <c r="E212" s="9"/>
      <c r="F212" s="141"/>
      <c r="G212" s="193">
        <f>Input!R14</f>
        <v>0</v>
      </c>
      <c r="H212" s="117"/>
      <c r="I212" s="117"/>
      <c r="J212" s="117"/>
      <c r="K212" s="117"/>
      <c r="L212" s="117"/>
      <c r="M212" s="9"/>
      <c r="N212" s="111"/>
      <c r="O212" s="152"/>
      <c r="P212" s="152"/>
      <c r="Q212" s="152"/>
      <c r="R212" s="100"/>
      <c r="S212" s="100"/>
      <c r="T212" s="100"/>
      <c r="U212" s="100"/>
      <c r="V212" s="100"/>
      <c r="W212" s="100"/>
      <c r="X212" s="100"/>
      <c r="Y212" s="100"/>
      <c r="Z212" s="100"/>
      <c r="AA212" s="227"/>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0"/>
      <c r="BK212" s="220"/>
    </row>
    <row r="213" spans="1:63" outlineLevel="1">
      <c r="A213" s="9"/>
      <c r="B213" s="46"/>
      <c r="C213" s="129">
        <f>Asset9</f>
        <v>0</v>
      </c>
      <c r="D213" s="9"/>
      <c r="E213" s="9"/>
      <c r="F213" s="141"/>
      <c r="G213" s="193">
        <f>Input!R15</f>
        <v>0</v>
      </c>
      <c r="H213" s="117"/>
      <c r="I213" s="117"/>
      <c r="J213" s="117"/>
      <c r="K213" s="117"/>
      <c r="L213" s="117"/>
      <c r="M213" s="9"/>
      <c r="N213" s="111"/>
      <c r="O213" s="152"/>
      <c r="P213" s="152"/>
      <c r="Q213" s="152"/>
      <c r="R213" s="100"/>
      <c r="S213" s="100"/>
      <c r="T213" s="100"/>
      <c r="U213" s="100"/>
      <c r="V213" s="100"/>
      <c r="W213" s="100"/>
      <c r="X213" s="100"/>
      <c r="Y213" s="100"/>
      <c r="Z213" s="100"/>
      <c r="AA213" s="227"/>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0"/>
      <c r="BK213" s="220"/>
    </row>
    <row r="214" spans="1:63" outlineLevel="1">
      <c r="A214" s="9"/>
      <c r="B214" s="46"/>
      <c r="C214" s="129">
        <f>Asset10</f>
        <v>0</v>
      </c>
      <c r="D214" s="9"/>
      <c r="E214" s="9"/>
      <c r="F214" s="141"/>
      <c r="G214" s="193">
        <f>Input!R16</f>
        <v>0</v>
      </c>
      <c r="H214" s="117"/>
      <c r="I214" s="117"/>
      <c r="J214" s="117"/>
      <c r="K214" s="117"/>
      <c r="L214" s="117"/>
      <c r="M214" s="9"/>
      <c r="N214" s="111"/>
      <c r="O214" s="152"/>
      <c r="P214" s="152"/>
      <c r="Q214" s="152"/>
      <c r="R214" s="100"/>
      <c r="S214" s="100"/>
      <c r="T214" s="100"/>
      <c r="U214" s="100"/>
      <c r="V214" s="100"/>
      <c r="W214" s="100"/>
      <c r="X214" s="100"/>
      <c r="Y214" s="100"/>
      <c r="Z214" s="100"/>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0"/>
      <c r="BK214" s="220"/>
    </row>
    <row r="215" spans="1:63" outlineLevel="1">
      <c r="A215" s="9"/>
      <c r="B215" s="46"/>
      <c r="C215" s="129">
        <f>Asset11</f>
        <v>0</v>
      </c>
      <c r="D215" s="9"/>
      <c r="E215" s="9"/>
      <c r="F215" s="141"/>
      <c r="G215" s="193">
        <f>Input!R17</f>
        <v>0</v>
      </c>
      <c r="H215" s="117"/>
      <c r="I215" s="117"/>
      <c r="J215" s="117"/>
      <c r="K215" s="117"/>
      <c r="L215" s="117"/>
      <c r="M215" s="9"/>
      <c r="N215" s="111"/>
      <c r="O215" s="152"/>
      <c r="P215" s="152"/>
      <c r="Q215" s="152"/>
      <c r="R215" s="100"/>
      <c r="S215" s="100"/>
      <c r="T215" s="100"/>
      <c r="U215" s="100"/>
      <c r="V215" s="100"/>
      <c r="W215" s="100"/>
      <c r="X215" s="100"/>
      <c r="Y215" s="100"/>
      <c r="Z215" s="100"/>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0"/>
      <c r="BK215" s="220"/>
    </row>
    <row r="216" spans="1:63" outlineLevel="1">
      <c r="A216" s="9"/>
      <c r="B216" s="46"/>
      <c r="C216" s="129">
        <f>Asset12</f>
        <v>0</v>
      </c>
      <c r="D216" s="9"/>
      <c r="E216" s="9"/>
      <c r="F216" s="141"/>
      <c r="G216" s="193">
        <f>Input!R18</f>
        <v>0</v>
      </c>
      <c r="H216" s="117"/>
      <c r="I216" s="117"/>
      <c r="J216" s="117"/>
      <c r="K216" s="117"/>
      <c r="L216" s="117"/>
      <c r="M216" s="9"/>
      <c r="N216" s="111"/>
      <c r="O216" s="152"/>
      <c r="P216" s="152"/>
      <c r="Q216" s="152"/>
      <c r="R216" s="100"/>
      <c r="S216" s="100"/>
      <c r="T216" s="100"/>
      <c r="U216" s="100"/>
      <c r="V216" s="100"/>
      <c r="W216" s="100"/>
      <c r="X216" s="100"/>
      <c r="Y216" s="100"/>
      <c r="Z216" s="100"/>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0"/>
      <c r="BK216" s="220"/>
    </row>
    <row r="217" spans="1:63" outlineLevel="1">
      <c r="A217" s="9"/>
      <c r="B217" s="46"/>
      <c r="C217" s="129">
        <f>Asset13</f>
        <v>0</v>
      </c>
      <c r="D217" s="9"/>
      <c r="E217" s="9"/>
      <c r="F217" s="141"/>
      <c r="G217" s="193">
        <f>Input!R19</f>
        <v>0</v>
      </c>
      <c r="H217" s="117"/>
      <c r="I217" s="117"/>
      <c r="J217" s="117"/>
      <c r="K217" s="117"/>
      <c r="L217" s="117"/>
      <c r="M217" s="9"/>
      <c r="N217" s="111"/>
      <c r="O217" s="152"/>
      <c r="P217" s="152"/>
      <c r="Q217" s="152"/>
      <c r="R217" s="100"/>
      <c r="S217" s="100"/>
      <c r="T217" s="100"/>
      <c r="U217" s="100"/>
      <c r="V217" s="100"/>
      <c r="W217" s="100"/>
      <c r="X217" s="100"/>
      <c r="Y217" s="100"/>
      <c r="Z217" s="100"/>
      <c r="AA217" s="227"/>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0"/>
      <c r="BK217" s="220"/>
    </row>
    <row r="218" spans="1:63" outlineLevel="1">
      <c r="A218" s="9"/>
      <c r="B218" s="46"/>
      <c r="C218" s="129">
        <f>Asset14</f>
        <v>0</v>
      </c>
      <c r="D218" s="9"/>
      <c r="E218" s="9"/>
      <c r="F218" s="141"/>
      <c r="G218" s="193">
        <f>Input!R20</f>
        <v>0</v>
      </c>
      <c r="H218" s="117"/>
      <c r="I218" s="117"/>
      <c r="J218" s="117"/>
      <c r="K218" s="117"/>
      <c r="L218" s="117"/>
      <c r="M218" s="9"/>
      <c r="N218" s="111"/>
      <c r="O218" s="152"/>
      <c r="P218" s="152"/>
      <c r="Q218" s="152"/>
      <c r="R218" s="100"/>
      <c r="S218" s="100"/>
      <c r="T218" s="100"/>
      <c r="U218" s="100"/>
      <c r="V218" s="100"/>
      <c r="W218" s="100"/>
      <c r="X218" s="100"/>
      <c r="Y218" s="100"/>
      <c r="Z218" s="100"/>
      <c r="AA218" s="227"/>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0"/>
      <c r="BK218" s="220"/>
    </row>
    <row r="219" spans="1:63" outlineLevel="1">
      <c r="A219" s="9"/>
      <c r="B219" s="46"/>
      <c r="C219" s="129">
        <f>Asset15</f>
        <v>0</v>
      </c>
      <c r="D219" s="9"/>
      <c r="E219" s="9"/>
      <c r="F219" s="141"/>
      <c r="G219" s="193">
        <f>Input!R21</f>
        <v>0</v>
      </c>
      <c r="H219" s="117"/>
      <c r="I219" s="117"/>
      <c r="J219" s="117"/>
      <c r="K219" s="117"/>
      <c r="L219" s="117"/>
      <c r="M219" s="9"/>
      <c r="N219" s="111"/>
      <c r="O219" s="152"/>
      <c r="P219" s="152"/>
      <c r="Q219" s="152"/>
      <c r="R219" s="100"/>
      <c r="S219" s="100"/>
      <c r="T219" s="100"/>
      <c r="U219" s="100"/>
      <c r="V219" s="100"/>
      <c r="W219" s="100"/>
      <c r="X219" s="100"/>
      <c r="Y219" s="100"/>
      <c r="Z219" s="100"/>
      <c r="AA219" s="227"/>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0"/>
      <c r="BK219" s="220"/>
    </row>
    <row r="220" spans="1:63" outlineLevel="1">
      <c r="A220" s="9"/>
      <c r="B220" s="46"/>
      <c r="C220" s="129">
        <f>Asset16</f>
        <v>0</v>
      </c>
      <c r="D220" s="9"/>
      <c r="E220" s="9"/>
      <c r="F220" s="141"/>
      <c r="G220" s="193">
        <f>Input!R22</f>
        <v>0</v>
      </c>
      <c r="H220" s="117"/>
      <c r="I220" s="117"/>
      <c r="J220" s="117"/>
      <c r="K220" s="117"/>
      <c r="L220" s="117"/>
      <c r="M220" s="9"/>
      <c r="N220" s="111"/>
      <c r="O220" s="152"/>
      <c r="P220" s="152"/>
      <c r="Q220" s="152"/>
      <c r="R220" s="100"/>
      <c r="S220" s="100"/>
      <c r="T220" s="100"/>
      <c r="U220" s="100"/>
      <c r="V220" s="100"/>
      <c r="W220" s="100"/>
      <c r="X220" s="100"/>
      <c r="Y220" s="100"/>
      <c r="Z220" s="100"/>
      <c r="AA220" s="227"/>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0"/>
      <c r="BK220" s="220"/>
    </row>
    <row r="221" spans="1:63" outlineLevel="1">
      <c r="A221" s="9"/>
      <c r="B221" s="46"/>
      <c r="C221" s="129">
        <f>Asset17</f>
        <v>0</v>
      </c>
      <c r="D221" s="9"/>
      <c r="E221" s="9"/>
      <c r="F221" s="141"/>
      <c r="G221" s="193">
        <f>Input!R23</f>
        <v>0</v>
      </c>
      <c r="H221" s="117"/>
      <c r="I221" s="117"/>
      <c r="J221" s="117"/>
      <c r="K221" s="117"/>
      <c r="L221" s="117"/>
      <c r="M221" s="9"/>
      <c r="N221" s="111"/>
      <c r="O221" s="152"/>
      <c r="P221" s="152"/>
      <c r="Q221" s="152"/>
      <c r="R221" s="100"/>
      <c r="S221" s="100"/>
      <c r="T221" s="100"/>
      <c r="U221" s="100"/>
      <c r="V221" s="100"/>
      <c r="W221" s="100"/>
      <c r="X221" s="100"/>
      <c r="Y221" s="100"/>
      <c r="Z221" s="100"/>
      <c r="AA221" s="227"/>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0"/>
      <c r="BK221" s="220"/>
    </row>
    <row r="222" spans="1:63" outlineLevel="1">
      <c r="A222" s="9"/>
      <c r="B222" s="46"/>
      <c r="C222" s="129">
        <f>Asset18</f>
        <v>0</v>
      </c>
      <c r="D222" s="9"/>
      <c r="E222" s="9"/>
      <c r="F222" s="141"/>
      <c r="G222" s="193">
        <f>Input!R24</f>
        <v>0</v>
      </c>
      <c r="H222" s="117"/>
      <c r="I222" s="117"/>
      <c r="J222" s="117"/>
      <c r="K222" s="117"/>
      <c r="L222" s="117"/>
      <c r="M222" s="9"/>
      <c r="N222" s="111"/>
      <c r="O222" s="152"/>
      <c r="P222" s="152"/>
      <c r="Q222" s="152"/>
      <c r="R222" s="100"/>
      <c r="S222" s="100"/>
      <c r="T222" s="100"/>
      <c r="U222" s="100"/>
      <c r="V222" s="100"/>
      <c r="W222" s="100"/>
      <c r="X222" s="100"/>
      <c r="Y222" s="100"/>
      <c r="Z222" s="100"/>
      <c r="AA222" s="227"/>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0"/>
      <c r="BK222" s="220"/>
    </row>
    <row r="223" spans="1:63" outlineLevel="1">
      <c r="A223" s="9"/>
      <c r="B223" s="46"/>
      <c r="C223" s="129">
        <f>Asset19</f>
        <v>0</v>
      </c>
      <c r="D223" s="9"/>
      <c r="E223" s="9"/>
      <c r="F223" s="141"/>
      <c r="G223" s="193">
        <f>Input!R25</f>
        <v>0</v>
      </c>
      <c r="H223" s="117"/>
      <c r="I223" s="117"/>
      <c r="J223" s="117"/>
      <c r="K223" s="117"/>
      <c r="L223" s="117"/>
      <c r="M223" s="9"/>
      <c r="N223" s="111"/>
      <c r="O223" s="152"/>
      <c r="P223" s="152"/>
      <c r="Q223" s="152"/>
      <c r="R223" s="100"/>
      <c r="S223" s="100"/>
      <c r="T223" s="100"/>
      <c r="U223" s="100"/>
      <c r="V223" s="100"/>
      <c r="W223" s="100"/>
      <c r="X223" s="100"/>
      <c r="Y223" s="100"/>
      <c r="Z223" s="100"/>
      <c r="AA223" s="227"/>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0"/>
      <c r="BK223" s="220"/>
    </row>
    <row r="224" spans="1:63" outlineLevel="1">
      <c r="A224" s="9"/>
      <c r="B224" s="46"/>
      <c r="C224" s="129">
        <f>Asset20</f>
        <v>0</v>
      </c>
      <c r="D224" s="9"/>
      <c r="E224" s="9"/>
      <c r="F224" s="141"/>
      <c r="G224" s="195">
        <f>Input!R26</f>
        <v>0</v>
      </c>
      <c r="H224" s="117"/>
      <c r="I224" s="117"/>
      <c r="J224" s="117"/>
      <c r="K224" s="117"/>
      <c r="L224" s="117"/>
      <c r="M224" s="9"/>
      <c r="N224" s="111"/>
      <c r="O224" s="152"/>
      <c r="P224" s="152"/>
      <c r="Q224" s="152"/>
      <c r="R224" s="100"/>
      <c r="S224" s="100"/>
      <c r="T224" s="100"/>
      <c r="U224" s="100"/>
      <c r="V224" s="100"/>
      <c r="W224" s="100"/>
      <c r="X224" s="100"/>
      <c r="Y224" s="100"/>
      <c r="Z224" s="100"/>
      <c r="AA224" s="227"/>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0"/>
      <c r="BK224" s="220"/>
    </row>
    <row r="225" spans="1:63" outlineLevel="1">
      <c r="A225" s="9"/>
      <c r="B225" s="46"/>
      <c r="C225" s="129">
        <f>Asset21</f>
        <v>0</v>
      </c>
      <c r="D225" s="9"/>
      <c r="E225" s="9"/>
      <c r="F225" s="141"/>
      <c r="G225" s="195">
        <f>Input!R27</f>
        <v>0</v>
      </c>
      <c r="H225" s="117"/>
      <c r="I225" s="117"/>
      <c r="J225" s="117"/>
      <c r="K225" s="117"/>
      <c r="L225" s="117"/>
      <c r="M225" s="9"/>
      <c r="N225" s="111"/>
      <c r="O225" s="152"/>
      <c r="P225" s="152"/>
      <c r="Q225" s="152"/>
      <c r="R225" s="100"/>
      <c r="S225" s="100"/>
      <c r="T225" s="100"/>
      <c r="U225" s="100"/>
      <c r="V225" s="100"/>
      <c r="W225" s="100"/>
      <c r="X225" s="100"/>
      <c r="Y225" s="100"/>
      <c r="Z225" s="100"/>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0"/>
      <c r="BK225" s="220"/>
    </row>
    <row r="226" spans="1:63" outlineLevel="1">
      <c r="A226" s="9"/>
      <c r="B226" s="46"/>
      <c r="C226" s="129">
        <f>Asset22</f>
        <v>0</v>
      </c>
      <c r="D226" s="9"/>
      <c r="E226" s="9"/>
      <c r="F226" s="141"/>
      <c r="G226" s="195">
        <f>Input!R28</f>
        <v>0</v>
      </c>
      <c r="H226" s="117"/>
      <c r="I226" s="117"/>
      <c r="J226" s="117"/>
      <c r="K226" s="117"/>
      <c r="L226" s="117"/>
      <c r="M226" s="9"/>
      <c r="N226" s="111"/>
      <c r="O226" s="152"/>
      <c r="P226" s="152"/>
      <c r="Q226" s="152"/>
      <c r="R226" s="100"/>
      <c r="S226" s="100"/>
      <c r="T226" s="100"/>
      <c r="U226" s="100"/>
      <c r="V226" s="100"/>
      <c r="W226" s="100"/>
      <c r="X226" s="100"/>
      <c r="Y226" s="100"/>
      <c r="Z226" s="100"/>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0"/>
      <c r="BK226" s="220"/>
    </row>
    <row r="227" spans="1:63" outlineLevel="1">
      <c r="A227" s="9"/>
      <c r="B227" s="46"/>
      <c r="C227" s="129">
        <f>Asset23</f>
        <v>0</v>
      </c>
      <c r="D227" s="9"/>
      <c r="E227" s="9"/>
      <c r="F227" s="141"/>
      <c r="G227" s="195">
        <f>Input!R29</f>
        <v>0</v>
      </c>
      <c r="H227" s="117"/>
      <c r="I227" s="117"/>
      <c r="J227" s="117"/>
      <c r="K227" s="117"/>
      <c r="L227" s="117"/>
      <c r="M227" s="9"/>
      <c r="N227" s="111"/>
      <c r="O227" s="152"/>
      <c r="P227" s="152"/>
      <c r="Q227" s="152"/>
      <c r="R227" s="100"/>
      <c r="S227" s="100"/>
      <c r="T227" s="100"/>
      <c r="U227" s="100"/>
      <c r="V227" s="100"/>
      <c r="W227" s="100"/>
      <c r="X227" s="100"/>
      <c r="Y227" s="100"/>
      <c r="Z227" s="100"/>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0"/>
      <c r="BK227" s="220"/>
    </row>
    <row r="228" spans="1:63" outlineLevel="1">
      <c r="A228" s="9"/>
      <c r="B228" s="46"/>
      <c r="C228" s="129">
        <f>Asset24</f>
        <v>0</v>
      </c>
      <c r="D228" s="9"/>
      <c r="E228" s="9"/>
      <c r="F228" s="141"/>
      <c r="G228" s="195">
        <f>Input!R30</f>
        <v>0</v>
      </c>
      <c r="H228" s="117"/>
      <c r="I228" s="117"/>
      <c r="J228" s="117"/>
      <c r="K228" s="117"/>
      <c r="L228" s="117"/>
      <c r="M228" s="9"/>
      <c r="N228" s="111"/>
      <c r="O228" s="152"/>
      <c r="P228" s="152"/>
      <c r="Q228" s="152"/>
      <c r="R228" s="100"/>
      <c r="S228" s="100"/>
      <c r="T228" s="100"/>
      <c r="U228" s="100"/>
      <c r="V228" s="100"/>
      <c r="W228" s="100"/>
      <c r="X228" s="100"/>
      <c r="Y228" s="100"/>
      <c r="Z228" s="100"/>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0"/>
      <c r="BK228" s="220"/>
    </row>
    <row r="229" spans="1:63" outlineLevel="1">
      <c r="A229" s="9"/>
      <c r="B229" s="46"/>
      <c r="C229" s="129">
        <f>Asset25</f>
        <v>0</v>
      </c>
      <c r="D229" s="9"/>
      <c r="E229" s="9"/>
      <c r="F229" s="141"/>
      <c r="G229" s="195">
        <f>Input!R31</f>
        <v>0</v>
      </c>
      <c r="H229" s="117"/>
      <c r="I229" s="117"/>
      <c r="J229" s="117"/>
      <c r="K229" s="117"/>
      <c r="L229" s="117"/>
      <c r="M229" s="9"/>
      <c r="N229" s="111"/>
      <c r="O229" s="152"/>
      <c r="P229" s="152"/>
      <c r="Q229" s="152"/>
      <c r="R229" s="100"/>
      <c r="S229" s="100"/>
      <c r="T229" s="100"/>
      <c r="U229" s="100"/>
      <c r="V229" s="100"/>
      <c r="W229" s="100"/>
      <c r="X229" s="100"/>
      <c r="Y229" s="100"/>
      <c r="Z229" s="100"/>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0"/>
      <c r="BK229" s="220"/>
    </row>
    <row r="230" spans="1:63" outlineLevel="1">
      <c r="A230" s="9"/>
      <c r="B230" s="46"/>
      <c r="C230" s="129">
        <f>Asset26</f>
        <v>0</v>
      </c>
      <c r="D230" s="9"/>
      <c r="E230" s="9"/>
      <c r="F230" s="141"/>
      <c r="G230" s="195">
        <f>Input!R32</f>
        <v>0</v>
      </c>
      <c r="H230" s="117"/>
      <c r="I230" s="117"/>
      <c r="J230" s="117"/>
      <c r="K230" s="117"/>
      <c r="L230" s="117"/>
      <c r="M230" s="9"/>
      <c r="N230" s="111"/>
      <c r="O230" s="152"/>
      <c r="P230" s="152"/>
      <c r="Q230" s="152"/>
      <c r="R230" s="100"/>
      <c r="S230" s="100"/>
      <c r="T230" s="100"/>
      <c r="U230" s="100"/>
      <c r="V230" s="100"/>
      <c r="W230" s="100"/>
      <c r="X230" s="100"/>
      <c r="Y230" s="100"/>
      <c r="Z230" s="100"/>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0"/>
      <c r="BK230" s="220"/>
    </row>
    <row r="231" spans="1:63" outlineLevel="1">
      <c r="A231" s="9"/>
      <c r="B231" s="46"/>
      <c r="C231" s="129">
        <f>Asset27</f>
        <v>0</v>
      </c>
      <c r="D231" s="9"/>
      <c r="E231" s="9"/>
      <c r="F231" s="141"/>
      <c r="G231" s="195">
        <f>Input!R33</f>
        <v>0</v>
      </c>
      <c r="H231" s="117"/>
      <c r="I231" s="117"/>
      <c r="J231" s="117"/>
      <c r="K231" s="117"/>
      <c r="L231" s="117"/>
      <c r="M231" s="9"/>
      <c r="N231" s="111"/>
      <c r="O231" s="152"/>
      <c r="P231" s="152"/>
      <c r="Q231" s="152"/>
      <c r="R231" s="100"/>
      <c r="S231" s="100"/>
      <c r="T231" s="100"/>
      <c r="U231" s="100"/>
      <c r="V231" s="100"/>
      <c r="W231" s="100"/>
      <c r="X231" s="100"/>
      <c r="Y231" s="100"/>
      <c r="Z231" s="100"/>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0"/>
      <c r="BK231" s="220"/>
    </row>
    <row r="232" spans="1:63" outlineLevel="1">
      <c r="A232" s="9"/>
      <c r="B232" s="46"/>
      <c r="C232" s="129">
        <f>Asset28</f>
        <v>0</v>
      </c>
      <c r="D232" s="9"/>
      <c r="E232" s="9"/>
      <c r="F232" s="141"/>
      <c r="G232" s="195">
        <f>Input!R34</f>
        <v>0</v>
      </c>
      <c r="H232" s="117"/>
      <c r="I232" s="117"/>
      <c r="J232" s="117"/>
      <c r="K232" s="117"/>
      <c r="L232" s="117"/>
      <c r="M232" s="9"/>
      <c r="N232" s="111"/>
      <c r="O232" s="152"/>
      <c r="P232" s="152"/>
      <c r="Q232" s="152"/>
      <c r="R232" s="100"/>
      <c r="S232" s="100"/>
      <c r="T232" s="100"/>
      <c r="U232" s="100"/>
      <c r="V232" s="100"/>
      <c r="W232" s="100"/>
      <c r="X232" s="100"/>
      <c r="Y232" s="100"/>
      <c r="Z232" s="100"/>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0"/>
      <c r="BK232" s="220"/>
    </row>
    <row r="233" spans="1:63" outlineLevel="1">
      <c r="A233" s="9"/>
      <c r="B233" s="46"/>
      <c r="C233" s="129">
        <f>Asset29</f>
        <v>0</v>
      </c>
      <c r="D233" s="9"/>
      <c r="E233" s="9"/>
      <c r="F233" s="141"/>
      <c r="G233" s="195">
        <f>Input!R35</f>
        <v>0</v>
      </c>
      <c r="H233" s="117"/>
      <c r="I233" s="117"/>
      <c r="J233" s="117"/>
      <c r="K233" s="117"/>
      <c r="L233" s="117"/>
      <c r="M233" s="9"/>
      <c r="N233" s="111"/>
      <c r="O233" s="152"/>
      <c r="P233" s="152"/>
      <c r="Q233" s="152"/>
      <c r="R233" s="100"/>
      <c r="S233" s="100"/>
      <c r="T233" s="100"/>
      <c r="U233" s="100"/>
      <c r="V233" s="100"/>
      <c r="W233" s="100"/>
      <c r="X233" s="100"/>
      <c r="Y233" s="100"/>
      <c r="Z233" s="100"/>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0"/>
      <c r="BK233" s="220"/>
    </row>
    <row r="234" spans="1:63" outlineLevel="1">
      <c r="A234" s="9"/>
      <c r="B234" s="46"/>
      <c r="C234" s="129">
        <f>Asset30</f>
        <v>0</v>
      </c>
      <c r="D234" s="9"/>
      <c r="E234" s="9"/>
      <c r="F234" s="141"/>
      <c r="G234" s="195">
        <f>Input!R36</f>
        <v>0</v>
      </c>
      <c r="H234" s="117"/>
      <c r="I234" s="117"/>
      <c r="J234" s="117"/>
      <c r="K234" s="117"/>
      <c r="L234" s="117"/>
      <c r="M234" s="9"/>
      <c r="N234" s="111"/>
      <c r="O234" s="152"/>
      <c r="P234" s="152"/>
      <c r="Q234" s="152"/>
      <c r="R234" s="100"/>
      <c r="S234" s="100"/>
      <c r="T234" s="100"/>
      <c r="U234" s="100"/>
      <c r="V234" s="100"/>
      <c r="W234" s="100"/>
      <c r="X234" s="100"/>
      <c r="Y234" s="100"/>
      <c r="Z234" s="100"/>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0"/>
      <c r="BK234" s="220"/>
    </row>
    <row r="235" spans="1:63">
      <c r="A235" s="9"/>
      <c r="B235" s="153"/>
      <c r="C235" s="26"/>
      <c r="D235" s="9"/>
      <c r="E235" s="9"/>
      <c r="F235" s="141"/>
      <c r="G235" s="195"/>
      <c r="H235" s="117"/>
      <c r="I235" s="117"/>
      <c r="J235" s="117"/>
      <c r="K235" s="117"/>
      <c r="L235" s="117"/>
      <c r="M235" s="9"/>
      <c r="N235" s="111"/>
      <c r="O235" s="152"/>
      <c r="P235" s="152"/>
      <c r="Q235" s="152"/>
      <c r="R235" s="100"/>
      <c r="S235" s="100"/>
      <c r="T235" s="100"/>
      <c r="U235" s="100"/>
      <c r="V235" s="100"/>
      <c r="W235" s="100"/>
      <c r="X235" s="100"/>
      <c r="Y235" s="100"/>
      <c r="Z235" s="100"/>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0"/>
      <c r="BK235" s="220"/>
    </row>
    <row r="236" spans="1:63">
      <c r="A236" s="9"/>
      <c r="B236" s="153" t="s">
        <v>55</v>
      </c>
      <c r="C236" s="26"/>
      <c r="D236" s="9"/>
      <c r="E236" s="9"/>
      <c r="F236" s="141"/>
      <c r="G236" s="195">
        <f>SUM(G237:G266)</f>
        <v>0</v>
      </c>
      <c r="H236" s="117"/>
      <c r="I236" s="117"/>
      <c r="J236" s="117"/>
      <c r="K236" s="117"/>
      <c r="L236" s="117"/>
      <c r="M236" s="9"/>
      <c r="N236" s="111"/>
      <c r="O236" s="152"/>
      <c r="P236" s="152"/>
      <c r="Q236" s="152"/>
      <c r="R236" s="100"/>
      <c r="S236" s="100"/>
      <c r="T236" s="100"/>
      <c r="U236" s="100"/>
      <c r="V236" s="100"/>
      <c r="W236" s="100"/>
      <c r="X236" s="100"/>
      <c r="Y236" s="100"/>
      <c r="Z236" s="100"/>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0"/>
      <c r="BK236" s="220"/>
    </row>
    <row r="237" spans="1:63" outlineLevel="1">
      <c r="A237" s="9"/>
      <c r="B237" s="9"/>
      <c r="C237" s="129" t="str">
        <f>Asset1</f>
        <v>Mains &amp; Services</v>
      </c>
      <c r="D237" s="9"/>
      <c r="E237" s="9"/>
      <c r="F237" s="141"/>
      <c r="G237" s="193">
        <f t="shared" ref="G237:G256" si="2">G205-G173</f>
        <v>0</v>
      </c>
      <c r="H237" s="117"/>
      <c r="I237" s="117"/>
      <c r="J237" s="117"/>
      <c r="K237" s="117"/>
      <c r="L237" s="117"/>
      <c r="M237" s="9"/>
      <c r="N237" s="111"/>
      <c r="O237" s="152"/>
      <c r="P237" s="152"/>
      <c r="Q237" s="152"/>
      <c r="R237" s="100"/>
      <c r="S237" s="100"/>
      <c r="T237" s="100"/>
      <c r="U237" s="100"/>
      <c r="V237" s="100"/>
      <c r="W237" s="100"/>
      <c r="X237" s="100"/>
      <c r="Y237" s="100"/>
      <c r="Z237" s="100"/>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0"/>
      <c r="BK237" s="220"/>
    </row>
    <row r="238" spans="1:63" outlineLevel="1">
      <c r="A238" s="9"/>
      <c r="B238" s="46"/>
      <c r="C238" s="129" t="str">
        <f>Asset2</f>
        <v>Meters</v>
      </c>
      <c r="D238" s="9"/>
      <c r="E238" s="9"/>
      <c r="F238" s="141"/>
      <c r="G238" s="193">
        <f t="shared" si="2"/>
        <v>0</v>
      </c>
      <c r="H238" s="117"/>
      <c r="I238" s="117"/>
      <c r="J238" s="117"/>
      <c r="K238" s="117"/>
      <c r="L238" s="117"/>
      <c r="M238" s="9"/>
      <c r="N238" s="111"/>
      <c r="O238" s="152"/>
      <c r="P238" s="152"/>
      <c r="Q238" s="152"/>
      <c r="R238" s="100"/>
      <c r="S238" s="100"/>
      <c r="T238" s="100"/>
      <c r="U238" s="100"/>
      <c r="V238" s="100"/>
      <c r="W238" s="100"/>
      <c r="X238" s="100"/>
      <c r="Y238" s="100"/>
      <c r="Z238" s="100"/>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0"/>
      <c r="BK238" s="220"/>
    </row>
    <row r="239" spans="1:63" outlineLevel="1">
      <c r="A239" s="9"/>
      <c r="B239" s="46"/>
      <c r="C239" s="129" t="str">
        <f>Asset3</f>
        <v>Buildings</v>
      </c>
      <c r="D239" s="9"/>
      <c r="E239" s="9"/>
      <c r="F239" s="141"/>
      <c r="G239" s="193">
        <f t="shared" si="2"/>
        <v>0</v>
      </c>
      <c r="H239" s="117"/>
      <c r="I239" s="117"/>
      <c r="J239" s="117"/>
      <c r="K239" s="117"/>
      <c r="L239" s="117"/>
      <c r="M239" s="9"/>
      <c r="N239" s="111"/>
      <c r="O239" s="152"/>
      <c r="P239" s="152"/>
      <c r="Q239" s="152"/>
      <c r="R239" s="100"/>
      <c r="S239" s="100"/>
      <c r="T239" s="100"/>
      <c r="U239" s="100"/>
      <c r="V239" s="100"/>
      <c r="W239" s="100"/>
      <c r="X239" s="100"/>
      <c r="Y239" s="100"/>
      <c r="Z239" s="100"/>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0"/>
      <c r="BK239" s="220"/>
    </row>
    <row r="240" spans="1:63" outlineLevel="1">
      <c r="A240" s="9"/>
      <c r="B240" s="46"/>
      <c r="C240" s="129" t="str">
        <f>Asset4</f>
        <v>SCADA</v>
      </c>
      <c r="D240" s="9"/>
      <c r="E240" s="9"/>
      <c r="F240" s="141"/>
      <c r="G240" s="193">
        <f t="shared" si="2"/>
        <v>0</v>
      </c>
      <c r="H240" s="117"/>
      <c r="I240" s="117"/>
      <c r="J240" s="117"/>
      <c r="K240" s="117"/>
      <c r="L240" s="117"/>
      <c r="M240" s="9"/>
      <c r="N240" s="111"/>
      <c r="O240" s="152"/>
      <c r="P240" s="152"/>
      <c r="Q240" s="152"/>
      <c r="R240" s="100"/>
      <c r="S240" s="100"/>
      <c r="T240" s="100"/>
      <c r="U240" s="100"/>
      <c r="V240" s="100"/>
      <c r="W240" s="100"/>
      <c r="X240" s="100"/>
      <c r="Y240" s="100"/>
      <c r="Z240" s="100"/>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0"/>
      <c r="BK240" s="220"/>
    </row>
    <row r="241" spans="1:63" outlineLevel="1">
      <c r="A241" s="9"/>
      <c r="B241" s="46"/>
      <c r="C241" s="129" t="str">
        <f>Asset5</f>
        <v>Computer Equipment</v>
      </c>
      <c r="D241" s="9"/>
      <c r="E241" s="9"/>
      <c r="F241" s="141"/>
      <c r="G241" s="193">
        <f t="shared" si="2"/>
        <v>0</v>
      </c>
      <c r="H241" s="117"/>
      <c r="I241" s="117"/>
      <c r="J241" s="117"/>
      <c r="K241" s="117"/>
      <c r="L241" s="117"/>
      <c r="M241" s="9"/>
      <c r="N241" s="111"/>
      <c r="O241" s="152"/>
      <c r="P241" s="152"/>
      <c r="Q241" s="152"/>
      <c r="R241" s="100"/>
      <c r="S241" s="100"/>
      <c r="T241" s="100"/>
      <c r="U241" s="100"/>
      <c r="V241" s="100"/>
      <c r="W241" s="100"/>
      <c r="X241" s="100"/>
      <c r="Y241" s="100"/>
      <c r="Z241" s="100"/>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0"/>
      <c r="BK241" s="220"/>
    </row>
    <row r="242" spans="1:63" outlineLevel="1">
      <c r="A242" s="9"/>
      <c r="B242" s="46"/>
      <c r="C242" s="129" t="str">
        <f>Asset6</f>
        <v>Other Assets</v>
      </c>
      <c r="D242" s="9"/>
      <c r="E242" s="9"/>
      <c r="F242" s="141"/>
      <c r="G242" s="193">
        <f t="shared" si="2"/>
        <v>0</v>
      </c>
      <c r="H242" s="117"/>
      <c r="I242" s="117"/>
      <c r="J242" s="117"/>
      <c r="K242" s="117"/>
      <c r="L242" s="117"/>
      <c r="M242" s="9"/>
      <c r="N242" s="111"/>
      <c r="O242" s="152"/>
      <c r="P242" s="152"/>
      <c r="Q242" s="152"/>
      <c r="R242" s="100"/>
      <c r="S242" s="100"/>
      <c r="T242" s="100"/>
      <c r="U242" s="100"/>
      <c r="V242" s="100"/>
      <c r="W242" s="100"/>
      <c r="X242" s="100"/>
      <c r="Y242" s="100"/>
      <c r="Z242" s="100"/>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0"/>
      <c r="BK242" s="220"/>
    </row>
    <row r="243" spans="1:63" outlineLevel="1">
      <c r="A243" s="9"/>
      <c r="B243" s="46"/>
      <c r="C243" s="129" t="str">
        <f>Asset7</f>
        <v>Equity Raising Costs</v>
      </c>
      <c r="D243" s="9"/>
      <c r="E243" s="9"/>
      <c r="F243" s="141"/>
      <c r="G243" s="193">
        <f t="shared" si="2"/>
        <v>0</v>
      </c>
      <c r="H243" s="117"/>
      <c r="I243" s="117"/>
      <c r="J243" s="117"/>
      <c r="K243" s="117"/>
      <c r="L243" s="117"/>
      <c r="M243" s="9"/>
      <c r="N243" s="111"/>
      <c r="O243" s="152"/>
      <c r="P243" s="152"/>
      <c r="Q243" s="152"/>
      <c r="R243" s="100"/>
      <c r="S243" s="100"/>
      <c r="T243" s="100"/>
      <c r="U243" s="100"/>
      <c r="V243" s="100"/>
      <c r="W243" s="100"/>
      <c r="X243" s="100"/>
      <c r="Y243" s="100"/>
      <c r="Z243" s="100"/>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0"/>
      <c r="BK243" s="220"/>
    </row>
    <row r="244" spans="1:63" outlineLevel="1">
      <c r="A244" s="9"/>
      <c r="B244" s="46"/>
      <c r="C244" s="129" t="str">
        <f>Asset8</f>
        <v>Land</v>
      </c>
      <c r="D244" s="9"/>
      <c r="E244" s="9"/>
      <c r="F244" s="141"/>
      <c r="G244" s="193">
        <f t="shared" si="2"/>
        <v>0</v>
      </c>
      <c r="H244" s="117"/>
      <c r="I244" s="117"/>
      <c r="J244" s="117"/>
      <c r="K244" s="117"/>
      <c r="L244" s="117"/>
      <c r="M244" s="9"/>
      <c r="N244" s="111"/>
      <c r="O244" s="152"/>
      <c r="P244" s="152"/>
      <c r="Q244" s="152"/>
      <c r="R244" s="100"/>
      <c r="S244" s="100"/>
      <c r="T244" s="100"/>
      <c r="U244" s="100"/>
      <c r="V244" s="100"/>
      <c r="W244" s="100"/>
      <c r="X244" s="100"/>
      <c r="Y244" s="100"/>
      <c r="Z244" s="100"/>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0"/>
      <c r="BK244" s="220"/>
    </row>
    <row r="245" spans="1:63" outlineLevel="1">
      <c r="A245" s="9"/>
      <c r="B245" s="46"/>
      <c r="C245" s="129">
        <f>Asset9</f>
        <v>0</v>
      </c>
      <c r="D245" s="9"/>
      <c r="E245" s="9"/>
      <c r="F245" s="141"/>
      <c r="G245" s="193">
        <f t="shared" si="2"/>
        <v>0</v>
      </c>
      <c r="H245" s="117"/>
      <c r="I245" s="117"/>
      <c r="J245" s="117"/>
      <c r="K245" s="117"/>
      <c r="L245" s="117"/>
      <c r="M245" s="9"/>
      <c r="N245" s="111"/>
      <c r="O245" s="152"/>
      <c r="P245" s="152"/>
      <c r="Q245" s="152"/>
      <c r="R245" s="100"/>
      <c r="S245" s="100"/>
      <c r="T245" s="100"/>
      <c r="U245" s="100"/>
      <c r="V245" s="100"/>
      <c r="W245" s="100"/>
      <c r="X245" s="100"/>
      <c r="Y245" s="100"/>
      <c r="Z245" s="100"/>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0"/>
      <c r="BK245" s="220"/>
    </row>
    <row r="246" spans="1:63" outlineLevel="1">
      <c r="A246" s="9"/>
      <c r="B246" s="46"/>
      <c r="C246" s="129">
        <f>Asset10</f>
        <v>0</v>
      </c>
      <c r="D246" s="9"/>
      <c r="E246" s="9"/>
      <c r="F246" s="141"/>
      <c r="G246" s="193">
        <f t="shared" si="2"/>
        <v>0</v>
      </c>
      <c r="H246" s="117"/>
      <c r="I246" s="117"/>
      <c r="J246" s="117"/>
      <c r="K246" s="117"/>
      <c r="L246" s="117"/>
      <c r="M246" s="9"/>
      <c r="N246" s="111"/>
      <c r="O246" s="152"/>
      <c r="P246" s="152"/>
      <c r="Q246" s="152"/>
      <c r="R246" s="100"/>
      <c r="S246" s="100"/>
      <c r="T246" s="100"/>
      <c r="U246" s="100"/>
      <c r="V246" s="100"/>
      <c r="W246" s="100"/>
      <c r="X246" s="100"/>
      <c r="Y246" s="100"/>
      <c r="Z246" s="100"/>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0"/>
      <c r="BK246" s="220"/>
    </row>
    <row r="247" spans="1:63" outlineLevel="1">
      <c r="A247" s="9"/>
      <c r="B247" s="46"/>
      <c r="C247" s="129">
        <f>Asset11</f>
        <v>0</v>
      </c>
      <c r="D247" s="9"/>
      <c r="E247" s="9"/>
      <c r="F247" s="141"/>
      <c r="G247" s="193">
        <f t="shared" si="2"/>
        <v>0</v>
      </c>
      <c r="H247" s="117"/>
      <c r="I247" s="117"/>
      <c r="J247" s="117"/>
      <c r="K247" s="117"/>
      <c r="L247" s="117"/>
      <c r="M247" s="9"/>
      <c r="N247" s="111"/>
      <c r="O247" s="152"/>
      <c r="P247" s="152"/>
      <c r="Q247" s="152"/>
      <c r="R247" s="100"/>
      <c r="S247" s="100"/>
      <c r="T247" s="100"/>
      <c r="U247" s="100"/>
      <c r="V247" s="100"/>
      <c r="W247" s="100"/>
      <c r="X247" s="100"/>
      <c r="Y247" s="100"/>
      <c r="Z247" s="100"/>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0"/>
      <c r="BK247" s="220"/>
    </row>
    <row r="248" spans="1:63" outlineLevel="1">
      <c r="A248" s="9"/>
      <c r="B248" s="46"/>
      <c r="C248" s="129">
        <f>Asset12</f>
        <v>0</v>
      </c>
      <c r="D248" s="9"/>
      <c r="E248" s="9"/>
      <c r="F248" s="141"/>
      <c r="G248" s="193">
        <f t="shared" si="2"/>
        <v>0</v>
      </c>
      <c r="H248" s="117"/>
      <c r="I248" s="117"/>
      <c r="J248" s="117"/>
      <c r="K248" s="117"/>
      <c r="L248" s="117"/>
      <c r="M248" s="9"/>
      <c r="N248" s="111"/>
      <c r="O248" s="152"/>
      <c r="P248" s="152"/>
      <c r="Q248" s="152"/>
      <c r="R248" s="100"/>
      <c r="S248" s="100"/>
      <c r="T248" s="100"/>
      <c r="U248" s="100"/>
      <c r="V248" s="100"/>
      <c r="W248" s="100"/>
      <c r="X248" s="100"/>
      <c r="Y248" s="100"/>
      <c r="Z248" s="100"/>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0"/>
      <c r="BK248" s="220"/>
    </row>
    <row r="249" spans="1:63" outlineLevel="1">
      <c r="A249" s="9"/>
      <c r="B249" s="46"/>
      <c r="C249" s="129">
        <f>Asset13</f>
        <v>0</v>
      </c>
      <c r="D249" s="9"/>
      <c r="E249" s="9"/>
      <c r="F249" s="141"/>
      <c r="G249" s="193">
        <f t="shared" si="2"/>
        <v>0</v>
      </c>
      <c r="H249" s="117"/>
      <c r="I249" s="117"/>
      <c r="J249" s="117"/>
      <c r="K249" s="117"/>
      <c r="L249" s="117"/>
      <c r="M249" s="9"/>
      <c r="N249" s="111"/>
      <c r="O249" s="152"/>
      <c r="P249" s="152"/>
      <c r="Q249" s="152"/>
      <c r="R249" s="100"/>
      <c r="S249" s="100"/>
      <c r="T249" s="100"/>
      <c r="U249" s="100"/>
      <c r="V249" s="100"/>
      <c r="W249" s="100"/>
      <c r="X249" s="100"/>
      <c r="Y249" s="100"/>
      <c r="Z249" s="100"/>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0"/>
      <c r="BK249" s="220"/>
    </row>
    <row r="250" spans="1:63" outlineLevel="1">
      <c r="A250" s="9"/>
      <c r="B250" s="46"/>
      <c r="C250" s="129">
        <f>Asset14</f>
        <v>0</v>
      </c>
      <c r="D250" s="9"/>
      <c r="E250" s="9"/>
      <c r="F250" s="141"/>
      <c r="G250" s="193">
        <f t="shared" si="2"/>
        <v>0</v>
      </c>
      <c r="H250" s="117"/>
      <c r="I250" s="117"/>
      <c r="J250" s="117"/>
      <c r="K250" s="117"/>
      <c r="L250" s="117"/>
      <c r="M250" s="9"/>
      <c r="N250" s="111"/>
      <c r="O250" s="152"/>
      <c r="P250" s="152"/>
      <c r="Q250" s="152"/>
      <c r="R250" s="100"/>
      <c r="S250" s="100"/>
      <c r="T250" s="100"/>
      <c r="U250" s="100"/>
      <c r="V250" s="100"/>
      <c r="W250" s="100"/>
      <c r="X250" s="100"/>
      <c r="Y250" s="100"/>
      <c r="Z250" s="100"/>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0"/>
      <c r="BK250" s="220"/>
    </row>
    <row r="251" spans="1:63" outlineLevel="1">
      <c r="A251" s="9"/>
      <c r="B251" s="46"/>
      <c r="C251" s="129">
        <f>Asset15</f>
        <v>0</v>
      </c>
      <c r="D251" s="9"/>
      <c r="E251" s="9"/>
      <c r="F251" s="141"/>
      <c r="G251" s="193">
        <f t="shared" si="2"/>
        <v>0</v>
      </c>
      <c r="H251" s="117"/>
      <c r="I251" s="117"/>
      <c r="J251" s="117"/>
      <c r="K251" s="117"/>
      <c r="L251" s="117"/>
      <c r="M251" s="9"/>
      <c r="N251" s="111"/>
      <c r="O251" s="152"/>
      <c r="P251" s="152"/>
      <c r="Q251" s="152"/>
      <c r="R251" s="100"/>
      <c r="S251" s="100"/>
      <c r="T251" s="100"/>
      <c r="U251" s="100"/>
      <c r="V251" s="100"/>
      <c r="W251" s="100"/>
      <c r="X251" s="100"/>
      <c r="Y251" s="100"/>
      <c r="Z251" s="100"/>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0"/>
      <c r="BK251" s="220"/>
    </row>
    <row r="252" spans="1:63" outlineLevel="1">
      <c r="A252" s="9"/>
      <c r="B252" s="46"/>
      <c r="C252" s="129">
        <f>Asset16</f>
        <v>0</v>
      </c>
      <c r="D252" s="9"/>
      <c r="E252" s="9"/>
      <c r="F252" s="141"/>
      <c r="G252" s="193">
        <f t="shared" si="2"/>
        <v>0</v>
      </c>
      <c r="H252" s="117"/>
      <c r="I252" s="117"/>
      <c r="J252" s="117"/>
      <c r="K252" s="117"/>
      <c r="L252" s="117"/>
      <c r="M252" s="9"/>
      <c r="N252" s="111"/>
      <c r="O252" s="152"/>
      <c r="P252" s="152"/>
      <c r="Q252" s="152"/>
      <c r="R252" s="100"/>
      <c r="S252" s="100"/>
      <c r="T252" s="100"/>
      <c r="U252" s="100"/>
      <c r="V252" s="100"/>
      <c r="W252" s="100"/>
      <c r="X252" s="100"/>
      <c r="Y252" s="100"/>
      <c r="Z252" s="100"/>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0"/>
      <c r="BK252" s="220"/>
    </row>
    <row r="253" spans="1:63" outlineLevel="1">
      <c r="A253" s="9"/>
      <c r="B253" s="46"/>
      <c r="C253" s="129">
        <f>Asset17</f>
        <v>0</v>
      </c>
      <c r="D253" s="9"/>
      <c r="E253" s="9"/>
      <c r="F253" s="141"/>
      <c r="G253" s="193">
        <f t="shared" si="2"/>
        <v>0</v>
      </c>
      <c r="H253" s="117"/>
      <c r="I253" s="117"/>
      <c r="J253" s="117"/>
      <c r="K253" s="117"/>
      <c r="L253" s="117"/>
      <c r="M253" s="9"/>
      <c r="N253" s="111"/>
      <c r="O253" s="152"/>
      <c r="P253" s="152"/>
      <c r="Q253" s="152"/>
      <c r="R253" s="100"/>
      <c r="S253" s="100"/>
      <c r="T253" s="100"/>
      <c r="U253" s="100"/>
      <c r="V253" s="100"/>
      <c r="W253" s="100"/>
      <c r="X253" s="100"/>
      <c r="Y253" s="100"/>
      <c r="Z253" s="100"/>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0"/>
      <c r="BK253" s="220"/>
    </row>
    <row r="254" spans="1:63" outlineLevel="1">
      <c r="A254" s="9"/>
      <c r="B254" s="46"/>
      <c r="C254" s="129">
        <f>Asset18</f>
        <v>0</v>
      </c>
      <c r="D254" s="9"/>
      <c r="E254" s="9"/>
      <c r="F254" s="141"/>
      <c r="G254" s="193">
        <f t="shared" si="2"/>
        <v>0</v>
      </c>
      <c r="H254" s="117"/>
      <c r="I254" s="117"/>
      <c r="J254" s="117"/>
      <c r="K254" s="117"/>
      <c r="L254" s="117"/>
      <c r="M254" s="9"/>
      <c r="N254" s="111"/>
      <c r="O254" s="152"/>
      <c r="P254" s="152"/>
      <c r="Q254" s="152"/>
      <c r="R254" s="100"/>
      <c r="S254" s="100"/>
      <c r="T254" s="100"/>
      <c r="U254" s="100"/>
      <c r="V254" s="100"/>
      <c r="W254" s="100"/>
      <c r="X254" s="100"/>
      <c r="Y254" s="100"/>
      <c r="Z254" s="100"/>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0"/>
      <c r="BK254" s="220"/>
    </row>
    <row r="255" spans="1:63" outlineLevel="1">
      <c r="A255" s="9"/>
      <c r="B255" s="46"/>
      <c r="C255" s="129">
        <f>Asset19</f>
        <v>0</v>
      </c>
      <c r="D255" s="9"/>
      <c r="E255" s="9"/>
      <c r="F255" s="141"/>
      <c r="G255" s="193">
        <f t="shared" si="2"/>
        <v>0</v>
      </c>
      <c r="H255" s="117"/>
      <c r="I255" s="117"/>
      <c r="J255" s="117"/>
      <c r="K255" s="117"/>
      <c r="L255" s="117"/>
      <c r="M255" s="9"/>
      <c r="N255" s="111"/>
      <c r="O255" s="152"/>
      <c r="P255" s="152"/>
      <c r="Q255" s="152"/>
      <c r="R255" s="100"/>
      <c r="S255" s="100"/>
      <c r="T255" s="100"/>
      <c r="U255" s="100"/>
      <c r="V255" s="100"/>
      <c r="W255" s="100"/>
      <c r="X255" s="100"/>
      <c r="Y255" s="100"/>
      <c r="Z255" s="100"/>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0"/>
      <c r="BK255" s="220"/>
    </row>
    <row r="256" spans="1:63" outlineLevel="1">
      <c r="A256" s="9"/>
      <c r="B256" s="46"/>
      <c r="C256" s="129">
        <f>Asset20</f>
        <v>0</v>
      </c>
      <c r="D256" s="9"/>
      <c r="E256" s="9"/>
      <c r="F256" s="141"/>
      <c r="G256" s="193">
        <f t="shared" si="2"/>
        <v>0</v>
      </c>
      <c r="H256" s="117"/>
      <c r="I256" s="117"/>
      <c r="J256" s="117"/>
      <c r="K256" s="117"/>
      <c r="L256" s="117"/>
      <c r="M256" s="9"/>
      <c r="N256" s="111"/>
      <c r="O256" s="152"/>
      <c r="P256" s="152"/>
      <c r="Q256" s="152"/>
      <c r="R256" s="100"/>
      <c r="S256" s="100"/>
      <c r="T256" s="100"/>
      <c r="U256" s="100"/>
      <c r="V256" s="100"/>
      <c r="W256" s="100"/>
      <c r="X256" s="100"/>
      <c r="Y256" s="100"/>
      <c r="Z256" s="100"/>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0"/>
      <c r="BK256" s="220"/>
    </row>
    <row r="257" spans="1:63" outlineLevel="1">
      <c r="A257" s="9"/>
      <c r="B257" s="46"/>
      <c r="C257" s="129">
        <f>Asset21</f>
        <v>0</v>
      </c>
      <c r="D257" s="9"/>
      <c r="E257" s="9"/>
      <c r="F257" s="141"/>
      <c r="G257" s="193">
        <f t="shared" ref="G257:G266" si="3">G225-G193</f>
        <v>0</v>
      </c>
      <c r="H257" s="117"/>
      <c r="I257" s="117"/>
      <c r="J257" s="117"/>
      <c r="K257" s="117"/>
      <c r="L257" s="117"/>
      <c r="M257" s="9"/>
      <c r="N257" s="111"/>
      <c r="O257" s="152"/>
      <c r="P257" s="152"/>
      <c r="Q257" s="152"/>
      <c r="R257" s="100"/>
      <c r="S257" s="100"/>
      <c r="T257" s="100"/>
      <c r="U257" s="100"/>
      <c r="V257" s="100"/>
      <c r="W257" s="100"/>
      <c r="X257" s="100"/>
      <c r="Y257" s="100"/>
      <c r="Z257" s="100"/>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0"/>
      <c r="BK257" s="220"/>
    </row>
    <row r="258" spans="1:63" outlineLevel="1">
      <c r="A258" s="9"/>
      <c r="B258" s="46"/>
      <c r="C258" s="129">
        <f>Asset22</f>
        <v>0</v>
      </c>
      <c r="D258" s="9"/>
      <c r="E258" s="9"/>
      <c r="F258" s="141"/>
      <c r="G258" s="193">
        <f t="shared" si="3"/>
        <v>0</v>
      </c>
      <c r="H258" s="117"/>
      <c r="I258" s="117"/>
      <c r="J258" s="117"/>
      <c r="K258" s="117"/>
      <c r="L258" s="117"/>
      <c r="M258" s="9"/>
      <c r="N258" s="111"/>
      <c r="O258" s="152"/>
      <c r="P258" s="152"/>
      <c r="Q258" s="152"/>
      <c r="R258" s="100"/>
      <c r="S258" s="100"/>
      <c r="T258" s="100"/>
      <c r="U258" s="100"/>
      <c r="V258" s="100"/>
      <c r="W258" s="100"/>
      <c r="X258" s="100"/>
      <c r="Y258" s="100"/>
      <c r="Z258" s="100"/>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0"/>
      <c r="BK258" s="220"/>
    </row>
    <row r="259" spans="1:63" outlineLevel="1">
      <c r="A259" s="9"/>
      <c r="B259" s="46"/>
      <c r="C259" s="129">
        <f>Asset23</f>
        <v>0</v>
      </c>
      <c r="D259" s="9"/>
      <c r="E259" s="9"/>
      <c r="F259" s="141"/>
      <c r="G259" s="193">
        <f t="shared" si="3"/>
        <v>0</v>
      </c>
      <c r="H259" s="117"/>
      <c r="I259" s="117"/>
      <c r="J259" s="117"/>
      <c r="K259" s="117"/>
      <c r="L259" s="117"/>
      <c r="M259" s="9"/>
      <c r="N259" s="111"/>
      <c r="O259" s="152"/>
      <c r="P259" s="152"/>
      <c r="Q259" s="152"/>
      <c r="R259" s="100"/>
      <c r="S259" s="100"/>
      <c r="T259" s="100"/>
      <c r="U259" s="100"/>
      <c r="V259" s="100"/>
      <c r="W259" s="100"/>
      <c r="X259" s="100"/>
      <c r="Y259" s="100"/>
      <c r="Z259" s="100"/>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0"/>
      <c r="BK259" s="220"/>
    </row>
    <row r="260" spans="1:63" outlineLevel="1">
      <c r="A260" s="9"/>
      <c r="B260" s="46"/>
      <c r="C260" s="129">
        <f>Asset24</f>
        <v>0</v>
      </c>
      <c r="D260" s="9"/>
      <c r="E260" s="9"/>
      <c r="F260" s="141"/>
      <c r="G260" s="193">
        <f t="shared" si="3"/>
        <v>0</v>
      </c>
      <c r="H260" s="117"/>
      <c r="I260" s="117"/>
      <c r="J260" s="117"/>
      <c r="K260" s="117"/>
      <c r="L260" s="117"/>
      <c r="M260" s="9"/>
      <c r="N260" s="111"/>
      <c r="O260" s="152"/>
      <c r="P260" s="152"/>
      <c r="Q260" s="152"/>
      <c r="R260" s="100"/>
      <c r="S260" s="100"/>
      <c r="T260" s="100"/>
      <c r="U260" s="100"/>
      <c r="V260" s="100"/>
      <c r="W260" s="100"/>
      <c r="X260" s="100"/>
      <c r="Y260" s="100"/>
      <c r="Z260" s="100"/>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0"/>
      <c r="BK260" s="220"/>
    </row>
    <row r="261" spans="1:63" outlineLevel="1">
      <c r="A261" s="9"/>
      <c r="B261" s="46"/>
      <c r="C261" s="129">
        <f>Asset25</f>
        <v>0</v>
      </c>
      <c r="D261" s="9"/>
      <c r="E261" s="9"/>
      <c r="F261" s="141"/>
      <c r="G261" s="193">
        <f t="shared" si="3"/>
        <v>0</v>
      </c>
      <c r="H261" s="117"/>
      <c r="I261" s="117"/>
      <c r="J261" s="117"/>
      <c r="K261" s="117"/>
      <c r="L261" s="117"/>
      <c r="M261" s="9"/>
      <c r="N261" s="111"/>
      <c r="O261" s="152"/>
      <c r="P261" s="152"/>
      <c r="Q261" s="152"/>
      <c r="R261" s="100"/>
      <c r="S261" s="100"/>
      <c r="T261" s="100"/>
      <c r="U261" s="100"/>
      <c r="V261" s="100"/>
      <c r="W261" s="100"/>
      <c r="X261" s="100"/>
      <c r="Y261" s="100"/>
      <c r="Z261" s="100"/>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0"/>
      <c r="BK261" s="220"/>
    </row>
    <row r="262" spans="1:63" outlineLevel="1">
      <c r="A262" s="9"/>
      <c r="B262" s="46"/>
      <c r="C262" s="129">
        <f>Asset26</f>
        <v>0</v>
      </c>
      <c r="D262" s="9"/>
      <c r="E262" s="9"/>
      <c r="F262" s="141"/>
      <c r="G262" s="193">
        <f t="shared" si="3"/>
        <v>0</v>
      </c>
      <c r="H262" s="117"/>
      <c r="I262" s="117"/>
      <c r="J262" s="117"/>
      <c r="K262" s="117"/>
      <c r="L262" s="117"/>
      <c r="M262" s="9"/>
      <c r="N262" s="111"/>
      <c r="O262" s="152"/>
      <c r="P262" s="152"/>
      <c r="Q262" s="152"/>
      <c r="R262" s="100"/>
      <c r="S262" s="100"/>
      <c r="T262" s="100"/>
      <c r="U262" s="100"/>
      <c r="V262" s="100"/>
      <c r="W262" s="100"/>
      <c r="X262" s="100"/>
      <c r="Y262" s="100"/>
      <c r="Z262" s="100"/>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0"/>
      <c r="BK262" s="220"/>
    </row>
    <row r="263" spans="1:63" outlineLevel="1">
      <c r="A263" s="9"/>
      <c r="B263" s="46"/>
      <c r="C263" s="129">
        <f>Asset27</f>
        <v>0</v>
      </c>
      <c r="D263" s="9"/>
      <c r="E263" s="9"/>
      <c r="F263" s="141"/>
      <c r="G263" s="193">
        <f t="shared" si="3"/>
        <v>0</v>
      </c>
      <c r="H263" s="117"/>
      <c r="I263" s="117"/>
      <c r="J263" s="117"/>
      <c r="K263" s="117"/>
      <c r="L263" s="117"/>
      <c r="M263" s="9"/>
      <c r="N263" s="111"/>
      <c r="O263" s="152"/>
      <c r="P263" s="152"/>
      <c r="Q263" s="152"/>
      <c r="R263" s="100"/>
      <c r="S263" s="100"/>
      <c r="T263" s="100"/>
      <c r="U263" s="100"/>
      <c r="V263" s="100"/>
      <c r="W263" s="100"/>
      <c r="X263" s="100"/>
      <c r="Y263" s="100"/>
      <c r="Z263" s="100"/>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0"/>
      <c r="BK263" s="220"/>
    </row>
    <row r="264" spans="1:63" outlineLevel="1">
      <c r="A264" s="9"/>
      <c r="B264" s="46"/>
      <c r="C264" s="129">
        <f>Asset28</f>
        <v>0</v>
      </c>
      <c r="D264" s="9"/>
      <c r="E264" s="9"/>
      <c r="F264" s="141"/>
      <c r="G264" s="193">
        <f t="shared" si="3"/>
        <v>0</v>
      </c>
      <c r="H264" s="117"/>
      <c r="I264" s="117"/>
      <c r="J264" s="117"/>
      <c r="K264" s="117"/>
      <c r="L264" s="117"/>
      <c r="M264" s="9"/>
      <c r="N264" s="111"/>
      <c r="O264" s="152"/>
      <c r="P264" s="152"/>
      <c r="Q264" s="152"/>
      <c r="R264" s="100"/>
      <c r="S264" s="100"/>
      <c r="T264" s="100"/>
      <c r="U264" s="100"/>
      <c r="V264" s="100"/>
      <c r="W264" s="100"/>
      <c r="X264" s="100"/>
      <c r="Y264" s="100"/>
      <c r="Z264" s="100"/>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0"/>
      <c r="BK264" s="220"/>
    </row>
    <row r="265" spans="1:63" outlineLevel="1">
      <c r="A265" s="9"/>
      <c r="B265" s="46"/>
      <c r="C265" s="129">
        <f>Asset29</f>
        <v>0</v>
      </c>
      <c r="D265" s="9"/>
      <c r="E265" s="9"/>
      <c r="F265" s="141"/>
      <c r="G265" s="193">
        <f t="shared" si="3"/>
        <v>0</v>
      </c>
      <c r="H265" s="117"/>
      <c r="I265" s="117"/>
      <c r="J265" s="117"/>
      <c r="K265" s="117"/>
      <c r="L265" s="117"/>
      <c r="M265" s="9"/>
      <c r="N265" s="111"/>
      <c r="O265" s="152"/>
      <c r="P265" s="152"/>
      <c r="Q265" s="152"/>
      <c r="R265" s="100"/>
      <c r="S265" s="100"/>
      <c r="T265" s="100"/>
      <c r="U265" s="100"/>
      <c r="V265" s="100"/>
      <c r="W265" s="100"/>
      <c r="X265" s="100"/>
      <c r="Y265" s="100"/>
      <c r="Z265" s="100"/>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0"/>
      <c r="BK265" s="220"/>
    </row>
    <row r="266" spans="1:63" outlineLevel="1">
      <c r="A266" s="9"/>
      <c r="B266" s="46"/>
      <c r="C266" s="129">
        <f>Asset30</f>
        <v>0</v>
      </c>
      <c r="D266" s="9"/>
      <c r="E266" s="9"/>
      <c r="F266" s="141"/>
      <c r="G266" s="193">
        <f t="shared" si="3"/>
        <v>0</v>
      </c>
      <c r="H266" s="117"/>
      <c r="I266" s="117"/>
      <c r="J266" s="117"/>
      <c r="K266" s="117"/>
      <c r="L266" s="117"/>
      <c r="M266" s="9"/>
      <c r="N266" s="111"/>
      <c r="O266" s="152"/>
      <c r="P266" s="152"/>
      <c r="Q266" s="152"/>
      <c r="R266" s="100"/>
      <c r="S266" s="100"/>
      <c r="T266" s="100"/>
      <c r="U266" s="100"/>
      <c r="V266" s="100"/>
      <c r="W266" s="100"/>
      <c r="X266" s="100"/>
      <c r="Y266" s="100"/>
      <c r="Z266" s="100"/>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0"/>
      <c r="BK266" s="220"/>
    </row>
    <row r="267" spans="1:63">
      <c r="A267" s="9"/>
      <c r="B267" s="153"/>
      <c r="C267" s="26"/>
      <c r="D267" s="9"/>
      <c r="E267" s="9"/>
      <c r="F267" s="141"/>
      <c r="G267" s="195"/>
      <c r="H267" s="117"/>
      <c r="I267" s="117"/>
      <c r="J267" s="117"/>
      <c r="K267" s="117"/>
      <c r="L267" s="117"/>
      <c r="M267" s="9"/>
      <c r="N267" s="111"/>
      <c r="O267" s="152"/>
      <c r="P267" s="152"/>
      <c r="Q267" s="152"/>
      <c r="R267" s="100"/>
      <c r="S267" s="100"/>
      <c r="T267" s="100"/>
      <c r="U267" s="100"/>
      <c r="V267" s="100"/>
      <c r="W267" s="100"/>
      <c r="X267" s="100"/>
      <c r="Y267" s="100"/>
      <c r="Z267" s="100"/>
      <c r="AA267" s="227"/>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0"/>
      <c r="BK267" s="220"/>
    </row>
    <row r="268" spans="1:63">
      <c r="A268" s="9"/>
      <c r="B268" s="153" t="s">
        <v>61</v>
      </c>
      <c r="C268" s="26"/>
      <c r="D268" s="9"/>
      <c r="E268" s="9"/>
      <c r="F268" s="141"/>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0"/>
      <c r="S268" s="100"/>
      <c r="T268" s="100"/>
      <c r="U268" s="100"/>
      <c r="V268" s="100"/>
      <c r="W268" s="100"/>
      <c r="X268" s="100"/>
      <c r="Y268" s="100"/>
      <c r="Z268" s="100"/>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0"/>
      <c r="BK268" s="220"/>
    </row>
    <row r="269" spans="1:63" outlineLevel="1">
      <c r="A269" s="9"/>
      <c r="B269" s="46"/>
      <c r="C269" s="129" t="str">
        <f>Asset1</f>
        <v>Mains &amp; Services</v>
      </c>
      <c r="D269" s="9"/>
      <c r="E269" s="9"/>
      <c r="F269" s="141"/>
      <c r="G269" s="195"/>
      <c r="H269" s="111">
        <f>($G237+(SUM($G269:G269)))*H$7</f>
        <v>0</v>
      </c>
      <c r="I269" s="111">
        <f>($G237+(SUM($G269:H269)))*I$7</f>
        <v>0</v>
      </c>
      <c r="J269" s="111">
        <f>($G237+(SUM($G269:I269)))*J$7</f>
        <v>0</v>
      </c>
      <c r="K269" s="111">
        <f>($G237+(SUM($G269:J269)))*K$7</f>
        <v>0</v>
      </c>
      <c r="L269" s="111">
        <f>($G237+(SUM($G269:K269)))*L$7</f>
        <v>0</v>
      </c>
      <c r="M269" s="111">
        <f>($G237+(SUM($G269:L269)))*M$7</f>
        <v>0</v>
      </c>
      <c r="N269" s="111">
        <f>($G237+(SUM($G269:M269)))*N$7</f>
        <v>0</v>
      </c>
      <c r="O269" s="111">
        <f>($G237+(SUM($G269:N269)))*O$7</f>
        <v>0</v>
      </c>
      <c r="P269" s="111">
        <f>($G237+(SUM($G269:O269)))*P$7</f>
        <v>0</v>
      </c>
      <c r="Q269" s="111">
        <f>($G237+(SUM($G269:P269)))*Q$7</f>
        <v>0</v>
      </c>
      <c r="R269" s="100"/>
      <c r="S269" s="100"/>
      <c r="T269" s="100"/>
      <c r="U269" s="100"/>
      <c r="V269" s="100"/>
      <c r="W269" s="100"/>
      <c r="X269" s="100"/>
      <c r="Y269" s="100"/>
      <c r="Z269" s="100"/>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0"/>
      <c r="BK269" s="220"/>
    </row>
    <row r="270" spans="1:63" outlineLevel="1">
      <c r="A270" s="9"/>
      <c r="B270" s="46"/>
      <c r="C270" s="154" t="s">
        <v>29</v>
      </c>
      <c r="D270" s="9"/>
      <c r="E270" s="9"/>
      <c r="F270" s="141"/>
      <c r="G270" s="195"/>
      <c r="H270" s="111"/>
      <c r="I270" s="111"/>
      <c r="J270" s="111"/>
      <c r="K270" s="111"/>
      <c r="L270" s="111">
        <f>IF(M269=0, SUM($G269:L269), 0)</f>
        <v>0</v>
      </c>
      <c r="M270" s="111">
        <f>IF(N269=0, IF(M269=0, 0, SUM($G269:M269)), 0)</f>
        <v>0</v>
      </c>
      <c r="N270" s="111">
        <f>IF(O269=0, IF(N269=0, 0, SUM($G269:N269)), 0)</f>
        <v>0</v>
      </c>
      <c r="O270" s="111">
        <f>IF(P269=0, IF(O269=0, 0, SUM($G269:O269)), 0)</f>
        <v>0</v>
      </c>
      <c r="P270" s="111">
        <f>IF(Q269=0, IF(P269=0, 0, SUM($G269:P269)), 0)</f>
        <v>0</v>
      </c>
      <c r="Q270" s="111">
        <f>IF(R269=0, IF(Q269=0, 0, SUM($G269:Q269)), 0)</f>
        <v>0</v>
      </c>
      <c r="R270" s="100"/>
      <c r="S270" s="100"/>
      <c r="T270" s="100"/>
      <c r="U270" s="100"/>
      <c r="V270" s="100"/>
      <c r="W270" s="100"/>
      <c r="X270" s="100"/>
      <c r="Y270" s="100"/>
      <c r="Z270" s="100"/>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0"/>
      <c r="BK270" s="220"/>
    </row>
    <row r="271" spans="1:63" outlineLevel="1">
      <c r="A271" s="9"/>
      <c r="B271" s="46"/>
      <c r="C271" s="129" t="str">
        <f>Asset2</f>
        <v>Meters</v>
      </c>
      <c r="D271" s="9"/>
      <c r="E271" s="9"/>
      <c r="F271" s="141"/>
      <c r="G271" s="195"/>
      <c r="H271" s="111">
        <f>($G238+(SUM($G271:G271)))*H$7</f>
        <v>0</v>
      </c>
      <c r="I271" s="111">
        <f>($G238+(SUM($G271:H271)))*I$7</f>
        <v>0</v>
      </c>
      <c r="J271" s="111">
        <f>($G238+(SUM($G271:I271)))*J$7</f>
        <v>0</v>
      </c>
      <c r="K271" s="111">
        <f>($G238+(SUM($G271:J271)))*K$7</f>
        <v>0</v>
      </c>
      <c r="L271" s="111">
        <f>($G238+(SUM($G271:K271)))*L$7</f>
        <v>0</v>
      </c>
      <c r="M271" s="111">
        <f>($G238+(SUM($G271:L271)))*M$7</f>
        <v>0</v>
      </c>
      <c r="N271" s="111">
        <f>($G238+(SUM($G271:M271)))*N$7</f>
        <v>0</v>
      </c>
      <c r="O271" s="111">
        <f>($G238+(SUM($G271:N271)))*O$7</f>
        <v>0</v>
      </c>
      <c r="P271" s="111">
        <f>($G238+(SUM($G271:O271)))*P$7</f>
        <v>0</v>
      </c>
      <c r="Q271" s="111">
        <f>($G238+(SUM($G271:P271)))*Q$7</f>
        <v>0</v>
      </c>
      <c r="R271" s="100"/>
      <c r="S271" s="100"/>
      <c r="T271" s="100"/>
      <c r="U271" s="100"/>
      <c r="V271" s="100"/>
      <c r="W271" s="100"/>
      <c r="X271" s="100"/>
      <c r="Y271" s="100"/>
      <c r="Z271" s="100"/>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0"/>
      <c r="BK271" s="220"/>
    </row>
    <row r="272" spans="1:63" outlineLevel="1">
      <c r="A272" s="9"/>
      <c r="B272" s="46"/>
      <c r="C272" s="154" t="s">
        <v>29</v>
      </c>
      <c r="D272" s="9"/>
      <c r="E272" s="9"/>
      <c r="F272" s="141"/>
      <c r="G272" s="195"/>
      <c r="H272" s="111"/>
      <c r="I272" s="111"/>
      <c r="J272" s="111"/>
      <c r="K272" s="111"/>
      <c r="L272" s="111">
        <f>IF(M271=0, SUM($G271:L271), 0)</f>
        <v>0</v>
      </c>
      <c r="M272" s="111">
        <f>IF(N271=0, IF(M271=0, 0, SUM($G271:M271)), 0)</f>
        <v>0</v>
      </c>
      <c r="N272" s="111">
        <f>IF(O271=0, IF(N271=0, 0, SUM($G271:N271)), 0)</f>
        <v>0</v>
      </c>
      <c r="O272" s="111">
        <f>IF(P271=0, IF(O271=0, 0, SUM($G271:O271)), 0)</f>
        <v>0</v>
      </c>
      <c r="P272" s="111">
        <f>IF(Q271=0, IF(P271=0, 0, SUM($G271:P271)), 0)</f>
        <v>0</v>
      </c>
      <c r="Q272" s="111">
        <f>IF(R271=0, IF(Q271=0, 0, SUM($G271:Q271)), 0)</f>
        <v>0</v>
      </c>
      <c r="R272" s="100"/>
      <c r="S272" s="100"/>
      <c r="T272" s="100"/>
      <c r="U272" s="100"/>
      <c r="V272" s="100"/>
      <c r="W272" s="100"/>
      <c r="X272" s="100"/>
      <c r="Y272" s="100"/>
      <c r="Z272" s="100"/>
      <c r="AA272" s="227"/>
      <c r="AB272" s="227"/>
      <c r="AC272" s="227"/>
      <c r="AD272" s="227"/>
      <c r="AE272" s="227"/>
      <c r="AF272" s="227"/>
      <c r="AG272" s="227"/>
      <c r="AH272" s="227"/>
      <c r="AI272" s="227"/>
      <c r="AJ272" s="227"/>
      <c r="AK272" s="227"/>
      <c r="AL272" s="227"/>
      <c r="AM272" s="227"/>
      <c r="AN272" s="227"/>
      <c r="AO272" s="227"/>
      <c r="AP272" s="227"/>
      <c r="AQ272" s="227"/>
      <c r="AR272" s="227"/>
      <c r="AS272" s="227"/>
      <c r="AT272" s="227"/>
      <c r="AU272" s="227"/>
      <c r="AV272" s="227"/>
      <c r="AW272" s="227"/>
      <c r="AX272" s="227"/>
      <c r="AY272" s="227"/>
      <c r="AZ272" s="227"/>
      <c r="BA272" s="227"/>
      <c r="BB272" s="227"/>
      <c r="BC272" s="227"/>
      <c r="BD272" s="227"/>
      <c r="BE272" s="227"/>
      <c r="BF272" s="227"/>
      <c r="BG272" s="227"/>
      <c r="BH272" s="227"/>
      <c r="BI272" s="227"/>
      <c r="BJ272" s="220"/>
      <c r="BK272" s="220"/>
    </row>
    <row r="273" spans="1:63" outlineLevel="1">
      <c r="A273" s="9"/>
      <c r="B273" s="46"/>
      <c r="C273" s="129" t="str">
        <f>Asset3</f>
        <v>Buildings</v>
      </c>
      <c r="D273" s="9"/>
      <c r="E273" s="9"/>
      <c r="F273" s="141"/>
      <c r="G273" s="195"/>
      <c r="H273" s="111">
        <f>($G239+(SUM($G273:G273)))*H$7</f>
        <v>0</v>
      </c>
      <c r="I273" s="111">
        <f>($G239+(SUM($G273:H273)))*I$7</f>
        <v>0</v>
      </c>
      <c r="J273" s="111">
        <f>($G239+(SUM($G273:I273)))*J$7</f>
        <v>0</v>
      </c>
      <c r="K273" s="111">
        <f>($G239+(SUM($G273:J273)))*K$7</f>
        <v>0</v>
      </c>
      <c r="L273" s="111">
        <f>($G239+(SUM($G273:K273)))*L$7</f>
        <v>0</v>
      </c>
      <c r="M273" s="111">
        <f>($G239+(SUM($G273:L273)))*M$7</f>
        <v>0</v>
      </c>
      <c r="N273" s="111">
        <f>($G239+(SUM($G273:M273)))*N$7</f>
        <v>0</v>
      </c>
      <c r="O273" s="111">
        <f>($G239+(SUM($G273:N273)))*O$7</f>
        <v>0</v>
      </c>
      <c r="P273" s="111">
        <f>($G239+(SUM($G273:O273)))*P$7</f>
        <v>0</v>
      </c>
      <c r="Q273" s="111">
        <f>($G239+(SUM($G273:P273)))*Q$7</f>
        <v>0</v>
      </c>
      <c r="R273" s="100"/>
      <c r="S273" s="100"/>
      <c r="T273" s="100"/>
      <c r="U273" s="100"/>
      <c r="V273" s="100"/>
      <c r="W273" s="100"/>
      <c r="X273" s="100"/>
      <c r="Y273" s="100"/>
      <c r="Z273" s="100"/>
      <c r="AA273" s="227"/>
      <c r="AB273" s="227"/>
      <c r="AC273" s="227"/>
      <c r="AD273" s="227"/>
      <c r="AE273" s="227"/>
      <c r="AF273" s="227"/>
      <c r="AG273" s="227"/>
      <c r="AH273" s="227"/>
      <c r="AI273" s="227"/>
      <c r="AJ273" s="227"/>
      <c r="AK273" s="227"/>
      <c r="AL273" s="227"/>
      <c r="AM273" s="227"/>
      <c r="AN273" s="227"/>
      <c r="AO273" s="227"/>
      <c r="AP273" s="227"/>
      <c r="AQ273" s="227"/>
      <c r="AR273" s="227"/>
      <c r="AS273" s="227"/>
      <c r="AT273" s="227"/>
      <c r="AU273" s="227"/>
      <c r="AV273" s="227"/>
      <c r="AW273" s="227"/>
      <c r="AX273" s="227"/>
      <c r="AY273" s="227"/>
      <c r="AZ273" s="227"/>
      <c r="BA273" s="227"/>
      <c r="BB273" s="227"/>
      <c r="BC273" s="227"/>
      <c r="BD273" s="227"/>
      <c r="BE273" s="227"/>
      <c r="BF273" s="227"/>
      <c r="BG273" s="227"/>
      <c r="BH273" s="227"/>
      <c r="BI273" s="227"/>
      <c r="BJ273" s="220"/>
      <c r="BK273" s="220"/>
    </row>
    <row r="274" spans="1:63" outlineLevel="1">
      <c r="A274" s="9"/>
      <c r="B274" s="46"/>
      <c r="C274" s="154" t="s">
        <v>29</v>
      </c>
      <c r="D274" s="9"/>
      <c r="E274" s="9"/>
      <c r="F274" s="141"/>
      <c r="G274" s="195"/>
      <c r="H274" s="111"/>
      <c r="I274" s="111"/>
      <c r="J274" s="111"/>
      <c r="K274" s="111"/>
      <c r="L274" s="111">
        <f>IF(M273=0, SUM($G273:L273), 0)</f>
        <v>0</v>
      </c>
      <c r="M274" s="111">
        <f>IF(N273=0, IF(M273=0, 0, SUM($G273:M273)), 0)</f>
        <v>0</v>
      </c>
      <c r="N274" s="111">
        <f>IF(O273=0, IF(N273=0, 0, SUM($G273:N273)), 0)</f>
        <v>0</v>
      </c>
      <c r="O274" s="111">
        <f>IF(P273=0, IF(O273=0, 0, SUM($G273:O273)), 0)</f>
        <v>0</v>
      </c>
      <c r="P274" s="111">
        <f>IF(Q273=0, IF(P273=0, 0, SUM($G273:P273)), 0)</f>
        <v>0</v>
      </c>
      <c r="Q274" s="111">
        <f>IF(R273=0, IF(Q273=0, 0, SUM($G273:Q273)), 0)</f>
        <v>0</v>
      </c>
      <c r="R274" s="100"/>
      <c r="S274" s="100"/>
      <c r="T274" s="100"/>
      <c r="U274" s="100"/>
      <c r="V274" s="100"/>
      <c r="W274" s="100"/>
      <c r="X274" s="100"/>
      <c r="Y274" s="100"/>
      <c r="Z274" s="100"/>
      <c r="AA274" s="227"/>
      <c r="AB274" s="227"/>
      <c r="AC274" s="227"/>
      <c r="AD274" s="227"/>
      <c r="AE274" s="227"/>
      <c r="AF274" s="227"/>
      <c r="AG274" s="227"/>
      <c r="AH274" s="227"/>
      <c r="AI274" s="227"/>
      <c r="AJ274" s="227"/>
      <c r="AK274" s="227"/>
      <c r="AL274" s="227"/>
      <c r="AM274" s="227"/>
      <c r="AN274" s="227"/>
      <c r="AO274" s="227"/>
      <c r="AP274" s="227"/>
      <c r="AQ274" s="227"/>
      <c r="AR274" s="227"/>
      <c r="AS274" s="227"/>
      <c r="AT274" s="227"/>
      <c r="AU274" s="227"/>
      <c r="AV274" s="227"/>
      <c r="AW274" s="227"/>
      <c r="AX274" s="227"/>
      <c r="AY274" s="227"/>
      <c r="AZ274" s="227"/>
      <c r="BA274" s="227"/>
      <c r="BB274" s="227"/>
      <c r="BC274" s="227"/>
      <c r="BD274" s="227"/>
      <c r="BE274" s="227"/>
      <c r="BF274" s="227"/>
      <c r="BG274" s="227"/>
      <c r="BH274" s="227"/>
      <c r="BI274" s="227"/>
      <c r="BJ274" s="220"/>
      <c r="BK274" s="220"/>
    </row>
    <row r="275" spans="1:63" outlineLevel="1">
      <c r="A275" s="9"/>
      <c r="B275" s="46"/>
      <c r="C275" s="129" t="str">
        <f>Asset4</f>
        <v>SCADA</v>
      </c>
      <c r="D275" s="9"/>
      <c r="E275" s="9"/>
      <c r="F275" s="141"/>
      <c r="G275" s="195"/>
      <c r="H275" s="111">
        <f>($G240+(SUM($G275:G275)))*H$7</f>
        <v>0</v>
      </c>
      <c r="I275" s="111">
        <f>($G240+(SUM($G275:H275)))*I$7</f>
        <v>0</v>
      </c>
      <c r="J275" s="111">
        <f>($G240+(SUM($G275:I275)))*J$7</f>
        <v>0</v>
      </c>
      <c r="K275" s="111">
        <f>($G240+(SUM($G275:J275)))*K$7</f>
        <v>0</v>
      </c>
      <c r="L275" s="111">
        <f>($G240+(SUM($G275:K275)))*L$7</f>
        <v>0</v>
      </c>
      <c r="M275" s="111">
        <f>($G240+(SUM($G275:L275)))*M$7</f>
        <v>0</v>
      </c>
      <c r="N275" s="111">
        <f>($G240+(SUM($G275:M275)))*N$7</f>
        <v>0</v>
      </c>
      <c r="O275" s="111">
        <f>($G240+(SUM($G275:N275)))*O$7</f>
        <v>0</v>
      </c>
      <c r="P275" s="111">
        <f>($G240+(SUM($G275:O275)))*P$7</f>
        <v>0</v>
      </c>
      <c r="Q275" s="111">
        <f>($G240+(SUM($G275:P275)))*Q$7</f>
        <v>0</v>
      </c>
      <c r="R275" s="100"/>
      <c r="S275" s="100"/>
      <c r="T275" s="100"/>
      <c r="U275" s="100"/>
      <c r="V275" s="100"/>
      <c r="W275" s="100"/>
      <c r="X275" s="100"/>
      <c r="Y275" s="100"/>
      <c r="Z275" s="100"/>
      <c r="AA275" s="227"/>
      <c r="AB275" s="227"/>
      <c r="AC275" s="227"/>
      <c r="AD275" s="227"/>
      <c r="AE275" s="227"/>
      <c r="AF275" s="227"/>
      <c r="AG275" s="227"/>
      <c r="AH275" s="227"/>
      <c r="AI275" s="227"/>
      <c r="AJ275" s="227"/>
      <c r="AK275" s="227"/>
      <c r="AL275" s="227"/>
      <c r="AM275" s="227"/>
      <c r="AN275" s="227"/>
      <c r="AO275" s="227"/>
      <c r="AP275" s="227"/>
      <c r="AQ275" s="227"/>
      <c r="AR275" s="227"/>
      <c r="AS275" s="227"/>
      <c r="AT275" s="227"/>
      <c r="AU275" s="227"/>
      <c r="AV275" s="227"/>
      <c r="AW275" s="227"/>
      <c r="AX275" s="227"/>
      <c r="AY275" s="227"/>
      <c r="AZ275" s="227"/>
      <c r="BA275" s="227"/>
      <c r="BB275" s="227"/>
      <c r="BC275" s="227"/>
      <c r="BD275" s="227"/>
      <c r="BE275" s="227"/>
      <c r="BF275" s="227"/>
      <c r="BG275" s="227"/>
      <c r="BH275" s="227"/>
      <c r="BI275" s="227"/>
      <c r="BJ275" s="220"/>
      <c r="BK275" s="220"/>
    </row>
    <row r="276" spans="1:63" outlineLevel="1">
      <c r="A276" s="9"/>
      <c r="B276" s="46"/>
      <c r="C276" s="154" t="s">
        <v>29</v>
      </c>
      <c r="D276" s="9"/>
      <c r="E276" s="9"/>
      <c r="F276" s="141"/>
      <c r="G276" s="195"/>
      <c r="H276" s="111"/>
      <c r="I276" s="111"/>
      <c r="J276" s="111"/>
      <c r="K276" s="111"/>
      <c r="L276" s="111">
        <f>IF(M275=0, SUM($G275:L275), 0)</f>
        <v>0</v>
      </c>
      <c r="M276" s="111">
        <f>IF(N275=0, IF(M275=0, 0, SUM($G275:M275)), 0)</f>
        <v>0</v>
      </c>
      <c r="N276" s="111">
        <f>IF(O275=0, IF(N275=0, 0, SUM($G275:N275)), 0)</f>
        <v>0</v>
      </c>
      <c r="O276" s="111">
        <f>IF(P275=0, IF(O275=0, 0, SUM($G275:O275)), 0)</f>
        <v>0</v>
      </c>
      <c r="P276" s="111">
        <f>IF(Q275=0, IF(P275=0, 0, SUM($G275:P275)), 0)</f>
        <v>0</v>
      </c>
      <c r="Q276" s="111">
        <f>IF(R275=0, IF(Q275=0, 0, SUM($G275:Q275)), 0)</f>
        <v>0</v>
      </c>
      <c r="R276" s="100"/>
      <c r="S276" s="100"/>
      <c r="T276" s="100"/>
      <c r="U276" s="100"/>
      <c r="V276" s="100"/>
      <c r="W276" s="100"/>
      <c r="X276" s="100"/>
      <c r="Y276" s="100"/>
      <c r="Z276" s="100"/>
      <c r="AA276" s="227"/>
      <c r="AB276" s="227"/>
      <c r="AC276" s="227"/>
      <c r="AD276" s="227"/>
      <c r="AE276" s="227"/>
      <c r="AF276" s="227"/>
      <c r="AG276" s="227"/>
      <c r="AH276" s="227"/>
      <c r="AI276" s="227"/>
      <c r="AJ276" s="227"/>
      <c r="AK276" s="227"/>
      <c r="AL276" s="227"/>
      <c r="AM276" s="227"/>
      <c r="AN276" s="227"/>
      <c r="AO276" s="227"/>
      <c r="AP276" s="227"/>
      <c r="AQ276" s="227"/>
      <c r="AR276" s="227"/>
      <c r="AS276" s="227"/>
      <c r="AT276" s="227"/>
      <c r="AU276" s="227"/>
      <c r="AV276" s="227"/>
      <c r="AW276" s="227"/>
      <c r="AX276" s="227"/>
      <c r="AY276" s="227"/>
      <c r="AZ276" s="227"/>
      <c r="BA276" s="227"/>
      <c r="BB276" s="227"/>
      <c r="BC276" s="227"/>
      <c r="BD276" s="227"/>
      <c r="BE276" s="227"/>
      <c r="BF276" s="227"/>
      <c r="BG276" s="227"/>
      <c r="BH276" s="227"/>
      <c r="BI276" s="227"/>
      <c r="BJ276" s="220"/>
      <c r="BK276" s="220"/>
    </row>
    <row r="277" spans="1:63" outlineLevel="1">
      <c r="A277" s="9"/>
      <c r="B277" s="46"/>
      <c r="C277" s="129" t="str">
        <f>Asset5</f>
        <v>Computer Equipment</v>
      </c>
      <c r="D277" s="9"/>
      <c r="E277" s="9"/>
      <c r="F277" s="141"/>
      <c r="G277" s="195"/>
      <c r="H277" s="111">
        <f>($G241+(SUM($G277:G277)))*H$7</f>
        <v>0</v>
      </c>
      <c r="I277" s="111">
        <f>($G241+(SUM($G277:H277)))*I$7</f>
        <v>0</v>
      </c>
      <c r="J277" s="111">
        <f>($G241+(SUM($G277:I277)))*J$7</f>
        <v>0</v>
      </c>
      <c r="K277" s="111">
        <f>($G241+(SUM($G277:J277)))*K$7</f>
        <v>0</v>
      </c>
      <c r="L277" s="111">
        <f>($G241+(SUM($G277:K277)))*L$7</f>
        <v>0</v>
      </c>
      <c r="M277" s="111">
        <f>($G241+(SUM($G277:L277)))*M$7</f>
        <v>0</v>
      </c>
      <c r="N277" s="111">
        <f>($G241+(SUM($G277:M277)))*N$7</f>
        <v>0</v>
      </c>
      <c r="O277" s="111">
        <f>($G241+(SUM($G277:N277)))*O$7</f>
        <v>0</v>
      </c>
      <c r="P277" s="111">
        <f>($G241+(SUM($G277:O277)))*P$7</f>
        <v>0</v>
      </c>
      <c r="Q277" s="111">
        <f>($G241+(SUM($G277:P277)))*Q$7</f>
        <v>0</v>
      </c>
      <c r="R277" s="100"/>
      <c r="S277" s="100"/>
      <c r="T277" s="100"/>
      <c r="U277" s="100"/>
      <c r="V277" s="100"/>
      <c r="W277" s="100"/>
      <c r="X277" s="100"/>
      <c r="Y277" s="100"/>
      <c r="Z277" s="100"/>
      <c r="AA277" s="227"/>
      <c r="AB277" s="227"/>
      <c r="AC277" s="227"/>
      <c r="AD277" s="227"/>
      <c r="AE277" s="227"/>
      <c r="AF277" s="227"/>
      <c r="AG277" s="227"/>
      <c r="AH277" s="227"/>
      <c r="AI277" s="227"/>
      <c r="AJ277" s="227"/>
      <c r="AK277" s="227"/>
      <c r="AL277" s="227"/>
      <c r="AM277" s="227"/>
      <c r="AN277" s="227"/>
      <c r="AO277" s="227"/>
      <c r="AP277" s="227"/>
      <c r="AQ277" s="227"/>
      <c r="AR277" s="227"/>
      <c r="AS277" s="227"/>
      <c r="AT277" s="227"/>
      <c r="AU277" s="227"/>
      <c r="AV277" s="227"/>
      <c r="AW277" s="227"/>
      <c r="AX277" s="227"/>
      <c r="AY277" s="227"/>
      <c r="AZ277" s="227"/>
      <c r="BA277" s="227"/>
      <c r="BB277" s="227"/>
      <c r="BC277" s="227"/>
      <c r="BD277" s="227"/>
      <c r="BE277" s="227"/>
      <c r="BF277" s="227"/>
      <c r="BG277" s="227"/>
      <c r="BH277" s="227"/>
      <c r="BI277" s="227"/>
      <c r="BJ277" s="220"/>
      <c r="BK277" s="220"/>
    </row>
    <row r="278" spans="1:63" outlineLevel="1">
      <c r="A278" s="9"/>
      <c r="B278" s="46"/>
      <c r="C278" s="154" t="s">
        <v>29</v>
      </c>
      <c r="D278" s="9"/>
      <c r="E278" s="9"/>
      <c r="F278" s="141"/>
      <c r="G278" s="195"/>
      <c r="H278" s="111"/>
      <c r="I278" s="111"/>
      <c r="J278" s="111"/>
      <c r="K278" s="111"/>
      <c r="L278" s="111">
        <f>IF(M277=0, SUM($G277:L277), 0)</f>
        <v>0</v>
      </c>
      <c r="M278" s="111">
        <f>IF(N277=0, IF(M277=0, 0, SUM($G277:M277)), 0)</f>
        <v>0</v>
      </c>
      <c r="N278" s="111">
        <f>IF(O277=0, IF(N277=0, 0, SUM($G277:N277)), 0)</f>
        <v>0</v>
      </c>
      <c r="O278" s="111">
        <f>IF(P277=0, IF(O277=0, 0, SUM($G277:O277)), 0)</f>
        <v>0</v>
      </c>
      <c r="P278" s="111">
        <f>IF(Q277=0, IF(P277=0, 0, SUM($G277:P277)), 0)</f>
        <v>0</v>
      </c>
      <c r="Q278" s="111">
        <f>IF(R277=0, IF(Q277=0, 0, SUM($G277:Q277)), 0)</f>
        <v>0</v>
      </c>
      <c r="R278" s="100"/>
      <c r="S278" s="100"/>
      <c r="T278" s="100"/>
      <c r="U278" s="100"/>
      <c r="V278" s="100"/>
      <c r="W278" s="100"/>
      <c r="X278" s="100"/>
      <c r="Y278" s="100"/>
      <c r="Z278" s="100"/>
      <c r="AA278" s="227"/>
      <c r="AB278" s="227"/>
      <c r="AC278" s="227"/>
      <c r="AD278" s="227"/>
      <c r="AE278" s="227"/>
      <c r="AF278" s="227"/>
      <c r="AG278" s="227"/>
      <c r="AH278" s="227"/>
      <c r="AI278" s="227"/>
      <c r="AJ278" s="227"/>
      <c r="AK278" s="227"/>
      <c r="AL278" s="227"/>
      <c r="AM278" s="227"/>
      <c r="AN278" s="227"/>
      <c r="AO278" s="227"/>
      <c r="AP278" s="227"/>
      <c r="AQ278" s="227"/>
      <c r="AR278" s="227"/>
      <c r="AS278" s="227"/>
      <c r="AT278" s="227"/>
      <c r="AU278" s="227"/>
      <c r="AV278" s="227"/>
      <c r="AW278" s="227"/>
      <c r="AX278" s="227"/>
      <c r="AY278" s="227"/>
      <c r="AZ278" s="227"/>
      <c r="BA278" s="227"/>
      <c r="BB278" s="227"/>
      <c r="BC278" s="227"/>
      <c r="BD278" s="227"/>
      <c r="BE278" s="227"/>
      <c r="BF278" s="227"/>
      <c r="BG278" s="227"/>
      <c r="BH278" s="227"/>
      <c r="BI278" s="227"/>
      <c r="BJ278" s="220"/>
      <c r="BK278" s="220"/>
    </row>
    <row r="279" spans="1:63" outlineLevel="1">
      <c r="A279" s="9"/>
      <c r="B279" s="46"/>
      <c r="C279" s="129" t="str">
        <f>Asset6</f>
        <v>Other Assets</v>
      </c>
      <c r="D279" s="9"/>
      <c r="E279" s="9"/>
      <c r="F279" s="141"/>
      <c r="G279" s="195"/>
      <c r="H279" s="111">
        <f>($G242+(SUM($G279:G279)))*H$7</f>
        <v>0</v>
      </c>
      <c r="I279" s="111">
        <f>($G242+(SUM($G279:H279)))*I$7</f>
        <v>0</v>
      </c>
      <c r="J279" s="111">
        <f>($G242+(SUM($G279:I279)))*J$7</f>
        <v>0</v>
      </c>
      <c r="K279" s="111">
        <f>($G242+(SUM($G279:J279)))*K$7</f>
        <v>0</v>
      </c>
      <c r="L279" s="111">
        <f>($G242+(SUM($G279:K279)))*L$7</f>
        <v>0</v>
      </c>
      <c r="M279" s="111">
        <f>($G242+(SUM($G279:L279)))*M$7</f>
        <v>0</v>
      </c>
      <c r="N279" s="111">
        <f>($G242+(SUM($G279:M279)))*N$7</f>
        <v>0</v>
      </c>
      <c r="O279" s="111">
        <f>($G242+(SUM($G279:N279)))*O$7</f>
        <v>0</v>
      </c>
      <c r="P279" s="111">
        <f>($G242+(SUM($G279:O279)))*P$7</f>
        <v>0</v>
      </c>
      <c r="Q279" s="111">
        <f>($G242+(SUM($G279:P279)))*Q$7</f>
        <v>0</v>
      </c>
      <c r="R279" s="100"/>
      <c r="S279" s="100"/>
      <c r="T279" s="100"/>
      <c r="U279" s="100"/>
      <c r="V279" s="100"/>
      <c r="W279" s="100"/>
      <c r="X279" s="100"/>
      <c r="Y279" s="100"/>
      <c r="Z279" s="100"/>
      <c r="AA279" s="227"/>
      <c r="AB279" s="227"/>
      <c r="AC279" s="227"/>
      <c r="AD279" s="227"/>
      <c r="AE279" s="227"/>
      <c r="AF279" s="227"/>
      <c r="AG279" s="227"/>
      <c r="AH279" s="227"/>
      <c r="AI279" s="227"/>
      <c r="AJ279" s="227"/>
      <c r="AK279" s="227"/>
      <c r="AL279" s="227"/>
      <c r="AM279" s="227"/>
      <c r="AN279" s="227"/>
      <c r="AO279" s="227"/>
      <c r="AP279" s="227"/>
      <c r="AQ279" s="227"/>
      <c r="AR279" s="227"/>
      <c r="AS279" s="227"/>
      <c r="AT279" s="227"/>
      <c r="AU279" s="227"/>
      <c r="AV279" s="227"/>
      <c r="AW279" s="227"/>
      <c r="AX279" s="227"/>
      <c r="AY279" s="227"/>
      <c r="AZ279" s="227"/>
      <c r="BA279" s="227"/>
      <c r="BB279" s="227"/>
      <c r="BC279" s="227"/>
      <c r="BD279" s="227"/>
      <c r="BE279" s="227"/>
      <c r="BF279" s="227"/>
      <c r="BG279" s="227"/>
      <c r="BH279" s="227"/>
      <c r="BI279" s="227"/>
      <c r="BJ279" s="220"/>
      <c r="BK279" s="220"/>
    </row>
    <row r="280" spans="1:63" outlineLevel="1">
      <c r="A280" s="9"/>
      <c r="B280" s="46"/>
      <c r="C280" s="154" t="s">
        <v>29</v>
      </c>
      <c r="D280" s="9"/>
      <c r="E280" s="9"/>
      <c r="F280" s="141"/>
      <c r="G280" s="195"/>
      <c r="H280" s="111"/>
      <c r="I280" s="111"/>
      <c r="J280" s="111"/>
      <c r="K280" s="111"/>
      <c r="L280" s="111">
        <f>IF(M279=0, SUM($G279:L279), 0)</f>
        <v>0</v>
      </c>
      <c r="M280" s="111">
        <f>IF(N279=0, IF(M279=0, 0, SUM($G279:M279)), 0)</f>
        <v>0</v>
      </c>
      <c r="N280" s="111">
        <f>IF(O279=0, IF(N279=0, 0, SUM($G279:N279)), 0)</f>
        <v>0</v>
      </c>
      <c r="O280" s="111">
        <f>IF(P279=0, IF(O279=0, 0, SUM($G279:O279)), 0)</f>
        <v>0</v>
      </c>
      <c r="P280" s="111">
        <f>IF(Q279=0, IF(P279=0, 0, SUM($G279:P279)), 0)</f>
        <v>0</v>
      </c>
      <c r="Q280" s="111">
        <f>IF(R279=0, IF(Q279=0, 0, SUM($G279:Q279)), 0)</f>
        <v>0</v>
      </c>
      <c r="R280" s="100"/>
      <c r="S280" s="100"/>
      <c r="T280" s="100"/>
      <c r="U280" s="100"/>
      <c r="V280" s="100"/>
      <c r="W280" s="100"/>
      <c r="X280" s="100"/>
      <c r="Y280" s="100"/>
      <c r="Z280" s="100"/>
      <c r="AA280" s="227"/>
      <c r="AB280" s="227"/>
      <c r="AC280" s="227"/>
      <c r="AD280" s="227"/>
      <c r="AE280" s="227"/>
      <c r="AF280" s="227"/>
      <c r="AG280" s="227"/>
      <c r="AH280" s="227"/>
      <c r="AI280" s="227"/>
      <c r="AJ280" s="227"/>
      <c r="AK280" s="227"/>
      <c r="AL280" s="227"/>
      <c r="AM280" s="227"/>
      <c r="AN280" s="227"/>
      <c r="AO280" s="227"/>
      <c r="AP280" s="227"/>
      <c r="AQ280" s="227"/>
      <c r="AR280" s="227"/>
      <c r="AS280" s="227"/>
      <c r="AT280" s="227"/>
      <c r="AU280" s="227"/>
      <c r="AV280" s="227"/>
      <c r="AW280" s="227"/>
      <c r="AX280" s="227"/>
      <c r="AY280" s="227"/>
      <c r="AZ280" s="227"/>
      <c r="BA280" s="227"/>
      <c r="BB280" s="227"/>
      <c r="BC280" s="227"/>
      <c r="BD280" s="227"/>
      <c r="BE280" s="227"/>
      <c r="BF280" s="227"/>
      <c r="BG280" s="227"/>
      <c r="BH280" s="227"/>
      <c r="BI280" s="227"/>
      <c r="BJ280" s="220"/>
      <c r="BK280" s="220"/>
    </row>
    <row r="281" spans="1:63" outlineLevel="1">
      <c r="A281" s="9"/>
      <c r="B281" s="46"/>
      <c r="C281" s="129" t="str">
        <f>Asset7</f>
        <v>Equity Raising Costs</v>
      </c>
      <c r="D281" s="9"/>
      <c r="E281" s="9"/>
      <c r="F281" s="141"/>
      <c r="G281" s="195"/>
      <c r="H281" s="111">
        <f>($G243+(SUM($G281:G281)))*H$7</f>
        <v>0</v>
      </c>
      <c r="I281" s="111">
        <f>($G243+(SUM($G281:H281)))*I$7</f>
        <v>0</v>
      </c>
      <c r="J281" s="111">
        <f>($G243+(SUM($G281:I281)))*J$7</f>
        <v>0</v>
      </c>
      <c r="K281" s="111">
        <f>($G243+(SUM($G281:J281)))*K$7</f>
        <v>0</v>
      </c>
      <c r="L281" s="111">
        <f>($G243+(SUM($G281:K281)))*L$7</f>
        <v>0</v>
      </c>
      <c r="M281" s="111">
        <f>($G243+(SUM($G281:L281)))*M$7</f>
        <v>0</v>
      </c>
      <c r="N281" s="111">
        <f>($G243+(SUM($G281:M281)))*N$7</f>
        <v>0</v>
      </c>
      <c r="O281" s="111">
        <f>($G243+(SUM($G281:N281)))*O$7</f>
        <v>0</v>
      </c>
      <c r="P281" s="111">
        <f>($G243+(SUM($G281:O281)))*P$7</f>
        <v>0</v>
      </c>
      <c r="Q281" s="111">
        <f>($G243+(SUM($G281:P281)))*Q$7</f>
        <v>0</v>
      </c>
      <c r="R281" s="100"/>
      <c r="S281" s="100"/>
      <c r="T281" s="100"/>
      <c r="U281" s="100"/>
      <c r="V281" s="100"/>
      <c r="W281" s="100"/>
      <c r="X281" s="100"/>
      <c r="Y281" s="100"/>
      <c r="Z281" s="100"/>
      <c r="AA281" s="227"/>
      <c r="AB281" s="227"/>
      <c r="AC281" s="227"/>
      <c r="AD281" s="227"/>
      <c r="AE281" s="227"/>
      <c r="AF281" s="227"/>
      <c r="AG281" s="227"/>
      <c r="AH281" s="227"/>
      <c r="AI281" s="227"/>
      <c r="AJ281" s="227"/>
      <c r="AK281" s="227"/>
      <c r="AL281" s="227"/>
      <c r="AM281" s="227"/>
      <c r="AN281" s="227"/>
      <c r="AO281" s="227"/>
      <c r="AP281" s="227"/>
      <c r="AQ281" s="227"/>
      <c r="AR281" s="227"/>
      <c r="AS281" s="227"/>
      <c r="AT281" s="227"/>
      <c r="AU281" s="227"/>
      <c r="AV281" s="227"/>
      <c r="AW281" s="227"/>
      <c r="AX281" s="227"/>
      <c r="AY281" s="227"/>
      <c r="AZ281" s="227"/>
      <c r="BA281" s="227"/>
      <c r="BB281" s="227"/>
      <c r="BC281" s="227"/>
      <c r="BD281" s="227"/>
      <c r="BE281" s="227"/>
      <c r="BF281" s="227"/>
      <c r="BG281" s="227"/>
      <c r="BH281" s="227"/>
      <c r="BI281" s="227"/>
      <c r="BJ281" s="220"/>
      <c r="BK281" s="220"/>
    </row>
    <row r="282" spans="1:63" outlineLevel="1">
      <c r="A282" s="9"/>
      <c r="B282" s="46"/>
      <c r="C282" s="154" t="s">
        <v>29</v>
      </c>
      <c r="D282" s="9"/>
      <c r="E282" s="9"/>
      <c r="F282" s="141"/>
      <c r="G282" s="195"/>
      <c r="H282" s="111"/>
      <c r="I282" s="111"/>
      <c r="J282" s="111"/>
      <c r="K282" s="111"/>
      <c r="L282" s="111">
        <f>IF(M281=0, SUM($G281:L281), 0)</f>
        <v>0</v>
      </c>
      <c r="M282" s="111">
        <f>IF(N281=0, IF(M281=0, 0, SUM($G281:M281)), 0)</f>
        <v>0</v>
      </c>
      <c r="N282" s="111">
        <f>IF(O281=0, IF(N281=0, 0, SUM($G281:N281)), 0)</f>
        <v>0</v>
      </c>
      <c r="O282" s="111">
        <f>IF(P281=0, IF(O281=0, 0, SUM($G281:O281)), 0)</f>
        <v>0</v>
      </c>
      <c r="P282" s="111">
        <f>IF(Q281=0, IF(P281=0, 0, SUM($G281:P281)), 0)</f>
        <v>0</v>
      </c>
      <c r="Q282" s="111">
        <f>IF(R281=0, IF(Q281=0, 0, SUM($G281:Q281)), 0)</f>
        <v>0</v>
      </c>
      <c r="R282" s="100"/>
      <c r="S282" s="100"/>
      <c r="T282" s="100"/>
      <c r="U282" s="100"/>
      <c r="V282" s="100"/>
      <c r="W282" s="100"/>
      <c r="X282" s="100"/>
      <c r="Y282" s="100"/>
      <c r="Z282" s="100"/>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0"/>
      <c r="BK282" s="220"/>
    </row>
    <row r="283" spans="1:63" outlineLevel="1">
      <c r="A283" s="9"/>
      <c r="B283" s="46"/>
      <c r="C283" s="129" t="str">
        <f>Asset8</f>
        <v>Land</v>
      </c>
      <c r="D283" s="9"/>
      <c r="E283" s="9"/>
      <c r="F283" s="141"/>
      <c r="G283" s="195"/>
      <c r="H283" s="111">
        <f>($G244+(SUM($G283:G283)))*H$7</f>
        <v>0</v>
      </c>
      <c r="I283" s="111">
        <f>($G244+(SUM($G283:H283)))*I$7</f>
        <v>0</v>
      </c>
      <c r="J283" s="111">
        <f>($G244+(SUM($G283:I283)))*J$7</f>
        <v>0</v>
      </c>
      <c r="K283" s="111">
        <f>($G244+(SUM($G283:J283)))*K$7</f>
        <v>0</v>
      </c>
      <c r="L283" s="111">
        <f>($G244+(SUM($G283:K283)))*L$7</f>
        <v>0</v>
      </c>
      <c r="M283" s="111">
        <f>($G244+(SUM($G283:L283)))*M$7</f>
        <v>0</v>
      </c>
      <c r="N283" s="111">
        <f>($G244+(SUM($G283:M283)))*N$7</f>
        <v>0</v>
      </c>
      <c r="O283" s="111">
        <f>($G244+(SUM($G283:N283)))*O$7</f>
        <v>0</v>
      </c>
      <c r="P283" s="111">
        <f>($G244+(SUM($G283:O283)))*P$7</f>
        <v>0</v>
      </c>
      <c r="Q283" s="111">
        <f>($G244+(SUM($G283:P283)))*Q$7</f>
        <v>0</v>
      </c>
      <c r="R283" s="100"/>
      <c r="S283" s="100"/>
      <c r="T283" s="100"/>
      <c r="U283" s="100"/>
      <c r="V283" s="100"/>
      <c r="W283" s="100"/>
      <c r="X283" s="100"/>
      <c r="Y283" s="100"/>
      <c r="Z283" s="100"/>
      <c r="AA283" s="227"/>
      <c r="AB283" s="227"/>
      <c r="AC283" s="227"/>
      <c r="AD283" s="227"/>
      <c r="AE283" s="227"/>
      <c r="AF283" s="227"/>
      <c r="AG283" s="227"/>
      <c r="AH283" s="227"/>
      <c r="AI283" s="227"/>
      <c r="AJ283" s="227"/>
      <c r="AK283" s="227"/>
      <c r="AL283" s="227"/>
      <c r="AM283" s="227"/>
      <c r="AN283" s="227"/>
      <c r="AO283" s="227"/>
      <c r="AP283" s="227"/>
      <c r="AQ283" s="227"/>
      <c r="AR283" s="227"/>
      <c r="AS283" s="227"/>
      <c r="AT283" s="227"/>
      <c r="AU283" s="227"/>
      <c r="AV283" s="227"/>
      <c r="AW283" s="227"/>
      <c r="AX283" s="227"/>
      <c r="AY283" s="227"/>
      <c r="AZ283" s="227"/>
      <c r="BA283" s="227"/>
      <c r="BB283" s="227"/>
      <c r="BC283" s="227"/>
      <c r="BD283" s="227"/>
      <c r="BE283" s="227"/>
      <c r="BF283" s="227"/>
      <c r="BG283" s="227"/>
      <c r="BH283" s="227"/>
      <c r="BI283" s="227"/>
      <c r="BJ283" s="220"/>
      <c r="BK283" s="220"/>
    </row>
    <row r="284" spans="1:63" outlineLevel="1">
      <c r="A284" s="9"/>
      <c r="B284" s="46"/>
      <c r="C284" s="154" t="s">
        <v>29</v>
      </c>
      <c r="D284" s="9"/>
      <c r="E284" s="9"/>
      <c r="F284" s="141"/>
      <c r="G284" s="195"/>
      <c r="H284" s="111"/>
      <c r="I284" s="111"/>
      <c r="J284" s="111"/>
      <c r="K284" s="111"/>
      <c r="L284" s="111">
        <f>IF(M283=0, SUM($G283:L283), 0)</f>
        <v>0</v>
      </c>
      <c r="M284" s="111">
        <f>IF(N283=0, IF(M283=0, 0, SUM($G283:M283)), 0)</f>
        <v>0</v>
      </c>
      <c r="N284" s="111">
        <f>IF(O283=0, IF(N283=0, 0, SUM($G283:N283)), 0)</f>
        <v>0</v>
      </c>
      <c r="O284" s="111">
        <f>IF(P283=0, IF(O283=0, 0, SUM($G283:O283)), 0)</f>
        <v>0</v>
      </c>
      <c r="P284" s="111">
        <f>IF(Q283=0, IF(P283=0, 0, SUM($G283:P283)), 0)</f>
        <v>0</v>
      </c>
      <c r="Q284" s="111">
        <f>IF(R283=0, IF(Q283=0, 0, SUM($G283:Q283)), 0)</f>
        <v>0</v>
      </c>
      <c r="R284" s="100"/>
      <c r="S284" s="100"/>
      <c r="T284" s="100"/>
      <c r="U284" s="100"/>
      <c r="V284" s="100"/>
      <c r="W284" s="100"/>
      <c r="X284" s="100"/>
      <c r="Y284" s="100"/>
      <c r="Z284" s="100"/>
      <c r="AA284" s="227"/>
      <c r="AB284" s="227"/>
      <c r="AC284" s="227"/>
      <c r="AD284" s="227"/>
      <c r="AE284" s="227"/>
      <c r="AF284" s="227"/>
      <c r="AG284" s="227"/>
      <c r="AH284" s="227"/>
      <c r="AI284" s="227"/>
      <c r="AJ284" s="227"/>
      <c r="AK284" s="227"/>
      <c r="AL284" s="227"/>
      <c r="AM284" s="227"/>
      <c r="AN284" s="227"/>
      <c r="AO284" s="227"/>
      <c r="AP284" s="227"/>
      <c r="AQ284" s="227"/>
      <c r="AR284" s="227"/>
      <c r="AS284" s="227"/>
      <c r="AT284" s="227"/>
      <c r="AU284" s="227"/>
      <c r="AV284" s="227"/>
      <c r="AW284" s="227"/>
      <c r="AX284" s="227"/>
      <c r="AY284" s="227"/>
      <c r="AZ284" s="227"/>
      <c r="BA284" s="227"/>
      <c r="BB284" s="227"/>
      <c r="BC284" s="227"/>
      <c r="BD284" s="227"/>
      <c r="BE284" s="227"/>
      <c r="BF284" s="227"/>
      <c r="BG284" s="227"/>
      <c r="BH284" s="227"/>
      <c r="BI284" s="227"/>
      <c r="BJ284" s="220"/>
      <c r="BK284" s="220"/>
    </row>
    <row r="285" spans="1:63" outlineLevel="1">
      <c r="A285" s="9"/>
      <c r="B285" s="46"/>
      <c r="C285" s="129">
        <f>Asset9</f>
        <v>0</v>
      </c>
      <c r="D285" s="9"/>
      <c r="E285" s="9"/>
      <c r="F285" s="141"/>
      <c r="G285" s="195"/>
      <c r="H285" s="111">
        <f>($G245+(SUM($G285:G285)))*H$7</f>
        <v>0</v>
      </c>
      <c r="I285" s="111">
        <f>($G245+(SUM($G285:H285)))*I$7</f>
        <v>0</v>
      </c>
      <c r="J285" s="111">
        <f>($G245+(SUM($G285:I285)))*J$7</f>
        <v>0</v>
      </c>
      <c r="K285" s="111">
        <f>($G245+(SUM($G285:J285)))*K$7</f>
        <v>0</v>
      </c>
      <c r="L285" s="111">
        <f>($G245+(SUM($G285:K285)))*L$7</f>
        <v>0</v>
      </c>
      <c r="M285" s="111">
        <f>($G245+(SUM($G285:L285)))*M$7</f>
        <v>0</v>
      </c>
      <c r="N285" s="111">
        <f>($G245+(SUM($G285:M285)))*N$7</f>
        <v>0</v>
      </c>
      <c r="O285" s="111">
        <f>($G245+(SUM($G285:N285)))*O$7</f>
        <v>0</v>
      </c>
      <c r="P285" s="111">
        <f>($G245+(SUM($G285:O285)))*P$7</f>
        <v>0</v>
      </c>
      <c r="Q285" s="111">
        <f>($G245+(SUM($G285:P285)))*Q$7</f>
        <v>0</v>
      </c>
      <c r="R285" s="100"/>
      <c r="S285" s="100"/>
      <c r="T285" s="100"/>
      <c r="U285" s="100"/>
      <c r="V285" s="100"/>
      <c r="W285" s="100"/>
      <c r="X285" s="100"/>
      <c r="Y285" s="100"/>
      <c r="Z285" s="100"/>
      <c r="AA285" s="227"/>
      <c r="AB285" s="227"/>
      <c r="AC285" s="227"/>
      <c r="AD285" s="227"/>
      <c r="AE285" s="227"/>
      <c r="AF285" s="227"/>
      <c r="AG285" s="227"/>
      <c r="AH285" s="227"/>
      <c r="AI285" s="227"/>
      <c r="AJ285" s="227"/>
      <c r="AK285" s="227"/>
      <c r="AL285" s="227"/>
      <c r="AM285" s="227"/>
      <c r="AN285" s="227"/>
      <c r="AO285" s="227"/>
      <c r="AP285" s="227"/>
      <c r="AQ285" s="227"/>
      <c r="AR285" s="227"/>
      <c r="AS285" s="227"/>
      <c r="AT285" s="227"/>
      <c r="AU285" s="227"/>
      <c r="AV285" s="227"/>
      <c r="AW285" s="227"/>
      <c r="AX285" s="227"/>
      <c r="AY285" s="227"/>
      <c r="AZ285" s="227"/>
      <c r="BA285" s="227"/>
      <c r="BB285" s="227"/>
      <c r="BC285" s="227"/>
      <c r="BD285" s="227"/>
      <c r="BE285" s="227"/>
      <c r="BF285" s="227"/>
      <c r="BG285" s="227"/>
      <c r="BH285" s="227"/>
      <c r="BI285" s="227"/>
      <c r="BJ285" s="220"/>
      <c r="BK285" s="220"/>
    </row>
    <row r="286" spans="1:63" outlineLevel="1">
      <c r="A286" s="9"/>
      <c r="B286" s="46"/>
      <c r="C286" s="154" t="s">
        <v>29</v>
      </c>
      <c r="D286" s="9"/>
      <c r="E286" s="9"/>
      <c r="F286" s="141"/>
      <c r="G286" s="195"/>
      <c r="H286" s="111"/>
      <c r="I286" s="111"/>
      <c r="J286" s="111"/>
      <c r="K286" s="111"/>
      <c r="L286" s="111">
        <f>IF(M285=0, SUM($G285:L285), 0)</f>
        <v>0</v>
      </c>
      <c r="M286" s="111">
        <f>IF(N285=0, IF(M285=0, 0, SUM($G285:M285)), 0)</f>
        <v>0</v>
      </c>
      <c r="N286" s="111">
        <f>IF(O285=0, IF(N285=0, 0, SUM($G285:N285)), 0)</f>
        <v>0</v>
      </c>
      <c r="O286" s="111">
        <f>IF(P285=0, IF(O285=0, 0, SUM($G285:O285)), 0)</f>
        <v>0</v>
      </c>
      <c r="P286" s="111">
        <f>IF(Q285=0, IF(P285=0, 0, SUM($G285:P285)), 0)</f>
        <v>0</v>
      </c>
      <c r="Q286" s="111">
        <f>IF(R285=0, IF(Q285=0, 0, SUM($G285:Q285)), 0)</f>
        <v>0</v>
      </c>
      <c r="R286" s="100"/>
      <c r="S286" s="100"/>
      <c r="T286" s="100"/>
      <c r="U286" s="100"/>
      <c r="V286" s="100"/>
      <c r="W286" s="100"/>
      <c r="X286" s="100"/>
      <c r="Y286" s="100"/>
      <c r="Z286" s="100"/>
      <c r="AA286" s="227"/>
      <c r="AB286" s="227"/>
      <c r="AC286" s="227"/>
      <c r="AD286" s="227"/>
      <c r="AE286" s="227"/>
      <c r="AF286" s="227"/>
      <c r="AG286" s="227"/>
      <c r="AH286" s="227"/>
      <c r="AI286" s="227"/>
      <c r="AJ286" s="227"/>
      <c r="AK286" s="227"/>
      <c r="AL286" s="227"/>
      <c r="AM286" s="227"/>
      <c r="AN286" s="227"/>
      <c r="AO286" s="227"/>
      <c r="AP286" s="227"/>
      <c r="AQ286" s="227"/>
      <c r="AR286" s="227"/>
      <c r="AS286" s="227"/>
      <c r="AT286" s="227"/>
      <c r="AU286" s="227"/>
      <c r="AV286" s="227"/>
      <c r="AW286" s="227"/>
      <c r="AX286" s="227"/>
      <c r="AY286" s="227"/>
      <c r="AZ286" s="227"/>
      <c r="BA286" s="227"/>
      <c r="BB286" s="227"/>
      <c r="BC286" s="227"/>
      <c r="BD286" s="227"/>
      <c r="BE286" s="227"/>
      <c r="BF286" s="227"/>
      <c r="BG286" s="227"/>
      <c r="BH286" s="227"/>
      <c r="BI286" s="227"/>
      <c r="BJ286" s="220"/>
      <c r="BK286" s="220"/>
    </row>
    <row r="287" spans="1:63" outlineLevel="1">
      <c r="A287" s="9"/>
      <c r="B287" s="46"/>
      <c r="C287" s="129">
        <f>Asset10</f>
        <v>0</v>
      </c>
      <c r="D287" s="9"/>
      <c r="E287" s="9"/>
      <c r="F287" s="141"/>
      <c r="G287" s="195"/>
      <c r="H287" s="111">
        <f>($G246+(SUM($G287:G287)))*H$7</f>
        <v>0</v>
      </c>
      <c r="I287" s="111">
        <f>($G246+(SUM($G287:H287)))*I$7</f>
        <v>0</v>
      </c>
      <c r="J287" s="111">
        <f>($G246+(SUM($G287:I287)))*J$7</f>
        <v>0</v>
      </c>
      <c r="K287" s="111">
        <f>($G246+(SUM($G287:J287)))*K$7</f>
        <v>0</v>
      </c>
      <c r="L287" s="111">
        <f>($G246+(SUM($G287:K287)))*L$7</f>
        <v>0</v>
      </c>
      <c r="M287" s="111">
        <f>($G246+(SUM($G287:L287)))*M$7</f>
        <v>0</v>
      </c>
      <c r="N287" s="111">
        <f>($G246+(SUM($G287:M287)))*N$7</f>
        <v>0</v>
      </c>
      <c r="O287" s="111">
        <f>($G246+(SUM($G287:N287)))*O$7</f>
        <v>0</v>
      </c>
      <c r="P287" s="111">
        <f>($G246+(SUM($G287:O287)))*P$7</f>
        <v>0</v>
      </c>
      <c r="Q287" s="111">
        <f>($G246+(SUM($G287:P287)))*Q$7</f>
        <v>0</v>
      </c>
      <c r="R287" s="100"/>
      <c r="S287" s="100"/>
      <c r="T287" s="100"/>
      <c r="U287" s="100"/>
      <c r="V287" s="100"/>
      <c r="W287" s="100"/>
      <c r="X287" s="100"/>
      <c r="Y287" s="100"/>
      <c r="Z287" s="100"/>
      <c r="AA287" s="227"/>
      <c r="AB287" s="227"/>
      <c r="AC287" s="227"/>
      <c r="AD287" s="227"/>
      <c r="AE287" s="227"/>
      <c r="AF287" s="227"/>
      <c r="AG287" s="227"/>
      <c r="AH287" s="227"/>
      <c r="AI287" s="227"/>
      <c r="AJ287" s="227"/>
      <c r="AK287" s="227"/>
      <c r="AL287" s="227"/>
      <c r="AM287" s="227"/>
      <c r="AN287" s="227"/>
      <c r="AO287" s="227"/>
      <c r="AP287" s="227"/>
      <c r="AQ287" s="227"/>
      <c r="AR287" s="227"/>
      <c r="AS287" s="227"/>
      <c r="AT287" s="227"/>
      <c r="AU287" s="227"/>
      <c r="AV287" s="227"/>
      <c r="AW287" s="227"/>
      <c r="AX287" s="227"/>
      <c r="AY287" s="227"/>
      <c r="AZ287" s="227"/>
      <c r="BA287" s="227"/>
      <c r="BB287" s="227"/>
      <c r="BC287" s="227"/>
      <c r="BD287" s="227"/>
      <c r="BE287" s="227"/>
      <c r="BF287" s="227"/>
      <c r="BG287" s="227"/>
      <c r="BH287" s="227"/>
      <c r="BI287" s="227"/>
      <c r="BJ287" s="220"/>
      <c r="BK287" s="220"/>
    </row>
    <row r="288" spans="1:63" outlineLevel="1">
      <c r="A288" s="9"/>
      <c r="B288" s="46"/>
      <c r="C288" s="154" t="s">
        <v>29</v>
      </c>
      <c r="D288" s="9"/>
      <c r="E288" s="9"/>
      <c r="F288" s="141"/>
      <c r="G288" s="195"/>
      <c r="H288" s="111"/>
      <c r="I288" s="111"/>
      <c r="J288" s="111"/>
      <c r="K288" s="111"/>
      <c r="L288" s="111">
        <f>IF(M287=0, SUM($G287:L287), 0)</f>
        <v>0</v>
      </c>
      <c r="M288" s="111">
        <f>IF(N287=0, IF(M287=0, 0, SUM($G287:M287)), 0)</f>
        <v>0</v>
      </c>
      <c r="N288" s="111">
        <f>IF(O287=0, IF(N287=0, 0, SUM($G287:N287)), 0)</f>
        <v>0</v>
      </c>
      <c r="O288" s="111">
        <f>IF(P287=0, IF(O287=0, 0, SUM($G287:O287)), 0)</f>
        <v>0</v>
      </c>
      <c r="P288" s="111">
        <f>IF(Q287=0, IF(P287=0, 0, SUM($G287:P287)), 0)</f>
        <v>0</v>
      </c>
      <c r="Q288" s="111">
        <f>IF(R287=0, IF(Q287=0, 0, SUM($G287:Q287)), 0)</f>
        <v>0</v>
      </c>
      <c r="R288" s="100"/>
      <c r="S288" s="100"/>
      <c r="T288" s="100"/>
      <c r="U288" s="100"/>
      <c r="V288" s="100"/>
      <c r="W288" s="100"/>
      <c r="X288" s="100"/>
      <c r="Y288" s="100"/>
      <c r="Z288" s="100"/>
      <c r="AA288" s="227"/>
      <c r="AB288" s="227"/>
      <c r="AC288" s="227"/>
      <c r="AD288" s="227"/>
      <c r="AE288" s="227"/>
      <c r="AF288" s="227"/>
      <c r="AG288" s="227"/>
      <c r="AH288" s="227"/>
      <c r="AI288" s="227"/>
      <c r="AJ288" s="227"/>
      <c r="AK288" s="227"/>
      <c r="AL288" s="227"/>
      <c r="AM288" s="227"/>
      <c r="AN288" s="227"/>
      <c r="AO288" s="227"/>
      <c r="AP288" s="227"/>
      <c r="AQ288" s="227"/>
      <c r="AR288" s="227"/>
      <c r="AS288" s="227"/>
      <c r="AT288" s="227"/>
      <c r="AU288" s="227"/>
      <c r="AV288" s="227"/>
      <c r="AW288" s="227"/>
      <c r="AX288" s="227"/>
      <c r="AY288" s="227"/>
      <c r="AZ288" s="227"/>
      <c r="BA288" s="227"/>
      <c r="BB288" s="227"/>
      <c r="BC288" s="227"/>
      <c r="BD288" s="227"/>
      <c r="BE288" s="227"/>
      <c r="BF288" s="227"/>
      <c r="BG288" s="227"/>
      <c r="BH288" s="227"/>
      <c r="BI288" s="227"/>
      <c r="BJ288" s="220"/>
      <c r="BK288" s="220"/>
    </row>
    <row r="289" spans="1:63" outlineLevel="1">
      <c r="A289" s="9"/>
      <c r="B289" s="46"/>
      <c r="C289" s="129">
        <f>Asset11</f>
        <v>0</v>
      </c>
      <c r="D289" s="9"/>
      <c r="E289" s="9"/>
      <c r="F289" s="141"/>
      <c r="G289" s="195"/>
      <c r="H289" s="111">
        <f>($G247+(SUM($G289:G289)))*H$7</f>
        <v>0</v>
      </c>
      <c r="I289" s="111">
        <f>($G247+(SUM($G289:H289)))*I$7</f>
        <v>0</v>
      </c>
      <c r="J289" s="111">
        <f>($G247+(SUM($G289:I289)))*J$7</f>
        <v>0</v>
      </c>
      <c r="K289" s="111">
        <f>($G247+(SUM($G289:J289)))*K$7</f>
        <v>0</v>
      </c>
      <c r="L289" s="111">
        <f>($G247+(SUM($G289:K289)))*L$7</f>
        <v>0</v>
      </c>
      <c r="M289" s="111">
        <f>($G247+(SUM($G289:L289)))*M$7</f>
        <v>0</v>
      </c>
      <c r="N289" s="111">
        <f>($G247+(SUM($G289:M289)))*N$7</f>
        <v>0</v>
      </c>
      <c r="O289" s="111">
        <f>($G247+(SUM($G289:N289)))*O$7</f>
        <v>0</v>
      </c>
      <c r="P289" s="111">
        <f>($G247+(SUM($G289:O289)))*P$7</f>
        <v>0</v>
      </c>
      <c r="Q289" s="111">
        <f>($G247+(SUM($G289:P289)))*Q$7</f>
        <v>0</v>
      </c>
      <c r="R289" s="100"/>
      <c r="S289" s="100"/>
      <c r="T289" s="100"/>
      <c r="U289" s="100"/>
      <c r="V289" s="100"/>
      <c r="W289" s="100"/>
      <c r="X289" s="100"/>
      <c r="Y289" s="100"/>
      <c r="Z289" s="100"/>
      <c r="AA289" s="227"/>
      <c r="AB289" s="227"/>
      <c r="AC289" s="227"/>
      <c r="AD289" s="227"/>
      <c r="AE289" s="227"/>
      <c r="AF289" s="227"/>
      <c r="AG289" s="227"/>
      <c r="AH289" s="227"/>
      <c r="AI289" s="227"/>
      <c r="AJ289" s="227"/>
      <c r="AK289" s="227"/>
      <c r="AL289" s="227"/>
      <c r="AM289" s="227"/>
      <c r="AN289" s="227"/>
      <c r="AO289" s="227"/>
      <c r="AP289" s="227"/>
      <c r="AQ289" s="227"/>
      <c r="AR289" s="227"/>
      <c r="AS289" s="227"/>
      <c r="AT289" s="227"/>
      <c r="AU289" s="227"/>
      <c r="AV289" s="227"/>
      <c r="AW289" s="227"/>
      <c r="AX289" s="227"/>
      <c r="AY289" s="227"/>
      <c r="AZ289" s="227"/>
      <c r="BA289" s="227"/>
      <c r="BB289" s="227"/>
      <c r="BC289" s="227"/>
      <c r="BD289" s="227"/>
      <c r="BE289" s="227"/>
      <c r="BF289" s="227"/>
      <c r="BG289" s="227"/>
      <c r="BH289" s="227"/>
      <c r="BI289" s="227"/>
      <c r="BJ289" s="220"/>
      <c r="BK289" s="220"/>
    </row>
    <row r="290" spans="1:63" outlineLevel="1">
      <c r="A290" s="9"/>
      <c r="B290" s="46"/>
      <c r="C290" s="154" t="s">
        <v>29</v>
      </c>
      <c r="D290" s="9"/>
      <c r="E290" s="9"/>
      <c r="F290" s="141"/>
      <c r="G290" s="195"/>
      <c r="H290" s="111"/>
      <c r="I290" s="111"/>
      <c r="J290" s="111"/>
      <c r="K290" s="111"/>
      <c r="L290" s="111">
        <f>IF(M289=0, SUM($G289:L289), 0)</f>
        <v>0</v>
      </c>
      <c r="M290" s="111">
        <f>IF(N289=0, IF(M289=0, 0, SUM($G289:M289)), 0)</f>
        <v>0</v>
      </c>
      <c r="N290" s="111">
        <f>IF(O289=0, IF(N289=0, 0, SUM($G289:N289)), 0)</f>
        <v>0</v>
      </c>
      <c r="O290" s="111">
        <f>IF(P289=0, IF(O289=0, 0, SUM($G289:O289)), 0)</f>
        <v>0</v>
      </c>
      <c r="P290" s="111">
        <f>IF(Q289=0, IF(P289=0, 0, SUM($G289:P289)), 0)</f>
        <v>0</v>
      </c>
      <c r="Q290" s="111">
        <f>IF(R289=0, IF(Q289=0, 0, SUM($G289:Q289)), 0)</f>
        <v>0</v>
      </c>
      <c r="R290" s="100"/>
      <c r="S290" s="100"/>
      <c r="T290" s="100"/>
      <c r="U290" s="100"/>
      <c r="V290" s="100"/>
      <c r="W290" s="100"/>
      <c r="X290" s="100"/>
      <c r="Y290" s="100"/>
      <c r="Z290" s="100"/>
      <c r="AA290" s="227"/>
      <c r="AB290" s="227"/>
      <c r="AC290" s="227"/>
      <c r="AD290" s="227"/>
      <c r="AE290" s="227"/>
      <c r="AF290" s="227"/>
      <c r="AG290" s="227"/>
      <c r="AH290" s="227"/>
      <c r="AI290" s="227"/>
      <c r="AJ290" s="227"/>
      <c r="AK290" s="227"/>
      <c r="AL290" s="227"/>
      <c r="AM290" s="227"/>
      <c r="AN290" s="227"/>
      <c r="AO290" s="227"/>
      <c r="AP290" s="227"/>
      <c r="AQ290" s="227"/>
      <c r="AR290" s="227"/>
      <c r="AS290" s="227"/>
      <c r="AT290" s="227"/>
      <c r="AU290" s="227"/>
      <c r="AV290" s="227"/>
      <c r="AW290" s="227"/>
      <c r="AX290" s="227"/>
      <c r="AY290" s="227"/>
      <c r="AZ290" s="227"/>
      <c r="BA290" s="227"/>
      <c r="BB290" s="227"/>
      <c r="BC290" s="227"/>
      <c r="BD290" s="227"/>
      <c r="BE290" s="227"/>
      <c r="BF290" s="227"/>
      <c r="BG290" s="227"/>
      <c r="BH290" s="227"/>
      <c r="BI290" s="227"/>
      <c r="BJ290" s="220"/>
      <c r="BK290" s="220"/>
    </row>
    <row r="291" spans="1:63" outlineLevel="1">
      <c r="A291" s="9"/>
      <c r="B291" s="46"/>
      <c r="C291" s="129">
        <f>Asset12</f>
        <v>0</v>
      </c>
      <c r="D291" s="9"/>
      <c r="E291" s="9"/>
      <c r="F291" s="141"/>
      <c r="G291" s="195"/>
      <c r="H291" s="111">
        <f>($G248+(SUM($G291:G291)))*H$7</f>
        <v>0</v>
      </c>
      <c r="I291" s="111">
        <f>($G248+(SUM($G291:H291)))*I$7</f>
        <v>0</v>
      </c>
      <c r="J291" s="111">
        <f>($G248+(SUM($G291:I291)))*J$7</f>
        <v>0</v>
      </c>
      <c r="K291" s="111">
        <f>($G248+(SUM($G291:J291)))*K$7</f>
        <v>0</v>
      </c>
      <c r="L291" s="111">
        <f>($G248+(SUM($G291:K291)))*L$7</f>
        <v>0</v>
      </c>
      <c r="M291" s="111">
        <f>($G248+(SUM($G291:L291)))*M$7</f>
        <v>0</v>
      </c>
      <c r="N291" s="111">
        <f>($G248+(SUM($G291:M291)))*N$7</f>
        <v>0</v>
      </c>
      <c r="O291" s="111">
        <f>($G248+(SUM($G291:N291)))*O$7</f>
        <v>0</v>
      </c>
      <c r="P291" s="111">
        <f>($G248+(SUM($G291:O291)))*P$7</f>
        <v>0</v>
      </c>
      <c r="Q291" s="111">
        <f>($G248+(SUM($G291:P291)))*Q$7</f>
        <v>0</v>
      </c>
      <c r="R291" s="100"/>
      <c r="S291" s="100"/>
      <c r="T291" s="100"/>
      <c r="U291" s="100"/>
      <c r="V291" s="100"/>
      <c r="W291" s="100"/>
      <c r="X291" s="100"/>
      <c r="Y291" s="100"/>
      <c r="Z291" s="100"/>
      <c r="AA291" s="227"/>
      <c r="AB291" s="227"/>
      <c r="AC291" s="227"/>
      <c r="AD291" s="227"/>
      <c r="AE291" s="227"/>
      <c r="AF291" s="227"/>
      <c r="AG291" s="227"/>
      <c r="AH291" s="227"/>
      <c r="AI291" s="227"/>
      <c r="AJ291" s="227"/>
      <c r="AK291" s="227"/>
      <c r="AL291" s="227"/>
      <c r="AM291" s="227"/>
      <c r="AN291" s="227"/>
      <c r="AO291" s="227"/>
      <c r="AP291" s="227"/>
      <c r="AQ291" s="227"/>
      <c r="AR291" s="227"/>
      <c r="AS291" s="227"/>
      <c r="AT291" s="227"/>
      <c r="AU291" s="227"/>
      <c r="AV291" s="227"/>
      <c r="AW291" s="227"/>
      <c r="AX291" s="227"/>
      <c r="AY291" s="227"/>
      <c r="AZ291" s="227"/>
      <c r="BA291" s="227"/>
      <c r="BB291" s="227"/>
      <c r="BC291" s="227"/>
      <c r="BD291" s="227"/>
      <c r="BE291" s="227"/>
      <c r="BF291" s="227"/>
      <c r="BG291" s="227"/>
      <c r="BH291" s="227"/>
      <c r="BI291" s="227"/>
      <c r="BJ291" s="220"/>
      <c r="BK291" s="220"/>
    </row>
    <row r="292" spans="1:63" outlineLevel="1">
      <c r="A292" s="9"/>
      <c r="B292" s="46"/>
      <c r="C292" s="154" t="s">
        <v>29</v>
      </c>
      <c r="D292" s="9"/>
      <c r="E292" s="9"/>
      <c r="F292" s="141"/>
      <c r="G292" s="195"/>
      <c r="H292" s="111"/>
      <c r="I292" s="111"/>
      <c r="J292" s="111"/>
      <c r="K292" s="111"/>
      <c r="L292" s="111">
        <f>IF(M291=0, SUM($G291:L291), 0)</f>
        <v>0</v>
      </c>
      <c r="M292" s="111">
        <f>IF(N291=0, IF(M291=0, 0, SUM($G291:M291)), 0)</f>
        <v>0</v>
      </c>
      <c r="N292" s="111">
        <f>IF(O291=0, IF(N291=0, 0, SUM($G291:N291)), 0)</f>
        <v>0</v>
      </c>
      <c r="O292" s="111">
        <f>IF(P291=0, IF(O291=0, 0, SUM($G291:O291)), 0)</f>
        <v>0</v>
      </c>
      <c r="P292" s="111">
        <f>IF(Q291=0, IF(P291=0, 0, SUM($G291:P291)), 0)</f>
        <v>0</v>
      </c>
      <c r="Q292" s="111">
        <f>IF(R291=0, IF(Q291=0, 0, SUM($G291:Q291)), 0)</f>
        <v>0</v>
      </c>
      <c r="R292" s="100"/>
      <c r="S292" s="100"/>
      <c r="T292" s="100"/>
      <c r="U292" s="100"/>
      <c r="V292" s="100"/>
      <c r="W292" s="100"/>
      <c r="X292" s="100"/>
      <c r="Y292" s="100"/>
      <c r="Z292" s="100"/>
      <c r="AA292" s="227"/>
      <c r="AB292" s="227"/>
      <c r="AC292" s="227"/>
      <c r="AD292" s="227"/>
      <c r="AE292" s="227"/>
      <c r="AF292" s="227"/>
      <c r="AG292" s="227"/>
      <c r="AH292" s="227"/>
      <c r="AI292" s="227"/>
      <c r="AJ292" s="227"/>
      <c r="AK292" s="227"/>
      <c r="AL292" s="227"/>
      <c r="AM292" s="227"/>
      <c r="AN292" s="227"/>
      <c r="AO292" s="227"/>
      <c r="AP292" s="227"/>
      <c r="AQ292" s="227"/>
      <c r="AR292" s="227"/>
      <c r="AS292" s="227"/>
      <c r="AT292" s="227"/>
      <c r="AU292" s="227"/>
      <c r="AV292" s="227"/>
      <c r="AW292" s="227"/>
      <c r="AX292" s="227"/>
      <c r="AY292" s="227"/>
      <c r="AZ292" s="227"/>
      <c r="BA292" s="227"/>
      <c r="BB292" s="227"/>
      <c r="BC292" s="227"/>
      <c r="BD292" s="227"/>
      <c r="BE292" s="227"/>
      <c r="BF292" s="227"/>
      <c r="BG292" s="227"/>
      <c r="BH292" s="227"/>
      <c r="BI292" s="227"/>
      <c r="BJ292" s="220"/>
      <c r="BK292" s="220"/>
    </row>
    <row r="293" spans="1:63" outlineLevel="1">
      <c r="A293" s="9"/>
      <c r="B293" s="46"/>
      <c r="C293" s="129">
        <f>Asset13</f>
        <v>0</v>
      </c>
      <c r="D293" s="9"/>
      <c r="E293" s="9"/>
      <c r="F293" s="141"/>
      <c r="G293" s="195"/>
      <c r="H293" s="111">
        <f>($G249+(SUM($G293:G293)))*H$7</f>
        <v>0</v>
      </c>
      <c r="I293" s="111">
        <f>($G249+(SUM($G293:H293)))*I$7</f>
        <v>0</v>
      </c>
      <c r="J293" s="111">
        <f>($G249+(SUM($G293:I293)))*J$7</f>
        <v>0</v>
      </c>
      <c r="K293" s="111">
        <f>($G249+(SUM($G293:J293)))*K$7</f>
        <v>0</v>
      </c>
      <c r="L293" s="111">
        <f>($G249+(SUM($G293:K293)))*L$7</f>
        <v>0</v>
      </c>
      <c r="M293" s="111">
        <f>($G249+(SUM($G293:L293)))*M$7</f>
        <v>0</v>
      </c>
      <c r="N293" s="111">
        <f>($G249+(SUM($G293:M293)))*N$7</f>
        <v>0</v>
      </c>
      <c r="O293" s="111">
        <f>($G249+(SUM($G293:N293)))*O$7</f>
        <v>0</v>
      </c>
      <c r="P293" s="111">
        <f>($G249+(SUM($G293:O293)))*P$7</f>
        <v>0</v>
      </c>
      <c r="Q293" s="111">
        <f>($G249+(SUM($G293:P293)))*Q$7</f>
        <v>0</v>
      </c>
      <c r="R293" s="100"/>
      <c r="S293" s="100"/>
      <c r="T293" s="100"/>
      <c r="U293" s="100"/>
      <c r="V293" s="100"/>
      <c r="W293" s="100"/>
      <c r="X293" s="100"/>
      <c r="Y293" s="100"/>
      <c r="Z293" s="100"/>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c r="BB293" s="227"/>
      <c r="BC293" s="227"/>
      <c r="BD293" s="227"/>
      <c r="BE293" s="227"/>
      <c r="BF293" s="227"/>
      <c r="BG293" s="227"/>
      <c r="BH293" s="227"/>
      <c r="BI293" s="227"/>
      <c r="BJ293" s="220"/>
      <c r="BK293" s="220"/>
    </row>
    <row r="294" spans="1:63" outlineLevel="1">
      <c r="A294" s="9"/>
      <c r="B294" s="46"/>
      <c r="C294" s="154" t="s">
        <v>29</v>
      </c>
      <c r="D294" s="9"/>
      <c r="E294" s="9"/>
      <c r="F294" s="141"/>
      <c r="G294" s="195"/>
      <c r="H294" s="111"/>
      <c r="I294" s="111"/>
      <c r="J294" s="111"/>
      <c r="K294" s="111"/>
      <c r="L294" s="111">
        <f>IF(M293=0, SUM($G293:L293), 0)</f>
        <v>0</v>
      </c>
      <c r="M294" s="111">
        <f>IF(N293=0, IF(M293=0, 0, SUM($G293:M293)), 0)</f>
        <v>0</v>
      </c>
      <c r="N294" s="111">
        <f>IF(O293=0, IF(N293=0, 0, SUM($G293:N293)), 0)</f>
        <v>0</v>
      </c>
      <c r="O294" s="111">
        <f>IF(P293=0, IF(O293=0, 0, SUM($G293:O293)), 0)</f>
        <v>0</v>
      </c>
      <c r="P294" s="111">
        <f>IF(Q293=0, IF(P293=0, 0, SUM($G293:P293)), 0)</f>
        <v>0</v>
      </c>
      <c r="Q294" s="111">
        <f>IF(R293=0, IF(Q293=0, 0, SUM($G293:Q293)), 0)</f>
        <v>0</v>
      </c>
      <c r="R294" s="100"/>
      <c r="S294" s="100"/>
      <c r="T294" s="100"/>
      <c r="U294" s="100"/>
      <c r="V294" s="100"/>
      <c r="W294" s="100"/>
      <c r="X294" s="100"/>
      <c r="Y294" s="100"/>
      <c r="Z294" s="100"/>
      <c r="AA294" s="227"/>
      <c r="AB294" s="227"/>
      <c r="AC294" s="227"/>
      <c r="AD294" s="227"/>
      <c r="AE294" s="227"/>
      <c r="AF294" s="227"/>
      <c r="AG294" s="227"/>
      <c r="AH294" s="227"/>
      <c r="AI294" s="227"/>
      <c r="AJ294" s="227"/>
      <c r="AK294" s="227"/>
      <c r="AL294" s="227"/>
      <c r="AM294" s="227"/>
      <c r="AN294" s="227"/>
      <c r="AO294" s="227"/>
      <c r="AP294" s="227"/>
      <c r="AQ294" s="227"/>
      <c r="AR294" s="227"/>
      <c r="AS294" s="227"/>
      <c r="AT294" s="227"/>
      <c r="AU294" s="227"/>
      <c r="AV294" s="227"/>
      <c r="AW294" s="227"/>
      <c r="AX294" s="227"/>
      <c r="AY294" s="227"/>
      <c r="AZ294" s="227"/>
      <c r="BA294" s="227"/>
      <c r="BB294" s="227"/>
      <c r="BC294" s="227"/>
      <c r="BD294" s="227"/>
      <c r="BE294" s="227"/>
      <c r="BF294" s="227"/>
      <c r="BG294" s="227"/>
      <c r="BH294" s="227"/>
      <c r="BI294" s="227"/>
      <c r="BJ294" s="220"/>
      <c r="BK294" s="220"/>
    </row>
    <row r="295" spans="1:63" outlineLevel="1">
      <c r="A295" s="9"/>
      <c r="B295" s="46"/>
      <c r="C295" s="129">
        <f>Asset14</f>
        <v>0</v>
      </c>
      <c r="D295" s="9"/>
      <c r="E295" s="9"/>
      <c r="F295" s="141"/>
      <c r="G295" s="195"/>
      <c r="H295" s="111">
        <f>($G250+(SUM($G295:G295)))*H$7</f>
        <v>0</v>
      </c>
      <c r="I295" s="111">
        <f>($G250+(SUM($G295:H295)))*I$7</f>
        <v>0</v>
      </c>
      <c r="J295" s="111">
        <f>($G250+(SUM($G295:I295)))*J$7</f>
        <v>0</v>
      </c>
      <c r="K295" s="111">
        <f>($G250+(SUM($G295:J295)))*K$7</f>
        <v>0</v>
      </c>
      <c r="L295" s="111">
        <f>($G250+(SUM($G295:K295)))*L$7</f>
        <v>0</v>
      </c>
      <c r="M295" s="111">
        <f>($G250+(SUM($G295:L295)))*M$7</f>
        <v>0</v>
      </c>
      <c r="N295" s="111">
        <f>($G250+(SUM($G295:M295)))*N$7</f>
        <v>0</v>
      </c>
      <c r="O295" s="111">
        <f>($G250+(SUM($G295:N295)))*O$7</f>
        <v>0</v>
      </c>
      <c r="P295" s="111">
        <f>($G250+(SUM($G295:O295)))*P$7</f>
        <v>0</v>
      </c>
      <c r="Q295" s="111">
        <f>($G250+(SUM($G295:P295)))*Q$7</f>
        <v>0</v>
      </c>
      <c r="R295" s="100"/>
      <c r="S295" s="100"/>
      <c r="T295" s="100"/>
      <c r="U295" s="100"/>
      <c r="V295" s="100"/>
      <c r="W295" s="100"/>
      <c r="X295" s="100"/>
      <c r="Y295" s="100"/>
      <c r="Z295" s="100"/>
      <c r="AA295" s="227"/>
      <c r="AB295" s="227"/>
      <c r="AC295" s="227"/>
      <c r="AD295" s="227"/>
      <c r="AE295" s="227"/>
      <c r="AF295" s="227"/>
      <c r="AG295" s="227"/>
      <c r="AH295" s="227"/>
      <c r="AI295" s="227"/>
      <c r="AJ295" s="227"/>
      <c r="AK295" s="227"/>
      <c r="AL295" s="227"/>
      <c r="AM295" s="227"/>
      <c r="AN295" s="227"/>
      <c r="AO295" s="227"/>
      <c r="AP295" s="227"/>
      <c r="AQ295" s="227"/>
      <c r="AR295" s="227"/>
      <c r="AS295" s="227"/>
      <c r="AT295" s="227"/>
      <c r="AU295" s="227"/>
      <c r="AV295" s="227"/>
      <c r="AW295" s="227"/>
      <c r="AX295" s="227"/>
      <c r="AY295" s="227"/>
      <c r="AZ295" s="227"/>
      <c r="BA295" s="227"/>
      <c r="BB295" s="227"/>
      <c r="BC295" s="227"/>
      <c r="BD295" s="227"/>
      <c r="BE295" s="227"/>
      <c r="BF295" s="227"/>
      <c r="BG295" s="227"/>
      <c r="BH295" s="227"/>
      <c r="BI295" s="227"/>
      <c r="BJ295" s="220"/>
      <c r="BK295" s="220"/>
    </row>
    <row r="296" spans="1:63" outlineLevel="1">
      <c r="A296" s="9"/>
      <c r="B296" s="46"/>
      <c r="C296" s="154" t="s">
        <v>29</v>
      </c>
      <c r="D296" s="9"/>
      <c r="E296" s="9"/>
      <c r="F296" s="141"/>
      <c r="G296" s="195"/>
      <c r="H296" s="111"/>
      <c r="I296" s="111"/>
      <c r="J296" s="111"/>
      <c r="K296" s="111"/>
      <c r="L296" s="111">
        <f>IF(M295=0, SUM($G295:L295), 0)</f>
        <v>0</v>
      </c>
      <c r="M296" s="111">
        <f>IF(N295=0, IF(M295=0, 0, SUM($G295:M295)), 0)</f>
        <v>0</v>
      </c>
      <c r="N296" s="111">
        <f>IF(O295=0, IF(N295=0, 0, SUM($G295:N295)), 0)</f>
        <v>0</v>
      </c>
      <c r="O296" s="111">
        <f>IF(P295=0, IF(O295=0, 0, SUM($G295:O295)), 0)</f>
        <v>0</v>
      </c>
      <c r="P296" s="111">
        <f>IF(Q295=0, IF(P295=0, 0, SUM($G295:P295)), 0)</f>
        <v>0</v>
      </c>
      <c r="Q296" s="111">
        <f>IF(R295=0, IF(Q295=0, 0, SUM($G295:Q295)), 0)</f>
        <v>0</v>
      </c>
      <c r="R296" s="100"/>
      <c r="S296" s="100"/>
      <c r="T296" s="100"/>
      <c r="U296" s="100"/>
      <c r="V296" s="100"/>
      <c r="W296" s="100"/>
      <c r="X296" s="100"/>
      <c r="Y296" s="100"/>
      <c r="Z296" s="100"/>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0"/>
      <c r="BK296" s="220"/>
    </row>
    <row r="297" spans="1:63" outlineLevel="1">
      <c r="A297" s="9"/>
      <c r="B297" s="46"/>
      <c r="C297" s="129">
        <f>Asset15</f>
        <v>0</v>
      </c>
      <c r="D297" s="9"/>
      <c r="E297" s="9"/>
      <c r="F297" s="141"/>
      <c r="G297" s="195"/>
      <c r="H297" s="111">
        <f>($G251+(SUM($G297:G297)))*H$7</f>
        <v>0</v>
      </c>
      <c r="I297" s="111">
        <f>($G251+(SUM($G297:H297)))*I$7</f>
        <v>0</v>
      </c>
      <c r="J297" s="111">
        <f>($G251+(SUM($G297:I297)))*J$7</f>
        <v>0</v>
      </c>
      <c r="K297" s="111">
        <f>($G251+(SUM($G297:J297)))*K$7</f>
        <v>0</v>
      </c>
      <c r="L297" s="111">
        <f>($G251+(SUM($G297:K297)))*L$7</f>
        <v>0</v>
      </c>
      <c r="M297" s="111">
        <f>($G251+(SUM($G297:L297)))*M$7</f>
        <v>0</v>
      </c>
      <c r="N297" s="111">
        <f>($G251+(SUM($G297:M297)))*N$7</f>
        <v>0</v>
      </c>
      <c r="O297" s="111">
        <f>($G251+(SUM($G297:N297)))*O$7</f>
        <v>0</v>
      </c>
      <c r="P297" s="111">
        <f>($G251+(SUM($G297:O297)))*P$7</f>
        <v>0</v>
      </c>
      <c r="Q297" s="111">
        <f>($G251+(SUM($G297:P297)))*Q$7</f>
        <v>0</v>
      </c>
      <c r="R297" s="100"/>
      <c r="S297" s="100"/>
      <c r="T297" s="100"/>
      <c r="U297" s="100"/>
      <c r="V297" s="100"/>
      <c r="W297" s="100"/>
      <c r="X297" s="100"/>
      <c r="Y297" s="100"/>
      <c r="Z297" s="100"/>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0"/>
      <c r="BK297" s="220"/>
    </row>
    <row r="298" spans="1:63" outlineLevel="1">
      <c r="A298" s="9"/>
      <c r="B298" s="46"/>
      <c r="C298" s="154" t="s">
        <v>29</v>
      </c>
      <c r="D298" s="9"/>
      <c r="E298" s="9"/>
      <c r="F298" s="141"/>
      <c r="G298" s="195"/>
      <c r="H298" s="111"/>
      <c r="I298" s="111"/>
      <c r="J298" s="111"/>
      <c r="K298" s="111"/>
      <c r="L298" s="111">
        <f>IF(M297=0, SUM($G297:L297), 0)</f>
        <v>0</v>
      </c>
      <c r="M298" s="111">
        <f>IF(N297=0, IF(M297=0, 0, SUM($G297:M297)), 0)</f>
        <v>0</v>
      </c>
      <c r="N298" s="111">
        <f>IF(O297=0, IF(N297=0, 0, SUM($G297:N297)), 0)</f>
        <v>0</v>
      </c>
      <c r="O298" s="111">
        <f>IF(P297=0, IF(O297=0, 0, SUM($G297:O297)), 0)</f>
        <v>0</v>
      </c>
      <c r="P298" s="111">
        <f>IF(Q297=0, IF(P297=0, 0, SUM($G297:P297)), 0)</f>
        <v>0</v>
      </c>
      <c r="Q298" s="111">
        <f>IF(R297=0, IF(Q297=0, 0, SUM($G297:Q297)), 0)</f>
        <v>0</v>
      </c>
      <c r="R298" s="100"/>
      <c r="S298" s="100"/>
      <c r="T298" s="100"/>
      <c r="U298" s="100"/>
      <c r="V298" s="100"/>
      <c r="W298" s="100"/>
      <c r="X298" s="100"/>
      <c r="Y298" s="100"/>
      <c r="Z298" s="100"/>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0"/>
      <c r="BK298" s="220"/>
    </row>
    <row r="299" spans="1:63" outlineLevel="1">
      <c r="A299" s="9"/>
      <c r="B299" s="46"/>
      <c r="C299" s="129">
        <f>Asset16</f>
        <v>0</v>
      </c>
      <c r="D299" s="9"/>
      <c r="E299" s="9"/>
      <c r="F299" s="141"/>
      <c r="G299" s="195"/>
      <c r="H299" s="111">
        <f>($G252+(SUM($G299:G299)))*H$7</f>
        <v>0</v>
      </c>
      <c r="I299" s="111">
        <f>($G252+(SUM($G299:H299)))*I$7</f>
        <v>0</v>
      </c>
      <c r="J299" s="111">
        <f>($G252+(SUM($G299:I299)))*J$7</f>
        <v>0</v>
      </c>
      <c r="K299" s="111">
        <f>($G252+(SUM($G299:J299)))*K$7</f>
        <v>0</v>
      </c>
      <c r="L299" s="111">
        <f>($G252+(SUM($G299:K299)))*L$7</f>
        <v>0</v>
      </c>
      <c r="M299" s="111">
        <f>($G252+(SUM($G299:L299)))*M$7</f>
        <v>0</v>
      </c>
      <c r="N299" s="111">
        <f>($G252+(SUM($G299:M299)))*N$7</f>
        <v>0</v>
      </c>
      <c r="O299" s="111">
        <f>($G252+(SUM($G299:N299)))*O$7</f>
        <v>0</v>
      </c>
      <c r="P299" s="111">
        <f>($G252+(SUM($G299:O299)))*P$7</f>
        <v>0</v>
      </c>
      <c r="Q299" s="111">
        <f>($G252+(SUM($G299:P299)))*Q$7</f>
        <v>0</v>
      </c>
      <c r="R299" s="100"/>
      <c r="S299" s="100"/>
      <c r="T299" s="100"/>
      <c r="U299" s="100"/>
      <c r="V299" s="100"/>
      <c r="W299" s="100"/>
      <c r="X299" s="100"/>
      <c r="Y299" s="100"/>
      <c r="Z299" s="100"/>
      <c r="AA299" s="227"/>
      <c r="AB299" s="227"/>
      <c r="AC299" s="227"/>
      <c r="AD299" s="227"/>
      <c r="AE299" s="227"/>
      <c r="AF299" s="227"/>
      <c r="AG299" s="227"/>
      <c r="AH299" s="227"/>
      <c r="AI299" s="227"/>
      <c r="AJ299" s="227"/>
      <c r="AK299" s="227"/>
      <c r="AL299" s="227"/>
      <c r="AM299" s="227"/>
      <c r="AN299" s="227"/>
      <c r="AO299" s="227"/>
      <c r="AP299" s="227"/>
      <c r="AQ299" s="227"/>
      <c r="AR299" s="227"/>
      <c r="AS299" s="227"/>
      <c r="AT299" s="227"/>
      <c r="AU299" s="227"/>
      <c r="AV299" s="227"/>
      <c r="AW299" s="227"/>
      <c r="AX299" s="227"/>
      <c r="AY299" s="227"/>
      <c r="AZ299" s="227"/>
      <c r="BA299" s="227"/>
      <c r="BB299" s="227"/>
      <c r="BC299" s="227"/>
      <c r="BD299" s="227"/>
      <c r="BE299" s="227"/>
      <c r="BF299" s="227"/>
      <c r="BG299" s="227"/>
      <c r="BH299" s="227"/>
      <c r="BI299" s="227"/>
      <c r="BJ299" s="220"/>
      <c r="BK299" s="220"/>
    </row>
    <row r="300" spans="1:63" outlineLevel="1">
      <c r="A300" s="9"/>
      <c r="B300" s="46"/>
      <c r="C300" s="154" t="s">
        <v>29</v>
      </c>
      <c r="D300" s="9"/>
      <c r="E300" s="9"/>
      <c r="F300" s="141"/>
      <c r="G300" s="195"/>
      <c r="H300" s="111"/>
      <c r="I300" s="111"/>
      <c r="J300" s="111"/>
      <c r="K300" s="111"/>
      <c r="L300" s="111">
        <f>IF(M299=0, SUM($G299:L299), 0)</f>
        <v>0</v>
      </c>
      <c r="M300" s="111">
        <f>IF(N299=0, IF(M299=0, 0, SUM($G299:M299)), 0)</f>
        <v>0</v>
      </c>
      <c r="N300" s="111">
        <f>IF(O299=0, IF(N299=0, 0, SUM($G299:N299)), 0)</f>
        <v>0</v>
      </c>
      <c r="O300" s="111">
        <f>IF(P299=0, IF(O299=0, 0, SUM($G299:O299)), 0)</f>
        <v>0</v>
      </c>
      <c r="P300" s="111">
        <f>IF(Q299=0, IF(P299=0, 0, SUM($G299:P299)), 0)</f>
        <v>0</v>
      </c>
      <c r="Q300" s="111">
        <f>IF(R299=0, IF(Q299=0, 0, SUM($G299:Q299)), 0)</f>
        <v>0</v>
      </c>
      <c r="R300" s="100"/>
      <c r="S300" s="100"/>
      <c r="T300" s="100"/>
      <c r="U300" s="100"/>
      <c r="V300" s="100"/>
      <c r="W300" s="100"/>
      <c r="X300" s="100"/>
      <c r="Y300" s="100"/>
      <c r="Z300" s="100"/>
      <c r="AA300" s="227"/>
      <c r="AB300" s="227"/>
      <c r="AC300" s="227"/>
      <c r="AD300" s="227"/>
      <c r="AE300" s="227"/>
      <c r="AF300" s="227"/>
      <c r="AG300" s="227"/>
      <c r="AH300" s="227"/>
      <c r="AI300" s="227"/>
      <c r="AJ300" s="227"/>
      <c r="AK300" s="227"/>
      <c r="AL300" s="227"/>
      <c r="AM300" s="227"/>
      <c r="AN300" s="227"/>
      <c r="AO300" s="227"/>
      <c r="AP300" s="227"/>
      <c r="AQ300" s="227"/>
      <c r="AR300" s="227"/>
      <c r="AS300" s="227"/>
      <c r="AT300" s="227"/>
      <c r="AU300" s="227"/>
      <c r="AV300" s="227"/>
      <c r="AW300" s="227"/>
      <c r="AX300" s="227"/>
      <c r="AY300" s="227"/>
      <c r="AZ300" s="227"/>
      <c r="BA300" s="227"/>
      <c r="BB300" s="227"/>
      <c r="BC300" s="227"/>
      <c r="BD300" s="227"/>
      <c r="BE300" s="227"/>
      <c r="BF300" s="227"/>
      <c r="BG300" s="227"/>
      <c r="BH300" s="227"/>
      <c r="BI300" s="227"/>
      <c r="BJ300" s="220"/>
      <c r="BK300" s="220"/>
    </row>
    <row r="301" spans="1:63" outlineLevel="1">
      <c r="A301" s="9"/>
      <c r="B301" s="46"/>
      <c r="C301" s="129">
        <f>Asset17</f>
        <v>0</v>
      </c>
      <c r="D301" s="9"/>
      <c r="E301" s="9"/>
      <c r="F301" s="141"/>
      <c r="G301" s="195"/>
      <c r="H301" s="111">
        <f>($G253+(SUM($G301:G301)))*H$7</f>
        <v>0</v>
      </c>
      <c r="I301" s="111">
        <f>($G253+(SUM($G301:H301)))*I$7</f>
        <v>0</v>
      </c>
      <c r="J301" s="111">
        <f>($G253+(SUM($G301:I301)))*J$7</f>
        <v>0</v>
      </c>
      <c r="K301" s="111">
        <f>($G253+(SUM($G301:J301)))*K$7</f>
        <v>0</v>
      </c>
      <c r="L301" s="111">
        <f>($G253+(SUM($G301:K301)))*L$7</f>
        <v>0</v>
      </c>
      <c r="M301" s="111">
        <f>($G253+(SUM($G301:L301)))*M$7</f>
        <v>0</v>
      </c>
      <c r="N301" s="111">
        <f>($G253+(SUM($G301:M301)))*N$7</f>
        <v>0</v>
      </c>
      <c r="O301" s="111">
        <f>($G253+(SUM($G301:N301)))*O$7</f>
        <v>0</v>
      </c>
      <c r="P301" s="111">
        <f>($G253+(SUM($G301:O301)))*P$7</f>
        <v>0</v>
      </c>
      <c r="Q301" s="111">
        <f>($G253+(SUM($G301:P301)))*Q$7</f>
        <v>0</v>
      </c>
      <c r="R301" s="100"/>
      <c r="S301" s="100"/>
      <c r="T301" s="100"/>
      <c r="U301" s="100"/>
      <c r="V301" s="100"/>
      <c r="W301" s="100"/>
      <c r="X301" s="100"/>
      <c r="Y301" s="100"/>
      <c r="Z301" s="100"/>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0"/>
      <c r="BK301" s="220"/>
    </row>
    <row r="302" spans="1:63" outlineLevel="1">
      <c r="A302" s="9"/>
      <c r="B302" s="46"/>
      <c r="C302" s="154" t="s">
        <v>29</v>
      </c>
      <c r="D302" s="9"/>
      <c r="E302" s="9"/>
      <c r="F302" s="141"/>
      <c r="G302" s="195"/>
      <c r="H302" s="111"/>
      <c r="I302" s="111"/>
      <c r="J302" s="111"/>
      <c r="K302" s="111"/>
      <c r="L302" s="111">
        <f>IF(M301=0, SUM($G301:L301), 0)</f>
        <v>0</v>
      </c>
      <c r="M302" s="111">
        <f>IF(N301=0, IF(M301=0, 0, SUM($G301:M301)), 0)</f>
        <v>0</v>
      </c>
      <c r="N302" s="111">
        <f>IF(O301=0, IF(N301=0, 0, SUM($G301:N301)), 0)</f>
        <v>0</v>
      </c>
      <c r="O302" s="111">
        <f>IF(P301=0, IF(O301=0, 0, SUM($G301:O301)), 0)</f>
        <v>0</v>
      </c>
      <c r="P302" s="111">
        <f>IF(Q301=0, IF(P301=0, 0, SUM($G301:P301)), 0)</f>
        <v>0</v>
      </c>
      <c r="Q302" s="111">
        <f>IF(R301=0, IF(Q301=0, 0, SUM($G301:Q301)), 0)</f>
        <v>0</v>
      </c>
      <c r="R302" s="100"/>
      <c r="S302" s="100"/>
      <c r="T302" s="100"/>
      <c r="U302" s="100"/>
      <c r="V302" s="100"/>
      <c r="W302" s="100"/>
      <c r="X302" s="100"/>
      <c r="Y302" s="100"/>
      <c r="Z302" s="100"/>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0"/>
      <c r="BK302" s="220"/>
    </row>
    <row r="303" spans="1:63" outlineLevel="1">
      <c r="A303" s="9"/>
      <c r="B303" s="46"/>
      <c r="C303" s="129">
        <f>Asset18</f>
        <v>0</v>
      </c>
      <c r="D303" s="9"/>
      <c r="E303" s="9"/>
      <c r="F303" s="141"/>
      <c r="G303" s="195"/>
      <c r="H303" s="111">
        <f>($G254+(SUM($G303:G303)))*H$7</f>
        <v>0</v>
      </c>
      <c r="I303" s="111">
        <f>($G254+(SUM($G303:H303)))*I$7</f>
        <v>0</v>
      </c>
      <c r="J303" s="111">
        <f>($G254+(SUM($G303:I303)))*J$7</f>
        <v>0</v>
      </c>
      <c r="K303" s="111">
        <f>($G254+(SUM($G303:J303)))*K$7</f>
        <v>0</v>
      </c>
      <c r="L303" s="111">
        <f>($G254+(SUM($G303:K303)))*L$7</f>
        <v>0</v>
      </c>
      <c r="M303" s="111">
        <f>($G254+(SUM($G303:L303)))*M$7</f>
        <v>0</v>
      </c>
      <c r="N303" s="111">
        <f>($G254+(SUM($G303:M303)))*N$7</f>
        <v>0</v>
      </c>
      <c r="O303" s="111">
        <f>($G254+(SUM($G303:N303)))*O$7</f>
        <v>0</v>
      </c>
      <c r="P303" s="111">
        <f>($G254+(SUM($G303:O303)))*P$7</f>
        <v>0</v>
      </c>
      <c r="Q303" s="111">
        <f>($G254+(SUM($G303:P303)))*Q$7</f>
        <v>0</v>
      </c>
      <c r="R303" s="100"/>
      <c r="S303" s="100"/>
      <c r="T303" s="100"/>
      <c r="U303" s="100"/>
      <c r="V303" s="100"/>
      <c r="W303" s="100"/>
      <c r="X303" s="100"/>
      <c r="Y303" s="100"/>
      <c r="Z303" s="100"/>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0"/>
      <c r="BK303" s="220"/>
    </row>
    <row r="304" spans="1:63" outlineLevel="1">
      <c r="A304" s="9"/>
      <c r="B304" s="46"/>
      <c r="C304" s="154" t="s">
        <v>29</v>
      </c>
      <c r="D304" s="9"/>
      <c r="E304" s="9"/>
      <c r="F304" s="141"/>
      <c r="G304" s="195"/>
      <c r="H304" s="111"/>
      <c r="I304" s="111"/>
      <c r="J304" s="111"/>
      <c r="K304" s="111"/>
      <c r="L304" s="111">
        <f>IF(M303=0, SUM($G303:L303), 0)</f>
        <v>0</v>
      </c>
      <c r="M304" s="111">
        <f>IF(N303=0, IF(M303=0, 0, SUM($G303:M303)), 0)</f>
        <v>0</v>
      </c>
      <c r="N304" s="111">
        <f>IF(O303=0, IF(N303=0, 0, SUM($G303:N303)), 0)</f>
        <v>0</v>
      </c>
      <c r="O304" s="111">
        <f>IF(P303=0, IF(O303=0, 0, SUM($G303:O303)), 0)</f>
        <v>0</v>
      </c>
      <c r="P304" s="111">
        <f>IF(Q303=0, IF(P303=0, 0, SUM($G303:P303)), 0)</f>
        <v>0</v>
      </c>
      <c r="Q304" s="111">
        <f>IF(R303=0, IF(Q303=0, 0, SUM($G303:Q303)), 0)</f>
        <v>0</v>
      </c>
      <c r="R304" s="100"/>
      <c r="S304" s="100"/>
      <c r="T304" s="100"/>
      <c r="U304" s="100"/>
      <c r="V304" s="100"/>
      <c r="W304" s="100"/>
      <c r="X304" s="100"/>
      <c r="Y304" s="100"/>
      <c r="Z304" s="100"/>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c r="BB304" s="227"/>
      <c r="BC304" s="227"/>
      <c r="BD304" s="227"/>
      <c r="BE304" s="227"/>
      <c r="BF304" s="227"/>
      <c r="BG304" s="227"/>
      <c r="BH304" s="227"/>
      <c r="BI304" s="227"/>
      <c r="BJ304" s="220"/>
      <c r="BK304" s="220"/>
    </row>
    <row r="305" spans="1:63" outlineLevel="1">
      <c r="A305" s="9"/>
      <c r="B305" s="46"/>
      <c r="C305" s="129">
        <f>Asset19</f>
        <v>0</v>
      </c>
      <c r="D305" s="9"/>
      <c r="E305" s="9"/>
      <c r="F305" s="141"/>
      <c r="G305" s="195"/>
      <c r="H305" s="111">
        <f>($G255+(SUM($G305:G305)))*H$7</f>
        <v>0</v>
      </c>
      <c r="I305" s="111">
        <f>($G255+(SUM($G305:H305)))*I$7</f>
        <v>0</v>
      </c>
      <c r="J305" s="111">
        <f>($G255+(SUM($G305:I305)))*J$7</f>
        <v>0</v>
      </c>
      <c r="K305" s="111">
        <f>($G255+(SUM($G305:J305)))*K$7</f>
        <v>0</v>
      </c>
      <c r="L305" s="111">
        <f>($G255+(SUM($G305:K305)))*L$7</f>
        <v>0</v>
      </c>
      <c r="M305" s="111">
        <f>($G255+(SUM($G305:L305)))*M$7</f>
        <v>0</v>
      </c>
      <c r="N305" s="111">
        <f>($G255+(SUM($G305:M305)))*N$7</f>
        <v>0</v>
      </c>
      <c r="O305" s="111">
        <f>($G255+(SUM($G305:N305)))*O$7</f>
        <v>0</v>
      </c>
      <c r="P305" s="111">
        <f>($G255+(SUM($G305:O305)))*P$7</f>
        <v>0</v>
      </c>
      <c r="Q305" s="111">
        <f>($G255+(SUM($G305:P305)))*Q$7</f>
        <v>0</v>
      </c>
      <c r="R305" s="100"/>
      <c r="S305" s="100"/>
      <c r="T305" s="100"/>
      <c r="U305" s="100"/>
      <c r="V305" s="100"/>
      <c r="W305" s="100"/>
      <c r="X305" s="100"/>
      <c r="Y305" s="100"/>
      <c r="Z305" s="100"/>
      <c r="AA305" s="227"/>
      <c r="AB305" s="227"/>
      <c r="AC305" s="227"/>
      <c r="AD305" s="227"/>
      <c r="AE305" s="227"/>
      <c r="AF305" s="227"/>
      <c r="AG305" s="227"/>
      <c r="AH305" s="227"/>
      <c r="AI305" s="227"/>
      <c r="AJ305" s="227"/>
      <c r="AK305" s="227"/>
      <c r="AL305" s="227"/>
      <c r="AM305" s="227"/>
      <c r="AN305" s="227"/>
      <c r="AO305" s="227"/>
      <c r="AP305" s="227"/>
      <c r="AQ305" s="227"/>
      <c r="AR305" s="227"/>
      <c r="AS305" s="227"/>
      <c r="AT305" s="227"/>
      <c r="AU305" s="227"/>
      <c r="AV305" s="227"/>
      <c r="AW305" s="227"/>
      <c r="AX305" s="227"/>
      <c r="AY305" s="227"/>
      <c r="AZ305" s="227"/>
      <c r="BA305" s="227"/>
      <c r="BB305" s="227"/>
      <c r="BC305" s="227"/>
      <c r="BD305" s="227"/>
      <c r="BE305" s="227"/>
      <c r="BF305" s="227"/>
      <c r="BG305" s="227"/>
      <c r="BH305" s="227"/>
      <c r="BI305" s="227"/>
      <c r="BJ305" s="220"/>
      <c r="BK305" s="220"/>
    </row>
    <row r="306" spans="1:63" outlineLevel="1">
      <c r="A306" s="9"/>
      <c r="B306" s="46"/>
      <c r="C306" s="154" t="s">
        <v>29</v>
      </c>
      <c r="D306" s="9"/>
      <c r="E306" s="9"/>
      <c r="F306" s="141"/>
      <c r="G306" s="195"/>
      <c r="H306" s="111"/>
      <c r="I306" s="111"/>
      <c r="J306" s="111"/>
      <c r="K306" s="111"/>
      <c r="L306" s="111">
        <f>IF(M305=0, SUM($G305:L305), 0)</f>
        <v>0</v>
      </c>
      <c r="M306" s="111">
        <f>IF(N305=0, IF(M305=0, 0, SUM($G305:M305)), 0)</f>
        <v>0</v>
      </c>
      <c r="N306" s="111">
        <f>IF(O305=0, IF(N305=0, 0, SUM($G305:N305)), 0)</f>
        <v>0</v>
      </c>
      <c r="O306" s="111">
        <f>IF(P305=0, IF(O305=0, 0, SUM($G305:O305)), 0)</f>
        <v>0</v>
      </c>
      <c r="P306" s="111">
        <f>IF(Q305=0, IF(P305=0, 0, SUM($G305:P305)), 0)</f>
        <v>0</v>
      </c>
      <c r="Q306" s="111">
        <f>IF(R305=0, IF(Q305=0, 0, SUM($G305:Q305)), 0)</f>
        <v>0</v>
      </c>
      <c r="R306" s="100"/>
      <c r="S306" s="100"/>
      <c r="T306" s="100"/>
      <c r="U306" s="100"/>
      <c r="V306" s="100"/>
      <c r="W306" s="100"/>
      <c r="X306" s="100"/>
      <c r="Y306" s="100"/>
      <c r="Z306" s="100"/>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0"/>
      <c r="BK306" s="220"/>
    </row>
    <row r="307" spans="1:63" outlineLevel="1">
      <c r="A307" s="9"/>
      <c r="B307" s="46"/>
      <c r="C307" s="129">
        <f>Asset20</f>
        <v>0</v>
      </c>
      <c r="D307" s="9"/>
      <c r="E307" s="9"/>
      <c r="F307" s="141"/>
      <c r="G307" s="195"/>
      <c r="H307" s="111">
        <f>($G256+(SUM($G307:G307)))*H$7</f>
        <v>0</v>
      </c>
      <c r="I307" s="111">
        <f>($G256+(SUM($G307:H307)))*I$7</f>
        <v>0</v>
      </c>
      <c r="J307" s="111">
        <f>($G256+(SUM($G307:I307)))*J$7</f>
        <v>0</v>
      </c>
      <c r="K307" s="111">
        <f>($G256+(SUM($G307:J307)))*K$7</f>
        <v>0</v>
      </c>
      <c r="L307" s="111">
        <f>($G256+(SUM($G307:K307)))*L$7</f>
        <v>0</v>
      </c>
      <c r="M307" s="111">
        <f>($G256+(SUM($G307:L307)))*M$7</f>
        <v>0</v>
      </c>
      <c r="N307" s="111">
        <f>($G256+(SUM($G307:M307)))*N$7</f>
        <v>0</v>
      </c>
      <c r="O307" s="111">
        <f>($G256+(SUM($G307:N307)))*O$7</f>
        <v>0</v>
      </c>
      <c r="P307" s="111">
        <f>($G256+(SUM($G307:O307)))*P$7</f>
        <v>0</v>
      </c>
      <c r="Q307" s="111">
        <f>($G256+(SUM($G307:P307)))*Q$7</f>
        <v>0</v>
      </c>
      <c r="R307" s="100"/>
      <c r="S307" s="100"/>
      <c r="T307" s="100"/>
      <c r="U307" s="100"/>
      <c r="V307" s="100"/>
      <c r="W307" s="100"/>
      <c r="X307" s="100"/>
      <c r="Y307" s="100"/>
      <c r="Z307" s="100"/>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0"/>
      <c r="BK307" s="220"/>
    </row>
    <row r="308" spans="1:63" outlineLevel="1">
      <c r="A308" s="9"/>
      <c r="B308" s="46"/>
      <c r="C308" s="154" t="s">
        <v>29</v>
      </c>
      <c r="D308" s="9"/>
      <c r="E308" s="9"/>
      <c r="F308" s="141"/>
      <c r="G308" s="195"/>
      <c r="H308" s="111"/>
      <c r="I308" s="111"/>
      <c r="J308" s="111"/>
      <c r="K308" s="111"/>
      <c r="L308" s="111">
        <f>IF(M307=0, SUM($G307:L307), 0)</f>
        <v>0</v>
      </c>
      <c r="M308" s="111">
        <f>IF(N307=0, IF(M307=0, 0, SUM($G307:M307)), 0)</f>
        <v>0</v>
      </c>
      <c r="N308" s="111">
        <f>IF(O307=0, IF(N307=0, 0, SUM($G307:N307)), 0)</f>
        <v>0</v>
      </c>
      <c r="O308" s="111">
        <f>IF(P307=0, IF(O307=0, 0, SUM($G307:O307)), 0)</f>
        <v>0</v>
      </c>
      <c r="P308" s="111">
        <f>IF(Q307=0, IF(P307=0, 0, SUM($G307:P307)), 0)</f>
        <v>0</v>
      </c>
      <c r="Q308" s="111">
        <f>IF(R307=0, IF(Q307=0, 0, SUM($G307:Q307)), 0)</f>
        <v>0</v>
      </c>
      <c r="R308" s="100"/>
      <c r="S308" s="100"/>
      <c r="T308" s="100"/>
      <c r="U308" s="100"/>
      <c r="V308" s="100"/>
      <c r="W308" s="100"/>
      <c r="X308" s="100"/>
      <c r="Y308" s="100"/>
      <c r="Z308" s="100"/>
      <c r="AA308" s="227"/>
      <c r="AB308" s="227"/>
      <c r="AC308" s="227"/>
      <c r="AD308" s="227"/>
      <c r="AE308" s="227"/>
      <c r="AF308" s="227"/>
      <c r="AG308" s="227"/>
      <c r="AH308" s="227"/>
      <c r="AI308" s="227"/>
      <c r="AJ308" s="227"/>
      <c r="AK308" s="227"/>
      <c r="AL308" s="227"/>
      <c r="AM308" s="227"/>
      <c r="AN308" s="227"/>
      <c r="AO308" s="227"/>
      <c r="AP308" s="227"/>
      <c r="AQ308" s="227"/>
      <c r="AR308" s="227"/>
      <c r="AS308" s="227"/>
      <c r="AT308" s="227"/>
      <c r="AU308" s="227"/>
      <c r="AV308" s="227"/>
      <c r="AW308" s="227"/>
      <c r="AX308" s="227"/>
      <c r="AY308" s="227"/>
      <c r="AZ308" s="227"/>
      <c r="BA308" s="227"/>
      <c r="BB308" s="227"/>
      <c r="BC308" s="227"/>
      <c r="BD308" s="227"/>
      <c r="BE308" s="227"/>
      <c r="BF308" s="227"/>
      <c r="BG308" s="227"/>
      <c r="BH308" s="227"/>
      <c r="BI308" s="227"/>
      <c r="BJ308" s="220"/>
      <c r="BK308" s="220"/>
    </row>
    <row r="309" spans="1:63" outlineLevel="1">
      <c r="A309" s="9"/>
      <c r="B309" s="46"/>
      <c r="C309" s="129">
        <f>Asset21</f>
        <v>0</v>
      </c>
      <c r="D309" s="9"/>
      <c r="E309" s="9"/>
      <c r="F309" s="141"/>
      <c r="G309" s="193"/>
      <c r="H309" s="111">
        <f>($G257+(SUM($G309:G309)))*H$7</f>
        <v>0</v>
      </c>
      <c r="I309" s="111">
        <f>($G257+(SUM($G309:H309)))*I$7</f>
        <v>0</v>
      </c>
      <c r="J309" s="111">
        <f>($G257+(SUM($G309:I309)))*J$7</f>
        <v>0</v>
      </c>
      <c r="K309" s="111">
        <f>($G257+(SUM($G309:J309)))*K$7</f>
        <v>0</v>
      </c>
      <c r="L309" s="111">
        <f>($G257+(SUM($G309:K309)))*L$7</f>
        <v>0</v>
      </c>
      <c r="M309" s="111">
        <f>($G257+(SUM($G309:L309)))*M$7</f>
        <v>0</v>
      </c>
      <c r="N309" s="111">
        <f>($G257+(SUM($G309:M309)))*N$7</f>
        <v>0</v>
      </c>
      <c r="O309" s="111">
        <f>($G257+(SUM($G309:N309)))*O$7</f>
        <v>0</v>
      </c>
      <c r="P309" s="111">
        <f>($G257+(SUM($G309:O309)))*P$7</f>
        <v>0</v>
      </c>
      <c r="Q309" s="111">
        <f>($G257+(SUM($G309:P309)))*Q$7</f>
        <v>0</v>
      </c>
      <c r="R309" s="100"/>
      <c r="S309" s="100"/>
      <c r="T309" s="100"/>
      <c r="U309" s="100"/>
      <c r="V309" s="100"/>
      <c r="W309" s="100"/>
      <c r="X309" s="100"/>
      <c r="Y309" s="100"/>
      <c r="Z309" s="100"/>
      <c r="AA309" s="227"/>
      <c r="AB309" s="227"/>
      <c r="AC309" s="227"/>
      <c r="AD309" s="227"/>
      <c r="AE309" s="227"/>
      <c r="AF309" s="227"/>
      <c r="AG309" s="227"/>
      <c r="AH309" s="227"/>
      <c r="AI309" s="227"/>
      <c r="AJ309" s="227"/>
      <c r="AK309" s="227"/>
      <c r="AL309" s="227"/>
      <c r="AM309" s="227"/>
      <c r="AN309" s="227"/>
      <c r="AO309" s="227"/>
      <c r="AP309" s="227"/>
      <c r="AQ309" s="227"/>
      <c r="AR309" s="227"/>
      <c r="AS309" s="227"/>
      <c r="AT309" s="227"/>
      <c r="AU309" s="227"/>
      <c r="AV309" s="227"/>
      <c r="AW309" s="227"/>
      <c r="AX309" s="227"/>
      <c r="AY309" s="227"/>
      <c r="AZ309" s="227"/>
      <c r="BA309" s="227"/>
      <c r="BB309" s="227"/>
      <c r="BC309" s="227"/>
      <c r="BD309" s="227"/>
      <c r="BE309" s="227"/>
      <c r="BF309" s="227"/>
      <c r="BG309" s="227"/>
      <c r="BH309" s="227"/>
      <c r="BI309" s="227"/>
      <c r="BJ309" s="220"/>
      <c r="BK309" s="220"/>
    </row>
    <row r="310" spans="1:63" outlineLevel="1">
      <c r="A310" s="9"/>
      <c r="B310" s="46"/>
      <c r="C310" s="154" t="s">
        <v>29</v>
      </c>
      <c r="D310" s="9"/>
      <c r="E310" s="9"/>
      <c r="F310" s="141"/>
      <c r="G310" s="193"/>
      <c r="H310" s="111"/>
      <c r="I310" s="111"/>
      <c r="J310" s="111"/>
      <c r="K310" s="111"/>
      <c r="L310" s="111">
        <f>IF(M309=0, SUM($G309:L309), 0)</f>
        <v>0</v>
      </c>
      <c r="M310" s="111">
        <f>IF(N309=0, IF(M309=0, 0, SUM($G309:M309)), 0)</f>
        <v>0</v>
      </c>
      <c r="N310" s="111">
        <f>IF(O309=0, IF(N309=0, 0, SUM($G309:N309)), 0)</f>
        <v>0</v>
      </c>
      <c r="O310" s="111">
        <f>IF(P309=0, IF(O309=0, 0, SUM($G309:O309)), 0)</f>
        <v>0</v>
      </c>
      <c r="P310" s="111">
        <f>IF(Q309=0, IF(P309=0, 0, SUM($G309:P309)), 0)</f>
        <v>0</v>
      </c>
      <c r="Q310" s="111">
        <f>IF(R309=0, IF(Q309=0, 0, SUM($G309:Q309)), 0)</f>
        <v>0</v>
      </c>
      <c r="R310" s="100"/>
      <c r="S310" s="100"/>
      <c r="T310" s="100"/>
      <c r="U310" s="100"/>
      <c r="V310" s="100"/>
      <c r="W310" s="100"/>
      <c r="X310" s="100"/>
      <c r="Y310" s="100"/>
      <c r="Z310" s="100"/>
      <c r="AA310" s="227"/>
      <c r="AB310" s="227"/>
      <c r="AC310" s="227"/>
      <c r="AD310" s="227"/>
      <c r="AE310" s="227"/>
      <c r="AF310" s="227"/>
      <c r="AG310" s="227"/>
      <c r="AH310" s="227"/>
      <c r="AI310" s="227"/>
      <c r="AJ310" s="227"/>
      <c r="AK310" s="227"/>
      <c r="AL310" s="227"/>
      <c r="AM310" s="227"/>
      <c r="AN310" s="227"/>
      <c r="AO310" s="227"/>
      <c r="AP310" s="227"/>
      <c r="AQ310" s="227"/>
      <c r="AR310" s="227"/>
      <c r="AS310" s="227"/>
      <c r="AT310" s="227"/>
      <c r="AU310" s="227"/>
      <c r="AV310" s="227"/>
      <c r="AW310" s="227"/>
      <c r="AX310" s="227"/>
      <c r="AY310" s="227"/>
      <c r="AZ310" s="227"/>
      <c r="BA310" s="227"/>
      <c r="BB310" s="227"/>
      <c r="BC310" s="227"/>
      <c r="BD310" s="227"/>
      <c r="BE310" s="227"/>
      <c r="BF310" s="227"/>
      <c r="BG310" s="227"/>
      <c r="BH310" s="227"/>
      <c r="BI310" s="227"/>
      <c r="BJ310" s="220"/>
      <c r="BK310" s="220"/>
    </row>
    <row r="311" spans="1:63" outlineLevel="1">
      <c r="A311" s="9"/>
      <c r="B311" s="46"/>
      <c r="C311" s="129">
        <f>Asset22</f>
        <v>0</v>
      </c>
      <c r="D311" s="9"/>
      <c r="E311" s="9"/>
      <c r="F311" s="141"/>
      <c r="G311" s="193"/>
      <c r="H311" s="111">
        <f>($G258+(SUM($G311:G311)))*H$7</f>
        <v>0</v>
      </c>
      <c r="I311" s="111">
        <f>($G258+(SUM($G311:H311)))*I$7</f>
        <v>0</v>
      </c>
      <c r="J311" s="111">
        <f>($G258+(SUM($G311:I311)))*J$7</f>
        <v>0</v>
      </c>
      <c r="K311" s="111">
        <f>($G258+(SUM($G311:J311)))*K$7</f>
        <v>0</v>
      </c>
      <c r="L311" s="111">
        <f>($G258+(SUM($G311:K311)))*L$7</f>
        <v>0</v>
      </c>
      <c r="M311" s="111">
        <f>($G258+(SUM($G311:L311)))*M$7</f>
        <v>0</v>
      </c>
      <c r="N311" s="111">
        <f>($G258+(SUM($G311:M311)))*N$7</f>
        <v>0</v>
      </c>
      <c r="O311" s="111">
        <f>($G258+(SUM($G311:N311)))*O$7</f>
        <v>0</v>
      </c>
      <c r="P311" s="111">
        <f>($G258+(SUM($G311:O311)))*P$7</f>
        <v>0</v>
      </c>
      <c r="Q311" s="111">
        <f>($G258+(SUM($G311:P311)))*Q$7</f>
        <v>0</v>
      </c>
      <c r="R311" s="100"/>
      <c r="S311" s="100"/>
      <c r="T311" s="100"/>
      <c r="U311" s="100"/>
      <c r="V311" s="100"/>
      <c r="W311" s="100"/>
      <c r="X311" s="100"/>
      <c r="Y311" s="100"/>
      <c r="Z311" s="100"/>
      <c r="AA311" s="227"/>
      <c r="AB311" s="227"/>
      <c r="AC311" s="227"/>
      <c r="AD311" s="227"/>
      <c r="AE311" s="227"/>
      <c r="AF311" s="227"/>
      <c r="AG311" s="227"/>
      <c r="AH311" s="227"/>
      <c r="AI311" s="227"/>
      <c r="AJ311" s="227"/>
      <c r="AK311" s="227"/>
      <c r="AL311" s="227"/>
      <c r="AM311" s="227"/>
      <c r="AN311" s="227"/>
      <c r="AO311" s="227"/>
      <c r="AP311" s="227"/>
      <c r="AQ311" s="227"/>
      <c r="AR311" s="227"/>
      <c r="AS311" s="227"/>
      <c r="AT311" s="227"/>
      <c r="AU311" s="227"/>
      <c r="AV311" s="227"/>
      <c r="AW311" s="227"/>
      <c r="AX311" s="227"/>
      <c r="AY311" s="227"/>
      <c r="AZ311" s="227"/>
      <c r="BA311" s="227"/>
      <c r="BB311" s="227"/>
      <c r="BC311" s="227"/>
      <c r="BD311" s="227"/>
      <c r="BE311" s="227"/>
      <c r="BF311" s="227"/>
      <c r="BG311" s="227"/>
      <c r="BH311" s="227"/>
      <c r="BI311" s="227"/>
      <c r="BJ311" s="220"/>
      <c r="BK311" s="220"/>
    </row>
    <row r="312" spans="1:63" outlineLevel="1">
      <c r="A312" s="9"/>
      <c r="B312" s="46"/>
      <c r="C312" s="154" t="s">
        <v>29</v>
      </c>
      <c r="D312" s="9"/>
      <c r="E312" s="9"/>
      <c r="F312" s="141"/>
      <c r="G312" s="193"/>
      <c r="H312" s="111"/>
      <c r="I312" s="111"/>
      <c r="J312" s="111"/>
      <c r="K312" s="111"/>
      <c r="L312" s="111">
        <f>IF(M311=0, SUM($G311:L311), 0)</f>
        <v>0</v>
      </c>
      <c r="M312" s="111">
        <f>IF(N311=0, IF(M311=0, 0, SUM($G311:M311)), 0)</f>
        <v>0</v>
      </c>
      <c r="N312" s="111">
        <f>IF(O311=0, IF(N311=0, 0, SUM($G311:N311)), 0)</f>
        <v>0</v>
      </c>
      <c r="O312" s="111">
        <f>IF(P311=0, IF(O311=0, 0, SUM($G311:O311)), 0)</f>
        <v>0</v>
      </c>
      <c r="P312" s="111">
        <f>IF(Q311=0, IF(P311=0, 0, SUM($G311:P311)), 0)</f>
        <v>0</v>
      </c>
      <c r="Q312" s="111">
        <f>IF(R311=0, IF(Q311=0, 0, SUM($G311:Q311)), 0)</f>
        <v>0</v>
      </c>
      <c r="R312" s="100"/>
      <c r="S312" s="100"/>
      <c r="T312" s="100"/>
      <c r="U312" s="100"/>
      <c r="V312" s="100"/>
      <c r="W312" s="100"/>
      <c r="X312" s="100"/>
      <c r="Y312" s="100"/>
      <c r="Z312" s="100"/>
      <c r="AA312" s="227"/>
      <c r="AB312" s="227"/>
      <c r="AC312" s="227"/>
      <c r="AD312" s="227"/>
      <c r="AE312" s="227"/>
      <c r="AF312" s="227"/>
      <c r="AG312" s="227"/>
      <c r="AH312" s="227"/>
      <c r="AI312" s="227"/>
      <c r="AJ312" s="227"/>
      <c r="AK312" s="227"/>
      <c r="AL312" s="227"/>
      <c r="AM312" s="227"/>
      <c r="AN312" s="227"/>
      <c r="AO312" s="227"/>
      <c r="AP312" s="227"/>
      <c r="AQ312" s="227"/>
      <c r="AR312" s="227"/>
      <c r="AS312" s="227"/>
      <c r="AT312" s="227"/>
      <c r="AU312" s="227"/>
      <c r="AV312" s="227"/>
      <c r="AW312" s="227"/>
      <c r="AX312" s="227"/>
      <c r="AY312" s="227"/>
      <c r="AZ312" s="227"/>
      <c r="BA312" s="227"/>
      <c r="BB312" s="227"/>
      <c r="BC312" s="227"/>
      <c r="BD312" s="227"/>
      <c r="BE312" s="227"/>
      <c r="BF312" s="227"/>
      <c r="BG312" s="227"/>
      <c r="BH312" s="227"/>
      <c r="BI312" s="227"/>
      <c r="BJ312" s="220"/>
      <c r="BK312" s="220"/>
    </row>
    <row r="313" spans="1:63" outlineLevel="1">
      <c r="A313" s="9"/>
      <c r="B313" s="46"/>
      <c r="C313" s="129">
        <f>Asset23</f>
        <v>0</v>
      </c>
      <c r="D313" s="9"/>
      <c r="E313" s="9"/>
      <c r="F313" s="141"/>
      <c r="G313" s="193"/>
      <c r="H313" s="111">
        <f>($G259+(SUM($G313:G313)))*H$7</f>
        <v>0</v>
      </c>
      <c r="I313" s="111">
        <f>($G259+(SUM($G313:H313)))*I$7</f>
        <v>0</v>
      </c>
      <c r="J313" s="111">
        <f>($G259+(SUM($G313:I313)))*J$7</f>
        <v>0</v>
      </c>
      <c r="K313" s="111">
        <f>($G259+(SUM($G313:J313)))*K$7</f>
        <v>0</v>
      </c>
      <c r="L313" s="111">
        <f>($G259+(SUM($G313:K313)))*L$7</f>
        <v>0</v>
      </c>
      <c r="M313" s="111">
        <f>($G259+(SUM($G313:L313)))*M$7</f>
        <v>0</v>
      </c>
      <c r="N313" s="111">
        <f>($G259+(SUM($G313:M313)))*N$7</f>
        <v>0</v>
      </c>
      <c r="O313" s="111">
        <f>($G259+(SUM($G313:N313)))*O$7</f>
        <v>0</v>
      </c>
      <c r="P313" s="111">
        <f>($G259+(SUM($G313:O313)))*P$7</f>
        <v>0</v>
      </c>
      <c r="Q313" s="111">
        <f>($G259+(SUM($G313:P313)))*Q$7</f>
        <v>0</v>
      </c>
      <c r="R313" s="100"/>
      <c r="S313" s="100"/>
      <c r="T313" s="100"/>
      <c r="U313" s="100"/>
      <c r="V313" s="100"/>
      <c r="W313" s="100"/>
      <c r="X313" s="100"/>
      <c r="Y313" s="100"/>
      <c r="Z313" s="100"/>
      <c r="AA313" s="227"/>
      <c r="AB313" s="227"/>
      <c r="AC313" s="227"/>
      <c r="AD313" s="227"/>
      <c r="AE313" s="227"/>
      <c r="AF313" s="227"/>
      <c r="AG313" s="227"/>
      <c r="AH313" s="227"/>
      <c r="AI313" s="227"/>
      <c r="AJ313" s="227"/>
      <c r="AK313" s="227"/>
      <c r="AL313" s="227"/>
      <c r="AM313" s="227"/>
      <c r="AN313" s="227"/>
      <c r="AO313" s="227"/>
      <c r="AP313" s="227"/>
      <c r="AQ313" s="227"/>
      <c r="AR313" s="227"/>
      <c r="AS313" s="227"/>
      <c r="AT313" s="227"/>
      <c r="AU313" s="227"/>
      <c r="AV313" s="227"/>
      <c r="AW313" s="227"/>
      <c r="AX313" s="227"/>
      <c r="AY313" s="227"/>
      <c r="AZ313" s="227"/>
      <c r="BA313" s="227"/>
      <c r="BB313" s="227"/>
      <c r="BC313" s="227"/>
      <c r="BD313" s="227"/>
      <c r="BE313" s="227"/>
      <c r="BF313" s="227"/>
      <c r="BG313" s="227"/>
      <c r="BH313" s="227"/>
      <c r="BI313" s="227"/>
      <c r="BJ313" s="220"/>
      <c r="BK313" s="220"/>
    </row>
    <row r="314" spans="1:63" outlineLevel="1">
      <c r="A314" s="9"/>
      <c r="B314" s="46"/>
      <c r="C314" s="154" t="s">
        <v>29</v>
      </c>
      <c r="D314" s="9"/>
      <c r="E314" s="9"/>
      <c r="F314" s="141"/>
      <c r="G314" s="193"/>
      <c r="H314" s="111"/>
      <c r="I314" s="111"/>
      <c r="J314" s="111"/>
      <c r="K314" s="111"/>
      <c r="L314" s="111">
        <f>IF(M313=0, SUM($G313:L313), 0)</f>
        <v>0</v>
      </c>
      <c r="M314" s="111">
        <f>IF(N313=0, IF(M313=0, 0, SUM($G313:M313)), 0)</f>
        <v>0</v>
      </c>
      <c r="N314" s="111">
        <f>IF(O313=0, IF(N313=0, 0, SUM($G313:N313)), 0)</f>
        <v>0</v>
      </c>
      <c r="O314" s="111">
        <f>IF(P313=0, IF(O313=0, 0, SUM($G313:O313)), 0)</f>
        <v>0</v>
      </c>
      <c r="P314" s="111">
        <f>IF(Q313=0, IF(P313=0, 0, SUM($G313:P313)), 0)</f>
        <v>0</v>
      </c>
      <c r="Q314" s="111">
        <f>IF(R313=0, IF(Q313=0, 0, SUM($G313:Q313)), 0)</f>
        <v>0</v>
      </c>
      <c r="R314" s="100"/>
      <c r="S314" s="100"/>
      <c r="T314" s="100"/>
      <c r="U314" s="100"/>
      <c r="V314" s="100"/>
      <c r="W314" s="100"/>
      <c r="X314" s="100"/>
      <c r="Y314" s="100"/>
      <c r="Z314" s="100"/>
      <c r="AA314" s="227"/>
      <c r="AB314" s="227"/>
      <c r="AC314" s="227"/>
      <c r="AD314" s="227"/>
      <c r="AE314" s="227"/>
      <c r="AF314" s="227"/>
      <c r="AG314" s="227"/>
      <c r="AH314" s="227"/>
      <c r="AI314" s="227"/>
      <c r="AJ314" s="227"/>
      <c r="AK314" s="227"/>
      <c r="AL314" s="227"/>
      <c r="AM314" s="227"/>
      <c r="AN314" s="227"/>
      <c r="AO314" s="227"/>
      <c r="AP314" s="227"/>
      <c r="AQ314" s="227"/>
      <c r="AR314" s="227"/>
      <c r="AS314" s="227"/>
      <c r="AT314" s="227"/>
      <c r="AU314" s="227"/>
      <c r="AV314" s="227"/>
      <c r="AW314" s="227"/>
      <c r="AX314" s="227"/>
      <c r="AY314" s="227"/>
      <c r="AZ314" s="227"/>
      <c r="BA314" s="227"/>
      <c r="BB314" s="227"/>
      <c r="BC314" s="227"/>
      <c r="BD314" s="227"/>
      <c r="BE314" s="227"/>
      <c r="BF314" s="227"/>
      <c r="BG314" s="227"/>
      <c r="BH314" s="227"/>
      <c r="BI314" s="227"/>
      <c r="BJ314" s="220"/>
      <c r="BK314" s="220"/>
    </row>
    <row r="315" spans="1:63" outlineLevel="1">
      <c r="A315" s="9"/>
      <c r="B315" s="46"/>
      <c r="C315" s="129">
        <f>Asset24</f>
        <v>0</v>
      </c>
      <c r="D315" s="9"/>
      <c r="E315" s="9"/>
      <c r="F315" s="141"/>
      <c r="G315" s="193"/>
      <c r="H315" s="111">
        <f>($G260+(SUM($G315:G315)))*H$7</f>
        <v>0</v>
      </c>
      <c r="I315" s="111">
        <f>($G260+(SUM($G315:H315)))*I$7</f>
        <v>0</v>
      </c>
      <c r="J315" s="111">
        <f>($G260+(SUM($G315:I315)))*J$7</f>
        <v>0</v>
      </c>
      <c r="K315" s="111">
        <f>($G260+(SUM($G315:J315)))*K$7</f>
        <v>0</v>
      </c>
      <c r="L315" s="111">
        <f>($G260+(SUM($G315:K315)))*L$7</f>
        <v>0</v>
      </c>
      <c r="M315" s="111">
        <f>($G260+(SUM($G315:L315)))*M$7</f>
        <v>0</v>
      </c>
      <c r="N315" s="111">
        <f>($G260+(SUM($G315:M315)))*N$7</f>
        <v>0</v>
      </c>
      <c r="O315" s="111">
        <f>($G260+(SUM($G315:N315)))*O$7</f>
        <v>0</v>
      </c>
      <c r="P315" s="111">
        <f>($G260+(SUM($G315:O315)))*P$7</f>
        <v>0</v>
      </c>
      <c r="Q315" s="111">
        <f>($G260+(SUM($G315:P315)))*Q$7</f>
        <v>0</v>
      </c>
      <c r="R315" s="100"/>
      <c r="S315" s="100"/>
      <c r="T315" s="100"/>
      <c r="U315" s="100"/>
      <c r="V315" s="100"/>
      <c r="W315" s="100"/>
      <c r="X315" s="100"/>
      <c r="Y315" s="100"/>
      <c r="Z315" s="100"/>
      <c r="AA315" s="227"/>
      <c r="AB315" s="227"/>
      <c r="AC315" s="227"/>
      <c r="AD315" s="227"/>
      <c r="AE315" s="227"/>
      <c r="AF315" s="227"/>
      <c r="AG315" s="227"/>
      <c r="AH315" s="227"/>
      <c r="AI315" s="227"/>
      <c r="AJ315" s="227"/>
      <c r="AK315" s="227"/>
      <c r="AL315" s="227"/>
      <c r="AM315" s="227"/>
      <c r="AN315" s="227"/>
      <c r="AO315" s="227"/>
      <c r="AP315" s="227"/>
      <c r="AQ315" s="227"/>
      <c r="AR315" s="227"/>
      <c r="AS315" s="227"/>
      <c r="AT315" s="227"/>
      <c r="AU315" s="227"/>
      <c r="AV315" s="227"/>
      <c r="AW315" s="227"/>
      <c r="AX315" s="227"/>
      <c r="AY315" s="227"/>
      <c r="AZ315" s="227"/>
      <c r="BA315" s="227"/>
      <c r="BB315" s="227"/>
      <c r="BC315" s="227"/>
      <c r="BD315" s="227"/>
      <c r="BE315" s="227"/>
      <c r="BF315" s="227"/>
      <c r="BG315" s="227"/>
      <c r="BH315" s="227"/>
      <c r="BI315" s="227"/>
      <c r="BJ315" s="220"/>
      <c r="BK315" s="220"/>
    </row>
    <row r="316" spans="1:63" outlineLevel="1">
      <c r="A316" s="9"/>
      <c r="B316" s="46"/>
      <c r="C316" s="154" t="s">
        <v>29</v>
      </c>
      <c r="D316" s="9"/>
      <c r="E316" s="9"/>
      <c r="F316" s="141"/>
      <c r="G316" s="193"/>
      <c r="H316" s="111"/>
      <c r="I316" s="111"/>
      <c r="J316" s="111"/>
      <c r="K316" s="111"/>
      <c r="L316" s="111">
        <f>IF(M315=0, SUM($G315:L315), 0)</f>
        <v>0</v>
      </c>
      <c r="M316" s="111">
        <f>IF(N315=0, IF(M315=0, 0, SUM($G315:M315)), 0)</f>
        <v>0</v>
      </c>
      <c r="N316" s="111">
        <f>IF(O315=0, IF(N315=0, 0, SUM($G315:N315)), 0)</f>
        <v>0</v>
      </c>
      <c r="O316" s="111">
        <f>IF(P315=0, IF(O315=0, 0, SUM($G315:O315)), 0)</f>
        <v>0</v>
      </c>
      <c r="P316" s="111">
        <f>IF(Q315=0, IF(P315=0, 0, SUM($G315:P315)), 0)</f>
        <v>0</v>
      </c>
      <c r="Q316" s="111">
        <f>IF(R315=0, IF(Q315=0, 0, SUM($G315:Q315)), 0)</f>
        <v>0</v>
      </c>
      <c r="R316" s="100"/>
      <c r="S316" s="100"/>
      <c r="T316" s="100"/>
      <c r="U316" s="100"/>
      <c r="V316" s="100"/>
      <c r="W316" s="100"/>
      <c r="X316" s="100"/>
      <c r="Y316" s="100"/>
      <c r="Z316" s="100"/>
      <c r="AA316" s="227"/>
      <c r="AB316" s="227"/>
      <c r="AC316" s="227"/>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c r="BC316" s="227"/>
      <c r="BD316" s="227"/>
      <c r="BE316" s="227"/>
      <c r="BF316" s="227"/>
      <c r="BG316" s="227"/>
      <c r="BH316" s="227"/>
      <c r="BI316" s="227"/>
      <c r="BJ316" s="220"/>
      <c r="BK316" s="220"/>
    </row>
    <row r="317" spans="1:63" outlineLevel="1">
      <c r="A317" s="9"/>
      <c r="B317" s="46"/>
      <c r="C317" s="129">
        <f>Asset25</f>
        <v>0</v>
      </c>
      <c r="D317" s="9"/>
      <c r="E317" s="9"/>
      <c r="F317" s="141"/>
      <c r="G317" s="193"/>
      <c r="H317" s="111">
        <f>($G261+(SUM($G317:G317)))*H$7</f>
        <v>0</v>
      </c>
      <c r="I317" s="111">
        <f>($G261+(SUM($G317:H317)))*I$7</f>
        <v>0</v>
      </c>
      <c r="J317" s="111">
        <f>($G261+(SUM($G317:I317)))*J$7</f>
        <v>0</v>
      </c>
      <c r="K317" s="111">
        <f>($G261+(SUM($G317:J317)))*K$7</f>
        <v>0</v>
      </c>
      <c r="L317" s="111">
        <f>($G261+(SUM($G317:K317)))*L$7</f>
        <v>0</v>
      </c>
      <c r="M317" s="111">
        <f>($G261+(SUM($G317:L317)))*M$7</f>
        <v>0</v>
      </c>
      <c r="N317" s="111">
        <f>($G261+(SUM($G317:M317)))*N$7</f>
        <v>0</v>
      </c>
      <c r="O317" s="111">
        <f>($G261+(SUM($G317:N317)))*O$7</f>
        <v>0</v>
      </c>
      <c r="P317" s="111">
        <f>($G261+(SUM($G317:O317)))*P$7</f>
        <v>0</v>
      </c>
      <c r="Q317" s="111">
        <f>($G261+(SUM($G317:P317)))*Q$7</f>
        <v>0</v>
      </c>
      <c r="R317" s="100"/>
      <c r="S317" s="100"/>
      <c r="T317" s="100"/>
      <c r="U317" s="100"/>
      <c r="V317" s="100"/>
      <c r="W317" s="100"/>
      <c r="X317" s="100"/>
      <c r="Y317" s="100"/>
      <c r="Z317" s="100"/>
      <c r="AA317" s="227"/>
      <c r="AB317" s="227"/>
      <c r="AC317" s="227"/>
      <c r="AD317" s="227"/>
      <c r="AE317" s="227"/>
      <c r="AF317" s="227"/>
      <c r="AG317" s="227"/>
      <c r="AH317" s="227"/>
      <c r="AI317" s="227"/>
      <c r="AJ317" s="227"/>
      <c r="AK317" s="227"/>
      <c r="AL317" s="227"/>
      <c r="AM317" s="227"/>
      <c r="AN317" s="227"/>
      <c r="AO317" s="227"/>
      <c r="AP317" s="227"/>
      <c r="AQ317" s="227"/>
      <c r="AR317" s="227"/>
      <c r="AS317" s="227"/>
      <c r="AT317" s="227"/>
      <c r="AU317" s="227"/>
      <c r="AV317" s="227"/>
      <c r="AW317" s="227"/>
      <c r="AX317" s="227"/>
      <c r="AY317" s="227"/>
      <c r="AZ317" s="227"/>
      <c r="BA317" s="227"/>
      <c r="BB317" s="227"/>
      <c r="BC317" s="227"/>
      <c r="BD317" s="227"/>
      <c r="BE317" s="227"/>
      <c r="BF317" s="227"/>
      <c r="BG317" s="227"/>
      <c r="BH317" s="227"/>
      <c r="BI317" s="227"/>
      <c r="BJ317" s="220"/>
      <c r="BK317" s="220"/>
    </row>
    <row r="318" spans="1:63" outlineLevel="1">
      <c r="A318" s="9"/>
      <c r="B318" s="46"/>
      <c r="C318" s="154" t="s">
        <v>29</v>
      </c>
      <c r="D318" s="9"/>
      <c r="E318" s="9"/>
      <c r="F318" s="141"/>
      <c r="G318" s="193"/>
      <c r="H318" s="111"/>
      <c r="I318" s="111"/>
      <c r="J318" s="111"/>
      <c r="K318" s="111"/>
      <c r="L318" s="111">
        <f>IF(M317=0, SUM($G317:L317), 0)</f>
        <v>0</v>
      </c>
      <c r="M318" s="111">
        <f>IF(N317=0, IF(M317=0, 0, SUM($G317:M317)), 0)</f>
        <v>0</v>
      </c>
      <c r="N318" s="111">
        <f>IF(O317=0, IF(N317=0, 0, SUM($G317:N317)), 0)</f>
        <v>0</v>
      </c>
      <c r="O318" s="111">
        <f>IF(P317=0, IF(O317=0, 0, SUM($G317:O317)), 0)</f>
        <v>0</v>
      </c>
      <c r="P318" s="111">
        <f>IF(Q317=0, IF(P317=0, 0, SUM($G317:P317)), 0)</f>
        <v>0</v>
      </c>
      <c r="Q318" s="111">
        <f>IF(R317=0, IF(Q317=0, 0, SUM($G317:Q317)), 0)</f>
        <v>0</v>
      </c>
      <c r="R318" s="100"/>
      <c r="S318" s="100"/>
      <c r="T318" s="100"/>
      <c r="U318" s="100"/>
      <c r="V318" s="100"/>
      <c r="W318" s="100"/>
      <c r="X318" s="100"/>
      <c r="Y318" s="100"/>
      <c r="Z318" s="100"/>
      <c r="AA318" s="227"/>
      <c r="AB318" s="227"/>
      <c r="AC318" s="227"/>
      <c r="AD318" s="227"/>
      <c r="AE318" s="227"/>
      <c r="AF318" s="227"/>
      <c r="AG318" s="227"/>
      <c r="AH318" s="227"/>
      <c r="AI318" s="227"/>
      <c r="AJ318" s="227"/>
      <c r="AK318" s="227"/>
      <c r="AL318" s="227"/>
      <c r="AM318" s="227"/>
      <c r="AN318" s="227"/>
      <c r="AO318" s="227"/>
      <c r="AP318" s="227"/>
      <c r="AQ318" s="227"/>
      <c r="AR318" s="227"/>
      <c r="AS318" s="227"/>
      <c r="AT318" s="227"/>
      <c r="AU318" s="227"/>
      <c r="AV318" s="227"/>
      <c r="AW318" s="227"/>
      <c r="AX318" s="227"/>
      <c r="AY318" s="227"/>
      <c r="AZ318" s="227"/>
      <c r="BA318" s="227"/>
      <c r="BB318" s="227"/>
      <c r="BC318" s="227"/>
      <c r="BD318" s="227"/>
      <c r="BE318" s="227"/>
      <c r="BF318" s="227"/>
      <c r="BG318" s="227"/>
      <c r="BH318" s="227"/>
      <c r="BI318" s="227"/>
      <c r="BJ318" s="220"/>
      <c r="BK318" s="220"/>
    </row>
    <row r="319" spans="1:63" outlineLevel="1">
      <c r="A319" s="9"/>
      <c r="B319" s="46"/>
      <c r="C319" s="129">
        <f>Asset26</f>
        <v>0</v>
      </c>
      <c r="D319" s="9"/>
      <c r="E319" s="9"/>
      <c r="F319" s="141"/>
      <c r="G319" s="193"/>
      <c r="H319" s="111">
        <f>($G262+(SUM($G319:G319)))*H$7</f>
        <v>0</v>
      </c>
      <c r="I319" s="111">
        <f>($G262+(SUM($G319:H319)))*I$7</f>
        <v>0</v>
      </c>
      <c r="J319" s="111">
        <f>($G262+(SUM($G319:I319)))*J$7</f>
        <v>0</v>
      </c>
      <c r="K319" s="111">
        <f>($G262+(SUM($G319:J319)))*K$7</f>
        <v>0</v>
      </c>
      <c r="L319" s="111">
        <f>($G262+(SUM($G319:K319)))*L$7</f>
        <v>0</v>
      </c>
      <c r="M319" s="111">
        <f>($G262+(SUM($G319:L319)))*M$7</f>
        <v>0</v>
      </c>
      <c r="N319" s="111">
        <f>($G262+(SUM($G319:M319)))*N$7</f>
        <v>0</v>
      </c>
      <c r="O319" s="111">
        <f>($G262+(SUM($G319:N319)))*O$7</f>
        <v>0</v>
      </c>
      <c r="P319" s="111">
        <f>($G262+(SUM($G319:O319)))*P$7</f>
        <v>0</v>
      </c>
      <c r="Q319" s="111">
        <f>($G262+(SUM($G319:P319)))*Q$7</f>
        <v>0</v>
      </c>
      <c r="R319" s="100"/>
      <c r="S319" s="100"/>
      <c r="T319" s="100"/>
      <c r="U319" s="100"/>
      <c r="V319" s="100"/>
      <c r="W319" s="100"/>
      <c r="X319" s="100"/>
      <c r="Y319" s="100"/>
      <c r="Z319" s="100"/>
      <c r="AA319" s="227"/>
      <c r="AB319" s="227"/>
      <c r="AC319" s="227"/>
      <c r="AD319" s="227"/>
      <c r="AE319" s="227"/>
      <c r="AF319" s="227"/>
      <c r="AG319" s="227"/>
      <c r="AH319" s="227"/>
      <c r="AI319" s="227"/>
      <c r="AJ319" s="227"/>
      <c r="AK319" s="227"/>
      <c r="AL319" s="227"/>
      <c r="AM319" s="227"/>
      <c r="AN319" s="227"/>
      <c r="AO319" s="227"/>
      <c r="AP319" s="227"/>
      <c r="AQ319" s="227"/>
      <c r="AR319" s="227"/>
      <c r="AS319" s="227"/>
      <c r="AT319" s="227"/>
      <c r="AU319" s="227"/>
      <c r="AV319" s="227"/>
      <c r="AW319" s="227"/>
      <c r="AX319" s="227"/>
      <c r="AY319" s="227"/>
      <c r="AZ319" s="227"/>
      <c r="BA319" s="227"/>
      <c r="BB319" s="227"/>
      <c r="BC319" s="227"/>
      <c r="BD319" s="227"/>
      <c r="BE319" s="227"/>
      <c r="BF319" s="227"/>
      <c r="BG319" s="227"/>
      <c r="BH319" s="227"/>
      <c r="BI319" s="227"/>
      <c r="BJ319" s="220"/>
      <c r="BK319" s="220"/>
    </row>
    <row r="320" spans="1:63" outlineLevel="1">
      <c r="A320" s="9"/>
      <c r="B320" s="46"/>
      <c r="C320" s="154" t="s">
        <v>29</v>
      </c>
      <c r="D320" s="9"/>
      <c r="E320" s="9"/>
      <c r="F320" s="141"/>
      <c r="G320" s="193"/>
      <c r="H320" s="111"/>
      <c r="I320" s="111"/>
      <c r="J320" s="111"/>
      <c r="K320" s="111"/>
      <c r="L320" s="111">
        <f>IF(M319=0, SUM($G319:L319), 0)</f>
        <v>0</v>
      </c>
      <c r="M320" s="111">
        <f>IF(N319=0, IF(M319=0, 0, SUM($G319:M319)), 0)</f>
        <v>0</v>
      </c>
      <c r="N320" s="111">
        <f>IF(O319=0, IF(N319=0, 0, SUM($G319:N319)), 0)</f>
        <v>0</v>
      </c>
      <c r="O320" s="111">
        <f>IF(P319=0, IF(O319=0, 0, SUM($G319:O319)), 0)</f>
        <v>0</v>
      </c>
      <c r="P320" s="111">
        <f>IF(Q319=0, IF(P319=0, 0, SUM($G319:P319)), 0)</f>
        <v>0</v>
      </c>
      <c r="Q320" s="111">
        <f>IF(R319=0, IF(Q319=0, 0, SUM($G319:Q319)), 0)</f>
        <v>0</v>
      </c>
      <c r="R320" s="100"/>
      <c r="S320" s="100"/>
      <c r="T320" s="100"/>
      <c r="U320" s="100"/>
      <c r="V320" s="100"/>
      <c r="W320" s="100"/>
      <c r="X320" s="100"/>
      <c r="Y320" s="100"/>
      <c r="Z320" s="100"/>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c r="AX320" s="227"/>
      <c r="AY320" s="227"/>
      <c r="AZ320" s="227"/>
      <c r="BA320" s="227"/>
      <c r="BB320" s="227"/>
      <c r="BC320" s="227"/>
      <c r="BD320" s="227"/>
      <c r="BE320" s="227"/>
      <c r="BF320" s="227"/>
      <c r="BG320" s="227"/>
      <c r="BH320" s="227"/>
      <c r="BI320" s="227"/>
      <c r="BJ320" s="220"/>
      <c r="BK320" s="220"/>
    </row>
    <row r="321" spans="1:63" outlineLevel="1">
      <c r="A321" s="9"/>
      <c r="B321" s="46"/>
      <c r="C321" s="129">
        <f>Asset27</f>
        <v>0</v>
      </c>
      <c r="D321" s="9"/>
      <c r="E321" s="9"/>
      <c r="F321" s="141"/>
      <c r="G321" s="193"/>
      <c r="H321" s="111">
        <f>($G263+(SUM($G321:G321)))*H$7</f>
        <v>0</v>
      </c>
      <c r="I321" s="111">
        <f>($G263+(SUM($G321:H321)))*I$7</f>
        <v>0</v>
      </c>
      <c r="J321" s="111">
        <f>($G263+(SUM($G321:I321)))*J$7</f>
        <v>0</v>
      </c>
      <c r="K321" s="111">
        <f>($G263+(SUM($G321:J321)))*K$7</f>
        <v>0</v>
      </c>
      <c r="L321" s="111">
        <f>($G263+(SUM($G321:K321)))*L$7</f>
        <v>0</v>
      </c>
      <c r="M321" s="111">
        <f>($G263+(SUM($G321:L321)))*M$7</f>
        <v>0</v>
      </c>
      <c r="N321" s="111">
        <f>($G263+(SUM($G321:M321)))*N$7</f>
        <v>0</v>
      </c>
      <c r="O321" s="111">
        <f>($G263+(SUM($G321:N321)))*O$7</f>
        <v>0</v>
      </c>
      <c r="P321" s="111">
        <f>($G263+(SUM($G321:O321)))*P$7</f>
        <v>0</v>
      </c>
      <c r="Q321" s="111">
        <f>($G263+(SUM($G321:P321)))*Q$7</f>
        <v>0</v>
      </c>
      <c r="R321" s="100"/>
      <c r="S321" s="100"/>
      <c r="T321" s="100"/>
      <c r="U321" s="100"/>
      <c r="V321" s="100"/>
      <c r="W321" s="100"/>
      <c r="X321" s="100"/>
      <c r="Y321" s="100"/>
      <c r="Z321" s="100"/>
      <c r="AA321" s="227"/>
      <c r="AB321" s="227"/>
      <c r="AC321" s="227"/>
      <c r="AD321" s="227"/>
      <c r="AE321" s="227"/>
      <c r="AF321" s="227"/>
      <c r="AG321" s="227"/>
      <c r="AH321" s="227"/>
      <c r="AI321" s="227"/>
      <c r="AJ321" s="227"/>
      <c r="AK321" s="227"/>
      <c r="AL321" s="227"/>
      <c r="AM321" s="227"/>
      <c r="AN321" s="227"/>
      <c r="AO321" s="227"/>
      <c r="AP321" s="227"/>
      <c r="AQ321" s="227"/>
      <c r="AR321" s="227"/>
      <c r="AS321" s="227"/>
      <c r="AT321" s="227"/>
      <c r="AU321" s="227"/>
      <c r="AV321" s="227"/>
      <c r="AW321" s="227"/>
      <c r="AX321" s="227"/>
      <c r="AY321" s="227"/>
      <c r="AZ321" s="227"/>
      <c r="BA321" s="227"/>
      <c r="BB321" s="227"/>
      <c r="BC321" s="227"/>
      <c r="BD321" s="227"/>
      <c r="BE321" s="227"/>
      <c r="BF321" s="227"/>
      <c r="BG321" s="227"/>
      <c r="BH321" s="227"/>
      <c r="BI321" s="227"/>
      <c r="BJ321" s="220"/>
      <c r="BK321" s="220"/>
    </row>
    <row r="322" spans="1:63" outlineLevel="1">
      <c r="A322" s="9"/>
      <c r="B322" s="46"/>
      <c r="C322" s="154" t="s">
        <v>29</v>
      </c>
      <c r="D322" s="9"/>
      <c r="E322" s="9"/>
      <c r="F322" s="141"/>
      <c r="G322" s="193"/>
      <c r="H322" s="111"/>
      <c r="I322" s="111"/>
      <c r="J322" s="111"/>
      <c r="K322" s="111"/>
      <c r="L322" s="111">
        <f>IF(M321=0, SUM($G321:L321), 0)</f>
        <v>0</v>
      </c>
      <c r="M322" s="111">
        <f>IF(N321=0, IF(M321=0, 0, SUM($G321:M321)), 0)</f>
        <v>0</v>
      </c>
      <c r="N322" s="111">
        <f>IF(O321=0, IF(N321=0, 0, SUM($G321:N321)), 0)</f>
        <v>0</v>
      </c>
      <c r="O322" s="111">
        <f>IF(P321=0, IF(O321=0, 0, SUM($G321:O321)), 0)</f>
        <v>0</v>
      </c>
      <c r="P322" s="111">
        <f>IF(Q321=0, IF(P321=0, 0, SUM($G321:P321)), 0)</f>
        <v>0</v>
      </c>
      <c r="Q322" s="111">
        <f>IF(R321=0, IF(Q321=0, 0, SUM($G321:Q321)), 0)</f>
        <v>0</v>
      </c>
      <c r="R322" s="100"/>
      <c r="S322" s="100"/>
      <c r="T322" s="100"/>
      <c r="U322" s="100"/>
      <c r="V322" s="100"/>
      <c r="W322" s="100"/>
      <c r="X322" s="100"/>
      <c r="Y322" s="100"/>
      <c r="Z322" s="100"/>
      <c r="AA322" s="227"/>
      <c r="AB322" s="227"/>
      <c r="AC322" s="227"/>
      <c r="AD322" s="227"/>
      <c r="AE322" s="227"/>
      <c r="AF322" s="227"/>
      <c r="AG322" s="227"/>
      <c r="AH322" s="227"/>
      <c r="AI322" s="227"/>
      <c r="AJ322" s="227"/>
      <c r="AK322" s="227"/>
      <c r="AL322" s="227"/>
      <c r="AM322" s="227"/>
      <c r="AN322" s="227"/>
      <c r="AO322" s="227"/>
      <c r="AP322" s="227"/>
      <c r="AQ322" s="227"/>
      <c r="AR322" s="227"/>
      <c r="AS322" s="227"/>
      <c r="AT322" s="227"/>
      <c r="AU322" s="227"/>
      <c r="AV322" s="227"/>
      <c r="AW322" s="227"/>
      <c r="AX322" s="227"/>
      <c r="AY322" s="227"/>
      <c r="AZ322" s="227"/>
      <c r="BA322" s="227"/>
      <c r="BB322" s="227"/>
      <c r="BC322" s="227"/>
      <c r="BD322" s="227"/>
      <c r="BE322" s="227"/>
      <c r="BF322" s="227"/>
      <c r="BG322" s="227"/>
      <c r="BH322" s="227"/>
      <c r="BI322" s="227"/>
      <c r="BJ322" s="220"/>
      <c r="BK322" s="220"/>
    </row>
    <row r="323" spans="1:63" outlineLevel="1">
      <c r="A323" s="9"/>
      <c r="B323" s="46"/>
      <c r="C323" s="129">
        <f>Asset28</f>
        <v>0</v>
      </c>
      <c r="D323" s="9"/>
      <c r="E323" s="9"/>
      <c r="F323" s="141"/>
      <c r="G323" s="193"/>
      <c r="H323" s="111">
        <f>($G264+(SUM($G323:G323)))*H$7</f>
        <v>0</v>
      </c>
      <c r="I323" s="111">
        <f>($G264+(SUM($G323:H323)))*I$7</f>
        <v>0</v>
      </c>
      <c r="J323" s="111">
        <f>($G264+(SUM($G323:I323)))*J$7</f>
        <v>0</v>
      </c>
      <c r="K323" s="111">
        <f>($G264+(SUM($G323:J323)))*K$7</f>
        <v>0</v>
      </c>
      <c r="L323" s="111">
        <f>($G264+(SUM($G323:K323)))*L$7</f>
        <v>0</v>
      </c>
      <c r="M323" s="111">
        <f>($G264+(SUM($G323:L323)))*M$7</f>
        <v>0</v>
      </c>
      <c r="N323" s="111">
        <f>($G264+(SUM($G323:M323)))*N$7</f>
        <v>0</v>
      </c>
      <c r="O323" s="111">
        <f>($G264+(SUM($G323:N323)))*O$7</f>
        <v>0</v>
      </c>
      <c r="P323" s="111">
        <f>($G264+(SUM($G323:O323)))*P$7</f>
        <v>0</v>
      </c>
      <c r="Q323" s="111">
        <f>($G264+(SUM($G323:P323)))*Q$7</f>
        <v>0</v>
      </c>
      <c r="R323" s="100"/>
      <c r="S323" s="100"/>
      <c r="T323" s="100"/>
      <c r="U323" s="100"/>
      <c r="V323" s="100"/>
      <c r="W323" s="100"/>
      <c r="X323" s="100"/>
      <c r="Y323" s="100"/>
      <c r="Z323" s="100"/>
      <c r="AA323" s="227"/>
      <c r="AB323" s="227"/>
      <c r="AC323" s="227"/>
      <c r="AD323" s="227"/>
      <c r="AE323" s="227"/>
      <c r="AF323" s="227"/>
      <c r="AG323" s="227"/>
      <c r="AH323" s="227"/>
      <c r="AI323" s="227"/>
      <c r="AJ323" s="227"/>
      <c r="AK323" s="227"/>
      <c r="AL323" s="227"/>
      <c r="AM323" s="227"/>
      <c r="AN323" s="227"/>
      <c r="AO323" s="227"/>
      <c r="AP323" s="227"/>
      <c r="AQ323" s="227"/>
      <c r="AR323" s="227"/>
      <c r="AS323" s="227"/>
      <c r="AT323" s="227"/>
      <c r="AU323" s="227"/>
      <c r="AV323" s="227"/>
      <c r="AW323" s="227"/>
      <c r="AX323" s="227"/>
      <c r="AY323" s="227"/>
      <c r="AZ323" s="227"/>
      <c r="BA323" s="227"/>
      <c r="BB323" s="227"/>
      <c r="BC323" s="227"/>
      <c r="BD323" s="227"/>
      <c r="BE323" s="227"/>
      <c r="BF323" s="227"/>
      <c r="BG323" s="227"/>
      <c r="BH323" s="227"/>
      <c r="BI323" s="227"/>
      <c r="BJ323" s="220"/>
      <c r="BK323" s="220"/>
    </row>
    <row r="324" spans="1:63" outlineLevel="1">
      <c r="A324" s="9"/>
      <c r="B324" s="46"/>
      <c r="C324" s="154" t="s">
        <v>29</v>
      </c>
      <c r="D324" s="9"/>
      <c r="E324" s="9"/>
      <c r="F324" s="141"/>
      <c r="G324" s="193"/>
      <c r="H324" s="111"/>
      <c r="I324" s="111"/>
      <c r="J324" s="111"/>
      <c r="K324" s="111"/>
      <c r="L324" s="111">
        <f>IF(M323=0, SUM($G323:L323), 0)</f>
        <v>0</v>
      </c>
      <c r="M324" s="111">
        <f>IF(N323=0, IF(M323=0, 0, SUM($G323:M323)), 0)</f>
        <v>0</v>
      </c>
      <c r="N324" s="111">
        <f>IF(O323=0, IF(N323=0, 0, SUM($G323:N323)), 0)</f>
        <v>0</v>
      </c>
      <c r="O324" s="111">
        <f>IF(P323=0, IF(O323=0, 0, SUM($G323:O323)), 0)</f>
        <v>0</v>
      </c>
      <c r="P324" s="111">
        <f>IF(Q323=0, IF(P323=0, 0, SUM($G323:P323)), 0)</f>
        <v>0</v>
      </c>
      <c r="Q324" s="111">
        <f>IF(R323=0, IF(Q323=0, 0, SUM($G323:Q323)), 0)</f>
        <v>0</v>
      </c>
      <c r="R324" s="100"/>
      <c r="S324" s="100"/>
      <c r="T324" s="100"/>
      <c r="U324" s="100"/>
      <c r="V324" s="100"/>
      <c r="W324" s="100"/>
      <c r="X324" s="100"/>
      <c r="Y324" s="100"/>
      <c r="Z324" s="100"/>
      <c r="AA324" s="227"/>
      <c r="AB324" s="227"/>
      <c r="AC324" s="227"/>
      <c r="AD324" s="227"/>
      <c r="AE324" s="227"/>
      <c r="AF324" s="227"/>
      <c r="AG324" s="227"/>
      <c r="AH324" s="227"/>
      <c r="AI324" s="227"/>
      <c r="AJ324" s="227"/>
      <c r="AK324" s="227"/>
      <c r="AL324" s="227"/>
      <c r="AM324" s="227"/>
      <c r="AN324" s="227"/>
      <c r="AO324" s="227"/>
      <c r="AP324" s="227"/>
      <c r="AQ324" s="227"/>
      <c r="AR324" s="227"/>
      <c r="AS324" s="227"/>
      <c r="AT324" s="227"/>
      <c r="AU324" s="227"/>
      <c r="AV324" s="227"/>
      <c r="AW324" s="227"/>
      <c r="AX324" s="227"/>
      <c r="AY324" s="227"/>
      <c r="AZ324" s="227"/>
      <c r="BA324" s="227"/>
      <c r="BB324" s="227"/>
      <c r="BC324" s="227"/>
      <c r="BD324" s="227"/>
      <c r="BE324" s="227"/>
      <c r="BF324" s="227"/>
      <c r="BG324" s="227"/>
      <c r="BH324" s="227"/>
      <c r="BI324" s="227"/>
      <c r="BJ324" s="220"/>
      <c r="BK324" s="220"/>
    </row>
    <row r="325" spans="1:63" outlineLevel="1">
      <c r="A325" s="9"/>
      <c r="B325" s="46"/>
      <c r="C325" s="129">
        <f>Asset29</f>
        <v>0</v>
      </c>
      <c r="D325" s="9"/>
      <c r="E325" s="9"/>
      <c r="F325" s="141"/>
      <c r="G325" s="193"/>
      <c r="H325" s="111">
        <f>($G265+(SUM($G325:G325)))*H$7</f>
        <v>0</v>
      </c>
      <c r="I325" s="111">
        <f>($G265+(SUM($G325:H325)))*I$7</f>
        <v>0</v>
      </c>
      <c r="J325" s="111">
        <f>($G265+(SUM($G325:I325)))*J$7</f>
        <v>0</v>
      </c>
      <c r="K325" s="111">
        <f>($G265+(SUM($G325:J325)))*K$7</f>
        <v>0</v>
      </c>
      <c r="L325" s="111">
        <f>($G265+(SUM($G325:K325)))*L$7</f>
        <v>0</v>
      </c>
      <c r="M325" s="111">
        <f>($G265+(SUM($G325:L325)))*M$7</f>
        <v>0</v>
      </c>
      <c r="N325" s="111">
        <f>($G265+(SUM($G325:M325)))*N$7</f>
        <v>0</v>
      </c>
      <c r="O325" s="111">
        <f>($G265+(SUM($G325:N325)))*O$7</f>
        <v>0</v>
      </c>
      <c r="P325" s="111">
        <f>($G265+(SUM($G325:O325)))*P$7</f>
        <v>0</v>
      </c>
      <c r="Q325" s="111">
        <f>($G265+(SUM($G325:P325)))*Q$7</f>
        <v>0</v>
      </c>
      <c r="R325" s="100"/>
      <c r="S325" s="100"/>
      <c r="T325" s="100"/>
      <c r="U325" s="100"/>
      <c r="V325" s="100"/>
      <c r="W325" s="100"/>
      <c r="X325" s="100"/>
      <c r="Y325" s="100"/>
      <c r="Z325" s="100"/>
      <c r="AA325" s="227"/>
      <c r="AB325" s="227"/>
      <c r="AC325" s="227"/>
      <c r="AD325" s="227"/>
      <c r="AE325" s="227"/>
      <c r="AF325" s="227"/>
      <c r="AG325" s="227"/>
      <c r="AH325" s="227"/>
      <c r="AI325" s="227"/>
      <c r="AJ325" s="227"/>
      <c r="AK325" s="227"/>
      <c r="AL325" s="227"/>
      <c r="AM325" s="227"/>
      <c r="AN325" s="227"/>
      <c r="AO325" s="227"/>
      <c r="AP325" s="227"/>
      <c r="AQ325" s="227"/>
      <c r="AR325" s="227"/>
      <c r="AS325" s="227"/>
      <c r="AT325" s="227"/>
      <c r="AU325" s="227"/>
      <c r="AV325" s="227"/>
      <c r="AW325" s="227"/>
      <c r="AX325" s="227"/>
      <c r="AY325" s="227"/>
      <c r="AZ325" s="227"/>
      <c r="BA325" s="227"/>
      <c r="BB325" s="227"/>
      <c r="BC325" s="227"/>
      <c r="BD325" s="227"/>
      <c r="BE325" s="227"/>
      <c r="BF325" s="227"/>
      <c r="BG325" s="227"/>
      <c r="BH325" s="227"/>
      <c r="BI325" s="227"/>
      <c r="BJ325" s="220"/>
      <c r="BK325" s="220"/>
    </row>
    <row r="326" spans="1:63" outlineLevel="1">
      <c r="A326" s="9"/>
      <c r="B326" s="46"/>
      <c r="C326" s="154" t="s">
        <v>29</v>
      </c>
      <c r="D326" s="9"/>
      <c r="E326" s="9"/>
      <c r="F326" s="141"/>
      <c r="G326" s="193"/>
      <c r="H326" s="111"/>
      <c r="I326" s="111"/>
      <c r="J326" s="111"/>
      <c r="K326" s="111"/>
      <c r="L326" s="111">
        <f>IF(M325=0, SUM($G325:L325), 0)</f>
        <v>0</v>
      </c>
      <c r="M326" s="111">
        <f>IF(N325=0, IF(M325=0, 0, SUM($G325:M325)), 0)</f>
        <v>0</v>
      </c>
      <c r="N326" s="111">
        <f>IF(O325=0, IF(N325=0, 0, SUM($G325:N325)), 0)</f>
        <v>0</v>
      </c>
      <c r="O326" s="111">
        <f>IF(P325=0, IF(O325=0, 0, SUM($G325:O325)), 0)</f>
        <v>0</v>
      </c>
      <c r="P326" s="111">
        <f>IF(Q325=0, IF(P325=0, 0, SUM($G325:P325)), 0)</f>
        <v>0</v>
      </c>
      <c r="Q326" s="111">
        <f>IF(R325=0, IF(Q325=0, 0, SUM($G325:Q325)), 0)</f>
        <v>0</v>
      </c>
      <c r="R326" s="100"/>
      <c r="S326" s="100"/>
      <c r="T326" s="100"/>
      <c r="U326" s="100"/>
      <c r="V326" s="100"/>
      <c r="W326" s="100"/>
      <c r="X326" s="100"/>
      <c r="Y326" s="100"/>
      <c r="Z326" s="100"/>
      <c r="AA326" s="227"/>
      <c r="AB326" s="227"/>
      <c r="AC326" s="227"/>
      <c r="AD326" s="227"/>
      <c r="AE326" s="227"/>
      <c r="AF326" s="227"/>
      <c r="AG326" s="227"/>
      <c r="AH326" s="227"/>
      <c r="AI326" s="227"/>
      <c r="AJ326" s="227"/>
      <c r="AK326" s="227"/>
      <c r="AL326" s="227"/>
      <c r="AM326" s="227"/>
      <c r="AN326" s="227"/>
      <c r="AO326" s="227"/>
      <c r="AP326" s="227"/>
      <c r="AQ326" s="227"/>
      <c r="AR326" s="227"/>
      <c r="AS326" s="227"/>
      <c r="AT326" s="227"/>
      <c r="AU326" s="227"/>
      <c r="AV326" s="227"/>
      <c r="AW326" s="227"/>
      <c r="AX326" s="227"/>
      <c r="AY326" s="227"/>
      <c r="AZ326" s="227"/>
      <c r="BA326" s="227"/>
      <c r="BB326" s="227"/>
      <c r="BC326" s="227"/>
      <c r="BD326" s="227"/>
      <c r="BE326" s="227"/>
      <c r="BF326" s="227"/>
      <c r="BG326" s="227"/>
      <c r="BH326" s="227"/>
      <c r="BI326" s="227"/>
      <c r="BJ326" s="220"/>
      <c r="BK326" s="220"/>
    </row>
    <row r="327" spans="1:63" outlineLevel="1">
      <c r="A327" s="9"/>
      <c r="B327" s="46"/>
      <c r="C327" s="129">
        <f>Asset30</f>
        <v>0</v>
      </c>
      <c r="D327" s="9"/>
      <c r="E327" s="9"/>
      <c r="F327" s="141"/>
      <c r="G327" s="193"/>
      <c r="H327" s="111">
        <f>($G266+(SUM($G327:G327)))*H$7</f>
        <v>0</v>
      </c>
      <c r="I327" s="111">
        <f>($G266+(SUM($G327:H327)))*I$7</f>
        <v>0</v>
      </c>
      <c r="J327" s="111">
        <f>($G266+(SUM($G327:I327)))*J$7</f>
        <v>0</v>
      </c>
      <c r="K327" s="111">
        <f>($G266+(SUM($G327:J327)))*K$7</f>
        <v>0</v>
      </c>
      <c r="L327" s="111">
        <f>($G266+(SUM($G327:K327)))*L$7</f>
        <v>0</v>
      </c>
      <c r="M327" s="111">
        <f>($G266+(SUM($G327:L327)))*M$7</f>
        <v>0</v>
      </c>
      <c r="N327" s="111">
        <f>($G266+(SUM($G327:M327)))*N$7</f>
        <v>0</v>
      </c>
      <c r="O327" s="111">
        <f>($G266+(SUM($G327:N327)))*O$7</f>
        <v>0</v>
      </c>
      <c r="P327" s="111">
        <f>($G266+(SUM($G327:O327)))*P$7</f>
        <v>0</v>
      </c>
      <c r="Q327" s="111">
        <f>($G266+(SUM($G327:P327)))*Q$7</f>
        <v>0</v>
      </c>
      <c r="R327" s="100"/>
      <c r="S327" s="100"/>
      <c r="T327" s="100"/>
      <c r="U327" s="100"/>
      <c r="V327" s="100"/>
      <c r="W327" s="100"/>
      <c r="X327" s="100"/>
      <c r="Y327" s="100"/>
      <c r="Z327" s="100"/>
      <c r="AA327" s="227"/>
      <c r="AB327" s="227"/>
      <c r="AC327" s="227"/>
      <c r="AD327" s="227"/>
      <c r="AE327" s="227"/>
      <c r="AF327" s="227"/>
      <c r="AG327" s="227"/>
      <c r="AH327" s="227"/>
      <c r="AI327" s="227"/>
      <c r="AJ327" s="227"/>
      <c r="AK327" s="227"/>
      <c r="AL327" s="227"/>
      <c r="AM327" s="227"/>
      <c r="AN327" s="227"/>
      <c r="AO327" s="227"/>
      <c r="AP327" s="227"/>
      <c r="AQ327" s="227"/>
      <c r="AR327" s="227"/>
      <c r="AS327" s="227"/>
      <c r="AT327" s="227"/>
      <c r="AU327" s="227"/>
      <c r="AV327" s="227"/>
      <c r="AW327" s="227"/>
      <c r="AX327" s="227"/>
      <c r="AY327" s="227"/>
      <c r="AZ327" s="227"/>
      <c r="BA327" s="227"/>
      <c r="BB327" s="227"/>
      <c r="BC327" s="227"/>
      <c r="BD327" s="227"/>
      <c r="BE327" s="227"/>
      <c r="BF327" s="227"/>
      <c r="BG327" s="227"/>
      <c r="BH327" s="227"/>
      <c r="BI327" s="227"/>
      <c r="BJ327" s="220"/>
      <c r="BK327" s="220"/>
    </row>
    <row r="328" spans="1:63" outlineLevel="1">
      <c r="A328" s="9"/>
      <c r="B328" s="46"/>
      <c r="C328" s="154" t="s">
        <v>29</v>
      </c>
      <c r="D328" s="9"/>
      <c r="E328" s="9"/>
      <c r="F328" s="141"/>
      <c r="G328" s="193"/>
      <c r="H328" s="111"/>
      <c r="I328" s="111"/>
      <c r="J328" s="111"/>
      <c r="K328" s="111"/>
      <c r="L328" s="111">
        <f>IF(M327=0, SUM($G327:L327), 0)</f>
        <v>0</v>
      </c>
      <c r="M328" s="111">
        <f>IF(N327=0, IF(M327=0, 0, SUM($G327:M327)), 0)</f>
        <v>0</v>
      </c>
      <c r="N328" s="111">
        <f>IF(O327=0, IF(N327=0, 0, SUM($G327:N327)), 0)</f>
        <v>0</v>
      </c>
      <c r="O328" s="111">
        <f>IF(P327=0, IF(O327=0, 0, SUM($G327:O327)), 0)</f>
        <v>0</v>
      </c>
      <c r="P328" s="111">
        <f>IF(Q327=0, IF(P327=0, 0, SUM($G327:P327)), 0)</f>
        <v>0</v>
      </c>
      <c r="Q328" s="111">
        <f>IF(R327=0, IF(Q327=0, 0, SUM($G327:Q327)), 0)</f>
        <v>0</v>
      </c>
      <c r="R328" s="100"/>
      <c r="S328" s="100"/>
      <c r="T328" s="100"/>
      <c r="U328" s="100"/>
      <c r="V328" s="100"/>
      <c r="W328" s="100"/>
      <c r="X328" s="100"/>
      <c r="Y328" s="100"/>
      <c r="Z328" s="100"/>
      <c r="AA328" s="227"/>
      <c r="AB328" s="227"/>
      <c r="AC328" s="227"/>
      <c r="AD328" s="227"/>
      <c r="AE328" s="227"/>
      <c r="AF328" s="227"/>
      <c r="AG328" s="227"/>
      <c r="AH328" s="227"/>
      <c r="AI328" s="227"/>
      <c r="AJ328" s="227"/>
      <c r="AK328" s="227"/>
      <c r="AL328" s="227"/>
      <c r="AM328" s="227"/>
      <c r="AN328" s="227"/>
      <c r="AO328" s="227"/>
      <c r="AP328" s="227"/>
      <c r="AQ328" s="227"/>
      <c r="AR328" s="227"/>
      <c r="AS328" s="227"/>
      <c r="AT328" s="227"/>
      <c r="AU328" s="227"/>
      <c r="AV328" s="227"/>
      <c r="AW328" s="227"/>
      <c r="AX328" s="227"/>
      <c r="AY328" s="227"/>
      <c r="AZ328" s="227"/>
      <c r="BA328" s="227"/>
      <c r="BB328" s="227"/>
      <c r="BC328" s="227"/>
      <c r="BD328" s="227"/>
      <c r="BE328" s="227"/>
      <c r="BF328" s="227"/>
      <c r="BG328" s="227"/>
      <c r="BH328" s="227"/>
      <c r="BI328" s="227"/>
      <c r="BJ328" s="220"/>
      <c r="BK328" s="220"/>
    </row>
    <row r="329" spans="1:63">
      <c r="A329" s="9"/>
      <c r="B329" s="184" t="s">
        <v>42</v>
      </c>
      <c r="D329" s="9"/>
      <c r="E329" s="9"/>
      <c r="F329" s="141"/>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0"/>
      <c r="S329" s="100"/>
      <c r="T329" s="100"/>
      <c r="U329" s="100"/>
      <c r="V329" s="100"/>
      <c r="W329" s="100"/>
      <c r="X329" s="100"/>
      <c r="Y329" s="100"/>
      <c r="Z329" s="100"/>
      <c r="AA329" s="227"/>
      <c r="AB329" s="227"/>
      <c r="AC329" s="227"/>
      <c r="AD329" s="227"/>
      <c r="AE329" s="227"/>
      <c r="AF329" s="227"/>
      <c r="AG329" s="227"/>
      <c r="AH329" s="227"/>
      <c r="AI329" s="227"/>
      <c r="AJ329" s="227"/>
      <c r="AK329" s="227"/>
      <c r="AL329" s="227"/>
      <c r="AM329" s="227"/>
      <c r="AN329" s="227"/>
      <c r="AO329" s="227"/>
      <c r="AP329" s="227"/>
      <c r="AQ329" s="227"/>
      <c r="AR329" s="227"/>
      <c r="AS329" s="227"/>
      <c r="AT329" s="227"/>
      <c r="AU329" s="227"/>
      <c r="AV329" s="227"/>
      <c r="AW329" s="227"/>
      <c r="AX329" s="227"/>
      <c r="AY329" s="227"/>
      <c r="AZ329" s="227"/>
      <c r="BA329" s="227"/>
      <c r="BB329" s="227"/>
      <c r="BC329" s="227"/>
      <c r="BD329" s="227"/>
      <c r="BE329" s="227"/>
      <c r="BF329" s="227"/>
      <c r="BG329" s="227"/>
      <c r="BH329" s="227"/>
      <c r="BI329" s="227"/>
      <c r="BJ329" s="220"/>
      <c r="BK329" s="220"/>
    </row>
    <row r="330" spans="1:63">
      <c r="A330" s="9"/>
      <c r="B330" s="153"/>
      <c r="C330" s="26"/>
      <c r="D330" s="9"/>
      <c r="E330" s="9"/>
      <c r="F330" s="141"/>
      <c r="G330" s="117"/>
      <c r="H330" s="117"/>
      <c r="I330" s="117"/>
      <c r="J330" s="117"/>
      <c r="K330" s="117"/>
      <c r="L330" s="117"/>
      <c r="M330" s="9"/>
      <c r="N330" s="111"/>
      <c r="O330" s="152"/>
      <c r="P330" s="152"/>
      <c r="Q330" s="152"/>
      <c r="R330" s="100"/>
      <c r="S330" s="100"/>
      <c r="T330" s="100"/>
      <c r="U330" s="100"/>
      <c r="V330" s="100"/>
      <c r="W330" s="100"/>
      <c r="X330" s="100"/>
      <c r="Y330" s="100"/>
      <c r="Z330" s="100"/>
      <c r="AA330" s="227"/>
      <c r="AB330" s="227"/>
      <c r="AC330" s="227"/>
      <c r="AD330" s="227"/>
      <c r="AE330" s="227"/>
      <c r="AF330" s="227"/>
      <c r="AG330" s="227"/>
      <c r="AH330" s="227"/>
      <c r="AI330" s="227"/>
      <c r="AJ330" s="227"/>
      <c r="AK330" s="227"/>
      <c r="AL330" s="227"/>
      <c r="AM330" s="227"/>
      <c r="AN330" s="227"/>
      <c r="AO330" s="227"/>
      <c r="AP330" s="227"/>
      <c r="AQ330" s="227"/>
      <c r="AR330" s="227"/>
      <c r="AS330" s="227"/>
      <c r="AT330" s="227"/>
      <c r="AU330" s="227"/>
      <c r="AV330" s="227"/>
      <c r="AW330" s="227"/>
      <c r="AX330" s="227"/>
      <c r="AY330" s="227"/>
      <c r="AZ330" s="227"/>
      <c r="BA330" s="227"/>
      <c r="BB330" s="227"/>
      <c r="BC330" s="227"/>
      <c r="BD330" s="227"/>
      <c r="BE330" s="227"/>
      <c r="BF330" s="227"/>
      <c r="BG330" s="227"/>
      <c r="BH330" s="227"/>
      <c r="BI330" s="227"/>
      <c r="BJ330" s="220"/>
      <c r="BK330" s="220"/>
    </row>
    <row r="331" spans="1:63">
      <c r="A331" s="80"/>
      <c r="B331" s="80" t="s">
        <v>80</v>
      </c>
      <c r="C331" s="109"/>
      <c r="D331" s="109"/>
      <c r="E331" s="109"/>
      <c r="F331" s="109"/>
      <c r="G331" s="109"/>
      <c r="H331" s="109"/>
      <c r="I331" s="109"/>
      <c r="J331" s="109"/>
      <c r="K331" s="109"/>
      <c r="L331" s="109"/>
      <c r="M331" s="109"/>
      <c r="N331" s="109"/>
      <c r="O331" s="109"/>
      <c r="P331" s="109"/>
      <c r="Q331" s="109"/>
      <c r="R331" s="109"/>
      <c r="S331" s="100"/>
      <c r="T331" s="106"/>
      <c r="U331" s="106"/>
      <c r="V331" s="106"/>
      <c r="W331" s="106"/>
      <c r="X331" s="106"/>
      <c r="Y331" s="106"/>
      <c r="Z331" s="106"/>
      <c r="AA331" s="214"/>
      <c r="AB331" s="214"/>
      <c r="AC331" s="214"/>
      <c r="AD331" s="214"/>
      <c r="AE331" s="214"/>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c r="BI331" s="214"/>
      <c r="BJ331" s="220"/>
      <c r="BK331" s="220"/>
    </row>
    <row r="332" spans="1:63">
      <c r="A332" s="17"/>
      <c r="B332" s="17"/>
      <c r="C332" s="122"/>
      <c r="D332" s="122"/>
      <c r="E332" s="122"/>
      <c r="F332" s="122"/>
      <c r="G332" s="122"/>
      <c r="H332" s="111"/>
      <c r="I332" s="111"/>
      <c r="J332" s="111"/>
      <c r="K332" s="111"/>
      <c r="L332" s="111"/>
      <c r="M332" s="111"/>
      <c r="N332" s="111"/>
      <c r="O332" s="106"/>
      <c r="P332" s="106"/>
      <c r="Q332" s="106"/>
      <c r="R332" s="106"/>
      <c r="S332" s="100"/>
      <c r="T332" s="106"/>
      <c r="U332" s="106"/>
      <c r="V332" s="106"/>
      <c r="W332" s="106"/>
      <c r="X332" s="106"/>
      <c r="Y332" s="106"/>
      <c r="Z332" s="106"/>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214"/>
      <c r="BJ332" s="220"/>
      <c r="BK332" s="220"/>
    </row>
    <row r="333" spans="1:63">
      <c r="A333" s="9"/>
      <c r="B333" s="46" t="s">
        <v>44</v>
      </c>
      <c r="C333" s="9"/>
      <c r="D333" s="9"/>
      <c r="E333" s="9"/>
      <c r="F333" s="9"/>
      <c r="G333" s="192">
        <f>SUM(G334:G363)</f>
        <v>1031.2739539814918</v>
      </c>
      <c r="H333" s="140">
        <f>SUM(H334:H363)</f>
        <v>1117.3996727138085</v>
      </c>
      <c r="I333" s="111"/>
      <c r="J333" s="111"/>
      <c r="K333" s="111"/>
      <c r="L333" s="111"/>
      <c r="M333" s="111"/>
      <c r="N333" s="111"/>
      <c r="O333" s="106"/>
      <c r="P333" s="106"/>
      <c r="Q333" s="106"/>
      <c r="R333" s="106"/>
      <c r="S333" s="100"/>
      <c r="T333" s="106"/>
      <c r="U333" s="106"/>
      <c r="V333" s="106"/>
      <c r="W333" s="106"/>
      <c r="X333" s="106"/>
      <c r="Y333" s="106"/>
      <c r="Z333" s="106"/>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214"/>
      <c r="BJ333" s="220"/>
      <c r="BK333" s="220"/>
    </row>
    <row r="334" spans="1:63" ht="12.75" customHeight="1" outlineLevel="1">
      <c r="A334" s="9"/>
      <c r="B334" s="9"/>
      <c r="C334" s="129" t="str">
        <f>Asset1</f>
        <v>Mains &amp; Services</v>
      </c>
      <c r="D334" s="9"/>
      <c r="E334" s="9"/>
      <c r="F334" s="9"/>
      <c r="G334" s="193">
        <f>Input!J7</f>
        <v>900.50001706204387</v>
      </c>
      <c r="H334" s="111">
        <f>G334+G366+G398+G430+G462+G494</f>
        <v>984.62925518401221</v>
      </c>
      <c r="I334" s="111"/>
      <c r="J334" s="111"/>
      <c r="K334" s="111"/>
      <c r="L334" s="111"/>
      <c r="M334" s="111"/>
      <c r="N334" s="111"/>
      <c r="O334" s="106"/>
      <c r="P334" s="106"/>
      <c r="Q334" s="106"/>
      <c r="R334" s="106"/>
      <c r="S334" s="100"/>
      <c r="T334" s="106"/>
      <c r="U334" s="106"/>
      <c r="V334" s="106"/>
      <c r="W334" s="106"/>
      <c r="X334" s="106"/>
      <c r="Y334" s="106"/>
      <c r="Z334" s="106"/>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214"/>
      <c r="BJ334" s="220"/>
      <c r="BK334" s="220"/>
    </row>
    <row r="335" spans="1:63" ht="12.75" customHeight="1" outlineLevel="1">
      <c r="A335" s="9"/>
      <c r="B335" s="46"/>
      <c r="C335" s="129" t="str">
        <f>Asset2</f>
        <v>Meters</v>
      </c>
      <c r="D335" s="9"/>
      <c r="E335" s="9"/>
      <c r="F335" s="141"/>
      <c r="G335" s="193">
        <f>Input!J8</f>
        <v>95.661049759540234</v>
      </c>
      <c r="H335" s="111">
        <f t="shared" ref="H335:H363" si="5">G335+G367+G399+G431+G463+G495</f>
        <v>95.687545878253815</v>
      </c>
      <c r="I335" s="111"/>
      <c r="J335" s="111"/>
      <c r="K335" s="111"/>
      <c r="L335" s="111"/>
      <c r="M335" s="111"/>
      <c r="N335" s="111"/>
      <c r="O335" s="106"/>
      <c r="P335" s="106"/>
      <c r="Q335" s="106"/>
      <c r="R335" s="106"/>
      <c r="S335" s="100"/>
      <c r="T335" s="106"/>
      <c r="U335" s="106"/>
      <c r="V335" s="106"/>
      <c r="W335" s="106"/>
      <c r="X335" s="106"/>
      <c r="Y335" s="106"/>
      <c r="Z335" s="106"/>
      <c r="AA335" s="214"/>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c r="BI335" s="214"/>
      <c r="BJ335" s="220"/>
      <c r="BK335" s="220"/>
    </row>
    <row r="336" spans="1:63" ht="12.75" customHeight="1" outlineLevel="1">
      <c r="A336" s="9"/>
      <c r="B336" s="46"/>
      <c r="C336" s="129" t="str">
        <f>Asset3</f>
        <v>Buildings</v>
      </c>
      <c r="D336" s="9"/>
      <c r="E336" s="9"/>
      <c r="F336" s="141"/>
      <c r="G336" s="193">
        <f>Input!J9</f>
        <v>8.9848295371829057</v>
      </c>
      <c r="H336" s="111">
        <f t="shared" si="5"/>
        <v>8.8422120278575456</v>
      </c>
      <c r="I336" s="111"/>
      <c r="J336" s="111"/>
      <c r="K336" s="111"/>
      <c r="L336" s="111"/>
      <c r="M336" s="111"/>
      <c r="N336" s="111"/>
      <c r="O336" s="106"/>
      <c r="P336" s="106"/>
      <c r="Q336" s="106"/>
      <c r="R336" s="106"/>
      <c r="S336" s="100"/>
      <c r="T336" s="106"/>
      <c r="U336" s="106"/>
      <c r="V336" s="106"/>
      <c r="W336" s="106"/>
      <c r="X336" s="106"/>
      <c r="Y336" s="106"/>
      <c r="Z336" s="106"/>
      <c r="AA336" s="214"/>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c r="BI336" s="214"/>
      <c r="BJ336" s="220"/>
      <c r="BK336" s="220"/>
    </row>
    <row r="337" spans="1:63" ht="12.75" customHeight="1" outlineLevel="1">
      <c r="A337" s="9"/>
      <c r="B337" s="46"/>
      <c r="C337" s="129" t="str">
        <f>Asset4</f>
        <v>SCADA</v>
      </c>
      <c r="D337" s="9"/>
      <c r="E337" s="9"/>
      <c r="F337" s="141"/>
      <c r="G337" s="193">
        <f>Input!J10</f>
        <v>0.66089700582914723</v>
      </c>
      <c r="H337" s="111">
        <f t="shared" si="5"/>
        <v>0.93883147174174819</v>
      </c>
      <c r="I337" s="111"/>
      <c r="J337" s="111"/>
      <c r="K337" s="111"/>
      <c r="L337" s="111"/>
      <c r="M337" s="111"/>
      <c r="N337" s="111"/>
      <c r="O337" s="106"/>
      <c r="P337" s="106"/>
      <c r="Q337" s="106"/>
      <c r="R337" s="106"/>
      <c r="S337" s="100"/>
      <c r="T337" s="106"/>
      <c r="U337" s="106"/>
      <c r="V337" s="106"/>
      <c r="W337" s="106"/>
      <c r="X337" s="106"/>
      <c r="Y337" s="106"/>
      <c r="Z337" s="106"/>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214"/>
      <c r="BJ337" s="220"/>
      <c r="BK337" s="220"/>
    </row>
    <row r="338" spans="1:63" ht="12.75" customHeight="1" outlineLevel="1">
      <c r="A338" s="9"/>
      <c r="B338" s="46"/>
      <c r="C338" s="129" t="str">
        <f>Asset5</f>
        <v>Computer Equipment</v>
      </c>
      <c r="D338" s="9"/>
      <c r="E338" s="9"/>
      <c r="F338" s="141"/>
      <c r="G338" s="193">
        <f>Input!J11</f>
        <v>0.66919548358124392</v>
      </c>
      <c r="H338" s="111">
        <f t="shared" si="5"/>
        <v>0.82976042804924943</v>
      </c>
      <c r="I338" s="111"/>
      <c r="J338" s="111"/>
      <c r="K338" s="111"/>
      <c r="L338" s="111"/>
      <c r="M338" s="111"/>
      <c r="N338" s="111"/>
      <c r="O338" s="106"/>
      <c r="P338" s="106"/>
      <c r="Q338" s="106"/>
      <c r="R338" s="106"/>
      <c r="S338" s="100"/>
      <c r="T338" s="106"/>
      <c r="U338" s="106"/>
      <c r="V338" s="106"/>
      <c r="W338" s="106"/>
      <c r="X338" s="106"/>
      <c r="Y338" s="106"/>
      <c r="Z338" s="106"/>
      <c r="AA338" s="214"/>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c r="BI338" s="214"/>
      <c r="BJ338" s="220"/>
      <c r="BK338" s="220"/>
    </row>
    <row r="339" spans="1:63" ht="12.75" customHeight="1" outlineLevel="1">
      <c r="A339" s="9"/>
      <c r="B339" s="46"/>
      <c r="C339" s="129" t="str">
        <f>Asset6</f>
        <v>Other Assets</v>
      </c>
      <c r="D339" s="9"/>
      <c r="E339" s="9"/>
      <c r="F339" s="141"/>
      <c r="G339" s="193">
        <f>Input!J12</f>
        <v>24.7979651333143</v>
      </c>
      <c r="H339" s="111">
        <f t="shared" si="5"/>
        <v>26.472067723893975</v>
      </c>
      <c r="I339" s="111"/>
      <c r="J339" s="111"/>
      <c r="K339" s="111"/>
      <c r="L339" s="111"/>
      <c r="M339" s="111"/>
      <c r="N339" s="111"/>
      <c r="O339" s="106"/>
      <c r="P339" s="106"/>
      <c r="Q339" s="106"/>
      <c r="R339" s="106"/>
      <c r="S339" s="100"/>
      <c r="T339" s="106"/>
      <c r="U339" s="106"/>
      <c r="V339" s="106"/>
      <c r="W339" s="106"/>
      <c r="X339" s="106"/>
      <c r="Y339" s="106"/>
      <c r="Z339" s="106"/>
      <c r="AA339" s="214"/>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c r="BI339" s="214"/>
      <c r="BJ339" s="220"/>
      <c r="BK339" s="220"/>
    </row>
    <row r="340" spans="1:63" ht="12.75" customHeight="1" outlineLevel="1">
      <c r="A340" s="9"/>
      <c r="B340" s="46"/>
      <c r="C340" s="129" t="str">
        <f>Asset7</f>
        <v>Equity Raising Costs</v>
      </c>
      <c r="D340" s="9"/>
      <c r="E340" s="9"/>
      <c r="F340" s="141"/>
      <c r="G340" s="193">
        <f>Input!J13</f>
        <v>0</v>
      </c>
      <c r="H340" s="111">
        <f t="shared" si="5"/>
        <v>0</v>
      </c>
      <c r="I340" s="111"/>
      <c r="J340" s="111"/>
      <c r="K340" s="111"/>
      <c r="L340" s="111"/>
      <c r="M340" s="111"/>
      <c r="N340" s="111"/>
      <c r="O340" s="106"/>
      <c r="P340" s="106"/>
      <c r="Q340" s="106"/>
      <c r="R340" s="106"/>
      <c r="S340" s="100"/>
      <c r="T340" s="106"/>
      <c r="U340" s="106"/>
      <c r="V340" s="106"/>
      <c r="W340" s="106"/>
      <c r="X340" s="106"/>
      <c r="Y340" s="106"/>
      <c r="Z340" s="106"/>
      <c r="AA340" s="214"/>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c r="BI340" s="214"/>
      <c r="BJ340" s="220"/>
      <c r="BK340" s="220"/>
    </row>
    <row r="341" spans="1:63" ht="12.75" customHeight="1" outlineLevel="1">
      <c r="A341" s="9"/>
      <c r="B341" s="46"/>
      <c r="C341" s="129" t="str">
        <f>Asset8</f>
        <v>Land</v>
      </c>
      <c r="D341" s="9"/>
      <c r="E341" s="9"/>
      <c r="F341" s="141"/>
      <c r="G341" s="193">
        <f>Input!J14</f>
        <v>0</v>
      </c>
      <c r="H341" s="111">
        <f t="shared" si="5"/>
        <v>0</v>
      </c>
      <c r="I341" s="111"/>
      <c r="J341" s="111"/>
      <c r="K341" s="111"/>
      <c r="L341" s="111"/>
      <c r="M341" s="111"/>
      <c r="N341" s="111"/>
      <c r="O341" s="106"/>
      <c r="P341" s="106"/>
      <c r="Q341" s="106"/>
      <c r="R341" s="106"/>
      <c r="S341" s="100"/>
      <c r="T341" s="106"/>
      <c r="U341" s="106"/>
      <c r="V341" s="106"/>
      <c r="W341" s="106"/>
      <c r="X341" s="106"/>
      <c r="Y341" s="106"/>
      <c r="Z341" s="106"/>
      <c r="AA341" s="214"/>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c r="BI341" s="214"/>
      <c r="BJ341" s="220"/>
      <c r="BK341" s="220"/>
    </row>
    <row r="342" spans="1:63" ht="12.75" customHeight="1" outlineLevel="1">
      <c r="A342" s="9"/>
      <c r="B342" s="46"/>
      <c r="C342" s="129">
        <f>Asset9</f>
        <v>0</v>
      </c>
      <c r="D342" s="9"/>
      <c r="E342" s="9"/>
      <c r="F342" s="141"/>
      <c r="G342" s="193">
        <f>Input!J15</f>
        <v>0</v>
      </c>
      <c r="H342" s="111">
        <f t="shared" si="5"/>
        <v>0</v>
      </c>
      <c r="I342" s="111"/>
      <c r="J342" s="111"/>
      <c r="K342" s="111"/>
      <c r="L342" s="111"/>
      <c r="M342" s="111"/>
      <c r="N342" s="111"/>
      <c r="O342" s="106"/>
      <c r="P342" s="106"/>
      <c r="Q342" s="106"/>
      <c r="R342" s="106"/>
      <c r="S342" s="100"/>
      <c r="T342" s="106"/>
      <c r="U342" s="106"/>
      <c r="V342" s="106"/>
      <c r="W342" s="106"/>
      <c r="X342" s="106"/>
      <c r="Y342" s="106"/>
      <c r="Z342" s="106"/>
      <c r="AA342" s="214"/>
      <c r="AB342" s="214"/>
      <c r="AC342" s="214"/>
      <c r="AD342" s="214"/>
      <c r="AE342" s="214"/>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c r="BI342" s="214"/>
      <c r="BJ342" s="220"/>
      <c r="BK342" s="220"/>
    </row>
    <row r="343" spans="1:63" ht="12.75" customHeight="1" outlineLevel="1">
      <c r="A343" s="9"/>
      <c r="B343" s="46"/>
      <c r="C343" s="129">
        <f>Asset10</f>
        <v>0</v>
      </c>
      <c r="D343" s="9"/>
      <c r="E343" s="9"/>
      <c r="F343" s="141"/>
      <c r="G343" s="193">
        <f>Input!J16</f>
        <v>0</v>
      </c>
      <c r="H343" s="111">
        <f t="shared" si="5"/>
        <v>0</v>
      </c>
      <c r="I343" s="111"/>
      <c r="J343" s="111"/>
      <c r="K343" s="111"/>
      <c r="L343" s="111"/>
      <c r="M343" s="111"/>
      <c r="N343" s="111"/>
      <c r="O343" s="106"/>
      <c r="P343" s="106"/>
      <c r="Q343" s="106"/>
      <c r="R343" s="106"/>
      <c r="S343" s="100"/>
      <c r="T343" s="106"/>
      <c r="U343" s="106"/>
      <c r="V343" s="106"/>
      <c r="W343" s="106"/>
      <c r="X343" s="106"/>
      <c r="Y343" s="106"/>
      <c r="Z343" s="106"/>
      <c r="AA343" s="214"/>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c r="BI343" s="214"/>
      <c r="BJ343" s="220"/>
      <c r="BK343" s="220"/>
    </row>
    <row r="344" spans="1:63" ht="12.75" customHeight="1" outlineLevel="1">
      <c r="A344" s="9"/>
      <c r="B344" s="46"/>
      <c r="C344" s="129">
        <f>Asset11</f>
        <v>0</v>
      </c>
      <c r="D344" s="9"/>
      <c r="E344" s="9"/>
      <c r="F344" s="141"/>
      <c r="G344" s="193">
        <f>Input!J17</f>
        <v>0</v>
      </c>
      <c r="H344" s="111">
        <f t="shared" si="5"/>
        <v>0</v>
      </c>
      <c r="I344" s="111"/>
      <c r="J344" s="111"/>
      <c r="K344" s="111"/>
      <c r="L344" s="111"/>
      <c r="M344" s="111"/>
      <c r="N344" s="111"/>
      <c r="O344" s="106"/>
      <c r="P344" s="106"/>
      <c r="Q344" s="106"/>
      <c r="R344" s="106"/>
      <c r="S344" s="100"/>
      <c r="T344" s="106"/>
      <c r="U344" s="106"/>
      <c r="V344" s="106"/>
      <c r="W344" s="106"/>
      <c r="X344" s="106"/>
      <c r="Y344" s="106"/>
      <c r="Z344" s="106"/>
      <c r="AA344" s="214"/>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c r="BI344" s="214"/>
      <c r="BJ344" s="220"/>
      <c r="BK344" s="220"/>
    </row>
    <row r="345" spans="1:63" ht="12.75" customHeight="1" outlineLevel="1">
      <c r="A345" s="9"/>
      <c r="B345" s="46"/>
      <c r="C345" s="129">
        <f>Asset12</f>
        <v>0</v>
      </c>
      <c r="D345" s="9"/>
      <c r="E345" s="9"/>
      <c r="F345" s="141"/>
      <c r="G345" s="193">
        <f>Input!J18</f>
        <v>0</v>
      </c>
      <c r="H345" s="111">
        <f t="shared" si="5"/>
        <v>0</v>
      </c>
      <c r="I345" s="111"/>
      <c r="J345" s="111"/>
      <c r="K345" s="111"/>
      <c r="L345" s="111"/>
      <c r="M345" s="111"/>
      <c r="N345" s="111"/>
      <c r="O345" s="106"/>
      <c r="P345" s="106"/>
      <c r="Q345" s="106"/>
      <c r="R345" s="106"/>
      <c r="S345" s="100"/>
      <c r="T345" s="106"/>
      <c r="U345" s="106"/>
      <c r="V345" s="106"/>
      <c r="W345" s="106"/>
      <c r="X345" s="106"/>
      <c r="Y345" s="106"/>
      <c r="Z345" s="106"/>
      <c r="AA345" s="214"/>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214"/>
      <c r="BJ345" s="220"/>
      <c r="BK345" s="220"/>
    </row>
    <row r="346" spans="1:63" ht="12.75" customHeight="1" outlineLevel="1">
      <c r="A346" s="9"/>
      <c r="B346" s="46"/>
      <c r="C346" s="129">
        <f>Asset13</f>
        <v>0</v>
      </c>
      <c r="D346" s="9"/>
      <c r="E346" s="9"/>
      <c r="F346" s="141"/>
      <c r="G346" s="193">
        <f>Input!J19</f>
        <v>0</v>
      </c>
      <c r="H346" s="111">
        <f t="shared" si="5"/>
        <v>0</v>
      </c>
      <c r="I346" s="111"/>
      <c r="J346" s="111"/>
      <c r="K346" s="111"/>
      <c r="L346" s="111"/>
      <c r="M346" s="111"/>
      <c r="N346" s="111"/>
      <c r="O346" s="106"/>
      <c r="P346" s="106"/>
      <c r="Q346" s="106"/>
      <c r="R346" s="106"/>
      <c r="S346" s="100"/>
      <c r="T346" s="106"/>
      <c r="U346" s="106"/>
      <c r="V346" s="106"/>
      <c r="W346" s="106"/>
      <c r="X346" s="106"/>
      <c r="Y346" s="106"/>
      <c r="Z346" s="106"/>
      <c r="AA346" s="214"/>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c r="BI346" s="214"/>
      <c r="BJ346" s="220"/>
      <c r="BK346" s="220"/>
    </row>
    <row r="347" spans="1:63" ht="12.75" customHeight="1" outlineLevel="1">
      <c r="A347" s="9"/>
      <c r="B347" s="46"/>
      <c r="C347" s="129">
        <f>Asset14</f>
        <v>0</v>
      </c>
      <c r="D347" s="9"/>
      <c r="E347" s="9"/>
      <c r="F347" s="141"/>
      <c r="G347" s="193">
        <f>Input!J20</f>
        <v>0</v>
      </c>
      <c r="H347" s="111">
        <f t="shared" si="5"/>
        <v>0</v>
      </c>
      <c r="I347" s="111"/>
      <c r="J347" s="111"/>
      <c r="K347" s="111"/>
      <c r="L347" s="111"/>
      <c r="M347" s="111"/>
      <c r="N347" s="111"/>
      <c r="O347" s="106"/>
      <c r="P347" s="106"/>
      <c r="Q347" s="106"/>
      <c r="R347" s="106"/>
      <c r="S347" s="100"/>
      <c r="T347" s="106"/>
      <c r="U347" s="106"/>
      <c r="V347" s="106"/>
      <c r="W347" s="106"/>
      <c r="X347" s="106"/>
      <c r="Y347" s="106"/>
      <c r="Z347" s="106"/>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214"/>
      <c r="BJ347" s="220"/>
      <c r="BK347" s="220"/>
    </row>
    <row r="348" spans="1:63" ht="12.75" customHeight="1" outlineLevel="1">
      <c r="A348" s="9"/>
      <c r="B348" s="46"/>
      <c r="C348" s="129">
        <f>Asset15</f>
        <v>0</v>
      </c>
      <c r="D348" s="9"/>
      <c r="E348" s="9"/>
      <c r="F348" s="141"/>
      <c r="G348" s="193">
        <f>Input!J21</f>
        <v>0</v>
      </c>
      <c r="H348" s="111">
        <f t="shared" si="5"/>
        <v>0</v>
      </c>
      <c r="I348" s="111"/>
      <c r="J348" s="111"/>
      <c r="K348" s="111"/>
      <c r="L348" s="111"/>
      <c r="M348" s="111"/>
      <c r="N348" s="111"/>
      <c r="O348" s="106"/>
      <c r="P348" s="106"/>
      <c r="Q348" s="106"/>
      <c r="R348" s="106"/>
      <c r="S348" s="100"/>
      <c r="T348" s="106"/>
      <c r="U348" s="106"/>
      <c r="V348" s="106"/>
      <c r="W348" s="106"/>
      <c r="X348" s="106"/>
      <c r="Y348" s="106"/>
      <c r="Z348" s="106"/>
      <c r="AA348" s="214"/>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c r="BI348" s="214"/>
      <c r="BJ348" s="220"/>
      <c r="BK348" s="220"/>
    </row>
    <row r="349" spans="1:63" ht="12.75" customHeight="1" outlineLevel="1">
      <c r="A349" s="9"/>
      <c r="B349" s="46"/>
      <c r="C349" s="129">
        <f>Asset16</f>
        <v>0</v>
      </c>
      <c r="D349" s="9"/>
      <c r="E349" s="9"/>
      <c r="F349" s="141"/>
      <c r="G349" s="193">
        <f>Input!J22</f>
        <v>0</v>
      </c>
      <c r="H349" s="111">
        <f t="shared" si="5"/>
        <v>0</v>
      </c>
      <c r="I349" s="111"/>
      <c r="J349" s="111"/>
      <c r="K349" s="111"/>
      <c r="L349" s="111"/>
      <c r="M349" s="111"/>
      <c r="N349" s="111"/>
      <c r="O349" s="106"/>
      <c r="P349" s="106"/>
      <c r="Q349" s="106"/>
      <c r="R349" s="106"/>
      <c r="S349" s="100"/>
      <c r="T349" s="106"/>
      <c r="U349" s="106"/>
      <c r="V349" s="106"/>
      <c r="W349" s="106"/>
      <c r="X349" s="106"/>
      <c r="Y349" s="106"/>
      <c r="Z349" s="106"/>
      <c r="AA349" s="214"/>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c r="BI349" s="214"/>
      <c r="BJ349" s="220"/>
      <c r="BK349" s="220"/>
    </row>
    <row r="350" spans="1:63" ht="12.75" customHeight="1" outlineLevel="1">
      <c r="A350" s="9"/>
      <c r="B350" s="46"/>
      <c r="C350" s="129">
        <f>Asset17</f>
        <v>0</v>
      </c>
      <c r="D350" s="9"/>
      <c r="E350" s="9"/>
      <c r="F350" s="141"/>
      <c r="G350" s="193">
        <f>Input!J23</f>
        <v>0</v>
      </c>
      <c r="H350" s="111">
        <f t="shared" si="5"/>
        <v>0</v>
      </c>
      <c r="I350" s="111"/>
      <c r="J350" s="111"/>
      <c r="K350" s="111"/>
      <c r="L350" s="111"/>
      <c r="M350" s="111"/>
      <c r="N350" s="111"/>
      <c r="O350" s="106"/>
      <c r="P350" s="106"/>
      <c r="Q350" s="106"/>
      <c r="R350" s="106"/>
      <c r="S350" s="100"/>
      <c r="T350" s="106"/>
      <c r="U350" s="106"/>
      <c r="V350" s="106"/>
      <c r="W350" s="106"/>
      <c r="X350" s="106"/>
      <c r="Y350" s="106"/>
      <c r="Z350" s="106"/>
      <c r="AA350" s="214"/>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c r="BI350" s="214"/>
      <c r="BJ350" s="220"/>
      <c r="BK350" s="220"/>
    </row>
    <row r="351" spans="1:63" ht="12.75" customHeight="1" outlineLevel="1">
      <c r="A351" s="9"/>
      <c r="B351" s="46"/>
      <c r="C351" s="129">
        <f>Asset18</f>
        <v>0</v>
      </c>
      <c r="D351" s="9"/>
      <c r="E351" s="9"/>
      <c r="F351" s="141"/>
      <c r="G351" s="193">
        <f>Input!J24</f>
        <v>0</v>
      </c>
      <c r="H351" s="111">
        <f t="shared" si="5"/>
        <v>0</v>
      </c>
      <c r="I351" s="111"/>
      <c r="J351" s="111"/>
      <c r="K351" s="111"/>
      <c r="L351" s="111"/>
      <c r="M351" s="111"/>
      <c r="N351" s="111"/>
      <c r="O351" s="106"/>
      <c r="P351" s="106"/>
      <c r="Q351" s="106"/>
      <c r="R351" s="106"/>
      <c r="S351" s="100"/>
      <c r="T351" s="106"/>
      <c r="U351" s="106"/>
      <c r="V351" s="106"/>
      <c r="W351" s="106"/>
      <c r="X351" s="106"/>
      <c r="Y351" s="106"/>
      <c r="Z351" s="106"/>
      <c r="AA351" s="214"/>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c r="BI351" s="214"/>
      <c r="BJ351" s="220"/>
      <c r="BK351" s="220"/>
    </row>
    <row r="352" spans="1:63" ht="12.75" customHeight="1" outlineLevel="1">
      <c r="A352" s="9"/>
      <c r="B352" s="46"/>
      <c r="C352" s="129">
        <f>Asset19</f>
        <v>0</v>
      </c>
      <c r="D352" s="9"/>
      <c r="E352" s="9"/>
      <c r="F352" s="141"/>
      <c r="G352" s="193">
        <f>Input!J25</f>
        <v>0</v>
      </c>
      <c r="H352" s="111">
        <f t="shared" si="5"/>
        <v>0</v>
      </c>
      <c r="I352" s="120"/>
      <c r="J352" s="120"/>
      <c r="K352" s="120"/>
      <c r="L352" s="120"/>
      <c r="M352" s="106"/>
      <c r="N352" s="106"/>
      <c r="O352" s="106"/>
      <c r="P352" s="106"/>
      <c r="Q352" s="106"/>
      <c r="R352" s="106"/>
      <c r="S352" s="100"/>
      <c r="T352" s="106"/>
      <c r="U352" s="106"/>
      <c r="V352" s="106"/>
      <c r="W352" s="106"/>
      <c r="X352" s="106"/>
      <c r="Y352" s="106"/>
      <c r="Z352" s="106"/>
      <c r="AA352" s="214"/>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c r="BI352" s="214"/>
      <c r="BJ352" s="220"/>
      <c r="BK352" s="220"/>
    </row>
    <row r="353" spans="1:63" ht="12.75" customHeight="1" outlineLevel="1">
      <c r="A353" s="9"/>
      <c r="B353" s="46"/>
      <c r="C353" s="129">
        <f>Asset20</f>
        <v>0</v>
      </c>
      <c r="D353" s="9"/>
      <c r="E353" s="9"/>
      <c r="F353" s="141"/>
      <c r="G353" s="193">
        <f>Input!J26</f>
        <v>0</v>
      </c>
      <c r="H353" s="111">
        <f t="shared" si="5"/>
        <v>0</v>
      </c>
      <c r="I353" s="120"/>
      <c r="J353" s="120"/>
      <c r="K353" s="120"/>
      <c r="L353" s="120"/>
      <c r="M353" s="106"/>
      <c r="N353" s="106"/>
      <c r="O353" s="106"/>
      <c r="P353" s="106"/>
      <c r="Q353" s="106"/>
      <c r="R353" s="106"/>
      <c r="S353" s="100"/>
      <c r="T353" s="106"/>
      <c r="U353" s="106"/>
      <c r="V353" s="106"/>
      <c r="W353" s="106"/>
      <c r="X353" s="106"/>
      <c r="Y353" s="106"/>
      <c r="Z353" s="106"/>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214"/>
      <c r="BJ353" s="220"/>
      <c r="BK353" s="220"/>
    </row>
    <row r="354" spans="1:63" ht="12.75" customHeight="1" outlineLevel="1">
      <c r="A354" s="9"/>
      <c r="B354" s="46"/>
      <c r="C354" s="129">
        <f>Asset21</f>
        <v>0</v>
      </c>
      <c r="D354" s="9"/>
      <c r="E354" s="9"/>
      <c r="F354" s="141"/>
      <c r="G354" s="193">
        <f>Input!J27</f>
        <v>0</v>
      </c>
      <c r="H354" s="111">
        <f t="shared" si="5"/>
        <v>0</v>
      </c>
      <c r="I354" s="120"/>
      <c r="J354" s="120"/>
      <c r="K354" s="120"/>
      <c r="L354" s="120"/>
      <c r="M354" s="106"/>
      <c r="N354" s="106"/>
      <c r="O354" s="106"/>
      <c r="P354" s="106"/>
      <c r="Q354" s="106"/>
      <c r="R354" s="106"/>
      <c r="S354" s="100"/>
      <c r="T354" s="106"/>
      <c r="U354" s="106"/>
      <c r="V354" s="106"/>
      <c r="W354" s="106"/>
      <c r="X354" s="106"/>
      <c r="Y354" s="106"/>
      <c r="Z354" s="106"/>
      <c r="AA354" s="214"/>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c r="BI354" s="214"/>
      <c r="BJ354" s="220"/>
      <c r="BK354" s="220"/>
    </row>
    <row r="355" spans="1:63" ht="12.75" customHeight="1" outlineLevel="1">
      <c r="A355" s="9"/>
      <c r="B355" s="46"/>
      <c r="C355" s="129">
        <f>Asset22</f>
        <v>0</v>
      </c>
      <c r="D355" s="9"/>
      <c r="E355" s="9"/>
      <c r="F355" s="141"/>
      <c r="G355" s="193">
        <f>Input!J28</f>
        <v>0</v>
      </c>
      <c r="H355" s="111">
        <f t="shared" si="5"/>
        <v>0</v>
      </c>
      <c r="I355" s="120"/>
      <c r="J355" s="120"/>
      <c r="K355" s="120"/>
      <c r="L355" s="120"/>
      <c r="M355" s="106"/>
      <c r="N355" s="106"/>
      <c r="O355" s="106"/>
      <c r="P355" s="106"/>
      <c r="Q355" s="106"/>
      <c r="R355" s="106"/>
      <c r="S355" s="100"/>
      <c r="T355" s="106"/>
      <c r="U355" s="106"/>
      <c r="V355" s="106"/>
      <c r="W355" s="106"/>
      <c r="X355" s="106"/>
      <c r="Y355" s="106"/>
      <c r="Z355" s="106"/>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214"/>
      <c r="BJ355" s="220"/>
      <c r="BK355" s="220"/>
    </row>
    <row r="356" spans="1:63" ht="12.75" customHeight="1" outlineLevel="1">
      <c r="A356" s="9"/>
      <c r="B356" s="46"/>
      <c r="C356" s="129">
        <f>Asset23</f>
        <v>0</v>
      </c>
      <c r="D356" s="9"/>
      <c r="E356" s="9"/>
      <c r="F356" s="141"/>
      <c r="G356" s="193">
        <f>Input!J29</f>
        <v>0</v>
      </c>
      <c r="H356" s="111">
        <f t="shared" si="5"/>
        <v>0</v>
      </c>
      <c r="I356" s="120"/>
      <c r="J356" s="120"/>
      <c r="K356" s="120"/>
      <c r="L356" s="120"/>
      <c r="M356" s="106"/>
      <c r="N356" s="106"/>
      <c r="O356" s="106"/>
      <c r="P356" s="106"/>
      <c r="Q356" s="106"/>
      <c r="R356" s="106"/>
      <c r="S356" s="100"/>
      <c r="T356" s="106"/>
      <c r="U356" s="106"/>
      <c r="V356" s="106"/>
      <c r="W356" s="106"/>
      <c r="X356" s="106"/>
      <c r="Y356" s="106"/>
      <c r="Z356" s="106"/>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214"/>
      <c r="BJ356" s="220"/>
      <c r="BK356" s="220"/>
    </row>
    <row r="357" spans="1:63" ht="12.75" customHeight="1" outlineLevel="1">
      <c r="A357" s="9"/>
      <c r="B357" s="46"/>
      <c r="C357" s="129">
        <f>Asset24</f>
        <v>0</v>
      </c>
      <c r="D357" s="9"/>
      <c r="E357" s="9"/>
      <c r="F357" s="141"/>
      <c r="G357" s="193">
        <f>Input!J30</f>
        <v>0</v>
      </c>
      <c r="H357" s="111">
        <f t="shared" si="5"/>
        <v>0</v>
      </c>
      <c r="I357" s="120"/>
      <c r="J357" s="120"/>
      <c r="K357" s="120"/>
      <c r="L357" s="120"/>
      <c r="M357" s="106"/>
      <c r="N357" s="106"/>
      <c r="O357" s="106"/>
      <c r="P357" s="106"/>
      <c r="Q357" s="106"/>
      <c r="R357" s="106"/>
      <c r="S357" s="100"/>
      <c r="T357" s="106"/>
      <c r="U357" s="106"/>
      <c r="V357" s="106"/>
      <c r="W357" s="106"/>
      <c r="X357" s="106"/>
      <c r="Y357" s="106"/>
      <c r="Z357" s="106"/>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c r="BI357" s="214"/>
      <c r="BJ357" s="220"/>
      <c r="BK357" s="220"/>
    </row>
    <row r="358" spans="1:63" ht="12.75" customHeight="1" outlineLevel="1">
      <c r="A358" s="9"/>
      <c r="B358" s="46"/>
      <c r="C358" s="129">
        <f>Asset25</f>
        <v>0</v>
      </c>
      <c r="D358" s="9"/>
      <c r="E358" s="9"/>
      <c r="F358" s="141"/>
      <c r="G358" s="193">
        <f>Input!J31</f>
        <v>0</v>
      </c>
      <c r="H358" s="111">
        <f t="shared" si="5"/>
        <v>0</v>
      </c>
      <c r="I358" s="120"/>
      <c r="J358" s="120"/>
      <c r="K358" s="120"/>
      <c r="L358" s="120"/>
      <c r="M358" s="106"/>
      <c r="N358" s="106"/>
      <c r="O358" s="106"/>
      <c r="P358" s="106"/>
      <c r="Q358" s="106"/>
      <c r="R358" s="106"/>
      <c r="S358" s="100"/>
      <c r="T358" s="106"/>
      <c r="U358" s="106"/>
      <c r="V358" s="106"/>
      <c r="W358" s="106"/>
      <c r="X358" s="106"/>
      <c r="Y358" s="106"/>
      <c r="Z358" s="106"/>
      <c r="AA358" s="214"/>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c r="BI358" s="214"/>
      <c r="BJ358" s="220"/>
      <c r="BK358" s="220"/>
    </row>
    <row r="359" spans="1:63" ht="12.75" customHeight="1" outlineLevel="1">
      <c r="A359" s="9"/>
      <c r="B359" s="46"/>
      <c r="C359" s="129">
        <f>Asset26</f>
        <v>0</v>
      </c>
      <c r="D359" s="9"/>
      <c r="E359" s="9"/>
      <c r="F359" s="141"/>
      <c r="G359" s="193">
        <f>Input!J32</f>
        <v>0</v>
      </c>
      <c r="H359" s="111">
        <f t="shared" si="5"/>
        <v>0</v>
      </c>
      <c r="I359" s="120"/>
      <c r="J359" s="120"/>
      <c r="K359" s="120"/>
      <c r="L359" s="120"/>
      <c r="M359" s="106"/>
      <c r="N359" s="106"/>
      <c r="O359" s="106"/>
      <c r="P359" s="106"/>
      <c r="Q359" s="106"/>
      <c r="R359" s="106"/>
      <c r="S359" s="100"/>
      <c r="T359" s="106"/>
      <c r="U359" s="106"/>
      <c r="V359" s="106"/>
      <c r="W359" s="106"/>
      <c r="X359" s="106"/>
      <c r="Y359" s="106"/>
      <c r="Z359" s="106"/>
      <c r="AA359" s="214"/>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c r="BI359" s="214"/>
      <c r="BJ359" s="220"/>
      <c r="BK359" s="220"/>
    </row>
    <row r="360" spans="1:63" ht="12.75" customHeight="1" outlineLevel="1">
      <c r="A360" s="9"/>
      <c r="B360" s="46"/>
      <c r="C360" s="129">
        <f>Asset27</f>
        <v>0</v>
      </c>
      <c r="D360" s="9"/>
      <c r="E360" s="9"/>
      <c r="F360" s="141"/>
      <c r="G360" s="193">
        <f>Input!J33</f>
        <v>0</v>
      </c>
      <c r="H360" s="111">
        <f t="shared" si="5"/>
        <v>0</v>
      </c>
      <c r="I360" s="120"/>
      <c r="J360" s="120"/>
      <c r="K360" s="120"/>
      <c r="L360" s="120"/>
      <c r="M360" s="106"/>
      <c r="N360" s="106"/>
      <c r="O360" s="106"/>
      <c r="P360" s="106"/>
      <c r="Q360" s="106"/>
      <c r="R360" s="106"/>
      <c r="S360" s="100"/>
      <c r="T360" s="106"/>
      <c r="U360" s="106"/>
      <c r="V360" s="106"/>
      <c r="W360" s="106"/>
      <c r="X360" s="106"/>
      <c r="Y360" s="106"/>
      <c r="Z360" s="106"/>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20"/>
      <c r="BK360" s="220"/>
    </row>
    <row r="361" spans="1:63" ht="12.75" customHeight="1" outlineLevel="1">
      <c r="A361" s="9"/>
      <c r="B361" s="46"/>
      <c r="C361" s="129">
        <f>Asset28</f>
        <v>0</v>
      </c>
      <c r="D361" s="9"/>
      <c r="E361" s="9"/>
      <c r="F361" s="141"/>
      <c r="G361" s="193">
        <f>Input!J34</f>
        <v>0</v>
      </c>
      <c r="H361" s="111">
        <f t="shared" si="5"/>
        <v>0</v>
      </c>
      <c r="I361" s="120"/>
      <c r="J361" s="120"/>
      <c r="K361" s="120"/>
      <c r="L361" s="120"/>
      <c r="M361" s="106"/>
      <c r="N361" s="106"/>
      <c r="O361" s="106"/>
      <c r="P361" s="106"/>
      <c r="Q361" s="106"/>
      <c r="R361" s="106"/>
      <c r="S361" s="100"/>
      <c r="T361" s="106"/>
      <c r="U361" s="106"/>
      <c r="V361" s="106"/>
      <c r="W361" s="106"/>
      <c r="X361" s="106"/>
      <c r="Y361" s="106"/>
      <c r="Z361" s="106"/>
      <c r="AA361" s="214"/>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c r="BI361" s="214"/>
      <c r="BJ361" s="220"/>
      <c r="BK361" s="220"/>
    </row>
    <row r="362" spans="1:63" ht="12.75" customHeight="1" outlineLevel="1">
      <c r="A362" s="9"/>
      <c r="B362" s="46"/>
      <c r="C362" s="129">
        <f>Asset29</f>
        <v>0</v>
      </c>
      <c r="D362" s="9"/>
      <c r="E362" s="9"/>
      <c r="F362" s="141"/>
      <c r="G362" s="193">
        <f>Input!J35</f>
        <v>0</v>
      </c>
      <c r="H362" s="111">
        <f t="shared" si="5"/>
        <v>0</v>
      </c>
      <c r="I362" s="120"/>
      <c r="J362" s="120"/>
      <c r="K362" s="120"/>
      <c r="L362" s="120"/>
      <c r="M362" s="106"/>
      <c r="N362" s="106"/>
      <c r="O362" s="106"/>
      <c r="P362" s="106"/>
      <c r="Q362" s="106"/>
      <c r="R362" s="106"/>
      <c r="S362" s="100"/>
      <c r="T362" s="106"/>
      <c r="U362" s="106"/>
      <c r="V362" s="106"/>
      <c r="W362" s="106"/>
      <c r="X362" s="106"/>
      <c r="Y362" s="106"/>
      <c r="Z362" s="106"/>
      <c r="AA362" s="214"/>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c r="BI362" s="214"/>
      <c r="BJ362" s="220"/>
      <c r="BK362" s="220"/>
    </row>
    <row r="363" spans="1:63" ht="12.75" customHeight="1" outlineLevel="1">
      <c r="A363" s="9"/>
      <c r="B363" s="46"/>
      <c r="C363" s="129">
        <f>Asset30</f>
        <v>0</v>
      </c>
      <c r="D363" s="9"/>
      <c r="E363" s="9"/>
      <c r="F363" s="141"/>
      <c r="G363" s="193">
        <f>Input!J36</f>
        <v>0</v>
      </c>
      <c r="H363" s="111">
        <f t="shared" si="5"/>
        <v>0</v>
      </c>
      <c r="I363" s="120"/>
      <c r="J363" s="120"/>
      <c r="K363" s="120"/>
      <c r="L363" s="120"/>
      <c r="M363" s="106"/>
      <c r="N363" s="106"/>
      <c r="O363" s="106"/>
      <c r="P363" s="106"/>
      <c r="Q363" s="106"/>
      <c r="R363" s="106"/>
      <c r="S363" s="100"/>
      <c r="T363" s="106"/>
      <c r="U363" s="106"/>
      <c r="V363" s="106"/>
      <c r="W363" s="106"/>
      <c r="X363" s="106"/>
      <c r="Y363" s="106"/>
      <c r="Z363" s="106"/>
      <c r="AA363" s="214"/>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c r="BI363" s="214"/>
      <c r="BJ363" s="220"/>
      <c r="BK363" s="220"/>
    </row>
    <row r="364" spans="1:63">
      <c r="A364" s="9"/>
      <c r="B364" s="46"/>
      <c r="C364" s="129"/>
      <c r="D364" s="9"/>
      <c r="E364" s="9"/>
      <c r="F364" s="141"/>
      <c r="G364" s="193"/>
      <c r="H364" s="120"/>
      <c r="I364" s="120"/>
      <c r="J364" s="120"/>
      <c r="K364" s="120"/>
      <c r="L364" s="120"/>
      <c r="M364" s="106"/>
      <c r="N364" s="106"/>
      <c r="O364" s="106"/>
      <c r="P364" s="106"/>
      <c r="Q364" s="106"/>
      <c r="R364" s="106"/>
      <c r="S364" s="100"/>
      <c r="T364" s="106"/>
      <c r="U364" s="106"/>
      <c r="V364" s="106"/>
      <c r="W364" s="106"/>
      <c r="X364" s="106"/>
      <c r="Y364" s="106"/>
      <c r="Z364" s="106"/>
      <c r="AA364" s="214"/>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c r="BI364" s="214"/>
      <c r="BJ364" s="220"/>
      <c r="BK364" s="220"/>
    </row>
    <row r="365" spans="1:63">
      <c r="A365" s="9"/>
      <c r="B365" s="46" t="s">
        <v>43</v>
      </c>
      <c r="C365" s="9"/>
      <c r="D365" s="9"/>
      <c r="E365" s="9"/>
      <c r="F365" s="9"/>
      <c r="G365" s="194">
        <f>SUM(G366:G395)</f>
        <v>95.596769927678125</v>
      </c>
      <c r="H365" s="120"/>
      <c r="I365" s="120"/>
      <c r="J365" s="120"/>
      <c r="K365" s="120"/>
      <c r="L365" s="120"/>
      <c r="M365" s="106"/>
      <c r="N365" s="106"/>
      <c r="O365" s="106"/>
      <c r="P365" s="106"/>
      <c r="Q365" s="106"/>
      <c r="R365" s="106"/>
      <c r="S365" s="100"/>
      <c r="T365" s="106"/>
      <c r="U365" s="106"/>
      <c r="V365" s="106"/>
      <c r="W365" s="106"/>
      <c r="X365" s="106"/>
      <c r="Y365" s="106"/>
      <c r="Z365" s="106"/>
      <c r="AA365" s="214"/>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c r="BI365" s="214"/>
      <c r="BJ365" s="220"/>
      <c r="BK365" s="220"/>
    </row>
    <row r="366" spans="1:63" outlineLevel="1">
      <c r="A366" s="9"/>
      <c r="B366" s="46"/>
      <c r="C366" s="129" t="str">
        <f>Asset1</f>
        <v>Mains &amp; Services</v>
      </c>
      <c r="D366" s="9"/>
      <c r="E366" s="9"/>
      <c r="F366" s="9"/>
      <c r="G366" s="196">
        <f>Input!M7</f>
        <v>81.316072764121174</v>
      </c>
      <c r="H366" s="120"/>
      <c r="I366" s="120"/>
      <c r="J366" s="120"/>
      <c r="K366" s="120"/>
      <c r="L366" s="120"/>
      <c r="M366" s="106"/>
      <c r="N366" s="106"/>
      <c r="O366" s="106"/>
      <c r="P366" s="106"/>
      <c r="Q366" s="106"/>
      <c r="R366" s="106"/>
      <c r="S366" s="100"/>
      <c r="T366" s="106"/>
      <c r="U366" s="106"/>
      <c r="V366" s="106"/>
      <c r="W366" s="106"/>
      <c r="X366" s="106"/>
      <c r="Y366" s="106"/>
      <c r="Z366" s="106"/>
      <c r="AA366" s="214"/>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c r="BI366" s="214"/>
      <c r="BJ366" s="220"/>
      <c r="BK366" s="220"/>
    </row>
    <row r="367" spans="1:63" outlineLevel="1">
      <c r="A367" s="9"/>
      <c r="B367" s="46"/>
      <c r="C367" s="129" t="str">
        <f>Asset2</f>
        <v>Meters</v>
      </c>
      <c r="D367" s="9"/>
      <c r="E367" s="9"/>
      <c r="F367" s="9"/>
      <c r="G367" s="196">
        <f>Input!M8</f>
        <v>9.5519727888084951</v>
      </c>
      <c r="H367" s="120"/>
      <c r="I367" s="120"/>
      <c r="J367" s="120"/>
      <c r="K367" s="120"/>
      <c r="L367" s="120"/>
      <c r="M367" s="106"/>
      <c r="N367" s="106"/>
      <c r="O367" s="106"/>
      <c r="P367" s="106"/>
      <c r="Q367" s="106"/>
      <c r="R367" s="106"/>
      <c r="S367" s="100"/>
      <c r="T367" s="106"/>
      <c r="U367" s="106"/>
      <c r="V367" s="106"/>
      <c r="W367" s="106"/>
      <c r="X367" s="106"/>
      <c r="Y367" s="106"/>
      <c r="Z367" s="106"/>
      <c r="AA367" s="214"/>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c r="BI367" s="214"/>
      <c r="BJ367" s="220"/>
      <c r="BK367" s="220"/>
    </row>
    <row r="368" spans="1:63" outlineLevel="1">
      <c r="A368" s="9"/>
      <c r="B368" s="46"/>
      <c r="C368" s="129" t="str">
        <f>Asset3</f>
        <v>Buildings</v>
      </c>
      <c r="D368" s="9"/>
      <c r="E368" s="9"/>
      <c r="F368" s="9"/>
      <c r="G368" s="196">
        <f>Input!M9</f>
        <v>0</v>
      </c>
      <c r="H368" s="120"/>
      <c r="I368" s="120"/>
      <c r="J368" s="120"/>
      <c r="K368" s="120"/>
      <c r="L368" s="120"/>
      <c r="M368" s="106"/>
      <c r="N368" s="106"/>
      <c r="O368" s="106"/>
      <c r="P368" s="106"/>
      <c r="Q368" s="106"/>
      <c r="R368" s="106"/>
      <c r="S368" s="100"/>
      <c r="T368" s="106"/>
      <c r="U368" s="106"/>
      <c r="V368" s="106"/>
      <c r="W368" s="106"/>
      <c r="X368" s="106"/>
      <c r="Y368" s="106"/>
      <c r="Z368" s="106"/>
      <c r="AA368" s="214"/>
      <c r="AB368" s="214"/>
      <c r="AC368" s="214"/>
      <c r="AD368" s="214"/>
      <c r="AE368" s="214"/>
      <c r="AF368" s="214"/>
      <c r="AG368" s="214"/>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c r="BI368" s="214"/>
      <c r="BJ368" s="220"/>
      <c r="BK368" s="220"/>
    </row>
    <row r="369" spans="1:63" outlineLevel="1">
      <c r="A369" s="9"/>
      <c r="B369" s="46"/>
      <c r="C369" s="129" t="str">
        <f>Asset4</f>
        <v>SCADA</v>
      </c>
      <c r="D369" s="9"/>
      <c r="E369" s="9"/>
      <c r="F369" s="9"/>
      <c r="G369" s="196">
        <f>Input!M10</f>
        <v>0.37096865358991299</v>
      </c>
      <c r="H369" s="120"/>
      <c r="I369" s="120"/>
      <c r="J369" s="120"/>
      <c r="K369" s="120"/>
      <c r="L369" s="120"/>
      <c r="M369" s="106"/>
      <c r="N369" s="106"/>
      <c r="O369" s="106"/>
      <c r="P369" s="106"/>
      <c r="Q369" s="106"/>
      <c r="R369" s="106"/>
      <c r="S369" s="100"/>
      <c r="T369" s="106"/>
      <c r="U369" s="106"/>
      <c r="V369" s="106"/>
      <c r="W369" s="106"/>
      <c r="X369" s="106"/>
      <c r="Y369" s="106"/>
      <c r="Z369" s="106"/>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c r="BI369" s="214"/>
      <c r="BJ369" s="220"/>
      <c r="BK369" s="220"/>
    </row>
    <row r="370" spans="1:63" outlineLevel="1">
      <c r="A370" s="9"/>
      <c r="B370" s="46"/>
      <c r="C370" s="129" t="str">
        <f>Asset5</f>
        <v>Computer Equipment</v>
      </c>
      <c r="D370" s="9"/>
      <c r="E370" s="9"/>
      <c r="F370" s="9"/>
      <c r="G370" s="196">
        <f>Input!M11</f>
        <v>0.42811690253671564</v>
      </c>
      <c r="H370" s="120"/>
      <c r="I370" s="120"/>
      <c r="J370" s="120"/>
      <c r="K370" s="120"/>
      <c r="L370" s="120"/>
      <c r="M370" s="106"/>
      <c r="N370" s="106"/>
      <c r="O370" s="106"/>
      <c r="P370" s="106"/>
      <c r="Q370" s="106"/>
      <c r="R370" s="106"/>
      <c r="S370" s="100"/>
      <c r="T370" s="106"/>
      <c r="U370" s="106"/>
      <c r="V370" s="106"/>
      <c r="W370" s="106"/>
      <c r="X370" s="106"/>
      <c r="Y370" s="106"/>
      <c r="Z370" s="106"/>
      <c r="AA370" s="214"/>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c r="BI370" s="214"/>
      <c r="BJ370" s="220"/>
      <c r="BK370" s="220"/>
    </row>
    <row r="371" spans="1:63" outlineLevel="1">
      <c r="A371" s="9"/>
      <c r="B371" s="46"/>
      <c r="C371" s="129" t="str">
        <f>Asset6</f>
        <v>Other Assets</v>
      </c>
      <c r="D371" s="9"/>
      <c r="E371" s="9"/>
      <c r="F371" s="9"/>
      <c r="G371" s="196">
        <f>Input!M12</f>
        <v>3.9296388186218278</v>
      </c>
      <c r="H371" s="120"/>
      <c r="I371" s="120"/>
      <c r="J371" s="120"/>
      <c r="K371" s="120"/>
      <c r="L371" s="120"/>
      <c r="M371" s="106"/>
      <c r="N371" s="106"/>
      <c r="O371" s="106"/>
      <c r="P371" s="106"/>
      <c r="Q371" s="106"/>
      <c r="R371" s="106"/>
      <c r="S371" s="100"/>
      <c r="T371" s="106"/>
      <c r="U371" s="106"/>
      <c r="V371" s="106"/>
      <c r="W371" s="106"/>
      <c r="X371" s="106"/>
      <c r="Y371" s="106"/>
      <c r="Z371" s="106"/>
      <c r="AA371" s="214"/>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c r="BI371" s="214"/>
      <c r="BJ371" s="220"/>
      <c r="BK371" s="220"/>
    </row>
    <row r="372" spans="1:63" outlineLevel="1">
      <c r="A372" s="9"/>
      <c r="B372" s="46"/>
      <c r="C372" s="129" t="str">
        <f>Asset7</f>
        <v>Equity Raising Costs</v>
      </c>
      <c r="D372" s="9"/>
      <c r="E372" s="9"/>
      <c r="F372" s="9"/>
      <c r="G372" s="196">
        <f>Input!M13</f>
        <v>0</v>
      </c>
      <c r="H372" s="120"/>
      <c r="I372" s="120"/>
      <c r="J372" s="120"/>
      <c r="K372" s="120"/>
      <c r="L372" s="120"/>
      <c r="M372" s="106"/>
      <c r="N372" s="106"/>
      <c r="O372" s="106"/>
      <c r="P372" s="106"/>
      <c r="Q372" s="106"/>
      <c r="R372" s="106"/>
      <c r="S372" s="100"/>
      <c r="T372" s="106"/>
      <c r="U372" s="106"/>
      <c r="V372" s="106"/>
      <c r="W372" s="106"/>
      <c r="X372" s="106"/>
      <c r="Y372" s="106"/>
      <c r="Z372" s="106"/>
      <c r="AA372" s="214"/>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c r="BI372" s="214"/>
      <c r="BJ372" s="220"/>
      <c r="BK372" s="220"/>
    </row>
    <row r="373" spans="1:63" outlineLevel="1">
      <c r="A373" s="9"/>
      <c r="B373" s="46"/>
      <c r="C373" s="129" t="str">
        <f>Asset8</f>
        <v>Land</v>
      </c>
      <c r="D373" s="9"/>
      <c r="E373" s="9"/>
      <c r="F373" s="9"/>
      <c r="G373" s="196">
        <f>Input!M14</f>
        <v>0</v>
      </c>
      <c r="H373" s="120"/>
      <c r="I373" s="120"/>
      <c r="J373" s="120"/>
      <c r="K373" s="120"/>
      <c r="L373" s="120"/>
      <c r="M373" s="106"/>
      <c r="N373" s="106"/>
      <c r="O373" s="106"/>
      <c r="P373" s="106"/>
      <c r="Q373" s="106"/>
      <c r="R373" s="106"/>
      <c r="S373" s="100"/>
      <c r="T373" s="106"/>
      <c r="U373" s="106"/>
      <c r="V373" s="106"/>
      <c r="W373" s="106"/>
      <c r="X373" s="106"/>
      <c r="Y373" s="106"/>
      <c r="Z373" s="106"/>
      <c r="AA373" s="214"/>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c r="BI373" s="214"/>
      <c r="BJ373" s="220"/>
      <c r="BK373" s="220"/>
    </row>
    <row r="374" spans="1:63" outlineLevel="1">
      <c r="A374" s="9"/>
      <c r="B374" s="46"/>
      <c r="C374" s="129">
        <f>Asset9</f>
        <v>0</v>
      </c>
      <c r="D374" s="9"/>
      <c r="E374" s="9"/>
      <c r="F374" s="9"/>
      <c r="G374" s="196">
        <f>Input!M15</f>
        <v>0</v>
      </c>
      <c r="H374" s="120"/>
      <c r="I374" s="120"/>
      <c r="J374" s="120"/>
      <c r="K374" s="120"/>
      <c r="L374" s="120"/>
      <c r="M374" s="106"/>
      <c r="N374" s="106"/>
      <c r="O374" s="106"/>
      <c r="P374" s="106"/>
      <c r="Q374" s="106"/>
      <c r="R374" s="106"/>
      <c r="S374" s="100"/>
      <c r="T374" s="106"/>
      <c r="U374" s="106"/>
      <c r="V374" s="106"/>
      <c r="W374" s="106"/>
      <c r="X374" s="106"/>
      <c r="Y374" s="106"/>
      <c r="Z374" s="106"/>
      <c r="AA374" s="214"/>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c r="BI374" s="214"/>
      <c r="BJ374" s="220"/>
      <c r="BK374" s="220"/>
    </row>
    <row r="375" spans="1:63" outlineLevel="1">
      <c r="A375" s="9"/>
      <c r="B375" s="46"/>
      <c r="C375" s="129">
        <f>Asset10</f>
        <v>0</v>
      </c>
      <c r="D375" s="9"/>
      <c r="E375" s="9"/>
      <c r="F375" s="9"/>
      <c r="G375" s="196">
        <f>Input!M16</f>
        <v>0</v>
      </c>
      <c r="H375" s="120"/>
      <c r="I375" s="120"/>
      <c r="J375" s="120"/>
      <c r="K375" s="120"/>
      <c r="L375" s="120"/>
      <c r="M375" s="106"/>
      <c r="N375" s="106"/>
      <c r="O375" s="106"/>
      <c r="P375" s="106"/>
      <c r="Q375" s="106"/>
      <c r="R375" s="106"/>
      <c r="S375" s="100"/>
      <c r="T375" s="106"/>
      <c r="U375" s="106"/>
      <c r="V375" s="106"/>
      <c r="W375" s="106"/>
      <c r="X375" s="106"/>
      <c r="Y375" s="106"/>
      <c r="Z375" s="106"/>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214"/>
      <c r="BJ375" s="220"/>
      <c r="BK375" s="220"/>
    </row>
    <row r="376" spans="1:63" outlineLevel="1">
      <c r="A376" s="9"/>
      <c r="B376" s="46"/>
      <c r="C376" s="129">
        <f>Asset11</f>
        <v>0</v>
      </c>
      <c r="D376" s="9"/>
      <c r="E376" s="9"/>
      <c r="F376" s="9"/>
      <c r="G376" s="196">
        <f>Input!M17</f>
        <v>0</v>
      </c>
      <c r="H376" s="120"/>
      <c r="I376" s="120"/>
      <c r="J376" s="120"/>
      <c r="K376" s="120"/>
      <c r="L376" s="120"/>
      <c r="M376" s="106"/>
      <c r="N376" s="106"/>
      <c r="O376" s="106"/>
      <c r="P376" s="106"/>
      <c r="Q376" s="106"/>
      <c r="R376" s="106"/>
      <c r="S376" s="100"/>
      <c r="T376" s="106"/>
      <c r="U376" s="106"/>
      <c r="V376" s="106"/>
      <c r="W376" s="106"/>
      <c r="X376" s="106"/>
      <c r="Y376" s="106"/>
      <c r="Z376" s="106"/>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c r="BI376" s="214"/>
      <c r="BJ376" s="220"/>
      <c r="BK376" s="220"/>
    </row>
    <row r="377" spans="1:63" outlineLevel="1">
      <c r="A377" s="9"/>
      <c r="B377" s="46"/>
      <c r="C377" s="129">
        <f>Asset12</f>
        <v>0</v>
      </c>
      <c r="D377" s="9"/>
      <c r="E377" s="9"/>
      <c r="F377" s="9"/>
      <c r="G377" s="196">
        <f>Input!M18</f>
        <v>0</v>
      </c>
      <c r="H377" s="120"/>
      <c r="I377" s="120"/>
      <c r="J377" s="120"/>
      <c r="K377" s="120"/>
      <c r="L377" s="120"/>
      <c r="M377" s="106"/>
      <c r="N377" s="106"/>
      <c r="O377" s="106"/>
      <c r="P377" s="106"/>
      <c r="Q377" s="106"/>
      <c r="R377" s="106"/>
      <c r="S377" s="100"/>
      <c r="T377" s="106"/>
      <c r="U377" s="106"/>
      <c r="V377" s="106"/>
      <c r="W377" s="106"/>
      <c r="X377" s="106"/>
      <c r="Y377" s="106"/>
      <c r="Z377" s="106"/>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c r="BI377" s="214"/>
      <c r="BJ377" s="220"/>
      <c r="BK377" s="220"/>
    </row>
    <row r="378" spans="1:63" outlineLevel="1">
      <c r="A378" s="9"/>
      <c r="B378" s="46"/>
      <c r="C378" s="129">
        <f>Asset13</f>
        <v>0</v>
      </c>
      <c r="D378" s="9"/>
      <c r="E378" s="9"/>
      <c r="F378" s="9"/>
      <c r="G378" s="196">
        <f>Input!M19</f>
        <v>0</v>
      </c>
      <c r="H378" s="120"/>
      <c r="I378" s="120"/>
      <c r="J378" s="120"/>
      <c r="K378" s="120"/>
      <c r="L378" s="120"/>
      <c r="M378" s="106"/>
      <c r="N378" s="106"/>
      <c r="O378" s="106"/>
      <c r="P378" s="106"/>
      <c r="Q378" s="106"/>
      <c r="R378" s="106"/>
      <c r="S378" s="100"/>
      <c r="T378" s="106"/>
      <c r="U378" s="106"/>
      <c r="V378" s="106"/>
      <c r="W378" s="106"/>
      <c r="X378" s="106"/>
      <c r="Y378" s="106"/>
      <c r="Z378" s="106"/>
      <c r="AA378" s="214"/>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c r="BI378" s="214"/>
      <c r="BJ378" s="220"/>
      <c r="BK378" s="220"/>
    </row>
    <row r="379" spans="1:63" outlineLevel="1">
      <c r="A379" s="9"/>
      <c r="B379" s="46"/>
      <c r="C379" s="129">
        <f>Asset14</f>
        <v>0</v>
      </c>
      <c r="D379" s="9"/>
      <c r="E379" s="9"/>
      <c r="F379" s="9"/>
      <c r="G379" s="196">
        <f>Input!M20</f>
        <v>0</v>
      </c>
      <c r="H379" s="120"/>
      <c r="I379" s="120"/>
      <c r="J379" s="120"/>
      <c r="K379" s="120"/>
      <c r="L379" s="120"/>
      <c r="M379" s="106"/>
      <c r="N379" s="106"/>
      <c r="O379" s="106"/>
      <c r="P379" s="106"/>
      <c r="Q379" s="106"/>
      <c r="R379" s="106"/>
      <c r="S379" s="100"/>
      <c r="T379" s="106"/>
      <c r="U379" s="106"/>
      <c r="V379" s="106"/>
      <c r="W379" s="106"/>
      <c r="X379" s="106"/>
      <c r="Y379" s="106"/>
      <c r="Z379" s="106"/>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c r="BI379" s="214"/>
      <c r="BJ379" s="220"/>
      <c r="BK379" s="220"/>
    </row>
    <row r="380" spans="1:63" outlineLevel="1">
      <c r="A380" s="9"/>
      <c r="B380" s="46"/>
      <c r="C380" s="129">
        <f>Asset15</f>
        <v>0</v>
      </c>
      <c r="D380" s="9"/>
      <c r="E380" s="9"/>
      <c r="F380" s="9"/>
      <c r="G380" s="196">
        <f>Input!M21</f>
        <v>0</v>
      </c>
      <c r="H380" s="120"/>
      <c r="I380" s="120"/>
      <c r="J380" s="120"/>
      <c r="K380" s="120"/>
      <c r="L380" s="120"/>
      <c r="M380" s="106"/>
      <c r="N380" s="106"/>
      <c r="O380" s="106"/>
      <c r="P380" s="106"/>
      <c r="Q380" s="106"/>
      <c r="R380" s="106"/>
      <c r="S380" s="100"/>
      <c r="T380" s="106"/>
      <c r="U380" s="106"/>
      <c r="V380" s="106"/>
      <c r="W380" s="106"/>
      <c r="X380" s="106"/>
      <c r="Y380" s="106"/>
      <c r="Z380" s="106"/>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214"/>
      <c r="BJ380" s="220"/>
      <c r="BK380" s="220"/>
    </row>
    <row r="381" spans="1:63" outlineLevel="1">
      <c r="A381" s="9"/>
      <c r="B381" s="46"/>
      <c r="C381" s="129">
        <f>Asset16</f>
        <v>0</v>
      </c>
      <c r="D381" s="9"/>
      <c r="E381" s="9"/>
      <c r="F381" s="9"/>
      <c r="G381" s="196">
        <f>Input!M22</f>
        <v>0</v>
      </c>
      <c r="H381" s="120"/>
      <c r="I381" s="120"/>
      <c r="J381" s="120"/>
      <c r="K381" s="120"/>
      <c r="L381" s="120"/>
      <c r="M381" s="106"/>
      <c r="N381" s="106"/>
      <c r="O381" s="106"/>
      <c r="P381" s="106"/>
      <c r="Q381" s="106"/>
      <c r="R381" s="106"/>
      <c r="S381" s="100"/>
      <c r="T381" s="106"/>
      <c r="U381" s="106"/>
      <c r="V381" s="106"/>
      <c r="W381" s="106"/>
      <c r="X381" s="106"/>
      <c r="Y381" s="106"/>
      <c r="Z381" s="106"/>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c r="BI381" s="214"/>
      <c r="BJ381" s="220"/>
      <c r="BK381" s="220"/>
    </row>
    <row r="382" spans="1:63" outlineLevel="1">
      <c r="A382" s="9"/>
      <c r="B382" s="46"/>
      <c r="C382" s="129">
        <f>Asset17</f>
        <v>0</v>
      </c>
      <c r="D382" s="9"/>
      <c r="E382" s="9"/>
      <c r="F382" s="9"/>
      <c r="G382" s="196">
        <f>Input!M23</f>
        <v>0</v>
      </c>
      <c r="H382" s="120"/>
      <c r="I382" s="120"/>
      <c r="J382" s="120"/>
      <c r="K382" s="120"/>
      <c r="L382" s="120"/>
      <c r="M382" s="106"/>
      <c r="N382" s="106"/>
      <c r="O382" s="106"/>
      <c r="P382" s="106"/>
      <c r="Q382" s="106"/>
      <c r="R382" s="106"/>
      <c r="S382" s="100"/>
      <c r="T382" s="106"/>
      <c r="U382" s="106"/>
      <c r="V382" s="106"/>
      <c r="W382" s="106"/>
      <c r="X382" s="106"/>
      <c r="Y382" s="106"/>
      <c r="Z382" s="106"/>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c r="BI382" s="214"/>
      <c r="BJ382" s="220"/>
      <c r="BK382" s="220"/>
    </row>
    <row r="383" spans="1:63" outlineLevel="1">
      <c r="A383" s="9"/>
      <c r="B383" s="46"/>
      <c r="C383" s="129">
        <f>Asset18</f>
        <v>0</v>
      </c>
      <c r="D383" s="9"/>
      <c r="E383" s="9"/>
      <c r="F383" s="9"/>
      <c r="G383" s="196">
        <f>Input!M24</f>
        <v>0</v>
      </c>
      <c r="H383" s="120"/>
      <c r="I383" s="120"/>
      <c r="J383" s="120"/>
      <c r="K383" s="120"/>
      <c r="L383" s="120"/>
      <c r="M383" s="106"/>
      <c r="N383" s="106"/>
      <c r="O383" s="106"/>
      <c r="P383" s="106"/>
      <c r="Q383" s="106"/>
      <c r="R383" s="106"/>
      <c r="S383" s="100"/>
      <c r="T383" s="106"/>
      <c r="U383" s="106"/>
      <c r="V383" s="106"/>
      <c r="W383" s="106"/>
      <c r="X383" s="106"/>
      <c r="Y383" s="106"/>
      <c r="Z383" s="106"/>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c r="BI383" s="214"/>
      <c r="BJ383" s="220"/>
      <c r="BK383" s="220"/>
    </row>
    <row r="384" spans="1:63" outlineLevel="1">
      <c r="A384" s="9"/>
      <c r="B384" s="46"/>
      <c r="C384" s="129">
        <f>Asset19</f>
        <v>0</v>
      </c>
      <c r="D384" s="9"/>
      <c r="E384" s="9"/>
      <c r="F384" s="9"/>
      <c r="G384" s="196">
        <f>Input!M25</f>
        <v>0</v>
      </c>
      <c r="H384" s="120"/>
      <c r="I384" s="120"/>
      <c r="J384" s="120"/>
      <c r="K384" s="120"/>
      <c r="L384" s="120"/>
      <c r="M384" s="106"/>
      <c r="N384" s="106"/>
      <c r="O384" s="106"/>
      <c r="P384" s="106"/>
      <c r="Q384" s="106"/>
      <c r="R384" s="106"/>
      <c r="S384" s="100"/>
      <c r="T384" s="106"/>
      <c r="U384" s="106"/>
      <c r="V384" s="106"/>
      <c r="W384" s="106"/>
      <c r="X384" s="106"/>
      <c r="Y384" s="106"/>
      <c r="Z384" s="106"/>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20"/>
      <c r="BK384" s="220"/>
    </row>
    <row r="385" spans="1:63" outlineLevel="1">
      <c r="A385" s="9"/>
      <c r="B385" s="46"/>
      <c r="C385" s="129">
        <f>Asset20</f>
        <v>0</v>
      </c>
      <c r="D385" s="9"/>
      <c r="E385" s="9"/>
      <c r="F385" s="9"/>
      <c r="G385" s="196">
        <f>Input!M26</f>
        <v>0</v>
      </c>
      <c r="H385" s="120"/>
      <c r="I385" s="120"/>
      <c r="J385" s="120"/>
      <c r="K385" s="120"/>
      <c r="L385" s="120"/>
      <c r="M385" s="106"/>
      <c r="N385" s="106"/>
      <c r="O385" s="106"/>
      <c r="P385" s="106"/>
      <c r="Q385" s="106"/>
      <c r="R385" s="106"/>
      <c r="S385" s="100"/>
      <c r="T385" s="106"/>
      <c r="U385" s="106"/>
      <c r="V385" s="106"/>
      <c r="W385" s="106"/>
      <c r="X385" s="106"/>
      <c r="Y385" s="106"/>
      <c r="Z385" s="106"/>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220"/>
      <c r="BK385" s="220"/>
    </row>
    <row r="386" spans="1:63" outlineLevel="1">
      <c r="A386" s="9"/>
      <c r="B386" s="46"/>
      <c r="C386" s="129">
        <f>Asset21</f>
        <v>0</v>
      </c>
      <c r="D386" s="9"/>
      <c r="E386" s="9"/>
      <c r="F386" s="9"/>
      <c r="G386" s="196">
        <f>Input!M27</f>
        <v>0</v>
      </c>
      <c r="H386" s="120"/>
      <c r="I386" s="120"/>
      <c r="J386" s="120"/>
      <c r="K386" s="120"/>
      <c r="L386" s="120"/>
      <c r="M386" s="106"/>
      <c r="N386" s="106"/>
      <c r="O386" s="106"/>
      <c r="P386" s="106"/>
      <c r="Q386" s="106"/>
      <c r="R386" s="106"/>
      <c r="S386" s="100"/>
      <c r="T386" s="106"/>
      <c r="U386" s="106"/>
      <c r="V386" s="106"/>
      <c r="W386" s="106"/>
      <c r="X386" s="106"/>
      <c r="Y386" s="106"/>
      <c r="Z386" s="106"/>
      <c r="AA386" s="214"/>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c r="BI386" s="214"/>
      <c r="BJ386" s="220"/>
      <c r="BK386" s="220"/>
    </row>
    <row r="387" spans="1:63" outlineLevel="1">
      <c r="A387" s="9"/>
      <c r="B387" s="46"/>
      <c r="C387" s="129">
        <f>Asset22</f>
        <v>0</v>
      </c>
      <c r="D387" s="9"/>
      <c r="E387" s="9"/>
      <c r="F387" s="9"/>
      <c r="G387" s="196">
        <f>Input!M28</f>
        <v>0</v>
      </c>
      <c r="H387" s="120"/>
      <c r="I387" s="120"/>
      <c r="J387" s="120"/>
      <c r="K387" s="120"/>
      <c r="L387" s="120"/>
      <c r="M387" s="106"/>
      <c r="N387" s="106"/>
      <c r="O387" s="106"/>
      <c r="P387" s="106"/>
      <c r="Q387" s="106"/>
      <c r="R387" s="106"/>
      <c r="S387" s="100"/>
      <c r="T387" s="106"/>
      <c r="U387" s="106"/>
      <c r="V387" s="106"/>
      <c r="W387" s="106"/>
      <c r="X387" s="106"/>
      <c r="Y387" s="106"/>
      <c r="Z387" s="106"/>
      <c r="AA387" s="214"/>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c r="BI387" s="214"/>
      <c r="BJ387" s="220"/>
      <c r="BK387" s="220"/>
    </row>
    <row r="388" spans="1:63" outlineLevel="1">
      <c r="A388" s="9"/>
      <c r="B388" s="46"/>
      <c r="C388" s="129">
        <f>Asset23</f>
        <v>0</v>
      </c>
      <c r="D388" s="9"/>
      <c r="E388" s="9"/>
      <c r="F388" s="9"/>
      <c r="G388" s="196">
        <f>Input!M29</f>
        <v>0</v>
      </c>
      <c r="H388" s="120"/>
      <c r="I388" s="120"/>
      <c r="J388" s="120"/>
      <c r="K388" s="120"/>
      <c r="L388" s="120"/>
      <c r="M388" s="106"/>
      <c r="N388" s="106"/>
      <c r="O388" s="106"/>
      <c r="P388" s="106"/>
      <c r="Q388" s="106"/>
      <c r="R388" s="106"/>
      <c r="S388" s="100"/>
      <c r="T388" s="106"/>
      <c r="U388" s="106"/>
      <c r="V388" s="106"/>
      <c r="W388" s="106"/>
      <c r="X388" s="106"/>
      <c r="Y388" s="106"/>
      <c r="Z388" s="106"/>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20"/>
      <c r="BK388" s="220"/>
    </row>
    <row r="389" spans="1:63" outlineLevel="1">
      <c r="A389" s="9"/>
      <c r="B389" s="46"/>
      <c r="C389" s="129">
        <f>Asset24</f>
        <v>0</v>
      </c>
      <c r="D389" s="9"/>
      <c r="E389" s="9"/>
      <c r="F389" s="9"/>
      <c r="G389" s="196">
        <f>Input!M30</f>
        <v>0</v>
      </c>
      <c r="H389" s="120"/>
      <c r="I389" s="120"/>
      <c r="J389" s="120"/>
      <c r="K389" s="120"/>
      <c r="L389" s="120"/>
      <c r="M389" s="106"/>
      <c r="N389" s="106"/>
      <c r="O389" s="106"/>
      <c r="P389" s="106"/>
      <c r="Q389" s="106"/>
      <c r="R389" s="106"/>
      <c r="S389" s="100"/>
      <c r="T389" s="106"/>
      <c r="U389" s="106"/>
      <c r="V389" s="106"/>
      <c r="W389" s="106"/>
      <c r="X389" s="106"/>
      <c r="Y389" s="106"/>
      <c r="Z389" s="106"/>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20"/>
      <c r="BK389" s="220"/>
    </row>
    <row r="390" spans="1:63" outlineLevel="1">
      <c r="A390" s="9"/>
      <c r="B390" s="46"/>
      <c r="C390" s="129">
        <f>Asset25</f>
        <v>0</v>
      </c>
      <c r="D390" s="9"/>
      <c r="E390" s="9"/>
      <c r="F390" s="9"/>
      <c r="G390" s="196">
        <f>Input!M31</f>
        <v>0</v>
      </c>
      <c r="H390" s="120"/>
      <c r="I390" s="120"/>
      <c r="J390" s="120"/>
      <c r="K390" s="120"/>
      <c r="L390" s="120"/>
      <c r="M390" s="106"/>
      <c r="N390" s="106"/>
      <c r="O390" s="106"/>
      <c r="P390" s="106"/>
      <c r="Q390" s="106"/>
      <c r="R390" s="106"/>
      <c r="S390" s="100"/>
      <c r="T390" s="106"/>
      <c r="U390" s="106"/>
      <c r="V390" s="106"/>
      <c r="W390" s="106"/>
      <c r="X390" s="106"/>
      <c r="Y390" s="106"/>
      <c r="Z390" s="106"/>
      <c r="AA390" s="214"/>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c r="BI390" s="214"/>
      <c r="BJ390" s="220"/>
      <c r="BK390" s="220"/>
    </row>
    <row r="391" spans="1:63" outlineLevel="1">
      <c r="A391" s="9"/>
      <c r="B391" s="46"/>
      <c r="C391" s="129">
        <f>Asset26</f>
        <v>0</v>
      </c>
      <c r="D391" s="9"/>
      <c r="E391" s="9"/>
      <c r="F391" s="9"/>
      <c r="G391" s="196">
        <f>Input!M32</f>
        <v>0</v>
      </c>
      <c r="H391" s="120"/>
      <c r="I391" s="120"/>
      <c r="J391" s="120"/>
      <c r="K391" s="120"/>
      <c r="L391" s="120"/>
      <c r="M391" s="106"/>
      <c r="N391" s="106"/>
      <c r="O391" s="106"/>
      <c r="P391" s="106"/>
      <c r="Q391" s="106"/>
      <c r="R391" s="106"/>
      <c r="S391" s="100"/>
      <c r="T391" s="106"/>
      <c r="U391" s="106"/>
      <c r="V391" s="106"/>
      <c r="W391" s="106"/>
      <c r="X391" s="106"/>
      <c r="Y391" s="106"/>
      <c r="Z391" s="106"/>
      <c r="AA391" s="214"/>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c r="BI391" s="214"/>
      <c r="BJ391" s="220"/>
      <c r="BK391" s="220"/>
    </row>
    <row r="392" spans="1:63" outlineLevel="1">
      <c r="A392" s="9"/>
      <c r="B392" s="46"/>
      <c r="C392" s="129">
        <f>Asset27</f>
        <v>0</v>
      </c>
      <c r="D392" s="9"/>
      <c r="E392" s="9"/>
      <c r="F392" s="9"/>
      <c r="G392" s="196">
        <f>Input!M33</f>
        <v>0</v>
      </c>
      <c r="H392" s="120"/>
      <c r="I392" s="120"/>
      <c r="J392" s="120"/>
      <c r="K392" s="120"/>
      <c r="L392" s="120"/>
      <c r="M392" s="106"/>
      <c r="N392" s="106"/>
      <c r="O392" s="106"/>
      <c r="P392" s="106"/>
      <c r="Q392" s="106"/>
      <c r="R392" s="106"/>
      <c r="S392" s="100"/>
      <c r="T392" s="106"/>
      <c r="U392" s="106"/>
      <c r="V392" s="106"/>
      <c r="W392" s="106"/>
      <c r="X392" s="106"/>
      <c r="Y392" s="106"/>
      <c r="Z392" s="106"/>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214"/>
      <c r="BJ392" s="220"/>
      <c r="BK392" s="220"/>
    </row>
    <row r="393" spans="1:63" outlineLevel="1">
      <c r="A393" s="9"/>
      <c r="B393" s="46"/>
      <c r="C393" s="129">
        <f>Asset28</f>
        <v>0</v>
      </c>
      <c r="D393" s="9"/>
      <c r="E393" s="9"/>
      <c r="F393" s="9"/>
      <c r="G393" s="196">
        <f>Input!M34</f>
        <v>0</v>
      </c>
      <c r="H393" s="120"/>
      <c r="I393" s="120"/>
      <c r="J393" s="120"/>
      <c r="K393" s="120"/>
      <c r="L393" s="120"/>
      <c r="M393" s="106"/>
      <c r="N393" s="106"/>
      <c r="O393" s="106"/>
      <c r="P393" s="106"/>
      <c r="Q393" s="106"/>
      <c r="R393" s="106"/>
      <c r="S393" s="100"/>
      <c r="T393" s="106"/>
      <c r="U393" s="106"/>
      <c r="V393" s="106"/>
      <c r="W393" s="106"/>
      <c r="X393" s="106"/>
      <c r="Y393" s="106"/>
      <c r="Z393" s="106"/>
      <c r="AA393" s="214"/>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c r="BI393" s="214"/>
      <c r="BJ393" s="220"/>
      <c r="BK393" s="220"/>
    </row>
    <row r="394" spans="1:63" outlineLevel="1">
      <c r="A394" s="9"/>
      <c r="B394" s="46"/>
      <c r="C394" s="129">
        <f>Asset29</f>
        <v>0</v>
      </c>
      <c r="D394" s="9"/>
      <c r="E394" s="9"/>
      <c r="F394" s="9"/>
      <c r="G394" s="196">
        <f>Input!M35</f>
        <v>0</v>
      </c>
      <c r="H394" s="120"/>
      <c r="I394" s="120"/>
      <c r="J394" s="120"/>
      <c r="K394" s="120"/>
      <c r="L394" s="120"/>
      <c r="M394" s="106"/>
      <c r="N394" s="106"/>
      <c r="O394" s="106"/>
      <c r="P394" s="106"/>
      <c r="Q394" s="106"/>
      <c r="R394" s="106"/>
      <c r="S394" s="100"/>
      <c r="T394" s="106"/>
      <c r="U394" s="106"/>
      <c r="V394" s="106"/>
      <c r="W394" s="106"/>
      <c r="X394" s="106"/>
      <c r="Y394" s="106"/>
      <c r="Z394" s="106"/>
      <c r="AA394" s="214"/>
      <c r="AB394" s="214"/>
      <c r="AC394" s="214"/>
      <c r="AD394" s="214"/>
      <c r="AE394" s="214"/>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c r="BI394" s="214"/>
      <c r="BJ394" s="220"/>
      <c r="BK394" s="220"/>
    </row>
    <row r="395" spans="1:63" outlineLevel="1">
      <c r="A395" s="9"/>
      <c r="B395" s="46"/>
      <c r="C395" s="129">
        <f>Asset30</f>
        <v>0</v>
      </c>
      <c r="D395" s="9"/>
      <c r="E395" s="9"/>
      <c r="F395" s="9"/>
      <c r="G395" s="196">
        <f>Input!M36</f>
        <v>0</v>
      </c>
      <c r="H395" s="120"/>
      <c r="I395" s="120"/>
      <c r="J395" s="120"/>
      <c r="K395" s="120"/>
      <c r="L395" s="120"/>
      <c r="M395" s="106"/>
      <c r="N395" s="106"/>
      <c r="O395" s="106"/>
      <c r="P395" s="106"/>
      <c r="Q395" s="106"/>
      <c r="R395" s="106"/>
      <c r="S395" s="100"/>
      <c r="T395" s="106"/>
      <c r="U395" s="106"/>
      <c r="V395" s="106"/>
      <c r="W395" s="106"/>
      <c r="X395" s="106"/>
      <c r="Y395" s="106"/>
      <c r="Z395" s="106"/>
      <c r="AA395" s="214"/>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c r="BI395" s="214"/>
      <c r="BJ395" s="220"/>
      <c r="BK395" s="220"/>
    </row>
    <row r="396" spans="1:63">
      <c r="A396" s="9"/>
      <c r="B396" s="46"/>
      <c r="C396" s="114"/>
      <c r="D396" s="9"/>
      <c r="E396" s="9"/>
      <c r="F396" s="28"/>
      <c r="G396" s="197"/>
      <c r="H396" s="120"/>
      <c r="I396" s="120"/>
      <c r="J396" s="120"/>
      <c r="K396" s="120"/>
      <c r="L396" s="120"/>
      <c r="M396" s="106"/>
      <c r="N396" s="106"/>
      <c r="O396" s="106"/>
      <c r="P396" s="106"/>
      <c r="Q396" s="106"/>
      <c r="R396" s="106"/>
      <c r="S396" s="106"/>
      <c r="T396" s="106"/>
      <c r="U396" s="106"/>
      <c r="V396" s="106"/>
      <c r="W396" s="106"/>
      <c r="X396" s="106"/>
      <c r="Y396" s="106"/>
      <c r="Z396" s="106"/>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c r="BI396" s="214"/>
      <c r="BJ396" s="220"/>
      <c r="BK396" s="220"/>
    </row>
    <row r="397" spans="1:63">
      <c r="A397" s="9"/>
      <c r="B397" s="89" t="s">
        <v>72</v>
      </c>
      <c r="C397" s="12"/>
      <c r="D397" s="9"/>
      <c r="E397" s="9"/>
      <c r="F397" s="9"/>
      <c r="G397" s="194">
        <f>SUM(G398:G427)</f>
        <v>-9.4710511953612286</v>
      </c>
      <c r="H397" s="120"/>
      <c r="I397" s="120"/>
      <c r="J397" s="120"/>
      <c r="K397" s="120"/>
      <c r="L397" s="120"/>
      <c r="M397" s="106"/>
      <c r="N397" s="106"/>
      <c r="O397" s="106"/>
      <c r="P397" s="106"/>
      <c r="Q397" s="106"/>
      <c r="R397" s="106"/>
      <c r="S397" s="106"/>
      <c r="T397" s="106"/>
      <c r="U397" s="106"/>
      <c r="V397" s="106"/>
      <c r="W397" s="106"/>
      <c r="X397" s="106"/>
      <c r="Y397" s="106"/>
      <c r="Z397" s="106"/>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c r="BI397" s="214"/>
      <c r="BJ397" s="220"/>
      <c r="BK397" s="220"/>
    </row>
    <row r="398" spans="1:63" ht="12.75" customHeight="1" outlineLevel="1">
      <c r="A398" s="9"/>
      <c r="B398" s="46"/>
      <c r="C398" s="129" t="str">
        <f>Asset1</f>
        <v>Mains &amp; Services</v>
      </c>
      <c r="D398" s="9"/>
      <c r="E398" s="9"/>
      <c r="F398" s="28"/>
      <c r="G398" s="196">
        <f>-Input!N7</f>
        <v>2.8131653578472253</v>
      </c>
      <c r="H398" s="120"/>
      <c r="I398" s="120"/>
      <c r="J398" s="120"/>
      <c r="K398" s="120"/>
      <c r="L398" s="120"/>
      <c r="M398" s="106"/>
      <c r="N398" s="106"/>
      <c r="O398" s="106"/>
      <c r="P398" s="106"/>
      <c r="Q398" s="106"/>
      <c r="R398" s="106"/>
      <c r="S398" s="106"/>
      <c r="T398" s="106"/>
      <c r="U398" s="106"/>
      <c r="V398" s="106"/>
      <c r="W398" s="106"/>
      <c r="X398" s="106"/>
      <c r="Y398" s="106"/>
      <c r="Z398" s="106"/>
      <c r="AA398" s="214"/>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c r="BI398" s="214"/>
      <c r="BJ398" s="220"/>
      <c r="BK398" s="220"/>
    </row>
    <row r="399" spans="1:63" ht="12.75" customHeight="1" outlineLevel="1">
      <c r="A399" s="9"/>
      <c r="B399" s="46"/>
      <c r="C399" s="129" t="str">
        <f>Asset2</f>
        <v>Meters</v>
      </c>
      <c r="D399" s="9"/>
      <c r="E399" s="9"/>
      <c r="F399" s="28"/>
      <c r="G399" s="196">
        <f>-Input!N8</f>
        <v>-9.5254766700949176</v>
      </c>
      <c r="H399" s="120"/>
      <c r="I399" s="120"/>
      <c r="J399" s="120"/>
      <c r="K399" s="120"/>
      <c r="L399" s="120"/>
      <c r="M399" s="106"/>
      <c r="N399" s="106"/>
      <c r="O399" s="106"/>
      <c r="P399" s="106"/>
      <c r="Q399" s="106"/>
      <c r="R399" s="106"/>
      <c r="S399" s="106"/>
      <c r="T399" s="106"/>
      <c r="U399" s="106"/>
      <c r="V399" s="106"/>
      <c r="W399" s="106"/>
      <c r="X399" s="106"/>
      <c r="Y399" s="106"/>
      <c r="Z399" s="106"/>
      <c r="AA399" s="214"/>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c r="BI399" s="214"/>
      <c r="BJ399" s="220"/>
      <c r="BK399" s="220"/>
    </row>
    <row r="400" spans="1:63" ht="12.75" customHeight="1" outlineLevel="1">
      <c r="A400" s="9"/>
      <c r="B400" s="46"/>
      <c r="C400" s="129" t="str">
        <f>Asset3</f>
        <v>Buildings</v>
      </c>
      <c r="D400" s="9"/>
      <c r="E400" s="9"/>
      <c r="F400" s="28"/>
      <c r="G400" s="196">
        <f>-Input!N9</f>
        <v>-0.14261750932535966</v>
      </c>
      <c r="H400" s="120"/>
      <c r="I400" s="120"/>
      <c r="J400" s="120"/>
      <c r="K400" s="120"/>
      <c r="L400" s="120"/>
      <c r="M400" s="106"/>
      <c r="N400" s="106"/>
      <c r="O400" s="106"/>
      <c r="P400" s="106"/>
      <c r="Q400" s="106"/>
      <c r="R400" s="106"/>
      <c r="S400" s="106"/>
      <c r="T400" s="106"/>
      <c r="U400" s="106"/>
      <c r="V400" s="106"/>
      <c r="W400" s="106"/>
      <c r="X400" s="106"/>
      <c r="Y400" s="106"/>
      <c r="Z400" s="106"/>
      <c r="AA400" s="214"/>
      <c r="AB400" s="214"/>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c r="BI400" s="214"/>
      <c r="BJ400" s="220"/>
      <c r="BK400" s="220"/>
    </row>
    <row r="401" spans="1:63" ht="12.75" customHeight="1" outlineLevel="1">
      <c r="A401" s="9"/>
      <c r="B401" s="46"/>
      <c r="C401" s="129" t="str">
        <f>Asset4</f>
        <v>SCADA</v>
      </c>
      <c r="D401" s="9"/>
      <c r="E401" s="9"/>
      <c r="F401" s="28"/>
      <c r="G401" s="196">
        <f>-Input!N10</f>
        <v>-9.3034187677312044E-2</v>
      </c>
      <c r="H401" s="120"/>
      <c r="I401" s="120"/>
      <c r="J401" s="120"/>
      <c r="K401" s="120"/>
      <c r="L401" s="120"/>
      <c r="M401" s="106"/>
      <c r="N401" s="106"/>
      <c r="O401" s="106"/>
      <c r="P401" s="106"/>
      <c r="Q401" s="106"/>
      <c r="R401" s="106"/>
      <c r="S401" s="106"/>
      <c r="T401" s="106"/>
      <c r="U401" s="106"/>
      <c r="V401" s="106"/>
      <c r="W401" s="106"/>
      <c r="X401" s="106"/>
      <c r="Y401" s="106"/>
      <c r="Z401" s="106"/>
      <c r="AA401" s="214"/>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c r="BI401" s="214"/>
      <c r="BJ401" s="220"/>
      <c r="BK401" s="220"/>
    </row>
    <row r="402" spans="1:63" ht="12.75" customHeight="1" outlineLevel="1">
      <c r="A402" s="9"/>
      <c r="B402" s="46"/>
      <c r="C402" s="129" t="str">
        <f>Asset5</f>
        <v>Computer Equipment</v>
      </c>
      <c r="D402" s="9"/>
      <c r="E402" s="9"/>
      <c r="F402" s="28"/>
      <c r="G402" s="196">
        <f>-Input!N11</f>
        <v>-0.26755195806871002</v>
      </c>
      <c r="H402" s="120"/>
      <c r="I402" s="120"/>
      <c r="J402" s="120"/>
      <c r="K402" s="120"/>
      <c r="L402" s="120"/>
      <c r="M402" s="106"/>
      <c r="N402" s="106"/>
      <c r="O402" s="106"/>
      <c r="P402" s="106"/>
      <c r="Q402" s="106"/>
      <c r="R402" s="106"/>
      <c r="S402" s="106"/>
      <c r="T402" s="106"/>
      <c r="U402" s="106"/>
      <c r="V402" s="106"/>
      <c r="W402" s="106"/>
      <c r="X402" s="106"/>
      <c r="Y402" s="106"/>
      <c r="Z402" s="106"/>
      <c r="AA402" s="214"/>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c r="BI402" s="214"/>
      <c r="BJ402" s="220"/>
      <c r="BK402" s="220"/>
    </row>
    <row r="403" spans="1:63" ht="12.75" customHeight="1" outlineLevel="1">
      <c r="A403" s="9"/>
      <c r="B403" s="46"/>
      <c r="C403" s="129" t="str">
        <f>Asset6</f>
        <v>Other Assets</v>
      </c>
      <c r="D403" s="9"/>
      <c r="E403" s="9"/>
      <c r="F403" s="28"/>
      <c r="G403" s="196">
        <f>-Input!N12</f>
        <v>-2.2555362280421538</v>
      </c>
      <c r="H403" s="120"/>
      <c r="I403" s="120"/>
      <c r="J403" s="120"/>
      <c r="K403" s="120"/>
      <c r="L403" s="120"/>
      <c r="M403" s="106"/>
      <c r="N403" s="106"/>
      <c r="O403" s="106"/>
      <c r="P403" s="106"/>
      <c r="Q403" s="106"/>
      <c r="R403" s="106"/>
      <c r="S403" s="106"/>
      <c r="T403" s="106"/>
      <c r="U403" s="106"/>
      <c r="V403" s="106"/>
      <c r="W403" s="106"/>
      <c r="X403" s="106"/>
      <c r="Y403" s="106"/>
      <c r="Z403" s="106"/>
      <c r="AA403" s="214"/>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c r="BI403" s="214"/>
      <c r="BJ403" s="220"/>
      <c r="BK403" s="220"/>
    </row>
    <row r="404" spans="1:63" ht="12.75" customHeight="1" outlineLevel="1">
      <c r="A404" s="9"/>
      <c r="B404" s="46"/>
      <c r="C404" s="129" t="str">
        <f>Asset7</f>
        <v>Equity Raising Costs</v>
      </c>
      <c r="D404" s="9"/>
      <c r="E404" s="9"/>
      <c r="F404" s="28"/>
      <c r="G404" s="196">
        <f>-Input!N13</f>
        <v>0</v>
      </c>
      <c r="H404" s="120"/>
      <c r="I404" s="120"/>
      <c r="J404" s="120"/>
      <c r="K404" s="120"/>
      <c r="L404" s="120"/>
      <c r="M404" s="106"/>
      <c r="N404" s="106"/>
      <c r="O404" s="106"/>
      <c r="P404" s="106"/>
      <c r="Q404" s="106"/>
      <c r="R404" s="106"/>
      <c r="S404" s="106"/>
      <c r="T404" s="106"/>
      <c r="U404" s="106"/>
      <c r="V404" s="106"/>
      <c r="W404" s="106"/>
      <c r="X404" s="106"/>
      <c r="Y404" s="106"/>
      <c r="Z404" s="106"/>
      <c r="AA404" s="214"/>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c r="BI404" s="214"/>
      <c r="BJ404" s="220"/>
      <c r="BK404" s="220"/>
    </row>
    <row r="405" spans="1:63" ht="12.75" customHeight="1" outlineLevel="1">
      <c r="A405" s="9"/>
      <c r="B405" s="46"/>
      <c r="C405" s="129" t="str">
        <f>Asset8</f>
        <v>Land</v>
      </c>
      <c r="D405" s="9"/>
      <c r="E405" s="9"/>
      <c r="F405" s="28"/>
      <c r="G405" s="196">
        <f>-Input!N14</f>
        <v>0</v>
      </c>
      <c r="H405" s="120"/>
      <c r="I405" s="120"/>
      <c r="J405" s="120"/>
      <c r="K405" s="120"/>
      <c r="L405" s="120"/>
      <c r="M405" s="106"/>
      <c r="N405" s="106"/>
      <c r="O405" s="106"/>
      <c r="P405" s="106"/>
      <c r="Q405" s="106"/>
      <c r="R405" s="106"/>
      <c r="S405" s="106"/>
      <c r="T405" s="106"/>
      <c r="U405" s="106"/>
      <c r="V405" s="106"/>
      <c r="W405" s="106"/>
      <c r="X405" s="106"/>
      <c r="Y405" s="106"/>
      <c r="Z405" s="106"/>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4"/>
      <c r="BJ405" s="220"/>
      <c r="BK405" s="220"/>
    </row>
    <row r="406" spans="1:63" ht="12.75" customHeight="1" outlineLevel="1">
      <c r="A406" s="9"/>
      <c r="B406" s="46"/>
      <c r="C406" s="129">
        <f>Asset9</f>
        <v>0</v>
      </c>
      <c r="D406" s="9"/>
      <c r="E406" s="9"/>
      <c r="F406" s="28"/>
      <c r="G406" s="196">
        <f>-Input!N15</f>
        <v>0</v>
      </c>
      <c r="H406" s="120"/>
      <c r="I406" s="120"/>
      <c r="J406" s="120"/>
      <c r="K406" s="120"/>
      <c r="L406" s="120"/>
      <c r="M406" s="106"/>
      <c r="N406" s="106"/>
      <c r="O406" s="106"/>
      <c r="P406" s="106"/>
      <c r="Q406" s="106"/>
      <c r="R406" s="106"/>
      <c r="S406" s="106"/>
      <c r="T406" s="106"/>
      <c r="U406" s="106"/>
      <c r="V406" s="106"/>
      <c r="W406" s="106"/>
      <c r="X406" s="106"/>
      <c r="Y406" s="106"/>
      <c r="Z406" s="106"/>
      <c r="AA406" s="214"/>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c r="BI406" s="214"/>
      <c r="BJ406" s="220"/>
      <c r="BK406" s="220"/>
    </row>
    <row r="407" spans="1:63" ht="12.75" customHeight="1" outlineLevel="1">
      <c r="A407" s="9"/>
      <c r="B407" s="46"/>
      <c r="C407" s="129">
        <f>Asset10</f>
        <v>0</v>
      </c>
      <c r="D407" s="9"/>
      <c r="E407" s="9"/>
      <c r="F407" s="28"/>
      <c r="G407" s="196">
        <f>-Input!N16</f>
        <v>0</v>
      </c>
      <c r="H407" s="120"/>
      <c r="I407" s="120"/>
      <c r="J407" s="120"/>
      <c r="K407" s="120"/>
      <c r="L407" s="120"/>
      <c r="M407" s="106"/>
      <c r="N407" s="106"/>
      <c r="O407" s="106"/>
      <c r="P407" s="106"/>
      <c r="Q407" s="106"/>
      <c r="R407" s="106"/>
      <c r="S407" s="106"/>
      <c r="T407" s="106"/>
      <c r="U407" s="106"/>
      <c r="V407" s="106"/>
      <c r="W407" s="106"/>
      <c r="X407" s="106"/>
      <c r="Y407" s="106"/>
      <c r="Z407" s="106"/>
      <c r="AA407" s="214"/>
      <c r="AB407" s="214"/>
      <c r="AC407" s="214"/>
      <c r="AD407" s="214"/>
      <c r="AE407" s="214"/>
      <c r="AF407" s="214"/>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c r="BI407" s="214"/>
      <c r="BJ407" s="220"/>
      <c r="BK407" s="220"/>
    </row>
    <row r="408" spans="1:63" ht="12.75" customHeight="1" outlineLevel="1">
      <c r="A408" s="9"/>
      <c r="B408" s="46"/>
      <c r="C408" s="129">
        <f>Asset11</f>
        <v>0</v>
      </c>
      <c r="D408" s="9"/>
      <c r="E408" s="9"/>
      <c r="F408" s="28"/>
      <c r="G408" s="196">
        <f>-Input!N17</f>
        <v>0</v>
      </c>
      <c r="H408" s="120"/>
      <c r="I408" s="120"/>
      <c r="J408" s="120"/>
      <c r="K408" s="120"/>
      <c r="L408" s="120"/>
      <c r="M408" s="106"/>
      <c r="N408" s="106"/>
      <c r="O408" s="106"/>
      <c r="P408" s="106"/>
      <c r="Q408" s="106"/>
      <c r="R408" s="106"/>
      <c r="S408" s="106"/>
      <c r="T408" s="106"/>
      <c r="U408" s="106"/>
      <c r="V408" s="106"/>
      <c r="W408" s="106"/>
      <c r="X408" s="106"/>
      <c r="Y408" s="106"/>
      <c r="Z408" s="106"/>
      <c r="AA408" s="214"/>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c r="BI408" s="214"/>
      <c r="BJ408" s="220"/>
      <c r="BK408" s="220"/>
    </row>
    <row r="409" spans="1:63" ht="12.75" customHeight="1" outlineLevel="1">
      <c r="A409" s="9"/>
      <c r="B409" s="46"/>
      <c r="C409" s="129">
        <f>Asset12</f>
        <v>0</v>
      </c>
      <c r="D409" s="9"/>
      <c r="E409" s="9"/>
      <c r="F409" s="28"/>
      <c r="G409" s="196">
        <f>-Input!N18</f>
        <v>0</v>
      </c>
      <c r="H409" s="120"/>
      <c r="I409" s="120"/>
      <c r="J409" s="120"/>
      <c r="K409" s="120"/>
      <c r="L409" s="120"/>
      <c r="M409" s="106"/>
      <c r="N409" s="106"/>
      <c r="O409" s="106"/>
      <c r="P409" s="106"/>
      <c r="Q409" s="106"/>
      <c r="R409" s="106"/>
      <c r="S409" s="106"/>
      <c r="T409" s="106"/>
      <c r="U409" s="106"/>
      <c r="V409" s="106"/>
      <c r="W409" s="106"/>
      <c r="X409" s="106"/>
      <c r="Y409" s="106"/>
      <c r="Z409" s="106"/>
      <c r="AA409" s="214"/>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c r="BI409" s="214"/>
      <c r="BJ409" s="220"/>
      <c r="BK409" s="220"/>
    </row>
    <row r="410" spans="1:63" ht="12.75" customHeight="1" outlineLevel="1">
      <c r="A410" s="9"/>
      <c r="B410" s="46"/>
      <c r="C410" s="129">
        <f>Asset13</f>
        <v>0</v>
      </c>
      <c r="D410" s="9"/>
      <c r="E410" s="9"/>
      <c r="F410" s="28"/>
      <c r="G410" s="196">
        <f>-Input!N19</f>
        <v>0</v>
      </c>
      <c r="H410" s="120"/>
      <c r="I410" s="120"/>
      <c r="J410" s="120"/>
      <c r="K410" s="120"/>
      <c r="L410" s="120"/>
      <c r="M410" s="106"/>
      <c r="N410" s="106"/>
      <c r="O410" s="106"/>
      <c r="P410" s="106"/>
      <c r="Q410" s="106"/>
      <c r="R410" s="106"/>
      <c r="S410" s="106"/>
      <c r="T410" s="106"/>
      <c r="U410" s="106"/>
      <c r="V410" s="106"/>
      <c r="W410" s="106"/>
      <c r="X410" s="106"/>
      <c r="Y410" s="106"/>
      <c r="Z410" s="106"/>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20"/>
      <c r="BK410" s="220"/>
    </row>
    <row r="411" spans="1:63" ht="12.75" customHeight="1" outlineLevel="1">
      <c r="A411" s="9"/>
      <c r="B411" s="46"/>
      <c r="C411" s="129">
        <f>Asset14</f>
        <v>0</v>
      </c>
      <c r="D411" s="9"/>
      <c r="E411" s="9"/>
      <c r="F411" s="28"/>
      <c r="G411" s="196">
        <f>-Input!N20</f>
        <v>0</v>
      </c>
      <c r="H411" s="120"/>
      <c r="I411" s="120"/>
      <c r="J411" s="120"/>
      <c r="K411" s="120"/>
      <c r="L411" s="120"/>
      <c r="M411" s="106"/>
      <c r="N411" s="106"/>
      <c r="O411" s="106"/>
      <c r="P411" s="106"/>
      <c r="Q411" s="106"/>
      <c r="R411" s="106"/>
      <c r="S411" s="106"/>
      <c r="T411" s="106"/>
      <c r="U411" s="106"/>
      <c r="V411" s="106"/>
      <c r="W411" s="106"/>
      <c r="X411" s="106"/>
      <c r="Y411" s="106"/>
      <c r="Z411" s="106"/>
      <c r="AA411" s="214"/>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c r="BI411" s="214"/>
      <c r="BJ411" s="220"/>
      <c r="BK411" s="220"/>
    </row>
    <row r="412" spans="1:63" ht="12.75" customHeight="1" outlineLevel="1">
      <c r="A412" s="9"/>
      <c r="B412" s="46"/>
      <c r="C412" s="129">
        <f>Asset15</f>
        <v>0</v>
      </c>
      <c r="D412" s="9"/>
      <c r="E412" s="9"/>
      <c r="F412" s="28"/>
      <c r="G412" s="196">
        <f>-Input!N21</f>
        <v>0</v>
      </c>
      <c r="H412" s="120"/>
      <c r="I412" s="120"/>
      <c r="J412" s="120"/>
      <c r="K412" s="120"/>
      <c r="L412" s="120"/>
      <c r="M412" s="106"/>
      <c r="N412" s="106"/>
      <c r="O412" s="106"/>
      <c r="P412" s="106"/>
      <c r="Q412" s="106"/>
      <c r="R412" s="106"/>
      <c r="S412" s="106"/>
      <c r="T412" s="106"/>
      <c r="U412" s="106"/>
      <c r="V412" s="106"/>
      <c r="W412" s="106"/>
      <c r="X412" s="106"/>
      <c r="Y412" s="106"/>
      <c r="Z412" s="106"/>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214"/>
      <c r="BJ412" s="220"/>
      <c r="BK412" s="220"/>
    </row>
    <row r="413" spans="1:63" ht="12.75" customHeight="1" outlineLevel="1">
      <c r="A413" s="9"/>
      <c r="B413" s="46"/>
      <c r="C413" s="129">
        <f>Asset16</f>
        <v>0</v>
      </c>
      <c r="D413" s="9"/>
      <c r="E413" s="9"/>
      <c r="F413" s="28"/>
      <c r="G413" s="196">
        <f>-Input!N22</f>
        <v>0</v>
      </c>
      <c r="H413" s="120"/>
      <c r="I413" s="120"/>
      <c r="J413" s="120"/>
      <c r="K413" s="120"/>
      <c r="L413" s="120"/>
      <c r="M413" s="106"/>
      <c r="N413" s="106"/>
      <c r="O413" s="106"/>
      <c r="P413" s="106"/>
      <c r="Q413" s="106"/>
      <c r="R413" s="106"/>
      <c r="S413" s="106"/>
      <c r="T413" s="106"/>
      <c r="U413" s="106"/>
      <c r="V413" s="106"/>
      <c r="W413" s="106"/>
      <c r="X413" s="106"/>
      <c r="Y413" s="106"/>
      <c r="Z413" s="106"/>
      <c r="AA413" s="214"/>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c r="BI413" s="214"/>
      <c r="BJ413" s="220"/>
      <c r="BK413" s="220"/>
    </row>
    <row r="414" spans="1:63" ht="12.75" customHeight="1" outlineLevel="1">
      <c r="A414" s="9"/>
      <c r="B414" s="46"/>
      <c r="C414" s="129">
        <f>Asset17</f>
        <v>0</v>
      </c>
      <c r="D414" s="9"/>
      <c r="E414" s="9"/>
      <c r="F414" s="28"/>
      <c r="G414" s="196">
        <f>-Input!N23</f>
        <v>0</v>
      </c>
      <c r="H414" s="120"/>
      <c r="I414" s="120"/>
      <c r="J414" s="120"/>
      <c r="K414" s="120"/>
      <c r="L414" s="120"/>
      <c r="M414" s="106"/>
      <c r="N414" s="106"/>
      <c r="O414" s="106"/>
      <c r="P414" s="106"/>
      <c r="Q414" s="106"/>
      <c r="R414" s="106"/>
      <c r="S414" s="106"/>
      <c r="T414" s="106"/>
      <c r="U414" s="106"/>
      <c r="V414" s="106"/>
      <c r="W414" s="106"/>
      <c r="X414" s="106"/>
      <c r="Y414" s="106"/>
      <c r="Z414" s="106"/>
      <c r="AA414" s="214"/>
      <c r="AB414" s="214"/>
      <c r="AC414" s="214"/>
      <c r="AD414" s="214"/>
      <c r="AE414" s="214"/>
      <c r="AF414" s="214"/>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c r="BI414" s="214"/>
      <c r="BJ414" s="220"/>
      <c r="BK414" s="220"/>
    </row>
    <row r="415" spans="1:63" ht="12.75" customHeight="1" outlineLevel="1">
      <c r="A415" s="9"/>
      <c r="B415" s="46"/>
      <c r="C415" s="129">
        <f>Asset18</f>
        <v>0</v>
      </c>
      <c r="D415" s="9"/>
      <c r="E415" s="9"/>
      <c r="F415" s="28"/>
      <c r="G415" s="196">
        <f>-Input!N24</f>
        <v>0</v>
      </c>
      <c r="H415" s="120"/>
      <c r="I415" s="120"/>
      <c r="J415" s="120"/>
      <c r="K415" s="120"/>
      <c r="L415" s="120"/>
      <c r="M415" s="106"/>
      <c r="N415" s="106"/>
      <c r="O415" s="106"/>
      <c r="P415" s="106"/>
      <c r="Q415" s="106"/>
      <c r="R415" s="106"/>
      <c r="S415" s="106"/>
      <c r="T415" s="106"/>
      <c r="U415" s="106"/>
      <c r="V415" s="106"/>
      <c r="W415" s="106"/>
      <c r="X415" s="106"/>
      <c r="Y415" s="106"/>
      <c r="Z415" s="106"/>
      <c r="AA415" s="214"/>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c r="BI415" s="214"/>
      <c r="BJ415" s="220"/>
      <c r="BK415" s="220"/>
    </row>
    <row r="416" spans="1:63" ht="12.75" customHeight="1" outlineLevel="1">
      <c r="A416" s="9"/>
      <c r="B416" s="46"/>
      <c r="C416" s="129">
        <f>Asset19</f>
        <v>0</v>
      </c>
      <c r="D416" s="9"/>
      <c r="E416" s="9"/>
      <c r="F416" s="28"/>
      <c r="G416" s="196">
        <f>-Input!N25</f>
        <v>0</v>
      </c>
      <c r="H416" s="120"/>
      <c r="I416" s="120"/>
      <c r="J416" s="120"/>
      <c r="K416" s="120"/>
      <c r="L416" s="120"/>
      <c r="M416" s="106"/>
      <c r="N416" s="106"/>
      <c r="O416" s="106"/>
      <c r="P416" s="106"/>
      <c r="Q416" s="106"/>
      <c r="R416" s="106"/>
      <c r="S416" s="106"/>
      <c r="T416" s="106"/>
      <c r="U416" s="106"/>
      <c r="V416" s="106"/>
      <c r="W416" s="106"/>
      <c r="X416" s="106"/>
      <c r="Y416" s="106"/>
      <c r="Z416" s="106"/>
      <c r="AA416" s="214"/>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c r="BI416" s="214"/>
      <c r="BJ416" s="220"/>
      <c r="BK416" s="220"/>
    </row>
    <row r="417" spans="1:63" ht="12.75" customHeight="1" outlineLevel="1">
      <c r="A417" s="9"/>
      <c r="B417" s="46"/>
      <c r="C417" s="129">
        <f>Asset20</f>
        <v>0</v>
      </c>
      <c r="D417" s="9"/>
      <c r="E417" s="9"/>
      <c r="F417" s="28"/>
      <c r="G417" s="196">
        <f>-Input!N26</f>
        <v>0</v>
      </c>
      <c r="H417" s="120"/>
      <c r="I417" s="120"/>
      <c r="J417" s="120"/>
      <c r="K417" s="120"/>
      <c r="L417" s="120"/>
      <c r="M417" s="106"/>
      <c r="N417" s="106"/>
      <c r="O417" s="106"/>
      <c r="P417" s="106"/>
      <c r="Q417" s="106"/>
      <c r="R417" s="106"/>
      <c r="S417" s="106"/>
      <c r="T417" s="106"/>
      <c r="U417" s="106"/>
      <c r="V417" s="106"/>
      <c r="W417" s="106"/>
      <c r="X417" s="106"/>
      <c r="Y417" s="106"/>
      <c r="Z417" s="106"/>
      <c r="AA417" s="214"/>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c r="BI417" s="214"/>
      <c r="BJ417" s="220"/>
      <c r="BK417" s="220"/>
    </row>
    <row r="418" spans="1:63" ht="12.75" customHeight="1" outlineLevel="1">
      <c r="A418" s="9"/>
      <c r="B418" s="46"/>
      <c r="C418" s="129">
        <f>Asset21</f>
        <v>0</v>
      </c>
      <c r="D418" s="9"/>
      <c r="E418" s="9"/>
      <c r="F418" s="28"/>
      <c r="G418" s="196">
        <f>-Input!N27</f>
        <v>0</v>
      </c>
      <c r="H418" s="120"/>
      <c r="I418" s="120"/>
      <c r="J418" s="120"/>
      <c r="K418" s="120"/>
      <c r="L418" s="120"/>
      <c r="M418" s="106"/>
      <c r="N418" s="106"/>
      <c r="O418" s="106"/>
      <c r="P418" s="106"/>
      <c r="Q418" s="106"/>
      <c r="R418" s="106"/>
      <c r="S418" s="106"/>
      <c r="T418" s="106"/>
      <c r="U418" s="106"/>
      <c r="V418" s="106"/>
      <c r="W418" s="106"/>
      <c r="X418" s="106"/>
      <c r="Y418" s="106"/>
      <c r="Z418" s="106"/>
      <c r="AA418" s="214"/>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c r="BI418" s="214"/>
      <c r="BJ418" s="220"/>
      <c r="BK418" s="220"/>
    </row>
    <row r="419" spans="1:63" ht="12.75" customHeight="1" outlineLevel="1">
      <c r="A419" s="9"/>
      <c r="B419" s="46"/>
      <c r="C419" s="129">
        <f>Asset22</f>
        <v>0</v>
      </c>
      <c r="D419" s="9"/>
      <c r="E419" s="9"/>
      <c r="F419" s="28"/>
      <c r="G419" s="196">
        <f>-Input!N28</f>
        <v>0</v>
      </c>
      <c r="H419" s="120"/>
      <c r="I419" s="120"/>
      <c r="J419" s="120"/>
      <c r="K419" s="120"/>
      <c r="L419" s="120"/>
      <c r="M419" s="106"/>
      <c r="N419" s="106"/>
      <c r="O419" s="106"/>
      <c r="P419" s="106"/>
      <c r="Q419" s="106"/>
      <c r="R419" s="106"/>
      <c r="S419" s="106"/>
      <c r="T419" s="106"/>
      <c r="U419" s="106"/>
      <c r="V419" s="106"/>
      <c r="W419" s="106"/>
      <c r="X419" s="106"/>
      <c r="Y419" s="106"/>
      <c r="Z419" s="106"/>
      <c r="AA419" s="214"/>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c r="BI419" s="214"/>
      <c r="BJ419" s="220"/>
      <c r="BK419" s="220"/>
    </row>
    <row r="420" spans="1:63" ht="12.75" customHeight="1" outlineLevel="1">
      <c r="A420" s="9"/>
      <c r="B420" s="46"/>
      <c r="C420" s="129">
        <f>Asset23</f>
        <v>0</v>
      </c>
      <c r="D420" s="9"/>
      <c r="E420" s="9"/>
      <c r="F420" s="28"/>
      <c r="G420" s="196">
        <f>-Input!N29</f>
        <v>0</v>
      </c>
      <c r="H420" s="120"/>
      <c r="I420" s="120"/>
      <c r="J420" s="120"/>
      <c r="K420" s="120"/>
      <c r="L420" s="120"/>
      <c r="M420" s="106"/>
      <c r="N420" s="106"/>
      <c r="O420" s="106"/>
      <c r="P420" s="106"/>
      <c r="Q420" s="106"/>
      <c r="R420" s="106"/>
      <c r="S420" s="106"/>
      <c r="T420" s="106"/>
      <c r="U420" s="106"/>
      <c r="V420" s="106"/>
      <c r="W420" s="106"/>
      <c r="X420" s="106"/>
      <c r="Y420" s="106"/>
      <c r="Z420" s="106"/>
      <c r="AA420" s="214"/>
      <c r="AB420" s="214"/>
      <c r="AC420" s="214"/>
      <c r="AD420" s="214"/>
      <c r="AE420" s="214"/>
      <c r="AF420" s="214"/>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c r="BI420" s="214"/>
      <c r="BJ420" s="220"/>
      <c r="BK420" s="220"/>
    </row>
    <row r="421" spans="1:63" ht="12.75" customHeight="1" outlineLevel="1">
      <c r="A421" s="9"/>
      <c r="B421" s="46"/>
      <c r="C421" s="129">
        <f>Asset24</f>
        <v>0</v>
      </c>
      <c r="D421" s="9"/>
      <c r="E421" s="9"/>
      <c r="F421" s="28"/>
      <c r="G421" s="196">
        <f>-Input!N30</f>
        <v>0</v>
      </c>
      <c r="H421" s="120"/>
      <c r="I421" s="120"/>
      <c r="J421" s="120"/>
      <c r="K421" s="120"/>
      <c r="L421" s="120"/>
      <c r="M421" s="106"/>
      <c r="N421" s="106"/>
      <c r="O421" s="106"/>
      <c r="P421" s="106"/>
      <c r="Q421" s="106"/>
      <c r="R421" s="106"/>
      <c r="S421" s="106"/>
      <c r="T421" s="106"/>
      <c r="U421" s="106"/>
      <c r="V421" s="106"/>
      <c r="W421" s="106"/>
      <c r="X421" s="106"/>
      <c r="Y421" s="106"/>
      <c r="Z421" s="106"/>
      <c r="AA421" s="214"/>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214"/>
      <c r="BJ421" s="220"/>
      <c r="BK421" s="220"/>
    </row>
    <row r="422" spans="1:63" ht="12.75" customHeight="1" outlineLevel="1">
      <c r="A422" s="9"/>
      <c r="B422" s="46"/>
      <c r="C422" s="129">
        <f>Asset25</f>
        <v>0</v>
      </c>
      <c r="D422" s="9"/>
      <c r="E422" s="9"/>
      <c r="F422" s="28"/>
      <c r="G422" s="196">
        <f>-Input!N31</f>
        <v>0</v>
      </c>
      <c r="H422" s="120"/>
      <c r="I422" s="120"/>
      <c r="J422" s="120"/>
      <c r="K422" s="120"/>
      <c r="L422" s="120"/>
      <c r="M422" s="106"/>
      <c r="N422" s="106"/>
      <c r="O422" s="106"/>
      <c r="P422" s="106"/>
      <c r="Q422" s="106"/>
      <c r="R422" s="106"/>
      <c r="S422" s="106"/>
      <c r="T422" s="106"/>
      <c r="U422" s="106"/>
      <c r="V422" s="106"/>
      <c r="W422" s="106"/>
      <c r="X422" s="106"/>
      <c r="Y422" s="106"/>
      <c r="Z422" s="106"/>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20"/>
      <c r="BK422" s="220"/>
    </row>
    <row r="423" spans="1:63" ht="12.75" customHeight="1" outlineLevel="1">
      <c r="A423" s="9"/>
      <c r="B423" s="46"/>
      <c r="C423" s="129">
        <f>Asset26</f>
        <v>0</v>
      </c>
      <c r="D423" s="9"/>
      <c r="E423" s="9"/>
      <c r="F423" s="28"/>
      <c r="G423" s="196">
        <f>-Input!N32</f>
        <v>0</v>
      </c>
      <c r="H423" s="120"/>
      <c r="I423" s="120"/>
      <c r="J423" s="120"/>
      <c r="K423" s="120"/>
      <c r="L423" s="120"/>
      <c r="M423" s="106"/>
      <c r="N423" s="106"/>
      <c r="O423" s="106"/>
      <c r="P423" s="106"/>
      <c r="Q423" s="106"/>
      <c r="R423" s="106"/>
      <c r="S423" s="106"/>
      <c r="T423" s="106"/>
      <c r="U423" s="106"/>
      <c r="V423" s="106"/>
      <c r="W423" s="106"/>
      <c r="X423" s="106"/>
      <c r="Y423" s="106"/>
      <c r="Z423" s="106"/>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20"/>
      <c r="BK423" s="220"/>
    </row>
    <row r="424" spans="1:63" ht="12.75" customHeight="1" outlineLevel="1">
      <c r="A424" s="9"/>
      <c r="B424" s="46"/>
      <c r="C424" s="129">
        <f>Asset27</f>
        <v>0</v>
      </c>
      <c r="D424" s="9"/>
      <c r="E424" s="9"/>
      <c r="F424" s="28"/>
      <c r="G424" s="196">
        <f>-Input!N33</f>
        <v>0</v>
      </c>
      <c r="H424" s="120"/>
      <c r="I424" s="120"/>
      <c r="J424" s="120"/>
      <c r="K424" s="120"/>
      <c r="L424" s="120"/>
      <c r="M424" s="106"/>
      <c r="N424" s="106"/>
      <c r="O424" s="106"/>
      <c r="P424" s="106"/>
      <c r="Q424" s="106"/>
      <c r="R424" s="106"/>
      <c r="S424" s="106"/>
      <c r="T424" s="106"/>
      <c r="U424" s="106"/>
      <c r="V424" s="106"/>
      <c r="W424" s="106"/>
      <c r="X424" s="106"/>
      <c r="Y424" s="106"/>
      <c r="Z424" s="106"/>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214"/>
      <c r="BJ424" s="220"/>
      <c r="BK424" s="220"/>
    </row>
    <row r="425" spans="1:63" ht="12.75" customHeight="1" outlineLevel="1">
      <c r="A425" s="9"/>
      <c r="B425" s="46"/>
      <c r="C425" s="129">
        <f>Asset28</f>
        <v>0</v>
      </c>
      <c r="D425" s="9"/>
      <c r="E425" s="9"/>
      <c r="F425" s="28"/>
      <c r="G425" s="196">
        <f>-Input!N34</f>
        <v>0</v>
      </c>
      <c r="H425" s="120"/>
      <c r="I425" s="120"/>
      <c r="J425" s="120"/>
      <c r="K425" s="120"/>
      <c r="L425" s="120"/>
      <c r="M425" s="106"/>
      <c r="N425" s="106"/>
      <c r="O425" s="106"/>
      <c r="P425" s="106"/>
      <c r="Q425" s="106"/>
      <c r="R425" s="106"/>
      <c r="S425" s="106"/>
      <c r="T425" s="106"/>
      <c r="U425" s="106"/>
      <c r="V425" s="106"/>
      <c r="W425" s="106"/>
      <c r="X425" s="106"/>
      <c r="Y425" s="106"/>
      <c r="Z425" s="106"/>
      <c r="AA425" s="214"/>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c r="BI425" s="214"/>
      <c r="BJ425" s="220"/>
      <c r="BK425" s="220"/>
    </row>
    <row r="426" spans="1:63" ht="12.75" customHeight="1" outlineLevel="1">
      <c r="A426" s="9"/>
      <c r="B426" s="46"/>
      <c r="C426" s="129">
        <f>Asset29</f>
        <v>0</v>
      </c>
      <c r="D426" s="9"/>
      <c r="E426" s="9"/>
      <c r="F426" s="28"/>
      <c r="G426" s="196">
        <f>-Input!N35</f>
        <v>0</v>
      </c>
      <c r="H426" s="120"/>
      <c r="I426" s="120"/>
      <c r="J426" s="120"/>
      <c r="K426" s="120"/>
      <c r="L426" s="120"/>
      <c r="M426" s="106"/>
      <c r="N426" s="106"/>
      <c r="O426" s="106"/>
      <c r="P426" s="106"/>
      <c r="Q426" s="106"/>
      <c r="R426" s="106"/>
      <c r="S426" s="106"/>
      <c r="T426" s="106"/>
      <c r="U426" s="106"/>
      <c r="V426" s="106"/>
      <c r="W426" s="106"/>
      <c r="X426" s="106"/>
      <c r="Y426" s="106"/>
      <c r="Z426" s="106"/>
      <c r="AA426" s="214"/>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c r="BI426" s="214"/>
      <c r="BJ426" s="220"/>
      <c r="BK426" s="220"/>
    </row>
    <row r="427" spans="1:63" ht="12.75" customHeight="1" outlineLevel="1">
      <c r="A427" s="9"/>
      <c r="B427" s="46"/>
      <c r="C427" s="129">
        <f>Asset30</f>
        <v>0</v>
      </c>
      <c r="D427" s="9"/>
      <c r="E427" s="9"/>
      <c r="F427" s="28"/>
      <c r="G427" s="196">
        <f>-Input!N36</f>
        <v>0</v>
      </c>
      <c r="H427" s="120"/>
      <c r="I427" s="120"/>
      <c r="J427" s="120"/>
      <c r="K427" s="120"/>
      <c r="L427" s="120"/>
      <c r="M427" s="106"/>
      <c r="N427" s="106"/>
      <c r="O427" s="106"/>
      <c r="P427" s="106"/>
      <c r="Q427" s="106"/>
      <c r="R427" s="106"/>
      <c r="S427" s="106"/>
      <c r="T427" s="106"/>
      <c r="U427" s="106"/>
      <c r="V427" s="106"/>
      <c r="W427" s="106"/>
      <c r="X427" s="106"/>
      <c r="Y427" s="106"/>
      <c r="Z427" s="106"/>
      <c r="AA427" s="214"/>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c r="BI427" s="214"/>
      <c r="BJ427" s="220"/>
      <c r="BK427" s="220"/>
    </row>
    <row r="428" spans="1:63">
      <c r="A428" s="9"/>
      <c r="B428" s="46"/>
      <c r="C428" s="129"/>
      <c r="D428" s="9"/>
      <c r="E428" s="9"/>
      <c r="F428" s="28"/>
      <c r="G428" s="197"/>
      <c r="H428" s="120"/>
      <c r="I428" s="120"/>
      <c r="J428" s="120"/>
      <c r="K428" s="120"/>
      <c r="L428" s="120"/>
      <c r="M428" s="106"/>
      <c r="N428" s="106"/>
      <c r="O428" s="106"/>
      <c r="P428" s="106"/>
      <c r="Q428" s="106"/>
      <c r="R428" s="106"/>
      <c r="S428" s="106"/>
      <c r="T428" s="106"/>
      <c r="U428" s="106"/>
      <c r="V428" s="106"/>
      <c r="W428" s="106"/>
      <c r="X428" s="106"/>
      <c r="Y428" s="106"/>
      <c r="Z428" s="106"/>
      <c r="AA428" s="214"/>
      <c r="AB428" s="214"/>
      <c r="AC428" s="214"/>
      <c r="AD428" s="214"/>
      <c r="AE428" s="214"/>
      <c r="AF428" s="214"/>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c r="BI428" s="214"/>
      <c r="BJ428" s="220"/>
      <c r="BK428" s="220"/>
    </row>
    <row r="429" spans="1:63">
      <c r="A429" s="9"/>
      <c r="B429" s="46" t="s">
        <v>51</v>
      </c>
      <c r="C429" s="129"/>
      <c r="D429" s="9"/>
      <c r="E429" s="9"/>
      <c r="F429" s="141"/>
      <c r="G429" s="195">
        <f>SUM(G430:G459)</f>
        <v>0</v>
      </c>
      <c r="H429" s="120"/>
      <c r="I429" s="120"/>
      <c r="J429" s="120"/>
      <c r="K429" s="120"/>
      <c r="L429" s="120"/>
      <c r="M429" s="106"/>
      <c r="N429" s="106"/>
      <c r="O429" s="106"/>
      <c r="P429" s="106"/>
      <c r="Q429" s="106"/>
      <c r="R429" s="106"/>
      <c r="S429" s="106"/>
      <c r="T429" s="106"/>
      <c r="U429" s="106"/>
      <c r="V429" s="106"/>
      <c r="W429" s="106"/>
      <c r="X429" s="106"/>
      <c r="Y429" s="106"/>
      <c r="Z429" s="106"/>
      <c r="AA429" s="214"/>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c r="BI429" s="214"/>
      <c r="BJ429" s="220"/>
      <c r="BK429" s="220"/>
    </row>
    <row r="430" spans="1:63" outlineLevel="1">
      <c r="A430" s="9"/>
      <c r="B430" s="9"/>
      <c r="C430" s="129" t="str">
        <f>Asset1</f>
        <v>Mains &amp; Services</v>
      </c>
      <c r="D430" s="9"/>
      <c r="E430" s="9"/>
      <c r="F430" s="141"/>
      <c r="G430" s="193">
        <f>Input!O7</f>
        <v>0</v>
      </c>
      <c r="H430" s="120"/>
      <c r="I430" s="120"/>
      <c r="J430" s="120"/>
      <c r="K430" s="120"/>
      <c r="L430" s="120"/>
      <c r="M430" s="106"/>
      <c r="N430" s="106"/>
      <c r="O430" s="106"/>
      <c r="P430" s="106"/>
      <c r="Q430" s="106"/>
      <c r="R430" s="106"/>
      <c r="S430" s="106"/>
      <c r="T430" s="106"/>
      <c r="U430" s="106"/>
      <c r="V430" s="106"/>
      <c r="W430" s="106"/>
      <c r="X430" s="106"/>
      <c r="Y430" s="106"/>
      <c r="Z430" s="106"/>
      <c r="AA430" s="214"/>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c r="BI430" s="214"/>
      <c r="BJ430" s="220"/>
      <c r="BK430" s="220"/>
    </row>
    <row r="431" spans="1:63" outlineLevel="1">
      <c r="A431" s="9"/>
      <c r="B431" s="46"/>
      <c r="C431" s="129" t="str">
        <f>Asset2</f>
        <v>Meters</v>
      </c>
      <c r="D431" s="9"/>
      <c r="E431" s="9"/>
      <c r="F431" s="141"/>
      <c r="G431" s="193">
        <f>Input!O8</f>
        <v>0</v>
      </c>
      <c r="H431" s="120"/>
      <c r="I431" s="120"/>
      <c r="J431" s="120"/>
      <c r="K431" s="120"/>
      <c r="L431" s="120"/>
      <c r="M431" s="106"/>
      <c r="N431" s="106"/>
      <c r="O431" s="106"/>
      <c r="P431" s="106"/>
      <c r="Q431" s="106"/>
      <c r="R431" s="106"/>
      <c r="S431" s="106"/>
      <c r="T431" s="106"/>
      <c r="U431" s="106"/>
      <c r="V431" s="106"/>
      <c r="W431" s="106"/>
      <c r="X431" s="106"/>
      <c r="Y431" s="106"/>
      <c r="Z431" s="106"/>
      <c r="AA431" s="214"/>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c r="BI431" s="214"/>
      <c r="BJ431" s="220"/>
      <c r="BK431" s="220"/>
    </row>
    <row r="432" spans="1:63" outlineLevel="1">
      <c r="A432" s="9"/>
      <c r="B432" s="46"/>
      <c r="C432" s="129" t="str">
        <f>Asset3</f>
        <v>Buildings</v>
      </c>
      <c r="D432" s="9"/>
      <c r="E432" s="9"/>
      <c r="F432" s="141"/>
      <c r="G432" s="193">
        <f>Input!O9</f>
        <v>0</v>
      </c>
      <c r="H432" s="120"/>
      <c r="I432" s="120"/>
      <c r="J432" s="120"/>
      <c r="K432" s="120"/>
      <c r="L432" s="120"/>
      <c r="M432" s="106"/>
      <c r="N432" s="106"/>
      <c r="O432" s="106"/>
      <c r="P432" s="106"/>
      <c r="Q432" s="106"/>
      <c r="R432" s="106"/>
      <c r="S432" s="106"/>
      <c r="T432" s="106"/>
      <c r="U432" s="106"/>
      <c r="V432" s="106"/>
      <c r="W432" s="106"/>
      <c r="X432" s="106"/>
      <c r="Y432" s="106"/>
      <c r="Z432" s="106"/>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214"/>
      <c r="BJ432" s="220"/>
      <c r="BK432" s="220"/>
    </row>
    <row r="433" spans="1:63" outlineLevel="1">
      <c r="A433" s="9"/>
      <c r="B433" s="46"/>
      <c r="C433" s="129" t="str">
        <f>Asset4</f>
        <v>SCADA</v>
      </c>
      <c r="D433" s="9"/>
      <c r="E433" s="9"/>
      <c r="F433" s="141"/>
      <c r="G433" s="193">
        <f>Input!O10</f>
        <v>0</v>
      </c>
      <c r="H433" s="120"/>
      <c r="I433" s="120"/>
      <c r="J433" s="120"/>
      <c r="K433" s="120"/>
      <c r="L433" s="120"/>
      <c r="M433" s="106"/>
      <c r="N433" s="106"/>
      <c r="O433" s="106"/>
      <c r="P433" s="106"/>
      <c r="Q433" s="106"/>
      <c r="R433" s="106"/>
      <c r="S433" s="106"/>
      <c r="T433" s="106"/>
      <c r="U433" s="106"/>
      <c r="V433" s="106"/>
      <c r="W433" s="106"/>
      <c r="X433" s="106"/>
      <c r="Y433" s="106"/>
      <c r="Z433" s="106"/>
      <c r="AA433" s="214"/>
      <c r="AB433" s="214"/>
      <c r="AC433" s="214"/>
      <c r="AD433" s="214"/>
      <c r="AE433" s="214"/>
      <c r="AF433" s="214"/>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c r="BI433" s="214"/>
      <c r="BJ433" s="220"/>
      <c r="BK433" s="220"/>
    </row>
    <row r="434" spans="1:63" outlineLevel="1">
      <c r="A434" s="9"/>
      <c r="B434" s="46"/>
      <c r="C434" s="129" t="str">
        <f>Asset5</f>
        <v>Computer Equipment</v>
      </c>
      <c r="D434" s="9"/>
      <c r="E434" s="9"/>
      <c r="F434" s="141"/>
      <c r="G434" s="193">
        <f>Input!O11</f>
        <v>0</v>
      </c>
      <c r="H434" s="120"/>
      <c r="I434" s="120"/>
      <c r="J434" s="120"/>
      <c r="K434" s="120"/>
      <c r="L434" s="120"/>
      <c r="M434" s="106"/>
      <c r="N434" s="106"/>
      <c r="O434" s="106"/>
      <c r="P434" s="106"/>
      <c r="Q434" s="106"/>
      <c r="R434" s="106"/>
      <c r="S434" s="106"/>
      <c r="T434" s="106"/>
      <c r="U434" s="106"/>
      <c r="V434" s="106"/>
      <c r="W434" s="106"/>
      <c r="X434" s="106"/>
      <c r="Y434" s="106"/>
      <c r="Z434" s="106"/>
      <c r="AA434" s="214"/>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c r="BI434" s="214"/>
      <c r="BJ434" s="220"/>
      <c r="BK434" s="220"/>
    </row>
    <row r="435" spans="1:63" outlineLevel="1">
      <c r="A435" s="9"/>
      <c r="B435" s="46"/>
      <c r="C435" s="129" t="str">
        <f>Asset6</f>
        <v>Other Assets</v>
      </c>
      <c r="D435" s="9"/>
      <c r="E435" s="9"/>
      <c r="F435" s="141"/>
      <c r="G435" s="193">
        <f>Input!O12</f>
        <v>0</v>
      </c>
      <c r="H435" s="120"/>
      <c r="I435" s="120"/>
      <c r="J435" s="120"/>
      <c r="K435" s="120"/>
      <c r="L435" s="120"/>
      <c r="M435" s="106"/>
      <c r="N435" s="106"/>
      <c r="O435" s="106"/>
      <c r="P435" s="106"/>
      <c r="Q435" s="106"/>
      <c r="R435" s="106"/>
      <c r="S435" s="106"/>
      <c r="T435" s="106"/>
      <c r="U435" s="106"/>
      <c r="V435" s="106"/>
      <c r="W435" s="106"/>
      <c r="X435" s="106"/>
      <c r="Y435" s="106"/>
      <c r="Z435" s="106"/>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214"/>
      <c r="BJ435" s="220"/>
      <c r="BK435" s="220"/>
    </row>
    <row r="436" spans="1:63" outlineLevel="1">
      <c r="A436" s="9"/>
      <c r="B436" s="46"/>
      <c r="C436" s="129" t="str">
        <f>Asset7</f>
        <v>Equity Raising Costs</v>
      </c>
      <c r="D436" s="9"/>
      <c r="E436" s="9"/>
      <c r="F436" s="141"/>
      <c r="G436" s="193">
        <f>Input!O13</f>
        <v>0</v>
      </c>
      <c r="H436" s="120"/>
      <c r="I436" s="120"/>
      <c r="J436" s="120"/>
      <c r="K436" s="120"/>
      <c r="L436" s="120"/>
      <c r="M436" s="106"/>
      <c r="N436" s="106"/>
      <c r="O436" s="106"/>
      <c r="P436" s="106"/>
      <c r="Q436" s="106"/>
      <c r="R436" s="106"/>
      <c r="S436" s="106"/>
      <c r="T436" s="106"/>
      <c r="U436" s="106"/>
      <c r="V436" s="106"/>
      <c r="W436" s="106"/>
      <c r="X436" s="106"/>
      <c r="Y436" s="106"/>
      <c r="Z436" s="106"/>
      <c r="AA436" s="214"/>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c r="BI436" s="214"/>
      <c r="BJ436" s="220"/>
      <c r="BK436" s="220"/>
    </row>
    <row r="437" spans="1:63" outlineLevel="1">
      <c r="A437" s="9"/>
      <c r="B437" s="46"/>
      <c r="C437" s="129" t="str">
        <f>Asset8</f>
        <v>Land</v>
      </c>
      <c r="D437" s="9"/>
      <c r="E437" s="9"/>
      <c r="F437" s="141"/>
      <c r="G437" s="193">
        <f>Input!O14</f>
        <v>0</v>
      </c>
      <c r="H437" s="120"/>
      <c r="I437" s="120"/>
      <c r="J437" s="120"/>
      <c r="K437" s="120"/>
      <c r="L437" s="120"/>
      <c r="M437" s="106"/>
      <c r="N437" s="106"/>
      <c r="O437" s="106"/>
      <c r="P437" s="106"/>
      <c r="Q437" s="106"/>
      <c r="R437" s="106"/>
      <c r="S437" s="106"/>
      <c r="T437" s="106"/>
      <c r="U437" s="106"/>
      <c r="V437" s="106"/>
      <c r="W437" s="106"/>
      <c r="X437" s="106"/>
      <c r="Y437" s="106"/>
      <c r="Z437" s="106"/>
      <c r="AA437" s="214"/>
      <c r="AB437" s="214"/>
      <c r="AC437" s="214"/>
      <c r="AD437" s="214"/>
      <c r="AE437" s="214"/>
      <c r="AF437" s="214"/>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c r="BI437" s="214"/>
      <c r="BJ437" s="220"/>
      <c r="BK437" s="220"/>
    </row>
    <row r="438" spans="1:63" outlineLevel="1">
      <c r="A438" s="9"/>
      <c r="B438" s="46"/>
      <c r="C438" s="129">
        <f>Asset9</f>
        <v>0</v>
      </c>
      <c r="D438" s="9"/>
      <c r="E438" s="9"/>
      <c r="F438" s="141"/>
      <c r="G438" s="193">
        <f>Input!O15</f>
        <v>0</v>
      </c>
      <c r="H438" s="120"/>
      <c r="I438" s="120"/>
      <c r="J438" s="120"/>
      <c r="K438" s="120"/>
      <c r="L438" s="120"/>
      <c r="M438" s="106"/>
      <c r="N438" s="106"/>
      <c r="O438" s="106"/>
      <c r="P438" s="106"/>
      <c r="Q438" s="106"/>
      <c r="R438" s="106"/>
      <c r="S438" s="106"/>
      <c r="T438" s="106"/>
      <c r="U438" s="106"/>
      <c r="V438" s="106"/>
      <c r="W438" s="106"/>
      <c r="X438" s="106"/>
      <c r="Y438" s="106"/>
      <c r="Z438" s="106"/>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214"/>
      <c r="BJ438" s="220"/>
      <c r="BK438" s="220"/>
    </row>
    <row r="439" spans="1:63" outlineLevel="1">
      <c r="A439" s="9"/>
      <c r="B439" s="46"/>
      <c r="C439" s="129">
        <f>Asset10</f>
        <v>0</v>
      </c>
      <c r="D439" s="9"/>
      <c r="E439" s="9"/>
      <c r="F439" s="141"/>
      <c r="G439" s="193">
        <f>Input!O16</f>
        <v>0</v>
      </c>
      <c r="H439" s="120"/>
      <c r="I439" s="120"/>
      <c r="J439" s="120"/>
      <c r="K439" s="120"/>
      <c r="L439" s="120"/>
      <c r="M439" s="106"/>
      <c r="N439" s="106"/>
      <c r="O439" s="106"/>
      <c r="P439" s="106"/>
      <c r="Q439" s="106"/>
      <c r="R439" s="106"/>
      <c r="S439" s="106"/>
      <c r="T439" s="106"/>
      <c r="U439" s="106"/>
      <c r="V439" s="106"/>
      <c r="W439" s="106"/>
      <c r="X439" s="106"/>
      <c r="Y439" s="106"/>
      <c r="Z439" s="106"/>
      <c r="AA439" s="214"/>
      <c r="AB439" s="214"/>
      <c r="AC439" s="214"/>
      <c r="AD439" s="214"/>
      <c r="AE439" s="214"/>
      <c r="AF439" s="214"/>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c r="BI439" s="214"/>
      <c r="BJ439" s="220"/>
      <c r="BK439" s="220"/>
    </row>
    <row r="440" spans="1:63" outlineLevel="1">
      <c r="A440" s="9"/>
      <c r="B440" s="46"/>
      <c r="C440" s="129">
        <f>Asset11</f>
        <v>0</v>
      </c>
      <c r="D440" s="9"/>
      <c r="E440" s="9"/>
      <c r="F440" s="141"/>
      <c r="G440" s="193">
        <f>Input!O17</f>
        <v>0</v>
      </c>
      <c r="H440" s="120"/>
      <c r="I440" s="120"/>
      <c r="J440" s="120"/>
      <c r="K440" s="120"/>
      <c r="L440" s="120"/>
      <c r="M440" s="106"/>
      <c r="N440" s="106"/>
      <c r="O440" s="106"/>
      <c r="P440" s="106"/>
      <c r="Q440" s="106"/>
      <c r="R440" s="106"/>
      <c r="S440" s="106"/>
      <c r="T440" s="106"/>
      <c r="U440" s="106"/>
      <c r="V440" s="106"/>
      <c r="W440" s="106"/>
      <c r="X440" s="106"/>
      <c r="Y440" s="106"/>
      <c r="Z440" s="106"/>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214"/>
      <c r="BJ440" s="220"/>
      <c r="BK440" s="220"/>
    </row>
    <row r="441" spans="1:63" outlineLevel="1">
      <c r="A441" s="9"/>
      <c r="B441" s="46"/>
      <c r="C441" s="129">
        <f>Asset12</f>
        <v>0</v>
      </c>
      <c r="D441" s="9"/>
      <c r="E441" s="9"/>
      <c r="F441" s="141"/>
      <c r="G441" s="193">
        <f>Input!O18</f>
        <v>0</v>
      </c>
      <c r="H441" s="120"/>
      <c r="I441" s="120"/>
      <c r="J441" s="120"/>
      <c r="K441" s="120"/>
      <c r="L441" s="120"/>
      <c r="M441" s="106"/>
      <c r="N441" s="106"/>
      <c r="O441" s="106"/>
      <c r="P441" s="106"/>
      <c r="Q441" s="106"/>
      <c r="R441" s="106"/>
      <c r="S441" s="106"/>
      <c r="T441" s="106"/>
      <c r="U441" s="106"/>
      <c r="V441" s="106"/>
      <c r="W441" s="106"/>
      <c r="X441" s="106"/>
      <c r="Y441" s="106"/>
      <c r="Z441" s="106"/>
      <c r="AA441" s="214"/>
      <c r="AB441" s="214"/>
      <c r="AC441" s="214"/>
      <c r="AD441" s="214"/>
      <c r="AE441" s="214"/>
      <c r="AF441" s="214"/>
      <c r="AG441" s="214"/>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c r="BI441" s="214"/>
      <c r="BJ441" s="220"/>
      <c r="BK441" s="220"/>
    </row>
    <row r="442" spans="1:63" outlineLevel="1">
      <c r="A442" s="9"/>
      <c r="B442" s="46"/>
      <c r="C442" s="129">
        <f>Asset13</f>
        <v>0</v>
      </c>
      <c r="D442" s="9"/>
      <c r="E442" s="9"/>
      <c r="F442" s="141"/>
      <c r="G442" s="193">
        <f>Input!O19</f>
        <v>0</v>
      </c>
      <c r="H442" s="120"/>
      <c r="I442" s="120"/>
      <c r="J442" s="120"/>
      <c r="K442" s="120"/>
      <c r="L442" s="120"/>
      <c r="M442" s="106"/>
      <c r="N442" s="106"/>
      <c r="O442" s="106"/>
      <c r="P442" s="106"/>
      <c r="Q442" s="106"/>
      <c r="R442" s="106"/>
      <c r="S442" s="106"/>
      <c r="T442" s="106"/>
      <c r="U442" s="106"/>
      <c r="V442" s="106"/>
      <c r="W442" s="106"/>
      <c r="X442" s="106"/>
      <c r="Y442" s="106"/>
      <c r="Z442" s="106"/>
      <c r="AA442" s="214"/>
      <c r="AB442" s="214"/>
      <c r="AC442" s="214"/>
      <c r="AD442" s="214"/>
      <c r="AE442" s="214"/>
      <c r="AF442" s="214"/>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c r="BI442" s="214"/>
      <c r="BJ442" s="220"/>
      <c r="BK442" s="220"/>
    </row>
    <row r="443" spans="1:63" outlineLevel="1">
      <c r="A443" s="9"/>
      <c r="B443" s="46"/>
      <c r="C443" s="129">
        <f>Asset14</f>
        <v>0</v>
      </c>
      <c r="D443" s="9"/>
      <c r="E443" s="9"/>
      <c r="F443" s="141"/>
      <c r="G443" s="193">
        <f>Input!O20</f>
        <v>0</v>
      </c>
      <c r="H443" s="120"/>
      <c r="I443" s="120"/>
      <c r="J443" s="120"/>
      <c r="K443" s="120"/>
      <c r="L443" s="120"/>
      <c r="M443" s="106"/>
      <c r="N443" s="106"/>
      <c r="O443" s="106"/>
      <c r="P443" s="106"/>
      <c r="Q443" s="106"/>
      <c r="R443" s="106"/>
      <c r="S443" s="106"/>
      <c r="T443" s="106"/>
      <c r="U443" s="106"/>
      <c r="V443" s="106"/>
      <c r="W443" s="106"/>
      <c r="X443" s="106"/>
      <c r="Y443" s="106"/>
      <c r="Z443" s="106"/>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214"/>
      <c r="BJ443" s="220"/>
      <c r="BK443" s="220"/>
    </row>
    <row r="444" spans="1:63" outlineLevel="1">
      <c r="A444" s="9"/>
      <c r="B444" s="46"/>
      <c r="C444" s="129">
        <f>Asset15</f>
        <v>0</v>
      </c>
      <c r="D444" s="9"/>
      <c r="E444" s="9"/>
      <c r="F444" s="141"/>
      <c r="G444" s="193">
        <f>Input!O21</f>
        <v>0</v>
      </c>
      <c r="H444" s="120"/>
      <c r="I444" s="120"/>
      <c r="J444" s="120"/>
      <c r="K444" s="120"/>
      <c r="L444" s="120"/>
      <c r="M444" s="106"/>
      <c r="N444" s="106"/>
      <c r="O444" s="106"/>
      <c r="P444" s="106"/>
      <c r="Q444" s="106"/>
      <c r="R444" s="106"/>
      <c r="S444" s="106"/>
      <c r="T444" s="106"/>
      <c r="U444" s="106"/>
      <c r="V444" s="106"/>
      <c r="W444" s="106"/>
      <c r="X444" s="106"/>
      <c r="Y444" s="106"/>
      <c r="Z444" s="106"/>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214"/>
      <c r="BJ444" s="220"/>
      <c r="BK444" s="220"/>
    </row>
    <row r="445" spans="1:63" outlineLevel="1">
      <c r="A445" s="9"/>
      <c r="B445" s="46"/>
      <c r="C445" s="129">
        <f>Asset16</f>
        <v>0</v>
      </c>
      <c r="D445" s="9"/>
      <c r="E445" s="9"/>
      <c r="F445" s="141"/>
      <c r="G445" s="193">
        <f>Input!O22</f>
        <v>0</v>
      </c>
      <c r="H445" s="120"/>
      <c r="I445" s="120"/>
      <c r="J445" s="120"/>
      <c r="K445" s="120"/>
      <c r="L445" s="120"/>
      <c r="M445" s="106"/>
      <c r="N445" s="106"/>
      <c r="O445" s="106"/>
      <c r="P445" s="106"/>
      <c r="Q445" s="106"/>
      <c r="R445" s="106"/>
      <c r="S445" s="106"/>
      <c r="T445" s="106"/>
      <c r="U445" s="106"/>
      <c r="V445" s="106"/>
      <c r="W445" s="106"/>
      <c r="X445" s="106"/>
      <c r="Y445" s="106"/>
      <c r="Z445" s="106"/>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c r="BI445" s="214"/>
      <c r="BJ445" s="220"/>
      <c r="BK445" s="220"/>
    </row>
    <row r="446" spans="1:63" outlineLevel="1">
      <c r="A446" s="9"/>
      <c r="B446" s="46"/>
      <c r="C446" s="129">
        <f>Asset17</f>
        <v>0</v>
      </c>
      <c r="D446" s="9"/>
      <c r="E446" s="9"/>
      <c r="F446" s="141"/>
      <c r="G446" s="193">
        <f>Input!O23</f>
        <v>0</v>
      </c>
      <c r="H446" s="120"/>
      <c r="I446" s="120"/>
      <c r="J446" s="120"/>
      <c r="K446" s="120"/>
      <c r="L446" s="120"/>
      <c r="M446" s="106"/>
      <c r="N446" s="106"/>
      <c r="O446" s="106"/>
      <c r="P446" s="106"/>
      <c r="Q446" s="106"/>
      <c r="R446" s="106"/>
      <c r="S446" s="106"/>
      <c r="T446" s="106"/>
      <c r="U446" s="106"/>
      <c r="V446" s="106"/>
      <c r="W446" s="106"/>
      <c r="X446" s="106"/>
      <c r="Y446" s="106"/>
      <c r="Z446" s="106"/>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c r="BI446" s="214"/>
      <c r="BJ446" s="220"/>
      <c r="BK446" s="220"/>
    </row>
    <row r="447" spans="1:63" outlineLevel="1">
      <c r="A447" s="9"/>
      <c r="B447" s="46"/>
      <c r="C447" s="129">
        <f>Asset18</f>
        <v>0</v>
      </c>
      <c r="D447" s="9"/>
      <c r="E447" s="9"/>
      <c r="F447" s="141"/>
      <c r="G447" s="193">
        <f>Input!O24</f>
        <v>0</v>
      </c>
      <c r="H447" s="120"/>
      <c r="I447" s="120"/>
      <c r="J447" s="120"/>
      <c r="K447" s="120"/>
      <c r="L447" s="120"/>
      <c r="M447" s="106"/>
      <c r="N447" s="106"/>
      <c r="O447" s="106"/>
      <c r="P447" s="106"/>
      <c r="Q447" s="106"/>
      <c r="R447" s="106"/>
      <c r="S447" s="106"/>
      <c r="T447" s="106"/>
      <c r="U447" s="106"/>
      <c r="V447" s="106"/>
      <c r="W447" s="106"/>
      <c r="X447" s="106"/>
      <c r="Y447" s="106"/>
      <c r="Z447" s="106"/>
      <c r="AA447" s="214"/>
      <c r="AB447" s="214"/>
      <c r="AC447" s="214"/>
      <c r="AD447" s="214"/>
      <c r="AE447" s="214"/>
      <c r="AF447" s="214"/>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c r="BI447" s="214"/>
      <c r="BJ447" s="220"/>
      <c r="BK447" s="220"/>
    </row>
    <row r="448" spans="1:63" outlineLevel="1">
      <c r="A448" s="9"/>
      <c r="B448" s="46"/>
      <c r="C448" s="129">
        <f>Asset19</f>
        <v>0</v>
      </c>
      <c r="D448" s="9"/>
      <c r="E448" s="9"/>
      <c r="F448" s="141"/>
      <c r="G448" s="193">
        <f>Input!O25</f>
        <v>0</v>
      </c>
      <c r="H448" s="120"/>
      <c r="I448" s="120"/>
      <c r="J448" s="120"/>
      <c r="K448" s="120"/>
      <c r="L448" s="120"/>
      <c r="M448" s="106"/>
      <c r="N448" s="106"/>
      <c r="O448" s="106"/>
      <c r="P448" s="106"/>
      <c r="Q448" s="106"/>
      <c r="R448" s="106"/>
      <c r="S448" s="106"/>
      <c r="T448" s="106"/>
      <c r="U448" s="106"/>
      <c r="V448" s="106"/>
      <c r="W448" s="106"/>
      <c r="X448" s="106"/>
      <c r="Y448" s="106"/>
      <c r="Z448" s="106"/>
      <c r="AA448" s="214"/>
      <c r="AB448" s="214"/>
      <c r="AC448" s="214"/>
      <c r="AD448" s="214"/>
      <c r="AE448" s="214"/>
      <c r="AF448" s="214"/>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c r="BI448" s="214"/>
      <c r="BJ448" s="220"/>
      <c r="BK448" s="220"/>
    </row>
    <row r="449" spans="1:63" outlineLevel="1">
      <c r="A449" s="9"/>
      <c r="B449" s="46"/>
      <c r="C449" s="129">
        <f>Asset20</f>
        <v>0</v>
      </c>
      <c r="D449" s="9"/>
      <c r="E449" s="9"/>
      <c r="F449" s="141"/>
      <c r="G449" s="193">
        <f>Input!O26</f>
        <v>0</v>
      </c>
      <c r="H449" s="120"/>
      <c r="I449" s="120"/>
      <c r="J449" s="120"/>
      <c r="K449" s="120"/>
      <c r="L449" s="120"/>
      <c r="M449" s="106"/>
      <c r="N449" s="106"/>
      <c r="O449" s="106"/>
      <c r="P449" s="106"/>
      <c r="Q449" s="106"/>
      <c r="R449" s="106"/>
      <c r="S449" s="106"/>
      <c r="T449" s="106"/>
      <c r="U449" s="106"/>
      <c r="V449" s="106"/>
      <c r="W449" s="106"/>
      <c r="X449" s="106"/>
      <c r="Y449" s="106"/>
      <c r="Z449" s="106"/>
      <c r="AA449" s="214"/>
      <c r="AB449" s="214"/>
      <c r="AC449" s="214"/>
      <c r="AD449" s="214"/>
      <c r="AE449" s="214"/>
      <c r="AF449" s="214"/>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c r="BI449" s="214"/>
      <c r="BJ449" s="220"/>
      <c r="BK449" s="220"/>
    </row>
    <row r="450" spans="1:63" outlineLevel="1">
      <c r="A450" s="9"/>
      <c r="B450" s="46"/>
      <c r="C450" s="129">
        <f>Asset21</f>
        <v>0</v>
      </c>
      <c r="D450" s="9"/>
      <c r="E450" s="9"/>
      <c r="F450" s="141"/>
      <c r="G450" s="193">
        <f>Input!O27</f>
        <v>0</v>
      </c>
      <c r="H450" s="120"/>
      <c r="I450" s="120"/>
      <c r="J450" s="120"/>
      <c r="K450" s="120"/>
      <c r="L450" s="120"/>
      <c r="M450" s="106"/>
      <c r="N450" s="106"/>
      <c r="O450" s="106"/>
      <c r="P450" s="106"/>
      <c r="Q450" s="106"/>
      <c r="R450" s="106"/>
      <c r="S450" s="106"/>
      <c r="T450" s="106"/>
      <c r="U450" s="106"/>
      <c r="V450" s="106"/>
      <c r="W450" s="106"/>
      <c r="X450" s="106"/>
      <c r="Y450" s="106"/>
      <c r="Z450" s="106"/>
      <c r="AA450" s="214"/>
      <c r="AB450" s="214"/>
      <c r="AC450" s="214"/>
      <c r="AD450" s="214"/>
      <c r="AE450" s="214"/>
      <c r="AF450" s="214"/>
      <c r="AG450" s="214"/>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c r="BI450" s="214"/>
      <c r="BJ450" s="220"/>
      <c r="BK450" s="220"/>
    </row>
    <row r="451" spans="1:63" outlineLevel="1">
      <c r="A451" s="9"/>
      <c r="B451" s="46"/>
      <c r="C451" s="129">
        <f>Asset22</f>
        <v>0</v>
      </c>
      <c r="D451" s="9"/>
      <c r="E451" s="9"/>
      <c r="F451" s="141"/>
      <c r="G451" s="193">
        <f>Input!O28</f>
        <v>0</v>
      </c>
      <c r="H451" s="120"/>
      <c r="I451" s="120"/>
      <c r="J451" s="120"/>
      <c r="K451" s="120"/>
      <c r="L451" s="120"/>
      <c r="M451" s="106"/>
      <c r="N451" s="106"/>
      <c r="O451" s="106"/>
      <c r="P451" s="106"/>
      <c r="Q451" s="106"/>
      <c r="R451" s="106"/>
      <c r="S451" s="106"/>
      <c r="T451" s="106"/>
      <c r="U451" s="106"/>
      <c r="V451" s="106"/>
      <c r="W451" s="106"/>
      <c r="X451" s="106"/>
      <c r="Y451" s="106"/>
      <c r="Z451" s="106"/>
      <c r="AA451" s="214"/>
      <c r="AB451" s="214"/>
      <c r="AC451" s="214"/>
      <c r="AD451" s="214"/>
      <c r="AE451" s="214"/>
      <c r="AF451" s="214"/>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c r="BI451" s="214"/>
      <c r="BJ451" s="220"/>
      <c r="BK451" s="220"/>
    </row>
    <row r="452" spans="1:63" outlineLevel="1">
      <c r="A452" s="9"/>
      <c r="B452" s="46"/>
      <c r="C452" s="129">
        <f>Asset23</f>
        <v>0</v>
      </c>
      <c r="D452" s="9"/>
      <c r="E452" s="9"/>
      <c r="F452" s="141"/>
      <c r="G452" s="193">
        <f>Input!O29</f>
        <v>0</v>
      </c>
      <c r="H452" s="120"/>
      <c r="I452" s="120"/>
      <c r="J452" s="120"/>
      <c r="K452" s="120"/>
      <c r="L452" s="120"/>
      <c r="M452" s="106"/>
      <c r="N452" s="106"/>
      <c r="O452" s="106"/>
      <c r="P452" s="106"/>
      <c r="Q452" s="106"/>
      <c r="R452" s="106"/>
      <c r="S452" s="106"/>
      <c r="T452" s="106"/>
      <c r="U452" s="106"/>
      <c r="V452" s="106"/>
      <c r="W452" s="106"/>
      <c r="X452" s="106"/>
      <c r="Y452" s="106"/>
      <c r="Z452" s="106"/>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c r="BI452" s="214"/>
      <c r="BJ452" s="220"/>
      <c r="BK452" s="220"/>
    </row>
    <row r="453" spans="1:63" outlineLevel="1">
      <c r="A453" s="9"/>
      <c r="B453" s="46"/>
      <c r="C453" s="129">
        <f>Asset24</f>
        <v>0</v>
      </c>
      <c r="D453" s="9"/>
      <c r="E453" s="9"/>
      <c r="F453" s="141"/>
      <c r="G453" s="193">
        <f>Input!O30</f>
        <v>0</v>
      </c>
      <c r="H453" s="120"/>
      <c r="I453" s="120"/>
      <c r="J453" s="120"/>
      <c r="K453" s="120"/>
      <c r="L453" s="120"/>
      <c r="M453" s="106"/>
      <c r="N453" s="106"/>
      <c r="O453" s="106"/>
      <c r="P453" s="106"/>
      <c r="Q453" s="106"/>
      <c r="R453" s="106"/>
      <c r="S453" s="106"/>
      <c r="T453" s="106"/>
      <c r="U453" s="106"/>
      <c r="V453" s="106"/>
      <c r="W453" s="106"/>
      <c r="X453" s="106"/>
      <c r="Y453" s="106"/>
      <c r="Z453" s="106"/>
      <c r="AA453" s="214"/>
      <c r="AB453" s="214"/>
      <c r="AC453" s="214"/>
      <c r="AD453" s="214"/>
      <c r="AE453" s="214"/>
      <c r="AF453" s="214"/>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c r="BI453" s="214"/>
      <c r="BJ453" s="220"/>
      <c r="BK453" s="220"/>
    </row>
    <row r="454" spans="1:63" outlineLevel="1">
      <c r="A454" s="9"/>
      <c r="B454" s="46"/>
      <c r="C454" s="129">
        <f>Asset25</f>
        <v>0</v>
      </c>
      <c r="D454" s="9"/>
      <c r="E454" s="9"/>
      <c r="F454" s="141"/>
      <c r="G454" s="193">
        <f>Input!O31</f>
        <v>0</v>
      </c>
      <c r="H454" s="120"/>
      <c r="I454" s="120"/>
      <c r="J454" s="120"/>
      <c r="K454" s="120"/>
      <c r="L454" s="120"/>
      <c r="M454" s="106"/>
      <c r="N454" s="106"/>
      <c r="O454" s="106"/>
      <c r="P454" s="106"/>
      <c r="Q454" s="106"/>
      <c r="R454" s="106"/>
      <c r="S454" s="106"/>
      <c r="T454" s="106"/>
      <c r="U454" s="106"/>
      <c r="V454" s="106"/>
      <c r="W454" s="106"/>
      <c r="X454" s="106"/>
      <c r="Y454" s="106"/>
      <c r="Z454" s="106"/>
      <c r="AA454" s="214"/>
      <c r="AB454" s="214"/>
      <c r="AC454" s="214"/>
      <c r="AD454" s="214"/>
      <c r="AE454" s="214"/>
      <c r="AF454" s="214"/>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c r="BI454" s="214"/>
      <c r="BJ454" s="220"/>
      <c r="BK454" s="220"/>
    </row>
    <row r="455" spans="1:63" outlineLevel="1">
      <c r="A455" s="9"/>
      <c r="B455" s="46"/>
      <c r="C455" s="129">
        <f>Asset26</f>
        <v>0</v>
      </c>
      <c r="D455" s="9"/>
      <c r="E455" s="9"/>
      <c r="F455" s="141"/>
      <c r="G455" s="193">
        <f>Input!O32</f>
        <v>0</v>
      </c>
      <c r="H455" s="120"/>
      <c r="I455" s="120"/>
      <c r="J455" s="120"/>
      <c r="K455" s="120"/>
      <c r="L455" s="120"/>
      <c r="M455" s="106"/>
      <c r="N455" s="106"/>
      <c r="O455" s="106"/>
      <c r="P455" s="106"/>
      <c r="Q455" s="106"/>
      <c r="R455" s="106"/>
      <c r="S455" s="106"/>
      <c r="T455" s="106"/>
      <c r="U455" s="106"/>
      <c r="V455" s="106"/>
      <c r="W455" s="106"/>
      <c r="X455" s="106"/>
      <c r="Y455" s="106"/>
      <c r="Z455" s="106"/>
      <c r="AA455" s="214"/>
      <c r="AB455" s="214"/>
      <c r="AC455" s="214"/>
      <c r="AD455" s="214"/>
      <c r="AE455" s="214"/>
      <c r="AF455" s="214"/>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c r="BI455" s="214"/>
      <c r="BJ455" s="220"/>
      <c r="BK455" s="220"/>
    </row>
    <row r="456" spans="1:63" outlineLevel="1">
      <c r="A456" s="9"/>
      <c r="B456" s="46"/>
      <c r="C456" s="129">
        <f>Asset27</f>
        <v>0</v>
      </c>
      <c r="D456" s="9"/>
      <c r="E456" s="9"/>
      <c r="F456" s="141"/>
      <c r="G456" s="193">
        <f>Input!O33</f>
        <v>0</v>
      </c>
      <c r="H456" s="120"/>
      <c r="I456" s="120"/>
      <c r="J456" s="120"/>
      <c r="K456" s="120"/>
      <c r="L456" s="120"/>
      <c r="M456" s="106"/>
      <c r="N456" s="106"/>
      <c r="O456" s="106"/>
      <c r="P456" s="106"/>
      <c r="Q456" s="106"/>
      <c r="R456" s="106"/>
      <c r="S456" s="106"/>
      <c r="T456" s="106"/>
      <c r="U456" s="106"/>
      <c r="V456" s="106"/>
      <c r="W456" s="106"/>
      <c r="X456" s="106"/>
      <c r="Y456" s="106"/>
      <c r="Z456" s="106"/>
      <c r="AA456" s="214"/>
      <c r="AB456" s="214"/>
      <c r="AC456" s="214"/>
      <c r="AD456" s="214"/>
      <c r="AE456" s="214"/>
      <c r="AF456" s="214"/>
      <c r="AG456" s="214"/>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c r="BI456" s="214"/>
      <c r="BJ456" s="220"/>
      <c r="BK456" s="220"/>
    </row>
    <row r="457" spans="1:63" outlineLevel="1">
      <c r="A457" s="9"/>
      <c r="B457" s="46"/>
      <c r="C457" s="129">
        <f>Asset28</f>
        <v>0</v>
      </c>
      <c r="D457" s="9"/>
      <c r="E457" s="9"/>
      <c r="F457" s="141"/>
      <c r="G457" s="193">
        <f>Input!O34</f>
        <v>0</v>
      </c>
      <c r="H457" s="120"/>
      <c r="I457" s="120"/>
      <c r="J457" s="120"/>
      <c r="K457" s="120"/>
      <c r="L457" s="120"/>
      <c r="M457" s="106"/>
      <c r="N457" s="106"/>
      <c r="O457" s="106"/>
      <c r="P457" s="106"/>
      <c r="Q457" s="106"/>
      <c r="R457" s="106"/>
      <c r="S457" s="106"/>
      <c r="T457" s="106"/>
      <c r="U457" s="106"/>
      <c r="V457" s="106"/>
      <c r="W457" s="106"/>
      <c r="X457" s="106"/>
      <c r="Y457" s="106"/>
      <c r="Z457" s="106"/>
      <c r="AA457" s="214"/>
      <c r="AB457" s="214"/>
      <c r="AC457" s="214"/>
      <c r="AD457" s="214"/>
      <c r="AE457" s="214"/>
      <c r="AF457" s="214"/>
      <c r="AG457" s="214"/>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c r="BI457" s="214"/>
      <c r="BJ457" s="220"/>
      <c r="BK457" s="220"/>
    </row>
    <row r="458" spans="1:63" outlineLevel="1">
      <c r="A458" s="9"/>
      <c r="B458" s="46"/>
      <c r="C458" s="129">
        <f>Asset29</f>
        <v>0</v>
      </c>
      <c r="D458" s="9"/>
      <c r="E458" s="9"/>
      <c r="F458" s="141"/>
      <c r="G458" s="193">
        <f>Input!O35</f>
        <v>0</v>
      </c>
      <c r="H458" s="120"/>
      <c r="I458" s="120"/>
      <c r="J458" s="120"/>
      <c r="K458" s="120"/>
      <c r="L458" s="120"/>
      <c r="M458" s="106"/>
      <c r="N458" s="106"/>
      <c r="O458" s="106"/>
      <c r="P458" s="106"/>
      <c r="Q458" s="106"/>
      <c r="R458" s="106"/>
      <c r="S458" s="106"/>
      <c r="T458" s="106"/>
      <c r="U458" s="106"/>
      <c r="V458" s="106"/>
      <c r="W458" s="106"/>
      <c r="X458" s="106"/>
      <c r="Y458" s="106"/>
      <c r="Z458" s="106"/>
      <c r="AA458" s="214"/>
      <c r="AB458" s="214"/>
      <c r="AC458" s="214"/>
      <c r="AD458" s="214"/>
      <c r="AE458" s="214"/>
      <c r="AF458" s="214"/>
      <c r="AG458" s="214"/>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c r="BI458" s="214"/>
      <c r="BJ458" s="220"/>
      <c r="BK458" s="220"/>
    </row>
    <row r="459" spans="1:63" outlineLevel="1">
      <c r="A459" s="9"/>
      <c r="B459" s="46"/>
      <c r="C459" s="129">
        <f>Asset30</f>
        <v>0</v>
      </c>
      <c r="D459" s="9"/>
      <c r="E459" s="9"/>
      <c r="F459" s="141"/>
      <c r="G459" s="193">
        <f>Input!O36</f>
        <v>0</v>
      </c>
      <c r="H459" s="120"/>
      <c r="I459" s="120"/>
      <c r="J459" s="120"/>
      <c r="K459" s="120"/>
      <c r="L459" s="120"/>
      <c r="M459" s="106"/>
      <c r="N459" s="106"/>
      <c r="O459" s="106"/>
      <c r="P459" s="106"/>
      <c r="Q459" s="106"/>
      <c r="R459" s="106"/>
      <c r="S459" s="106"/>
      <c r="T459" s="106"/>
      <c r="U459" s="106"/>
      <c r="V459" s="106"/>
      <c r="W459" s="106"/>
      <c r="X459" s="106"/>
      <c r="Y459" s="106"/>
      <c r="Z459" s="106"/>
      <c r="AA459" s="214"/>
      <c r="AB459" s="214"/>
      <c r="AC459" s="214"/>
      <c r="AD459" s="214"/>
      <c r="AE459" s="214"/>
      <c r="AF459" s="214"/>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c r="BI459" s="214"/>
      <c r="BJ459" s="220"/>
      <c r="BK459" s="220"/>
    </row>
    <row r="460" spans="1:63">
      <c r="A460" s="9"/>
      <c r="B460" s="46"/>
      <c r="C460" s="129"/>
      <c r="D460" s="9"/>
      <c r="E460" s="9"/>
      <c r="F460" s="141"/>
      <c r="G460" s="193"/>
      <c r="H460" s="120"/>
      <c r="I460" s="120"/>
      <c r="J460" s="120"/>
      <c r="K460" s="120"/>
      <c r="L460" s="120"/>
      <c r="M460" s="106"/>
      <c r="N460" s="106"/>
      <c r="O460" s="106"/>
      <c r="P460" s="106"/>
      <c r="Q460" s="106"/>
      <c r="R460" s="106"/>
      <c r="S460" s="106"/>
      <c r="T460" s="106"/>
      <c r="U460" s="106"/>
      <c r="V460" s="106"/>
      <c r="W460" s="106"/>
      <c r="X460" s="106"/>
      <c r="Y460" s="106"/>
      <c r="Z460" s="106"/>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20"/>
      <c r="BK460" s="220"/>
    </row>
    <row r="461" spans="1:63">
      <c r="A461" s="9"/>
      <c r="B461" s="46" t="s">
        <v>63</v>
      </c>
      <c r="C461" s="129"/>
      <c r="D461" s="9"/>
      <c r="E461" s="9"/>
      <c r="F461" s="141"/>
      <c r="G461" s="195">
        <f>SUM(G462:G491)</f>
        <v>0</v>
      </c>
      <c r="H461" s="120"/>
      <c r="I461" s="120"/>
      <c r="J461" s="120"/>
      <c r="K461" s="120"/>
      <c r="L461" s="120"/>
      <c r="M461" s="106"/>
      <c r="N461" s="106"/>
      <c r="O461" s="106"/>
      <c r="P461" s="106"/>
      <c r="Q461" s="106"/>
      <c r="R461" s="106"/>
      <c r="S461" s="106"/>
      <c r="T461" s="106"/>
      <c r="U461" s="106"/>
      <c r="V461" s="106"/>
      <c r="W461" s="106"/>
      <c r="X461" s="106"/>
      <c r="Y461" s="106"/>
      <c r="Z461" s="106"/>
      <c r="AA461" s="214"/>
      <c r="AB461" s="214"/>
      <c r="AC461" s="214"/>
      <c r="AD461" s="214"/>
      <c r="AE461" s="214"/>
      <c r="AF461" s="214"/>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c r="BI461" s="214"/>
      <c r="BJ461" s="220"/>
      <c r="BK461" s="220"/>
    </row>
    <row r="462" spans="1:63" ht="12.75" customHeight="1" outlineLevel="1">
      <c r="A462" s="9"/>
      <c r="B462" s="9"/>
      <c r="C462" s="129" t="str">
        <f>Asset1</f>
        <v>Mains &amp; Services</v>
      </c>
      <c r="D462" s="9"/>
      <c r="E462" s="9"/>
      <c r="F462" s="141"/>
      <c r="G462" s="193">
        <f>Input!P7</f>
        <v>0</v>
      </c>
      <c r="H462" s="120"/>
      <c r="I462" s="120"/>
      <c r="J462" s="120"/>
      <c r="K462" s="120"/>
      <c r="L462" s="120"/>
      <c r="M462" s="106"/>
      <c r="N462" s="106"/>
      <c r="O462" s="106"/>
      <c r="P462" s="106"/>
      <c r="Q462" s="106"/>
      <c r="R462" s="106"/>
      <c r="S462" s="106"/>
      <c r="T462" s="106"/>
      <c r="U462" s="106"/>
      <c r="V462" s="106"/>
      <c r="W462" s="106"/>
      <c r="X462" s="106"/>
      <c r="Y462" s="106"/>
      <c r="Z462" s="106"/>
      <c r="AA462" s="214"/>
      <c r="AB462" s="214"/>
      <c r="AC462" s="214"/>
      <c r="AD462" s="214"/>
      <c r="AE462" s="214"/>
      <c r="AF462" s="214"/>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c r="BI462" s="214"/>
      <c r="BJ462" s="220"/>
      <c r="BK462" s="220"/>
    </row>
    <row r="463" spans="1:63" ht="12.75" customHeight="1" outlineLevel="1">
      <c r="A463" s="9"/>
      <c r="B463" s="46"/>
      <c r="C463" s="129" t="str">
        <f>Asset2</f>
        <v>Meters</v>
      </c>
      <c r="D463" s="9"/>
      <c r="E463" s="9"/>
      <c r="F463" s="141"/>
      <c r="G463" s="193">
        <f>Input!P8</f>
        <v>0</v>
      </c>
      <c r="H463" s="120"/>
      <c r="I463" s="120"/>
      <c r="J463" s="120"/>
      <c r="K463" s="120"/>
      <c r="L463" s="120"/>
      <c r="M463" s="106"/>
      <c r="N463" s="106"/>
      <c r="O463" s="106"/>
      <c r="P463" s="106"/>
      <c r="Q463" s="106"/>
      <c r="R463" s="106"/>
      <c r="S463" s="106"/>
      <c r="T463" s="106"/>
      <c r="U463" s="106"/>
      <c r="V463" s="106"/>
      <c r="W463" s="106"/>
      <c r="X463" s="106"/>
      <c r="Y463" s="106"/>
      <c r="Z463" s="106"/>
      <c r="AA463" s="214"/>
      <c r="AB463" s="214"/>
      <c r="AC463" s="214"/>
      <c r="AD463" s="214"/>
      <c r="AE463" s="214"/>
      <c r="AF463" s="214"/>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c r="BI463" s="214"/>
      <c r="BJ463" s="220"/>
      <c r="BK463" s="220"/>
    </row>
    <row r="464" spans="1:63" ht="12.75" customHeight="1" outlineLevel="1">
      <c r="A464" s="9"/>
      <c r="B464" s="46"/>
      <c r="C464" s="129" t="str">
        <f>Asset3</f>
        <v>Buildings</v>
      </c>
      <c r="D464" s="9"/>
      <c r="E464" s="9"/>
      <c r="F464" s="141"/>
      <c r="G464" s="193">
        <f>Input!P9</f>
        <v>0</v>
      </c>
      <c r="H464" s="120"/>
      <c r="I464" s="120"/>
      <c r="J464" s="120"/>
      <c r="K464" s="120"/>
      <c r="L464" s="120"/>
      <c r="M464" s="106"/>
      <c r="N464" s="106"/>
      <c r="O464" s="106"/>
      <c r="P464" s="106"/>
      <c r="Q464" s="106"/>
      <c r="R464" s="106"/>
      <c r="S464" s="106"/>
      <c r="T464" s="106"/>
      <c r="U464" s="106"/>
      <c r="V464" s="106"/>
      <c r="W464" s="106"/>
      <c r="X464" s="106"/>
      <c r="Y464" s="106"/>
      <c r="Z464" s="106"/>
      <c r="AA464" s="214"/>
      <c r="AB464" s="214"/>
      <c r="AC464" s="214"/>
      <c r="AD464" s="214"/>
      <c r="AE464" s="214"/>
      <c r="AF464" s="214"/>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c r="BI464" s="214"/>
      <c r="BJ464" s="220"/>
      <c r="BK464" s="220"/>
    </row>
    <row r="465" spans="1:63" ht="12.75" customHeight="1" outlineLevel="1">
      <c r="A465" s="9"/>
      <c r="B465" s="46"/>
      <c r="C465" s="129" t="str">
        <f>Asset4</f>
        <v>SCADA</v>
      </c>
      <c r="D465" s="9"/>
      <c r="E465" s="9"/>
      <c r="F465" s="141"/>
      <c r="G465" s="193">
        <f>Input!P10</f>
        <v>0</v>
      </c>
      <c r="H465" s="120"/>
      <c r="I465" s="120"/>
      <c r="J465" s="120"/>
      <c r="K465" s="120"/>
      <c r="L465" s="120"/>
      <c r="M465" s="106"/>
      <c r="N465" s="106"/>
      <c r="O465" s="106"/>
      <c r="P465" s="106"/>
      <c r="Q465" s="106"/>
      <c r="R465" s="106"/>
      <c r="S465" s="106"/>
      <c r="T465" s="106"/>
      <c r="U465" s="106"/>
      <c r="V465" s="106"/>
      <c r="W465" s="106"/>
      <c r="X465" s="106"/>
      <c r="Y465" s="106"/>
      <c r="Z465" s="106"/>
      <c r="AA465" s="214"/>
      <c r="AB465" s="214"/>
      <c r="AC465" s="214"/>
      <c r="AD465" s="214"/>
      <c r="AE465" s="214"/>
      <c r="AF465" s="214"/>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214"/>
      <c r="BJ465" s="220"/>
      <c r="BK465" s="220"/>
    </row>
    <row r="466" spans="1:63" ht="12.75" customHeight="1" outlineLevel="1">
      <c r="A466" s="9"/>
      <c r="B466" s="46"/>
      <c r="C466" s="129" t="str">
        <f>Asset5</f>
        <v>Computer Equipment</v>
      </c>
      <c r="D466" s="9"/>
      <c r="E466" s="9"/>
      <c r="F466" s="141"/>
      <c r="G466" s="193">
        <f>Input!P11</f>
        <v>0</v>
      </c>
      <c r="H466" s="120"/>
      <c r="I466" s="120"/>
      <c r="J466" s="120"/>
      <c r="K466" s="120"/>
      <c r="L466" s="120"/>
      <c r="M466" s="106"/>
      <c r="N466" s="106"/>
      <c r="O466" s="106"/>
      <c r="P466" s="106"/>
      <c r="Q466" s="106"/>
      <c r="R466" s="106"/>
      <c r="S466" s="106"/>
      <c r="T466" s="106"/>
      <c r="U466" s="106"/>
      <c r="V466" s="106"/>
      <c r="W466" s="106"/>
      <c r="X466" s="106"/>
      <c r="Y466" s="106"/>
      <c r="Z466" s="106"/>
      <c r="AA466" s="214"/>
      <c r="AB466" s="214"/>
      <c r="AC466" s="214"/>
      <c r="AD466" s="214"/>
      <c r="AE466" s="214"/>
      <c r="AF466" s="214"/>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214"/>
      <c r="BJ466" s="220"/>
      <c r="BK466" s="220"/>
    </row>
    <row r="467" spans="1:63" ht="12.75" customHeight="1" outlineLevel="1">
      <c r="A467" s="9"/>
      <c r="B467" s="46"/>
      <c r="C467" s="129" t="str">
        <f>Asset6</f>
        <v>Other Assets</v>
      </c>
      <c r="D467" s="9"/>
      <c r="E467" s="9"/>
      <c r="F467" s="141"/>
      <c r="G467" s="193">
        <f>Input!P12</f>
        <v>0</v>
      </c>
      <c r="H467" s="120"/>
      <c r="I467" s="120"/>
      <c r="J467" s="120"/>
      <c r="K467" s="120"/>
      <c r="L467" s="120"/>
      <c r="M467" s="106"/>
      <c r="N467" s="106"/>
      <c r="O467" s="106"/>
      <c r="P467" s="106"/>
      <c r="Q467" s="106"/>
      <c r="R467" s="106"/>
      <c r="S467" s="106"/>
      <c r="T467" s="106"/>
      <c r="U467" s="106"/>
      <c r="V467" s="106"/>
      <c r="W467" s="106"/>
      <c r="X467" s="106"/>
      <c r="Y467" s="106"/>
      <c r="Z467" s="106"/>
      <c r="AA467" s="214"/>
      <c r="AB467" s="214"/>
      <c r="AC467" s="214"/>
      <c r="AD467" s="214"/>
      <c r="AE467" s="214"/>
      <c r="AF467" s="214"/>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214"/>
      <c r="BJ467" s="220"/>
      <c r="BK467" s="220"/>
    </row>
    <row r="468" spans="1:63" ht="12.75" customHeight="1" outlineLevel="1">
      <c r="A468" s="9"/>
      <c r="B468" s="46"/>
      <c r="C468" s="129" t="str">
        <f>Asset7</f>
        <v>Equity Raising Costs</v>
      </c>
      <c r="D468" s="9"/>
      <c r="E468" s="9"/>
      <c r="F468" s="141"/>
      <c r="G468" s="193">
        <f>Input!P13</f>
        <v>0</v>
      </c>
      <c r="H468" s="120"/>
      <c r="I468" s="120"/>
      <c r="J468" s="120"/>
      <c r="K468" s="120"/>
      <c r="L468" s="120"/>
      <c r="M468" s="106"/>
      <c r="N468" s="106"/>
      <c r="O468" s="106"/>
      <c r="P468" s="106"/>
      <c r="Q468" s="106"/>
      <c r="R468" s="106"/>
      <c r="S468" s="106"/>
      <c r="T468" s="106"/>
      <c r="U468" s="106"/>
      <c r="V468" s="106"/>
      <c r="W468" s="106"/>
      <c r="X468" s="106"/>
      <c r="Y468" s="106"/>
      <c r="Z468" s="106"/>
      <c r="AA468" s="214"/>
      <c r="AB468" s="214"/>
      <c r="AC468" s="214"/>
      <c r="AD468" s="214"/>
      <c r="AE468" s="214"/>
      <c r="AF468" s="214"/>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c r="BI468" s="214"/>
      <c r="BJ468" s="220"/>
      <c r="BK468" s="220"/>
    </row>
    <row r="469" spans="1:63" ht="12.75" customHeight="1" outlineLevel="1">
      <c r="A469" s="9"/>
      <c r="B469" s="46"/>
      <c r="C469" s="129" t="str">
        <f>Asset8</f>
        <v>Land</v>
      </c>
      <c r="D469" s="9"/>
      <c r="E469" s="9"/>
      <c r="F469" s="141"/>
      <c r="G469" s="193">
        <f>Input!P14</f>
        <v>0</v>
      </c>
      <c r="H469" s="120"/>
      <c r="I469" s="120"/>
      <c r="J469" s="120"/>
      <c r="K469" s="120"/>
      <c r="L469" s="120"/>
      <c r="M469" s="106"/>
      <c r="N469" s="106"/>
      <c r="O469" s="106"/>
      <c r="P469" s="106"/>
      <c r="Q469" s="106"/>
      <c r="R469" s="106"/>
      <c r="S469" s="106"/>
      <c r="T469" s="106"/>
      <c r="U469" s="106"/>
      <c r="V469" s="106"/>
      <c r="W469" s="106"/>
      <c r="X469" s="106"/>
      <c r="Y469" s="106"/>
      <c r="Z469" s="106"/>
      <c r="AA469" s="214"/>
      <c r="AB469" s="214"/>
      <c r="AC469" s="214"/>
      <c r="AD469" s="214"/>
      <c r="AE469" s="214"/>
      <c r="AF469" s="214"/>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c r="BI469" s="214"/>
      <c r="BJ469" s="220"/>
      <c r="BK469" s="220"/>
    </row>
    <row r="470" spans="1:63" ht="12.75" customHeight="1" outlineLevel="1">
      <c r="A470" s="9"/>
      <c r="B470" s="46"/>
      <c r="C470" s="129">
        <f>Asset9</f>
        <v>0</v>
      </c>
      <c r="D470" s="9"/>
      <c r="E470" s="9"/>
      <c r="F470" s="141"/>
      <c r="G470" s="193">
        <f>Input!P15</f>
        <v>0</v>
      </c>
      <c r="H470" s="120"/>
      <c r="I470" s="120"/>
      <c r="J470" s="120"/>
      <c r="K470" s="120"/>
      <c r="L470" s="120"/>
      <c r="M470" s="106"/>
      <c r="N470" s="106"/>
      <c r="O470" s="106"/>
      <c r="P470" s="106"/>
      <c r="Q470" s="106"/>
      <c r="R470" s="106"/>
      <c r="S470" s="106"/>
      <c r="T470" s="106"/>
      <c r="U470" s="106"/>
      <c r="V470" s="106"/>
      <c r="W470" s="106"/>
      <c r="X470" s="106"/>
      <c r="Y470" s="106"/>
      <c r="Z470" s="106"/>
      <c r="AA470" s="214"/>
      <c r="AB470" s="214"/>
      <c r="AC470" s="214"/>
      <c r="AD470" s="214"/>
      <c r="AE470" s="214"/>
      <c r="AF470" s="214"/>
      <c r="AG470" s="214"/>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c r="BI470" s="214"/>
      <c r="BJ470" s="220"/>
      <c r="BK470" s="220"/>
    </row>
    <row r="471" spans="1:63" ht="12.75" customHeight="1" outlineLevel="1">
      <c r="A471" s="9"/>
      <c r="B471" s="46"/>
      <c r="C471" s="129">
        <f>Asset10</f>
        <v>0</v>
      </c>
      <c r="D471" s="9"/>
      <c r="E471" s="9"/>
      <c r="F471" s="141"/>
      <c r="G471" s="193">
        <f>Input!P16</f>
        <v>0</v>
      </c>
      <c r="H471" s="120"/>
      <c r="I471" s="120"/>
      <c r="J471" s="120"/>
      <c r="K471" s="120"/>
      <c r="L471" s="120"/>
      <c r="M471" s="106"/>
      <c r="N471" s="106"/>
      <c r="O471" s="106"/>
      <c r="P471" s="106"/>
      <c r="Q471" s="106"/>
      <c r="R471" s="106"/>
      <c r="S471" s="106"/>
      <c r="T471" s="106"/>
      <c r="U471" s="106"/>
      <c r="V471" s="106"/>
      <c r="W471" s="106"/>
      <c r="X471" s="106"/>
      <c r="Y471" s="106"/>
      <c r="Z471" s="106"/>
      <c r="AA471" s="214"/>
      <c r="AB471" s="214"/>
      <c r="AC471" s="214"/>
      <c r="AD471" s="214"/>
      <c r="AE471" s="214"/>
      <c r="AF471" s="214"/>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c r="BI471" s="214"/>
      <c r="BJ471" s="220"/>
      <c r="BK471" s="220"/>
    </row>
    <row r="472" spans="1:63" ht="12.75" customHeight="1" outlineLevel="1">
      <c r="A472" s="9"/>
      <c r="B472" s="46"/>
      <c r="C472" s="129">
        <f>Asset11</f>
        <v>0</v>
      </c>
      <c r="D472" s="9"/>
      <c r="E472" s="9"/>
      <c r="F472" s="141"/>
      <c r="G472" s="193">
        <f>Input!P17</f>
        <v>0</v>
      </c>
      <c r="H472" s="120"/>
      <c r="I472" s="120"/>
      <c r="J472" s="120"/>
      <c r="K472" s="120"/>
      <c r="L472" s="120"/>
      <c r="M472" s="106"/>
      <c r="N472" s="106"/>
      <c r="O472" s="106"/>
      <c r="P472" s="106"/>
      <c r="Q472" s="106"/>
      <c r="R472" s="106"/>
      <c r="S472" s="106"/>
      <c r="T472" s="106"/>
      <c r="U472" s="106"/>
      <c r="V472" s="106"/>
      <c r="W472" s="106"/>
      <c r="X472" s="106"/>
      <c r="Y472" s="106"/>
      <c r="Z472" s="106"/>
      <c r="AA472" s="214"/>
      <c r="AB472" s="214"/>
      <c r="AC472" s="214"/>
      <c r="AD472" s="214"/>
      <c r="AE472" s="214"/>
      <c r="AF472" s="214"/>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c r="BI472" s="214"/>
      <c r="BJ472" s="220"/>
      <c r="BK472" s="220"/>
    </row>
    <row r="473" spans="1:63" ht="12.75" customHeight="1" outlineLevel="1">
      <c r="A473" s="9"/>
      <c r="B473" s="46"/>
      <c r="C473" s="129">
        <f>Asset12</f>
        <v>0</v>
      </c>
      <c r="D473" s="9"/>
      <c r="E473" s="9"/>
      <c r="F473" s="141"/>
      <c r="G473" s="193">
        <f>Input!P18</f>
        <v>0</v>
      </c>
      <c r="H473" s="120"/>
      <c r="I473" s="120"/>
      <c r="J473" s="120"/>
      <c r="K473" s="120"/>
      <c r="L473" s="120"/>
      <c r="M473" s="106"/>
      <c r="N473" s="106"/>
      <c r="O473" s="106"/>
      <c r="P473" s="106"/>
      <c r="Q473" s="106"/>
      <c r="R473" s="106"/>
      <c r="S473" s="106"/>
      <c r="T473" s="106"/>
      <c r="U473" s="106"/>
      <c r="V473" s="106"/>
      <c r="W473" s="106"/>
      <c r="X473" s="106"/>
      <c r="Y473" s="106"/>
      <c r="Z473" s="106"/>
      <c r="AA473" s="214"/>
      <c r="AB473" s="214"/>
      <c r="AC473" s="214"/>
      <c r="AD473" s="214"/>
      <c r="AE473" s="214"/>
      <c r="AF473" s="214"/>
      <c r="AG473" s="214"/>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c r="BI473" s="214"/>
      <c r="BJ473" s="220"/>
      <c r="BK473" s="220"/>
    </row>
    <row r="474" spans="1:63" ht="12.75" customHeight="1" outlineLevel="1">
      <c r="A474" s="9"/>
      <c r="B474" s="46"/>
      <c r="C474" s="129">
        <f>Asset13</f>
        <v>0</v>
      </c>
      <c r="D474" s="9"/>
      <c r="E474" s="9"/>
      <c r="F474" s="141"/>
      <c r="G474" s="193">
        <f>Input!P19</f>
        <v>0</v>
      </c>
      <c r="H474" s="120"/>
      <c r="I474" s="120"/>
      <c r="J474" s="120"/>
      <c r="K474" s="120"/>
      <c r="L474" s="120"/>
      <c r="M474" s="106"/>
      <c r="N474" s="106"/>
      <c r="O474" s="106"/>
      <c r="P474" s="106"/>
      <c r="Q474" s="106"/>
      <c r="R474" s="106"/>
      <c r="S474" s="106"/>
      <c r="T474" s="106"/>
      <c r="U474" s="106"/>
      <c r="V474" s="106"/>
      <c r="W474" s="106"/>
      <c r="X474" s="106"/>
      <c r="Y474" s="106"/>
      <c r="Z474" s="106"/>
      <c r="AA474" s="214"/>
      <c r="AB474" s="214"/>
      <c r="AC474" s="214"/>
      <c r="AD474" s="214"/>
      <c r="AE474" s="214"/>
      <c r="AF474" s="214"/>
      <c r="AG474" s="214"/>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c r="BI474" s="214"/>
      <c r="BJ474" s="220"/>
      <c r="BK474" s="220"/>
    </row>
    <row r="475" spans="1:63" ht="12.75" customHeight="1" outlineLevel="1">
      <c r="A475" s="9"/>
      <c r="B475" s="46"/>
      <c r="C475" s="129">
        <f>Asset14</f>
        <v>0</v>
      </c>
      <c r="D475" s="9"/>
      <c r="E475" s="9"/>
      <c r="F475" s="141"/>
      <c r="G475" s="193">
        <f>Input!P20</f>
        <v>0</v>
      </c>
      <c r="H475" s="120"/>
      <c r="I475" s="120"/>
      <c r="J475" s="120"/>
      <c r="K475" s="120"/>
      <c r="L475" s="120"/>
      <c r="M475" s="106"/>
      <c r="N475" s="106"/>
      <c r="O475" s="106"/>
      <c r="P475" s="106"/>
      <c r="Q475" s="106"/>
      <c r="R475" s="106"/>
      <c r="S475" s="106"/>
      <c r="T475" s="106"/>
      <c r="U475" s="106"/>
      <c r="V475" s="106"/>
      <c r="W475" s="106"/>
      <c r="X475" s="106"/>
      <c r="Y475" s="106"/>
      <c r="Z475" s="106"/>
      <c r="AA475" s="214"/>
      <c r="AB475" s="214"/>
      <c r="AC475" s="214"/>
      <c r="AD475" s="214"/>
      <c r="AE475" s="214"/>
      <c r="AF475" s="214"/>
      <c r="AG475" s="214"/>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c r="BI475" s="214"/>
      <c r="BJ475" s="220"/>
      <c r="BK475" s="220"/>
    </row>
    <row r="476" spans="1:63" ht="12.75" customHeight="1" outlineLevel="1">
      <c r="A476" s="9"/>
      <c r="B476" s="46"/>
      <c r="C476" s="129">
        <f>Asset15</f>
        <v>0</v>
      </c>
      <c r="D476" s="9"/>
      <c r="E476" s="9"/>
      <c r="F476" s="141"/>
      <c r="G476" s="193">
        <f>Input!P21</f>
        <v>0</v>
      </c>
      <c r="H476" s="120"/>
      <c r="I476" s="120"/>
      <c r="J476" s="120"/>
      <c r="K476" s="120"/>
      <c r="L476" s="120"/>
      <c r="M476" s="106"/>
      <c r="N476" s="106"/>
      <c r="O476" s="106"/>
      <c r="P476" s="106"/>
      <c r="Q476" s="106"/>
      <c r="R476" s="106"/>
      <c r="S476" s="106"/>
      <c r="T476" s="106"/>
      <c r="U476" s="106"/>
      <c r="V476" s="106"/>
      <c r="W476" s="106"/>
      <c r="X476" s="106"/>
      <c r="Y476" s="106"/>
      <c r="Z476" s="106"/>
      <c r="AA476" s="214"/>
      <c r="AB476" s="214"/>
      <c r="AC476" s="214"/>
      <c r="AD476" s="214"/>
      <c r="AE476" s="214"/>
      <c r="AF476" s="214"/>
      <c r="AG476" s="214"/>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c r="BI476" s="214"/>
      <c r="BJ476" s="220"/>
      <c r="BK476" s="220"/>
    </row>
    <row r="477" spans="1:63" ht="12.75" customHeight="1" outlineLevel="1">
      <c r="A477" s="9"/>
      <c r="B477" s="46"/>
      <c r="C477" s="129">
        <f>Asset16</f>
        <v>0</v>
      </c>
      <c r="D477" s="9"/>
      <c r="E477" s="9"/>
      <c r="F477" s="141"/>
      <c r="G477" s="193">
        <f>Input!P22</f>
        <v>0</v>
      </c>
      <c r="H477" s="120"/>
      <c r="I477" s="120"/>
      <c r="J477" s="120"/>
      <c r="K477" s="120"/>
      <c r="L477" s="120"/>
      <c r="M477" s="106"/>
      <c r="N477" s="106"/>
      <c r="O477" s="106"/>
      <c r="P477" s="106"/>
      <c r="Q477" s="106"/>
      <c r="R477" s="106"/>
      <c r="S477" s="106"/>
      <c r="T477" s="106"/>
      <c r="U477" s="106"/>
      <c r="V477" s="106"/>
      <c r="W477" s="106"/>
      <c r="X477" s="106"/>
      <c r="Y477" s="106"/>
      <c r="Z477" s="106"/>
      <c r="AA477" s="214"/>
      <c r="AB477" s="214"/>
      <c r="AC477" s="214"/>
      <c r="AD477" s="214"/>
      <c r="AE477" s="214"/>
      <c r="AF477" s="214"/>
      <c r="AG477" s="214"/>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c r="BI477" s="214"/>
      <c r="BJ477" s="220"/>
      <c r="BK477" s="220"/>
    </row>
    <row r="478" spans="1:63" ht="12.75" customHeight="1" outlineLevel="1">
      <c r="A478" s="9"/>
      <c r="B478" s="46"/>
      <c r="C478" s="129">
        <f>Asset17</f>
        <v>0</v>
      </c>
      <c r="D478" s="9"/>
      <c r="E478" s="9"/>
      <c r="F478" s="141"/>
      <c r="G478" s="193">
        <f>Input!P23</f>
        <v>0</v>
      </c>
      <c r="H478" s="120"/>
      <c r="I478" s="120"/>
      <c r="J478" s="120"/>
      <c r="K478" s="120"/>
      <c r="L478" s="120"/>
      <c r="M478" s="106"/>
      <c r="N478" s="106"/>
      <c r="O478" s="106"/>
      <c r="P478" s="106"/>
      <c r="Q478" s="106"/>
      <c r="R478" s="106"/>
      <c r="S478" s="106"/>
      <c r="T478" s="106"/>
      <c r="U478" s="106"/>
      <c r="V478" s="106"/>
      <c r="W478" s="106"/>
      <c r="X478" s="106"/>
      <c r="Y478" s="106"/>
      <c r="Z478" s="106"/>
      <c r="AA478" s="214"/>
      <c r="AB478" s="214"/>
      <c r="AC478" s="214"/>
      <c r="AD478" s="214"/>
      <c r="AE478" s="214"/>
      <c r="AF478" s="214"/>
      <c r="AG478" s="214"/>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c r="BI478" s="214"/>
      <c r="BJ478" s="220"/>
      <c r="BK478" s="220"/>
    </row>
    <row r="479" spans="1:63" ht="12.75" customHeight="1" outlineLevel="1">
      <c r="A479" s="9"/>
      <c r="B479" s="46"/>
      <c r="C479" s="129">
        <f>Asset18</f>
        <v>0</v>
      </c>
      <c r="D479" s="9"/>
      <c r="E479" s="9"/>
      <c r="F479" s="141"/>
      <c r="G479" s="193">
        <f>Input!P24</f>
        <v>0</v>
      </c>
      <c r="H479" s="120"/>
      <c r="I479" s="120"/>
      <c r="J479" s="120"/>
      <c r="K479" s="120"/>
      <c r="L479" s="120"/>
      <c r="M479" s="106"/>
      <c r="N479" s="106"/>
      <c r="O479" s="106"/>
      <c r="P479" s="106"/>
      <c r="Q479" s="106"/>
      <c r="R479" s="106"/>
      <c r="S479" s="106"/>
      <c r="T479" s="106"/>
      <c r="U479" s="106"/>
      <c r="V479" s="106"/>
      <c r="W479" s="106"/>
      <c r="X479" s="106"/>
      <c r="Y479" s="106"/>
      <c r="Z479" s="106"/>
      <c r="AA479" s="214"/>
      <c r="AB479" s="214"/>
      <c r="AC479" s="214"/>
      <c r="AD479" s="214"/>
      <c r="AE479" s="214"/>
      <c r="AF479" s="214"/>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c r="BI479" s="214"/>
      <c r="BJ479" s="220"/>
      <c r="BK479" s="220"/>
    </row>
    <row r="480" spans="1:63" ht="12.75" customHeight="1" outlineLevel="1">
      <c r="A480" s="9"/>
      <c r="B480" s="46"/>
      <c r="C480" s="129">
        <f>Asset19</f>
        <v>0</v>
      </c>
      <c r="D480" s="9"/>
      <c r="E480" s="9"/>
      <c r="F480" s="141"/>
      <c r="G480" s="193">
        <f>Input!P25</f>
        <v>0</v>
      </c>
      <c r="H480" s="120"/>
      <c r="I480" s="120"/>
      <c r="J480" s="120"/>
      <c r="K480" s="120"/>
      <c r="L480" s="120"/>
      <c r="M480" s="106"/>
      <c r="N480" s="106"/>
      <c r="O480" s="106"/>
      <c r="P480" s="106"/>
      <c r="Q480" s="106"/>
      <c r="R480" s="106"/>
      <c r="S480" s="106"/>
      <c r="T480" s="106"/>
      <c r="U480" s="106"/>
      <c r="V480" s="106"/>
      <c r="W480" s="106"/>
      <c r="X480" s="106"/>
      <c r="Y480" s="106"/>
      <c r="Z480" s="106"/>
      <c r="AA480" s="214"/>
      <c r="AB480" s="214"/>
      <c r="AC480" s="214"/>
      <c r="AD480" s="214"/>
      <c r="AE480" s="214"/>
      <c r="AF480" s="214"/>
      <c r="AG480" s="214"/>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c r="BI480" s="214"/>
      <c r="BJ480" s="220"/>
      <c r="BK480" s="220"/>
    </row>
    <row r="481" spans="1:63" ht="12.75" customHeight="1" outlineLevel="1">
      <c r="A481" s="9"/>
      <c r="B481" s="46"/>
      <c r="C481" s="129">
        <f>Asset20</f>
        <v>0</v>
      </c>
      <c r="D481" s="9"/>
      <c r="E481" s="9"/>
      <c r="F481" s="141"/>
      <c r="G481" s="193">
        <f>Input!P26</f>
        <v>0</v>
      </c>
      <c r="H481" s="120"/>
      <c r="I481" s="120"/>
      <c r="J481" s="120"/>
      <c r="K481" s="120"/>
      <c r="L481" s="120"/>
      <c r="M481" s="106"/>
      <c r="N481" s="106"/>
      <c r="O481" s="106"/>
      <c r="P481" s="106"/>
      <c r="Q481" s="106"/>
      <c r="R481" s="106"/>
      <c r="S481" s="106"/>
      <c r="T481" s="106"/>
      <c r="U481" s="106"/>
      <c r="V481" s="106"/>
      <c r="W481" s="106"/>
      <c r="X481" s="106"/>
      <c r="Y481" s="106"/>
      <c r="Z481" s="106"/>
      <c r="AA481" s="214"/>
      <c r="AB481" s="214"/>
      <c r="AC481" s="214"/>
      <c r="AD481" s="214"/>
      <c r="AE481" s="214"/>
      <c r="AF481" s="214"/>
      <c r="AG481" s="214"/>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c r="BI481" s="214"/>
      <c r="BJ481" s="220"/>
      <c r="BK481" s="220"/>
    </row>
    <row r="482" spans="1:63" ht="12.75" customHeight="1" outlineLevel="1">
      <c r="A482" s="9"/>
      <c r="B482" s="46"/>
      <c r="C482" s="129">
        <f>Asset21</f>
        <v>0</v>
      </c>
      <c r="D482" s="9"/>
      <c r="E482" s="9"/>
      <c r="F482" s="141"/>
      <c r="G482" s="193">
        <f>Input!P27</f>
        <v>0</v>
      </c>
      <c r="H482" s="120"/>
      <c r="I482" s="120"/>
      <c r="J482" s="120"/>
      <c r="K482" s="120"/>
      <c r="L482" s="120"/>
      <c r="M482" s="106"/>
      <c r="N482" s="106"/>
      <c r="O482" s="106"/>
      <c r="P482" s="106"/>
      <c r="Q482" s="106"/>
      <c r="R482" s="106"/>
      <c r="S482" s="106"/>
      <c r="T482" s="106"/>
      <c r="U482" s="106"/>
      <c r="V482" s="106"/>
      <c r="W482" s="106"/>
      <c r="X482" s="106"/>
      <c r="Y482" s="106"/>
      <c r="Z482" s="106"/>
      <c r="AA482" s="214"/>
      <c r="AB482" s="214"/>
      <c r="AC482" s="214"/>
      <c r="AD482" s="214"/>
      <c r="AE482" s="214"/>
      <c r="AF482" s="214"/>
      <c r="AG482" s="214"/>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c r="BI482" s="214"/>
      <c r="BJ482" s="220"/>
      <c r="BK482" s="220"/>
    </row>
    <row r="483" spans="1:63" ht="12.75" customHeight="1" outlineLevel="1">
      <c r="A483" s="9"/>
      <c r="B483" s="46"/>
      <c r="C483" s="129">
        <f>Asset22</f>
        <v>0</v>
      </c>
      <c r="D483" s="9"/>
      <c r="E483" s="9"/>
      <c r="F483" s="141"/>
      <c r="G483" s="193">
        <f>Input!P28</f>
        <v>0</v>
      </c>
      <c r="H483" s="120"/>
      <c r="I483" s="120"/>
      <c r="J483" s="120"/>
      <c r="K483" s="120"/>
      <c r="L483" s="120"/>
      <c r="M483" s="106"/>
      <c r="N483" s="106"/>
      <c r="O483" s="106"/>
      <c r="P483" s="106"/>
      <c r="Q483" s="106"/>
      <c r="R483" s="106"/>
      <c r="S483" s="106"/>
      <c r="T483" s="106"/>
      <c r="U483" s="106"/>
      <c r="V483" s="106"/>
      <c r="W483" s="106"/>
      <c r="X483" s="106"/>
      <c r="Y483" s="106"/>
      <c r="Z483" s="106"/>
      <c r="AA483" s="214"/>
      <c r="AB483" s="214"/>
      <c r="AC483" s="214"/>
      <c r="AD483" s="214"/>
      <c r="AE483" s="214"/>
      <c r="AF483" s="214"/>
      <c r="AG483" s="214"/>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c r="BI483" s="214"/>
      <c r="BJ483" s="220"/>
      <c r="BK483" s="220"/>
    </row>
    <row r="484" spans="1:63" ht="12.75" customHeight="1" outlineLevel="1">
      <c r="A484" s="9"/>
      <c r="B484" s="46"/>
      <c r="C484" s="129">
        <f>Asset23</f>
        <v>0</v>
      </c>
      <c r="D484" s="9"/>
      <c r="E484" s="9"/>
      <c r="F484" s="141"/>
      <c r="G484" s="193">
        <f>Input!P29</f>
        <v>0</v>
      </c>
      <c r="H484" s="120"/>
      <c r="I484" s="120"/>
      <c r="J484" s="120"/>
      <c r="K484" s="120"/>
      <c r="L484" s="120"/>
      <c r="M484" s="106"/>
      <c r="N484" s="106"/>
      <c r="O484" s="106"/>
      <c r="P484" s="106"/>
      <c r="Q484" s="106"/>
      <c r="R484" s="106"/>
      <c r="S484" s="106"/>
      <c r="T484" s="106"/>
      <c r="U484" s="106"/>
      <c r="V484" s="106"/>
      <c r="W484" s="106"/>
      <c r="X484" s="106"/>
      <c r="Y484" s="106"/>
      <c r="Z484" s="106"/>
      <c r="AA484" s="214"/>
      <c r="AB484" s="214"/>
      <c r="AC484" s="214"/>
      <c r="AD484" s="214"/>
      <c r="AE484" s="214"/>
      <c r="AF484" s="214"/>
      <c r="AG484" s="214"/>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c r="BI484" s="214"/>
      <c r="BJ484" s="220"/>
      <c r="BK484" s="220"/>
    </row>
    <row r="485" spans="1:63" ht="12.75" customHeight="1" outlineLevel="1">
      <c r="A485" s="9"/>
      <c r="B485" s="46"/>
      <c r="C485" s="129">
        <f>Asset24</f>
        <v>0</v>
      </c>
      <c r="D485" s="9"/>
      <c r="E485" s="9"/>
      <c r="F485" s="141"/>
      <c r="G485" s="193">
        <f>Input!P30</f>
        <v>0</v>
      </c>
      <c r="H485" s="120"/>
      <c r="I485" s="120"/>
      <c r="J485" s="120"/>
      <c r="K485" s="120"/>
      <c r="L485" s="120"/>
      <c r="M485" s="106"/>
      <c r="N485" s="106"/>
      <c r="O485" s="106"/>
      <c r="P485" s="106"/>
      <c r="Q485" s="106"/>
      <c r="R485" s="106"/>
      <c r="S485" s="106"/>
      <c r="T485" s="106"/>
      <c r="U485" s="106"/>
      <c r="V485" s="106"/>
      <c r="W485" s="106"/>
      <c r="X485" s="106"/>
      <c r="Y485" s="106"/>
      <c r="Z485" s="106"/>
      <c r="AA485" s="214"/>
      <c r="AB485" s="214"/>
      <c r="AC485" s="214"/>
      <c r="AD485" s="214"/>
      <c r="AE485" s="214"/>
      <c r="AF485" s="214"/>
      <c r="AG485" s="214"/>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c r="BI485" s="214"/>
      <c r="BJ485" s="220"/>
      <c r="BK485" s="220"/>
    </row>
    <row r="486" spans="1:63" ht="12.75" customHeight="1" outlineLevel="1">
      <c r="A486" s="9"/>
      <c r="B486" s="46"/>
      <c r="C486" s="129">
        <f>Asset25</f>
        <v>0</v>
      </c>
      <c r="D486" s="9"/>
      <c r="E486" s="9"/>
      <c r="F486" s="141"/>
      <c r="G486" s="193">
        <f>Input!P31</f>
        <v>0</v>
      </c>
      <c r="H486" s="120"/>
      <c r="I486" s="120"/>
      <c r="J486" s="120"/>
      <c r="K486" s="120"/>
      <c r="L486" s="120"/>
      <c r="M486" s="106"/>
      <c r="N486" s="106"/>
      <c r="O486" s="106"/>
      <c r="P486" s="106"/>
      <c r="Q486" s="106"/>
      <c r="R486" s="106"/>
      <c r="S486" s="106"/>
      <c r="T486" s="106"/>
      <c r="U486" s="106"/>
      <c r="V486" s="106"/>
      <c r="W486" s="106"/>
      <c r="X486" s="106"/>
      <c r="Y486" s="106"/>
      <c r="Z486" s="106"/>
      <c r="AA486" s="214"/>
      <c r="AB486" s="214"/>
      <c r="AC486" s="214"/>
      <c r="AD486" s="214"/>
      <c r="AE486" s="214"/>
      <c r="AF486" s="214"/>
      <c r="AG486" s="214"/>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c r="BI486" s="214"/>
      <c r="BJ486" s="220"/>
      <c r="BK486" s="220"/>
    </row>
    <row r="487" spans="1:63" ht="12.75" customHeight="1" outlineLevel="1">
      <c r="A487" s="9"/>
      <c r="B487" s="46"/>
      <c r="C487" s="129">
        <f>Asset26</f>
        <v>0</v>
      </c>
      <c r="D487" s="9"/>
      <c r="E487" s="9"/>
      <c r="F487" s="141"/>
      <c r="G487" s="193">
        <f>Input!P32</f>
        <v>0</v>
      </c>
      <c r="H487" s="120"/>
      <c r="I487" s="120"/>
      <c r="J487" s="120"/>
      <c r="K487" s="120"/>
      <c r="L487" s="120"/>
      <c r="M487" s="106"/>
      <c r="N487" s="106"/>
      <c r="O487" s="106"/>
      <c r="P487" s="106"/>
      <c r="Q487" s="106"/>
      <c r="R487" s="106"/>
      <c r="S487" s="106"/>
      <c r="T487" s="106"/>
      <c r="U487" s="106"/>
      <c r="V487" s="106"/>
      <c r="W487" s="106"/>
      <c r="X487" s="106"/>
      <c r="Y487" s="106"/>
      <c r="Z487" s="106"/>
      <c r="AA487" s="214"/>
      <c r="AB487" s="214"/>
      <c r="AC487" s="214"/>
      <c r="AD487" s="214"/>
      <c r="AE487" s="214"/>
      <c r="AF487" s="214"/>
      <c r="AG487" s="214"/>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c r="BI487" s="214"/>
      <c r="BJ487" s="220"/>
      <c r="BK487" s="220"/>
    </row>
    <row r="488" spans="1:63" ht="12.75" customHeight="1" outlineLevel="1">
      <c r="A488" s="9"/>
      <c r="B488" s="46"/>
      <c r="C488" s="129">
        <f>Asset27</f>
        <v>0</v>
      </c>
      <c r="D488" s="9"/>
      <c r="E488" s="9"/>
      <c r="F488" s="141"/>
      <c r="G488" s="193">
        <f>Input!P33</f>
        <v>0</v>
      </c>
      <c r="H488" s="120"/>
      <c r="I488" s="120"/>
      <c r="J488" s="120"/>
      <c r="K488" s="120"/>
      <c r="L488" s="120"/>
      <c r="M488" s="106"/>
      <c r="N488" s="106"/>
      <c r="O488" s="106"/>
      <c r="P488" s="106"/>
      <c r="Q488" s="106"/>
      <c r="R488" s="106"/>
      <c r="S488" s="106"/>
      <c r="T488" s="106"/>
      <c r="U488" s="106"/>
      <c r="V488" s="106"/>
      <c r="W488" s="106"/>
      <c r="X488" s="106"/>
      <c r="Y488" s="106"/>
      <c r="Z488" s="106"/>
      <c r="AA488" s="214"/>
      <c r="AB488" s="214"/>
      <c r="AC488" s="214"/>
      <c r="AD488" s="214"/>
      <c r="AE488" s="214"/>
      <c r="AF488" s="214"/>
      <c r="AG488" s="214"/>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c r="BI488" s="214"/>
      <c r="BJ488" s="220"/>
      <c r="BK488" s="220"/>
    </row>
    <row r="489" spans="1:63" ht="12.75" customHeight="1" outlineLevel="1">
      <c r="A489" s="9"/>
      <c r="B489" s="46"/>
      <c r="C489" s="129">
        <f>Asset28</f>
        <v>0</v>
      </c>
      <c r="D489" s="9"/>
      <c r="E489" s="9"/>
      <c r="F489" s="141"/>
      <c r="G489" s="193">
        <f>Input!P34</f>
        <v>0</v>
      </c>
      <c r="H489" s="120"/>
      <c r="I489" s="120"/>
      <c r="J489" s="120"/>
      <c r="K489" s="120"/>
      <c r="L489" s="120"/>
      <c r="M489" s="106"/>
      <c r="N489" s="106"/>
      <c r="O489" s="106"/>
      <c r="P489" s="106"/>
      <c r="Q489" s="106"/>
      <c r="R489" s="106"/>
      <c r="S489" s="106"/>
      <c r="T489" s="106"/>
      <c r="U489" s="106"/>
      <c r="V489" s="106"/>
      <c r="W489" s="106"/>
      <c r="X489" s="106"/>
      <c r="Y489" s="106"/>
      <c r="Z489" s="106"/>
      <c r="AA489" s="214"/>
      <c r="AB489" s="214"/>
      <c r="AC489" s="214"/>
      <c r="AD489" s="214"/>
      <c r="AE489" s="214"/>
      <c r="AF489" s="214"/>
      <c r="AG489" s="214"/>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c r="BI489" s="214"/>
      <c r="BJ489" s="220"/>
      <c r="BK489" s="220"/>
    </row>
    <row r="490" spans="1:63" ht="12.75" customHeight="1" outlineLevel="1">
      <c r="A490" s="9"/>
      <c r="B490" s="46"/>
      <c r="C490" s="129">
        <f>Asset29</f>
        <v>0</v>
      </c>
      <c r="D490" s="9"/>
      <c r="E490" s="9"/>
      <c r="F490" s="141"/>
      <c r="G490" s="193">
        <f>Input!P35</f>
        <v>0</v>
      </c>
      <c r="H490" s="120"/>
      <c r="I490" s="120"/>
      <c r="J490" s="120"/>
      <c r="K490" s="120"/>
      <c r="L490" s="120"/>
      <c r="M490" s="106"/>
      <c r="N490" s="106"/>
      <c r="O490" s="106"/>
      <c r="P490" s="106"/>
      <c r="Q490" s="106"/>
      <c r="R490" s="106"/>
      <c r="S490" s="106"/>
      <c r="T490" s="106"/>
      <c r="U490" s="106"/>
      <c r="V490" s="106"/>
      <c r="W490" s="106"/>
      <c r="X490" s="106"/>
      <c r="Y490" s="106"/>
      <c r="Z490" s="106"/>
      <c r="AA490" s="214"/>
      <c r="AB490" s="214"/>
      <c r="AC490" s="214"/>
      <c r="AD490" s="214"/>
      <c r="AE490" s="214"/>
      <c r="AF490" s="214"/>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c r="BI490" s="214"/>
      <c r="BJ490" s="220"/>
      <c r="BK490" s="220"/>
    </row>
    <row r="491" spans="1:63" ht="12.75" customHeight="1" outlineLevel="1">
      <c r="A491" s="9"/>
      <c r="B491" s="46"/>
      <c r="C491" s="129">
        <f>Asset30</f>
        <v>0</v>
      </c>
      <c r="D491" s="9"/>
      <c r="E491" s="9"/>
      <c r="F491" s="141"/>
      <c r="G491" s="193">
        <f>Input!P36</f>
        <v>0</v>
      </c>
      <c r="H491" s="120"/>
      <c r="I491" s="120"/>
      <c r="J491" s="120"/>
      <c r="K491" s="120"/>
      <c r="L491" s="120"/>
      <c r="M491" s="106"/>
      <c r="N491" s="106"/>
      <c r="O491" s="106"/>
      <c r="P491" s="106"/>
      <c r="Q491" s="106"/>
      <c r="R491" s="106"/>
      <c r="S491" s="106"/>
      <c r="T491" s="106"/>
      <c r="U491" s="106"/>
      <c r="V491" s="106"/>
      <c r="W491" s="106"/>
      <c r="X491" s="106"/>
      <c r="Y491" s="106"/>
      <c r="Z491" s="106"/>
      <c r="AA491" s="214"/>
      <c r="AB491" s="214"/>
      <c r="AC491" s="214"/>
      <c r="AD491" s="214"/>
      <c r="AE491" s="214"/>
      <c r="AF491" s="214"/>
      <c r="AG491" s="214"/>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c r="BI491" s="214"/>
      <c r="BJ491" s="220"/>
      <c r="BK491" s="220"/>
    </row>
    <row r="492" spans="1:63">
      <c r="A492" s="9"/>
      <c r="B492" s="46"/>
      <c r="C492" s="129"/>
      <c r="D492" s="9"/>
      <c r="E492" s="9"/>
      <c r="F492" s="141"/>
      <c r="G492" s="193"/>
      <c r="H492" s="120"/>
      <c r="I492" s="120"/>
      <c r="J492" s="120"/>
      <c r="K492" s="120"/>
      <c r="L492" s="120"/>
      <c r="M492" s="106"/>
      <c r="N492" s="106"/>
      <c r="O492" s="106"/>
      <c r="P492" s="106"/>
      <c r="Q492" s="106"/>
      <c r="R492" s="106"/>
      <c r="S492" s="106"/>
      <c r="T492" s="106"/>
      <c r="U492" s="106"/>
      <c r="V492" s="106"/>
      <c r="W492" s="106"/>
      <c r="X492" s="106"/>
      <c r="Y492" s="106"/>
      <c r="Z492" s="106"/>
      <c r="AA492" s="214"/>
      <c r="AB492" s="214"/>
      <c r="AC492" s="214"/>
      <c r="AD492" s="214"/>
      <c r="AE492" s="214"/>
      <c r="AF492" s="214"/>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c r="BI492" s="214"/>
      <c r="BJ492" s="220"/>
      <c r="BK492" s="220"/>
    </row>
    <row r="493" spans="1:63">
      <c r="A493" s="9"/>
      <c r="B493" s="46" t="s">
        <v>60</v>
      </c>
      <c r="C493" s="129"/>
      <c r="D493" s="9"/>
      <c r="E493" s="9"/>
      <c r="F493" s="28"/>
      <c r="G493" s="197">
        <f>SUM(G494:G523)</f>
        <v>0</v>
      </c>
      <c r="H493" s="120"/>
      <c r="I493" s="120"/>
      <c r="J493" s="120"/>
      <c r="K493" s="120"/>
      <c r="L493" s="120"/>
      <c r="M493" s="106"/>
      <c r="N493" s="106"/>
      <c r="O493" s="106"/>
      <c r="P493" s="106"/>
      <c r="Q493" s="106"/>
      <c r="R493" s="106"/>
      <c r="S493" s="106"/>
      <c r="T493" s="106"/>
      <c r="U493" s="106"/>
      <c r="V493" s="106"/>
      <c r="W493" s="106"/>
      <c r="X493" s="106"/>
      <c r="Y493" s="106"/>
      <c r="Z493" s="106"/>
      <c r="AA493" s="214"/>
      <c r="AB493" s="214"/>
      <c r="AC493" s="214"/>
      <c r="AD493" s="214"/>
      <c r="AE493" s="214"/>
      <c r="AF493" s="214"/>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c r="BI493" s="214"/>
      <c r="BJ493" s="220"/>
      <c r="BK493" s="220"/>
    </row>
    <row r="494" spans="1:63" ht="12.75" customHeight="1" outlineLevel="1">
      <c r="A494" s="9"/>
      <c r="B494" s="46"/>
      <c r="C494" s="129" t="str">
        <f>Asset1</f>
        <v>Mains &amp; Services</v>
      </c>
      <c r="D494" s="9"/>
      <c r="E494" s="9"/>
      <c r="F494" s="28"/>
      <c r="G494" s="196">
        <f>Input!Q7</f>
        <v>0</v>
      </c>
      <c r="H494" s="120"/>
      <c r="I494" s="120"/>
      <c r="J494" s="120"/>
      <c r="K494" s="120"/>
      <c r="L494" s="120"/>
      <c r="M494" s="106"/>
      <c r="N494" s="106"/>
      <c r="O494" s="106"/>
      <c r="P494" s="106"/>
      <c r="Q494" s="106"/>
      <c r="R494" s="106"/>
      <c r="S494" s="106"/>
      <c r="T494" s="106"/>
      <c r="U494" s="106"/>
      <c r="V494" s="106"/>
      <c r="W494" s="106"/>
      <c r="X494" s="106"/>
      <c r="Y494" s="106"/>
      <c r="Z494" s="106"/>
      <c r="AA494" s="214"/>
      <c r="AB494" s="214"/>
      <c r="AC494" s="214"/>
      <c r="AD494" s="214"/>
      <c r="AE494" s="214"/>
      <c r="AF494" s="214"/>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c r="BI494" s="214"/>
      <c r="BJ494" s="220"/>
      <c r="BK494" s="220"/>
    </row>
    <row r="495" spans="1:63" ht="12.75" customHeight="1" outlineLevel="1">
      <c r="A495" s="9"/>
      <c r="B495" s="46"/>
      <c r="C495" s="129" t="str">
        <f>Asset2</f>
        <v>Meters</v>
      </c>
      <c r="D495" s="9"/>
      <c r="E495" s="9"/>
      <c r="F495" s="28"/>
      <c r="G495" s="196">
        <f>Input!Q8</f>
        <v>0</v>
      </c>
      <c r="H495" s="120"/>
      <c r="I495" s="120"/>
      <c r="J495" s="120"/>
      <c r="K495" s="120"/>
      <c r="L495" s="120"/>
      <c r="M495" s="106"/>
      <c r="N495" s="106"/>
      <c r="O495" s="106"/>
      <c r="P495" s="106"/>
      <c r="Q495" s="106"/>
      <c r="R495" s="106"/>
      <c r="S495" s="106"/>
      <c r="T495" s="106"/>
      <c r="U495" s="106"/>
      <c r="V495" s="106"/>
      <c r="W495" s="106"/>
      <c r="X495" s="106"/>
      <c r="Y495" s="106"/>
      <c r="Z495" s="106"/>
      <c r="AA495" s="214"/>
      <c r="AB495" s="214"/>
      <c r="AC495" s="214"/>
      <c r="AD495" s="214"/>
      <c r="AE495" s="214"/>
      <c r="AF495" s="214"/>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c r="BI495" s="214"/>
      <c r="BJ495" s="220"/>
      <c r="BK495" s="220"/>
    </row>
    <row r="496" spans="1:63" ht="12.75" customHeight="1" outlineLevel="1">
      <c r="A496" s="9"/>
      <c r="B496" s="46"/>
      <c r="C496" s="129" t="str">
        <f>Asset3</f>
        <v>Buildings</v>
      </c>
      <c r="D496" s="9"/>
      <c r="E496" s="9"/>
      <c r="F496" s="28"/>
      <c r="G496" s="196">
        <f>Input!Q9</f>
        <v>0</v>
      </c>
      <c r="H496" s="120"/>
      <c r="I496" s="120"/>
      <c r="J496" s="120"/>
      <c r="K496" s="120"/>
      <c r="L496" s="120"/>
      <c r="M496" s="106"/>
      <c r="N496" s="106"/>
      <c r="O496" s="106"/>
      <c r="P496" s="106"/>
      <c r="Q496" s="106"/>
      <c r="R496" s="106"/>
      <c r="S496" s="106"/>
      <c r="T496" s="106"/>
      <c r="U496" s="106"/>
      <c r="V496" s="106"/>
      <c r="W496" s="106"/>
      <c r="X496" s="106"/>
      <c r="Y496" s="106"/>
      <c r="Z496" s="106"/>
      <c r="AA496" s="214"/>
      <c r="AB496" s="214"/>
      <c r="AC496" s="214"/>
      <c r="AD496" s="214"/>
      <c r="AE496" s="214"/>
      <c r="AF496" s="214"/>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c r="BI496" s="214"/>
      <c r="BJ496" s="220"/>
      <c r="BK496" s="220"/>
    </row>
    <row r="497" spans="1:63" ht="12.75" customHeight="1" outlineLevel="1">
      <c r="A497" s="9"/>
      <c r="B497" s="46"/>
      <c r="C497" s="129" t="str">
        <f>Asset4</f>
        <v>SCADA</v>
      </c>
      <c r="D497" s="9"/>
      <c r="E497" s="9"/>
      <c r="F497" s="28"/>
      <c r="G497" s="196">
        <f>Input!Q10</f>
        <v>0</v>
      </c>
      <c r="H497" s="120"/>
      <c r="I497" s="120"/>
      <c r="J497" s="120"/>
      <c r="K497" s="120"/>
      <c r="L497" s="120"/>
      <c r="M497" s="106"/>
      <c r="N497" s="106"/>
      <c r="O497" s="106"/>
      <c r="P497" s="106"/>
      <c r="Q497" s="106"/>
      <c r="R497" s="106"/>
      <c r="S497" s="106"/>
      <c r="T497" s="106"/>
      <c r="U497" s="106"/>
      <c r="V497" s="106"/>
      <c r="W497" s="106"/>
      <c r="X497" s="106"/>
      <c r="Y497" s="106"/>
      <c r="Z497" s="106"/>
      <c r="AA497" s="214"/>
      <c r="AB497" s="214"/>
      <c r="AC497" s="214"/>
      <c r="AD497" s="214"/>
      <c r="AE497" s="214"/>
      <c r="AF497" s="214"/>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c r="BI497" s="214"/>
      <c r="BJ497" s="220"/>
      <c r="BK497" s="220"/>
    </row>
    <row r="498" spans="1:63" ht="12.75" customHeight="1" outlineLevel="1">
      <c r="A498" s="9"/>
      <c r="B498" s="46"/>
      <c r="C498" s="129" t="str">
        <f>Asset5</f>
        <v>Computer Equipment</v>
      </c>
      <c r="D498" s="9"/>
      <c r="E498" s="9"/>
      <c r="F498" s="28"/>
      <c r="G498" s="196">
        <f>Input!Q11</f>
        <v>0</v>
      </c>
      <c r="H498" s="120"/>
      <c r="I498" s="120"/>
      <c r="J498" s="120"/>
      <c r="K498" s="120"/>
      <c r="L498" s="120"/>
      <c r="M498" s="106"/>
      <c r="N498" s="106"/>
      <c r="O498" s="106"/>
      <c r="P498" s="106"/>
      <c r="Q498" s="106"/>
      <c r="R498" s="106"/>
      <c r="S498" s="106"/>
      <c r="T498" s="106"/>
      <c r="U498" s="106"/>
      <c r="V498" s="106"/>
      <c r="W498" s="106"/>
      <c r="X498" s="106"/>
      <c r="Y498" s="106"/>
      <c r="Z498" s="106"/>
      <c r="AA498" s="214"/>
      <c r="AB498" s="214"/>
      <c r="AC498" s="214"/>
      <c r="AD498" s="214"/>
      <c r="AE498" s="214"/>
      <c r="AF498" s="214"/>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c r="BI498" s="214"/>
      <c r="BJ498" s="220"/>
      <c r="BK498" s="220"/>
    </row>
    <row r="499" spans="1:63" ht="12.75" customHeight="1" outlineLevel="1">
      <c r="A499" s="9"/>
      <c r="B499" s="46"/>
      <c r="C499" s="129" t="str">
        <f>Asset6</f>
        <v>Other Assets</v>
      </c>
      <c r="D499" s="9"/>
      <c r="E499" s="9"/>
      <c r="F499" s="28"/>
      <c r="G499" s="196">
        <f>Input!Q12</f>
        <v>0</v>
      </c>
      <c r="H499" s="120"/>
      <c r="I499" s="120"/>
      <c r="J499" s="120"/>
      <c r="K499" s="120"/>
      <c r="L499" s="120"/>
      <c r="M499" s="106"/>
      <c r="N499" s="106"/>
      <c r="O499" s="106"/>
      <c r="P499" s="106"/>
      <c r="Q499" s="106"/>
      <c r="R499" s="106"/>
      <c r="S499" s="106"/>
      <c r="T499" s="106"/>
      <c r="U499" s="106"/>
      <c r="V499" s="106"/>
      <c r="W499" s="106"/>
      <c r="X499" s="106"/>
      <c r="Y499" s="106"/>
      <c r="Z499" s="106"/>
      <c r="AA499" s="214"/>
      <c r="AB499" s="214"/>
      <c r="AC499" s="214"/>
      <c r="AD499" s="214"/>
      <c r="AE499" s="214"/>
      <c r="AF499" s="214"/>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c r="BI499" s="214"/>
      <c r="BJ499" s="220"/>
      <c r="BK499" s="220"/>
    </row>
    <row r="500" spans="1:63" ht="12.75" customHeight="1" outlineLevel="1">
      <c r="A500" s="9"/>
      <c r="B500" s="46"/>
      <c r="C500" s="129" t="str">
        <f>Asset7</f>
        <v>Equity Raising Costs</v>
      </c>
      <c r="D500" s="9"/>
      <c r="E500" s="9"/>
      <c r="F500" s="28"/>
      <c r="G500" s="196">
        <f>Input!Q13</f>
        <v>0</v>
      </c>
      <c r="H500" s="120"/>
      <c r="I500" s="120"/>
      <c r="J500" s="120"/>
      <c r="K500" s="120"/>
      <c r="L500" s="120"/>
      <c r="M500" s="106"/>
      <c r="N500" s="106"/>
      <c r="O500" s="106"/>
      <c r="P500" s="106"/>
      <c r="Q500" s="106"/>
      <c r="R500" s="106"/>
      <c r="S500" s="106"/>
      <c r="T500" s="106"/>
      <c r="U500" s="106"/>
      <c r="V500" s="106"/>
      <c r="W500" s="106"/>
      <c r="X500" s="106"/>
      <c r="Y500" s="106"/>
      <c r="Z500" s="106"/>
      <c r="AA500" s="214"/>
      <c r="AB500" s="214"/>
      <c r="AC500" s="214"/>
      <c r="AD500" s="214"/>
      <c r="AE500" s="214"/>
      <c r="AF500" s="214"/>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c r="BI500" s="214"/>
      <c r="BJ500" s="220"/>
      <c r="BK500" s="220"/>
    </row>
    <row r="501" spans="1:63" ht="12.75" customHeight="1" outlineLevel="1">
      <c r="A501" s="9"/>
      <c r="B501" s="46"/>
      <c r="C501" s="129" t="str">
        <f>Asset8</f>
        <v>Land</v>
      </c>
      <c r="D501" s="9"/>
      <c r="E501" s="9"/>
      <c r="F501" s="28"/>
      <c r="G501" s="196">
        <f>Input!Q14</f>
        <v>0</v>
      </c>
      <c r="H501" s="120"/>
      <c r="I501" s="120"/>
      <c r="J501" s="120"/>
      <c r="K501" s="120"/>
      <c r="L501" s="120"/>
      <c r="M501" s="106"/>
      <c r="N501" s="106"/>
      <c r="O501" s="106"/>
      <c r="P501" s="106"/>
      <c r="Q501" s="106"/>
      <c r="R501" s="106"/>
      <c r="S501" s="106"/>
      <c r="T501" s="106"/>
      <c r="U501" s="106"/>
      <c r="V501" s="106"/>
      <c r="W501" s="106"/>
      <c r="X501" s="106"/>
      <c r="Y501" s="106"/>
      <c r="Z501" s="106"/>
      <c r="AA501" s="214"/>
      <c r="AB501" s="214"/>
      <c r="AC501" s="214"/>
      <c r="AD501" s="214"/>
      <c r="AE501" s="214"/>
      <c r="AF501" s="214"/>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c r="BI501" s="214"/>
      <c r="BJ501" s="220"/>
      <c r="BK501" s="220"/>
    </row>
    <row r="502" spans="1:63" ht="12.75" customHeight="1" outlineLevel="1">
      <c r="A502" s="9"/>
      <c r="B502" s="46"/>
      <c r="C502" s="129">
        <f>Asset9</f>
        <v>0</v>
      </c>
      <c r="D502" s="9"/>
      <c r="E502" s="9"/>
      <c r="F502" s="28"/>
      <c r="G502" s="196">
        <f>Input!Q15</f>
        <v>0</v>
      </c>
      <c r="H502" s="120"/>
      <c r="I502" s="120"/>
      <c r="J502" s="120"/>
      <c r="K502" s="120"/>
      <c r="L502" s="120"/>
      <c r="M502" s="106"/>
      <c r="N502" s="106"/>
      <c r="O502" s="106"/>
      <c r="P502" s="106"/>
      <c r="Q502" s="106"/>
      <c r="R502" s="106"/>
      <c r="S502" s="106"/>
      <c r="T502" s="106"/>
      <c r="U502" s="106"/>
      <c r="V502" s="106"/>
      <c r="W502" s="106"/>
      <c r="X502" s="106"/>
      <c r="Y502" s="106"/>
      <c r="Z502" s="106"/>
      <c r="AA502" s="214"/>
      <c r="AB502" s="214"/>
      <c r="AC502" s="214"/>
      <c r="AD502" s="214"/>
      <c r="AE502" s="214"/>
      <c r="AF502" s="214"/>
      <c r="AG502" s="214"/>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c r="BI502" s="214"/>
      <c r="BJ502" s="220"/>
      <c r="BK502" s="220"/>
    </row>
    <row r="503" spans="1:63" ht="12.75" customHeight="1" outlineLevel="1">
      <c r="A503" s="9"/>
      <c r="B503" s="46"/>
      <c r="C503" s="129">
        <f>Asset10</f>
        <v>0</v>
      </c>
      <c r="D503" s="9"/>
      <c r="E503" s="9"/>
      <c r="F503" s="28"/>
      <c r="G503" s="196">
        <f>Input!Q16</f>
        <v>0</v>
      </c>
      <c r="H503" s="120"/>
      <c r="I503" s="120"/>
      <c r="J503" s="120"/>
      <c r="K503" s="120"/>
      <c r="L503" s="120"/>
      <c r="M503" s="106"/>
      <c r="N503" s="106"/>
      <c r="O503" s="106"/>
      <c r="P503" s="106"/>
      <c r="Q503" s="106"/>
      <c r="R503" s="106"/>
      <c r="S503" s="106"/>
      <c r="T503" s="106"/>
      <c r="U503" s="106"/>
      <c r="V503" s="106"/>
      <c r="W503" s="106"/>
      <c r="X503" s="106"/>
      <c r="Y503" s="106"/>
      <c r="Z503" s="106"/>
      <c r="AA503" s="214"/>
      <c r="AB503" s="214"/>
      <c r="AC503" s="214"/>
      <c r="AD503" s="214"/>
      <c r="AE503" s="214"/>
      <c r="AF503" s="214"/>
      <c r="AG503" s="214"/>
      <c r="AH503" s="214"/>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c r="BI503" s="214"/>
      <c r="BJ503" s="220"/>
      <c r="BK503" s="220"/>
    </row>
    <row r="504" spans="1:63" ht="12.75" customHeight="1" outlineLevel="1">
      <c r="A504" s="9"/>
      <c r="B504" s="46"/>
      <c r="C504" s="129">
        <f>Asset11</f>
        <v>0</v>
      </c>
      <c r="D504" s="9"/>
      <c r="E504" s="9"/>
      <c r="F504" s="28"/>
      <c r="G504" s="196">
        <f>Input!Q17</f>
        <v>0</v>
      </c>
      <c r="H504" s="120"/>
      <c r="I504" s="120"/>
      <c r="J504" s="120"/>
      <c r="K504" s="120"/>
      <c r="L504" s="120"/>
      <c r="M504" s="106"/>
      <c r="N504" s="106"/>
      <c r="O504" s="106"/>
      <c r="P504" s="106"/>
      <c r="Q504" s="106"/>
      <c r="R504" s="106"/>
      <c r="S504" s="106"/>
      <c r="T504" s="106"/>
      <c r="U504" s="106"/>
      <c r="V504" s="106"/>
      <c r="W504" s="106"/>
      <c r="X504" s="106"/>
      <c r="Y504" s="106"/>
      <c r="Z504" s="106"/>
      <c r="AA504" s="214"/>
      <c r="AB504" s="214"/>
      <c r="AC504" s="214"/>
      <c r="AD504" s="214"/>
      <c r="AE504" s="214"/>
      <c r="AF504" s="214"/>
      <c r="AG504" s="214"/>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c r="BI504" s="214"/>
      <c r="BJ504" s="220"/>
      <c r="BK504" s="220"/>
    </row>
    <row r="505" spans="1:63" ht="12.75" customHeight="1" outlineLevel="1">
      <c r="A505" s="9"/>
      <c r="B505" s="46"/>
      <c r="C505" s="129">
        <f>Asset12</f>
        <v>0</v>
      </c>
      <c r="D505" s="9"/>
      <c r="E505" s="9"/>
      <c r="F505" s="28"/>
      <c r="G505" s="196">
        <f>Input!Q18</f>
        <v>0</v>
      </c>
      <c r="H505" s="120"/>
      <c r="I505" s="120"/>
      <c r="J505" s="120"/>
      <c r="K505" s="120"/>
      <c r="L505" s="120"/>
      <c r="M505" s="106"/>
      <c r="N505" s="106"/>
      <c r="O505" s="106"/>
      <c r="P505" s="106"/>
      <c r="Q505" s="106"/>
      <c r="R505" s="106"/>
      <c r="S505" s="106"/>
      <c r="T505" s="106"/>
      <c r="U505" s="106"/>
      <c r="V505" s="106"/>
      <c r="W505" s="106"/>
      <c r="X505" s="106"/>
      <c r="Y505" s="106"/>
      <c r="Z505" s="106"/>
      <c r="AA505" s="214"/>
      <c r="AB505" s="214"/>
      <c r="AC505" s="214"/>
      <c r="AD505" s="214"/>
      <c r="AE505" s="214"/>
      <c r="AF505" s="214"/>
      <c r="AG505" s="214"/>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c r="BI505" s="214"/>
      <c r="BJ505" s="220"/>
      <c r="BK505" s="220"/>
    </row>
    <row r="506" spans="1:63" ht="12.75" customHeight="1" outlineLevel="1">
      <c r="A506" s="9"/>
      <c r="B506" s="46"/>
      <c r="C506" s="129">
        <f>Asset13</f>
        <v>0</v>
      </c>
      <c r="D506" s="9"/>
      <c r="E506" s="9"/>
      <c r="F506" s="28"/>
      <c r="G506" s="196">
        <f>Input!Q19</f>
        <v>0</v>
      </c>
      <c r="H506" s="120"/>
      <c r="I506" s="120"/>
      <c r="J506" s="120"/>
      <c r="K506" s="120"/>
      <c r="L506" s="120"/>
      <c r="M506" s="106"/>
      <c r="N506" s="106"/>
      <c r="O506" s="106"/>
      <c r="P506" s="106"/>
      <c r="Q506" s="106"/>
      <c r="R506" s="106"/>
      <c r="S506" s="106"/>
      <c r="T506" s="106"/>
      <c r="U506" s="106"/>
      <c r="V506" s="106"/>
      <c r="W506" s="106"/>
      <c r="X506" s="106"/>
      <c r="Y506" s="106"/>
      <c r="Z506" s="106"/>
      <c r="AA506" s="214"/>
      <c r="AB506" s="214"/>
      <c r="AC506" s="214"/>
      <c r="AD506" s="214"/>
      <c r="AE506" s="214"/>
      <c r="AF506" s="214"/>
      <c r="AG506" s="214"/>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c r="BI506" s="214"/>
      <c r="BJ506" s="220"/>
      <c r="BK506" s="220"/>
    </row>
    <row r="507" spans="1:63" ht="12.75" customHeight="1" outlineLevel="1">
      <c r="A507" s="9"/>
      <c r="B507" s="46"/>
      <c r="C507" s="129">
        <f>Asset14</f>
        <v>0</v>
      </c>
      <c r="D507" s="9"/>
      <c r="E507" s="9"/>
      <c r="F507" s="28"/>
      <c r="G507" s="196">
        <f>Input!Q20</f>
        <v>0</v>
      </c>
      <c r="H507" s="120"/>
      <c r="I507" s="120"/>
      <c r="J507" s="120"/>
      <c r="K507" s="120"/>
      <c r="L507" s="120"/>
      <c r="M507" s="106"/>
      <c r="N507" s="106"/>
      <c r="O507" s="106"/>
      <c r="P507" s="106"/>
      <c r="Q507" s="106"/>
      <c r="R507" s="106"/>
      <c r="S507" s="106"/>
      <c r="T507" s="106"/>
      <c r="U507" s="106"/>
      <c r="V507" s="106"/>
      <c r="W507" s="106"/>
      <c r="X507" s="106"/>
      <c r="Y507" s="106"/>
      <c r="Z507" s="106"/>
      <c r="AA507" s="214"/>
      <c r="AB507" s="214"/>
      <c r="AC507" s="214"/>
      <c r="AD507" s="214"/>
      <c r="AE507" s="214"/>
      <c r="AF507" s="214"/>
      <c r="AG507" s="214"/>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c r="BI507" s="214"/>
      <c r="BJ507" s="220"/>
      <c r="BK507" s="220"/>
    </row>
    <row r="508" spans="1:63" ht="12.75" customHeight="1" outlineLevel="1">
      <c r="A508" s="9"/>
      <c r="B508" s="46"/>
      <c r="C508" s="129">
        <f>Asset15</f>
        <v>0</v>
      </c>
      <c r="D508" s="9"/>
      <c r="E508" s="9"/>
      <c r="F508" s="28"/>
      <c r="G508" s="196">
        <f>Input!Q21</f>
        <v>0</v>
      </c>
      <c r="H508" s="120"/>
      <c r="I508" s="120"/>
      <c r="J508" s="120"/>
      <c r="K508" s="120"/>
      <c r="L508" s="120"/>
      <c r="M508" s="106"/>
      <c r="N508" s="106"/>
      <c r="O508" s="106"/>
      <c r="P508" s="106"/>
      <c r="Q508" s="106"/>
      <c r="R508" s="106"/>
      <c r="S508" s="106"/>
      <c r="T508" s="106"/>
      <c r="U508" s="106"/>
      <c r="V508" s="106"/>
      <c r="W508" s="106"/>
      <c r="X508" s="106"/>
      <c r="Y508" s="106"/>
      <c r="Z508" s="106"/>
      <c r="AA508" s="214"/>
      <c r="AB508" s="214"/>
      <c r="AC508" s="214"/>
      <c r="AD508" s="214"/>
      <c r="AE508" s="214"/>
      <c r="AF508" s="214"/>
      <c r="AG508" s="214"/>
      <c r="AH508" s="214"/>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c r="BI508" s="214"/>
      <c r="BJ508" s="220"/>
      <c r="BK508" s="220"/>
    </row>
    <row r="509" spans="1:63" ht="12.75" customHeight="1" outlineLevel="1">
      <c r="A509" s="9"/>
      <c r="B509" s="46"/>
      <c r="C509" s="129">
        <f>Asset16</f>
        <v>0</v>
      </c>
      <c r="D509" s="9"/>
      <c r="E509" s="9"/>
      <c r="F509" s="28"/>
      <c r="G509" s="196">
        <f>Input!Q22</f>
        <v>0</v>
      </c>
      <c r="H509" s="120"/>
      <c r="I509" s="120"/>
      <c r="J509" s="120"/>
      <c r="K509" s="120"/>
      <c r="L509" s="120"/>
      <c r="M509" s="106"/>
      <c r="N509" s="106"/>
      <c r="O509" s="106"/>
      <c r="P509" s="106"/>
      <c r="Q509" s="106"/>
      <c r="R509" s="106"/>
      <c r="S509" s="106"/>
      <c r="T509" s="106"/>
      <c r="U509" s="106"/>
      <c r="V509" s="106"/>
      <c r="W509" s="106"/>
      <c r="X509" s="106"/>
      <c r="Y509" s="106"/>
      <c r="Z509" s="106"/>
      <c r="AA509" s="214"/>
      <c r="AB509" s="214"/>
      <c r="AC509" s="214"/>
      <c r="AD509" s="214"/>
      <c r="AE509" s="214"/>
      <c r="AF509" s="214"/>
      <c r="AG509" s="214"/>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c r="BI509" s="214"/>
      <c r="BJ509" s="220"/>
      <c r="BK509" s="220"/>
    </row>
    <row r="510" spans="1:63" ht="12.75" customHeight="1" outlineLevel="1">
      <c r="A510" s="9"/>
      <c r="B510" s="46"/>
      <c r="C510" s="129">
        <f>Asset17</f>
        <v>0</v>
      </c>
      <c r="D510" s="9"/>
      <c r="E510" s="9"/>
      <c r="F510" s="28"/>
      <c r="G510" s="196">
        <f>Input!Q23</f>
        <v>0</v>
      </c>
      <c r="H510" s="120"/>
      <c r="I510" s="120"/>
      <c r="J510" s="120"/>
      <c r="K510" s="120"/>
      <c r="L510" s="120"/>
      <c r="M510" s="106"/>
      <c r="N510" s="106"/>
      <c r="O510" s="106"/>
      <c r="P510" s="106"/>
      <c r="Q510" s="106"/>
      <c r="R510" s="106"/>
      <c r="S510" s="106"/>
      <c r="T510" s="106"/>
      <c r="U510" s="106"/>
      <c r="V510" s="106"/>
      <c r="W510" s="106"/>
      <c r="X510" s="106"/>
      <c r="Y510" s="106"/>
      <c r="Z510" s="106"/>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20"/>
      <c r="BK510" s="220"/>
    </row>
    <row r="511" spans="1:63" ht="12.75" customHeight="1" outlineLevel="1">
      <c r="A511" s="9"/>
      <c r="B511" s="46"/>
      <c r="C511" s="129">
        <f>Asset18</f>
        <v>0</v>
      </c>
      <c r="D511" s="9"/>
      <c r="E511" s="9"/>
      <c r="F511" s="28"/>
      <c r="G511" s="196">
        <f>Input!Q24</f>
        <v>0</v>
      </c>
      <c r="H511" s="120"/>
      <c r="I511" s="120"/>
      <c r="J511" s="120"/>
      <c r="K511" s="120"/>
      <c r="L511" s="120"/>
      <c r="M511" s="106"/>
      <c r="N511" s="106"/>
      <c r="O511" s="106"/>
      <c r="P511" s="106"/>
      <c r="Q511" s="106"/>
      <c r="R511" s="106"/>
      <c r="S511" s="106"/>
      <c r="T511" s="106"/>
      <c r="U511" s="106"/>
      <c r="V511" s="106"/>
      <c r="W511" s="106"/>
      <c r="X511" s="106"/>
      <c r="Y511" s="106"/>
      <c r="Z511" s="106"/>
      <c r="AA511" s="214"/>
      <c r="AB511" s="214"/>
      <c r="AC511" s="214"/>
      <c r="AD511" s="214"/>
      <c r="AE511" s="214"/>
      <c r="AF511" s="214"/>
      <c r="AG511" s="214"/>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c r="BI511" s="214"/>
      <c r="BJ511" s="220"/>
      <c r="BK511" s="220"/>
    </row>
    <row r="512" spans="1:63" ht="12.75" customHeight="1" outlineLevel="1">
      <c r="A512" s="9"/>
      <c r="B512" s="46"/>
      <c r="C512" s="129">
        <f>Asset19</f>
        <v>0</v>
      </c>
      <c r="D512" s="9"/>
      <c r="E512" s="9"/>
      <c r="F512" s="28"/>
      <c r="G512" s="196">
        <f>Input!Q25</f>
        <v>0</v>
      </c>
      <c r="H512" s="120"/>
      <c r="I512" s="120"/>
      <c r="J512" s="120"/>
      <c r="K512" s="120"/>
      <c r="L512" s="120"/>
      <c r="M512" s="106"/>
      <c r="N512" s="106"/>
      <c r="O512" s="106"/>
      <c r="P512" s="106"/>
      <c r="Q512" s="106"/>
      <c r="R512" s="106"/>
      <c r="S512" s="106"/>
      <c r="T512" s="106"/>
      <c r="U512" s="106"/>
      <c r="V512" s="106"/>
      <c r="W512" s="106"/>
      <c r="X512" s="106"/>
      <c r="Y512" s="106"/>
      <c r="Z512" s="106"/>
      <c r="AA512" s="214"/>
      <c r="AB512" s="214"/>
      <c r="AC512" s="214"/>
      <c r="AD512" s="214"/>
      <c r="AE512" s="214"/>
      <c r="AF512" s="214"/>
      <c r="AG512" s="214"/>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c r="BI512" s="214"/>
      <c r="BJ512" s="220"/>
      <c r="BK512" s="220"/>
    </row>
    <row r="513" spans="1:63" ht="12.75" customHeight="1" outlineLevel="1">
      <c r="A513" s="9"/>
      <c r="B513" s="46"/>
      <c r="C513" s="129">
        <f>Asset20</f>
        <v>0</v>
      </c>
      <c r="D513" s="9"/>
      <c r="E513" s="9"/>
      <c r="F513" s="28"/>
      <c r="G513" s="196">
        <f>Input!Q26</f>
        <v>0</v>
      </c>
      <c r="H513" s="120"/>
      <c r="I513" s="120"/>
      <c r="J513" s="120"/>
      <c r="K513" s="120"/>
      <c r="L513" s="120"/>
      <c r="M513" s="106"/>
      <c r="N513" s="106"/>
      <c r="O513" s="106"/>
      <c r="P513" s="106"/>
      <c r="Q513" s="106"/>
      <c r="R513" s="106"/>
      <c r="S513" s="106"/>
      <c r="T513" s="106"/>
      <c r="U513" s="106"/>
      <c r="V513" s="106"/>
      <c r="W513" s="106"/>
      <c r="X513" s="106"/>
      <c r="Y513" s="106"/>
      <c r="Z513" s="106"/>
      <c r="AA513" s="214"/>
      <c r="AB513" s="214"/>
      <c r="AC513" s="214"/>
      <c r="AD513" s="214"/>
      <c r="AE513" s="214"/>
      <c r="AF513" s="214"/>
      <c r="AG513" s="214"/>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c r="BI513" s="214"/>
      <c r="BJ513" s="220"/>
      <c r="BK513" s="220"/>
    </row>
    <row r="514" spans="1:63" ht="12.75" customHeight="1" outlineLevel="1">
      <c r="A514" s="9"/>
      <c r="B514" s="46"/>
      <c r="C514" s="129">
        <f>Asset21</f>
        <v>0</v>
      </c>
      <c r="D514" s="9"/>
      <c r="E514" s="9"/>
      <c r="F514" s="28"/>
      <c r="G514" s="196">
        <f>Input!Q27</f>
        <v>0</v>
      </c>
      <c r="H514" s="120"/>
      <c r="I514" s="120"/>
      <c r="J514" s="120"/>
      <c r="K514" s="120"/>
      <c r="L514" s="120"/>
      <c r="M514" s="106"/>
      <c r="N514" s="106"/>
      <c r="O514" s="106"/>
      <c r="P514" s="106"/>
      <c r="Q514" s="106"/>
      <c r="R514" s="106"/>
      <c r="S514" s="106"/>
      <c r="T514" s="106"/>
      <c r="U514" s="106"/>
      <c r="V514" s="106"/>
      <c r="W514" s="106"/>
      <c r="X514" s="106"/>
      <c r="Y514" s="106"/>
      <c r="Z514" s="106"/>
      <c r="AA514" s="214"/>
      <c r="AB514" s="214"/>
      <c r="AC514" s="214"/>
      <c r="AD514" s="214"/>
      <c r="AE514" s="214"/>
      <c r="AF514" s="214"/>
      <c r="AG514" s="214"/>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c r="BI514" s="214"/>
      <c r="BJ514" s="220"/>
      <c r="BK514" s="220"/>
    </row>
    <row r="515" spans="1:63" ht="12.75" customHeight="1" outlineLevel="1">
      <c r="A515" s="9"/>
      <c r="B515" s="46"/>
      <c r="C515" s="129">
        <f>Asset22</f>
        <v>0</v>
      </c>
      <c r="D515" s="9"/>
      <c r="E515" s="9"/>
      <c r="F515" s="28"/>
      <c r="G515" s="196">
        <f>Input!Q28</f>
        <v>0</v>
      </c>
      <c r="H515" s="120"/>
      <c r="I515" s="120"/>
      <c r="J515" s="120"/>
      <c r="K515" s="120"/>
      <c r="L515" s="120"/>
      <c r="M515" s="106"/>
      <c r="N515" s="106"/>
      <c r="O515" s="106"/>
      <c r="P515" s="106"/>
      <c r="Q515" s="106"/>
      <c r="R515" s="106"/>
      <c r="S515" s="106"/>
      <c r="T515" s="106"/>
      <c r="U515" s="106"/>
      <c r="V515" s="106"/>
      <c r="W515" s="106"/>
      <c r="X515" s="106"/>
      <c r="Y515" s="106"/>
      <c r="Z515" s="106"/>
      <c r="AA515" s="214"/>
      <c r="AB515" s="214"/>
      <c r="AC515" s="214"/>
      <c r="AD515" s="214"/>
      <c r="AE515" s="214"/>
      <c r="AF515" s="214"/>
      <c r="AG515" s="214"/>
      <c r="AH515" s="214"/>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c r="BI515" s="214"/>
      <c r="BJ515" s="220"/>
      <c r="BK515" s="220"/>
    </row>
    <row r="516" spans="1:63" ht="12.75" customHeight="1" outlineLevel="1">
      <c r="A516" s="9"/>
      <c r="B516" s="46"/>
      <c r="C516" s="129">
        <f>Asset23</f>
        <v>0</v>
      </c>
      <c r="D516" s="9"/>
      <c r="E516" s="9"/>
      <c r="F516" s="28"/>
      <c r="G516" s="196">
        <f>Input!Q29</f>
        <v>0</v>
      </c>
      <c r="H516" s="120"/>
      <c r="I516" s="120"/>
      <c r="J516" s="120"/>
      <c r="K516" s="120"/>
      <c r="L516" s="120"/>
      <c r="M516" s="106"/>
      <c r="N516" s="106"/>
      <c r="O516" s="106"/>
      <c r="P516" s="106"/>
      <c r="Q516" s="106"/>
      <c r="R516" s="106"/>
      <c r="S516" s="106"/>
      <c r="T516" s="106"/>
      <c r="U516" s="106"/>
      <c r="V516" s="106"/>
      <c r="W516" s="106"/>
      <c r="X516" s="106"/>
      <c r="Y516" s="106"/>
      <c r="Z516" s="106"/>
      <c r="AA516" s="214"/>
      <c r="AB516" s="214"/>
      <c r="AC516" s="214"/>
      <c r="AD516" s="214"/>
      <c r="AE516" s="214"/>
      <c r="AF516" s="214"/>
      <c r="AG516" s="214"/>
      <c r="AH516" s="214"/>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c r="BI516" s="214"/>
      <c r="BJ516" s="220"/>
      <c r="BK516" s="220"/>
    </row>
    <row r="517" spans="1:63" ht="12.75" customHeight="1" outlineLevel="1">
      <c r="A517" s="9"/>
      <c r="B517" s="46"/>
      <c r="C517" s="129">
        <f>Asset24</f>
        <v>0</v>
      </c>
      <c r="D517" s="9"/>
      <c r="E517" s="9"/>
      <c r="F517" s="28"/>
      <c r="G517" s="196">
        <f>Input!Q30</f>
        <v>0</v>
      </c>
      <c r="H517" s="120"/>
      <c r="I517" s="120"/>
      <c r="J517" s="120"/>
      <c r="K517" s="120"/>
      <c r="L517" s="120"/>
      <c r="M517" s="106"/>
      <c r="N517" s="106"/>
      <c r="O517" s="106"/>
      <c r="P517" s="106"/>
      <c r="Q517" s="106"/>
      <c r="R517" s="106"/>
      <c r="S517" s="106"/>
      <c r="T517" s="106"/>
      <c r="U517" s="106"/>
      <c r="V517" s="106"/>
      <c r="W517" s="106"/>
      <c r="X517" s="106"/>
      <c r="Y517" s="106"/>
      <c r="Z517" s="106"/>
      <c r="AA517" s="214"/>
      <c r="AB517" s="214"/>
      <c r="AC517" s="214"/>
      <c r="AD517" s="214"/>
      <c r="AE517" s="214"/>
      <c r="AF517" s="214"/>
      <c r="AG517" s="214"/>
      <c r="AH517" s="214"/>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c r="BI517" s="214"/>
      <c r="BJ517" s="220"/>
      <c r="BK517" s="220"/>
    </row>
    <row r="518" spans="1:63" ht="12.75" customHeight="1" outlineLevel="1">
      <c r="A518" s="9"/>
      <c r="B518" s="46"/>
      <c r="C518" s="129">
        <f>Asset25</f>
        <v>0</v>
      </c>
      <c r="D518" s="9"/>
      <c r="E518" s="9"/>
      <c r="F518" s="28"/>
      <c r="G518" s="196">
        <f>Input!Q31</f>
        <v>0</v>
      </c>
      <c r="H518" s="120"/>
      <c r="I518" s="120"/>
      <c r="J518" s="120"/>
      <c r="K518" s="120"/>
      <c r="L518" s="120"/>
      <c r="M518" s="106"/>
      <c r="N518" s="106"/>
      <c r="O518" s="106"/>
      <c r="P518" s="106"/>
      <c r="Q518" s="106"/>
      <c r="R518" s="106"/>
      <c r="S518" s="106"/>
      <c r="T518" s="106"/>
      <c r="U518" s="106"/>
      <c r="V518" s="106"/>
      <c r="W518" s="106"/>
      <c r="X518" s="106"/>
      <c r="Y518" s="106"/>
      <c r="Z518" s="106"/>
      <c r="AA518" s="214"/>
      <c r="AB518" s="214"/>
      <c r="AC518" s="214"/>
      <c r="AD518" s="214"/>
      <c r="AE518" s="214"/>
      <c r="AF518" s="214"/>
      <c r="AG518" s="214"/>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c r="BI518" s="214"/>
      <c r="BJ518" s="220"/>
      <c r="BK518" s="220"/>
    </row>
    <row r="519" spans="1:63" ht="12.75" customHeight="1" outlineLevel="1">
      <c r="A519" s="9"/>
      <c r="B519" s="46"/>
      <c r="C519" s="129">
        <f>Asset26</f>
        <v>0</v>
      </c>
      <c r="D519" s="9"/>
      <c r="E519" s="9"/>
      <c r="F519" s="28"/>
      <c r="G519" s="196">
        <f>Input!Q32</f>
        <v>0</v>
      </c>
      <c r="H519" s="120"/>
      <c r="I519" s="120"/>
      <c r="J519" s="120"/>
      <c r="K519" s="120"/>
      <c r="L519" s="120"/>
      <c r="M519" s="106"/>
      <c r="N519" s="106"/>
      <c r="O519" s="106"/>
      <c r="P519" s="106"/>
      <c r="Q519" s="106"/>
      <c r="R519" s="106"/>
      <c r="S519" s="106"/>
      <c r="T519" s="106"/>
      <c r="U519" s="106"/>
      <c r="V519" s="106"/>
      <c r="W519" s="106"/>
      <c r="X519" s="106"/>
      <c r="Y519" s="106"/>
      <c r="Z519" s="106"/>
      <c r="AA519" s="214"/>
      <c r="AB519" s="214"/>
      <c r="AC519" s="214"/>
      <c r="AD519" s="214"/>
      <c r="AE519" s="214"/>
      <c r="AF519" s="214"/>
      <c r="AG519" s="214"/>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c r="BI519" s="214"/>
      <c r="BJ519" s="220"/>
      <c r="BK519" s="220"/>
    </row>
    <row r="520" spans="1:63" ht="12.75" customHeight="1" outlineLevel="1">
      <c r="A520" s="9"/>
      <c r="B520" s="46"/>
      <c r="C520" s="129">
        <f>Asset27</f>
        <v>0</v>
      </c>
      <c r="D520" s="9"/>
      <c r="E520" s="9"/>
      <c r="F520" s="28"/>
      <c r="G520" s="196">
        <f>Input!Q33</f>
        <v>0</v>
      </c>
      <c r="H520" s="120"/>
      <c r="I520" s="120"/>
      <c r="J520" s="120"/>
      <c r="K520" s="120"/>
      <c r="L520" s="120"/>
      <c r="M520" s="106"/>
      <c r="N520" s="106"/>
      <c r="O520" s="106"/>
      <c r="P520" s="106"/>
      <c r="Q520" s="106"/>
      <c r="R520" s="106"/>
      <c r="S520" s="106"/>
      <c r="T520" s="106"/>
      <c r="U520" s="106"/>
      <c r="V520" s="106"/>
      <c r="W520" s="106"/>
      <c r="X520" s="106"/>
      <c r="Y520" s="106"/>
      <c r="Z520" s="106"/>
      <c r="AA520" s="214"/>
      <c r="AB520" s="214"/>
      <c r="AC520" s="214"/>
      <c r="AD520" s="214"/>
      <c r="AE520" s="214"/>
      <c r="AF520" s="214"/>
      <c r="AG520" s="214"/>
      <c r="AH520" s="214"/>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c r="BI520" s="214"/>
      <c r="BJ520" s="220"/>
      <c r="BK520" s="220"/>
    </row>
    <row r="521" spans="1:63" ht="12.75" customHeight="1" outlineLevel="1">
      <c r="A521" s="9"/>
      <c r="B521" s="46"/>
      <c r="C521" s="129">
        <f>Asset28</f>
        <v>0</v>
      </c>
      <c r="D521" s="9"/>
      <c r="E521" s="9"/>
      <c r="F521" s="28"/>
      <c r="G521" s="196">
        <f>Input!Q34</f>
        <v>0</v>
      </c>
      <c r="H521" s="120"/>
      <c r="I521" s="120"/>
      <c r="J521" s="120"/>
      <c r="K521" s="120"/>
      <c r="L521" s="120"/>
      <c r="M521" s="106"/>
      <c r="N521" s="106"/>
      <c r="O521" s="106"/>
      <c r="P521" s="106"/>
      <c r="Q521" s="106"/>
      <c r="R521" s="106"/>
      <c r="S521" s="106"/>
      <c r="T521" s="106"/>
      <c r="U521" s="106"/>
      <c r="V521" s="106"/>
      <c r="W521" s="106"/>
      <c r="X521" s="106"/>
      <c r="Y521" s="106"/>
      <c r="Z521" s="106"/>
      <c r="AA521" s="214"/>
      <c r="AB521" s="214"/>
      <c r="AC521" s="214"/>
      <c r="AD521" s="214"/>
      <c r="AE521" s="214"/>
      <c r="AF521" s="214"/>
      <c r="AG521" s="214"/>
      <c r="AH521" s="214"/>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c r="BI521" s="214"/>
      <c r="BJ521" s="220"/>
      <c r="BK521" s="220"/>
    </row>
    <row r="522" spans="1:63" ht="12.75" customHeight="1" outlineLevel="1">
      <c r="A522" s="9"/>
      <c r="B522" s="46"/>
      <c r="C522" s="129">
        <f>Asset29</f>
        <v>0</v>
      </c>
      <c r="D522" s="9"/>
      <c r="E522" s="9"/>
      <c r="F522" s="28"/>
      <c r="G522" s="196">
        <f>Input!Q35</f>
        <v>0</v>
      </c>
      <c r="H522" s="120"/>
      <c r="I522" s="120"/>
      <c r="J522" s="120"/>
      <c r="K522" s="120"/>
      <c r="L522" s="120"/>
      <c r="M522" s="106"/>
      <c r="N522" s="106"/>
      <c r="O522" s="106"/>
      <c r="P522" s="106"/>
      <c r="Q522" s="106"/>
      <c r="R522" s="106"/>
      <c r="S522" s="106"/>
      <c r="T522" s="106"/>
      <c r="U522" s="106"/>
      <c r="V522" s="106"/>
      <c r="W522" s="106"/>
      <c r="X522" s="106"/>
      <c r="Y522" s="106"/>
      <c r="Z522" s="106"/>
      <c r="AA522" s="214"/>
      <c r="AB522" s="214"/>
      <c r="AC522" s="214"/>
      <c r="AD522" s="214"/>
      <c r="AE522" s="214"/>
      <c r="AF522" s="214"/>
      <c r="AG522" s="214"/>
      <c r="AH522" s="214"/>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c r="BI522" s="214"/>
      <c r="BJ522" s="220"/>
      <c r="BK522" s="220"/>
    </row>
    <row r="523" spans="1:63" ht="12.75" customHeight="1" outlineLevel="1">
      <c r="A523" s="9"/>
      <c r="B523" s="46"/>
      <c r="C523" s="129">
        <f>Asset30</f>
        <v>0</v>
      </c>
      <c r="D523" s="9"/>
      <c r="E523" s="9"/>
      <c r="F523" s="28"/>
      <c r="G523" s="196">
        <f>Input!Q36</f>
        <v>0</v>
      </c>
      <c r="H523" s="120"/>
      <c r="I523" s="120"/>
      <c r="J523" s="120"/>
      <c r="K523" s="120"/>
      <c r="L523" s="120"/>
      <c r="M523" s="106"/>
      <c r="N523" s="106"/>
      <c r="O523" s="106"/>
      <c r="P523" s="106"/>
      <c r="Q523" s="106"/>
      <c r="R523" s="106"/>
      <c r="S523" s="106"/>
      <c r="T523" s="106"/>
      <c r="U523" s="106"/>
      <c r="V523" s="106"/>
      <c r="W523" s="106"/>
      <c r="X523" s="106"/>
      <c r="Y523" s="106"/>
      <c r="Z523" s="106"/>
      <c r="AA523" s="214"/>
      <c r="AB523" s="214"/>
      <c r="AC523" s="214"/>
      <c r="AD523" s="214"/>
      <c r="AE523" s="214"/>
      <c r="AF523" s="214"/>
      <c r="AG523" s="214"/>
      <c r="AH523" s="214"/>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c r="BI523" s="214"/>
      <c r="BJ523" s="220"/>
      <c r="BK523" s="220"/>
    </row>
    <row r="524" spans="1:63">
      <c r="A524" s="9"/>
      <c r="B524" s="46"/>
      <c r="C524" s="129"/>
      <c r="D524" s="9"/>
      <c r="E524" s="9"/>
      <c r="F524" s="28"/>
      <c r="G524" s="120"/>
      <c r="H524" s="120"/>
      <c r="I524" s="120"/>
      <c r="J524" s="120"/>
      <c r="K524" s="120"/>
      <c r="L524" s="120"/>
      <c r="M524" s="106"/>
      <c r="N524" s="106"/>
      <c r="O524" s="106"/>
      <c r="P524" s="106"/>
      <c r="Q524" s="106"/>
      <c r="R524" s="106"/>
      <c r="S524" s="106"/>
      <c r="T524" s="106"/>
      <c r="U524" s="106"/>
      <c r="V524" s="106"/>
      <c r="W524" s="106"/>
      <c r="X524" s="106"/>
      <c r="Y524" s="106"/>
      <c r="Z524" s="106"/>
      <c r="AA524" s="214"/>
      <c r="AB524" s="214"/>
      <c r="AC524" s="214"/>
      <c r="AD524" s="214"/>
      <c r="AE524" s="214"/>
      <c r="AF524" s="214"/>
      <c r="AG524" s="214"/>
      <c r="AH524" s="214"/>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c r="BI524" s="214"/>
      <c r="BJ524" s="220"/>
      <c r="BK524" s="220"/>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row>
    <row r="570" spans="1:63">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row>
    <row r="571" spans="1:63">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row>
    <row r="572" spans="1:63">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row>
    <row r="573" spans="1:63">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row>
    <row r="574" spans="1:63">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row>
    <row r="575" spans="1:63">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row>
    <row r="576" spans="1:63">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row>
    <row r="577" spans="1:7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row>
    <row r="578" spans="1:7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row>
    <row r="579" spans="1:7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row>
    <row r="580" spans="1:7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row>
    <row r="581" spans="1:7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row>
    <row r="582" spans="1:7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row>
    <row r="583" spans="1:7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row>
    <row r="584" spans="1:7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row>
    <row r="585" spans="1:7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row>
    <row r="586" spans="1:7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row>
    <row r="587" spans="1:7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row>
    <row r="588" spans="1:7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row>
    <row r="589" spans="1:7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row>
    <row r="590" spans="1:7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row>
    <row r="591" spans="1:7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row>
    <row r="592" spans="1:7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row>
    <row r="593" spans="1:7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row>
    <row r="594" spans="1:7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row>
    <row r="595" spans="1:7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row>
    <row r="596" spans="1:7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row>
    <row r="597" spans="1:7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row>
    <row r="598" spans="1:7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row>
    <row r="599" spans="1:7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row>
    <row r="600" spans="1:7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row>
    <row r="601" spans="1:7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row>
    <row r="602" spans="1:7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row>
    <row r="603" spans="1:7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row>
    <row r="604" spans="1:7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row>
    <row r="605" spans="1:7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row>
    <row r="606" spans="1:7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row>
    <row r="607" spans="1:7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row>
    <row r="608" spans="1:7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row>
    <row r="609" spans="1:7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row>
    <row r="610" spans="1:7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row>
    <row r="611" spans="1:7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row>
    <row r="612" spans="1:7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row>
    <row r="613" spans="1:7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row>
    <row r="614" spans="1:7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row>
    <row r="615" spans="1:7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row>
    <row r="616" spans="1:7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row>
    <row r="617" spans="1:7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row>
    <row r="618" spans="1:7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row>
    <row r="619" spans="1:7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row>
    <row r="620" spans="1:7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row>
    <row r="621" spans="1:7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row>
    <row r="622" spans="1:7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row>
    <row r="623" spans="1:7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row>
    <row r="624" spans="1:7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row>
    <row r="625" spans="1:7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row>
    <row r="626" spans="1:7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row>
    <row r="627" spans="1:7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row>
    <row r="628" spans="1:7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row>
    <row r="629" spans="1:7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row>
    <row r="630" spans="1:7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row>
    <row r="631" spans="1:7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row>
    <row r="632" spans="1:7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row>
    <row r="633" spans="1:7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row>
    <row r="634" spans="1:7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row>
    <row r="635" spans="1:7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row>
    <row r="636" spans="1:7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row>
    <row r="637" spans="1:7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row>
    <row r="638" spans="1:7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row>
    <row r="639" spans="1:7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row>
    <row r="640" spans="1:7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row>
    <row r="641" spans="1:7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row>
    <row r="642" spans="1:7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row>
    <row r="643" spans="1:7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row>
    <row r="644" spans="1:7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row>
    <row r="645" spans="1:7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row>
    <row r="646" spans="1:7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row>
    <row r="647" spans="1:7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row>
    <row r="648" spans="1:7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row>
    <row r="649" spans="1:7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row>
    <row r="650" spans="1:7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row>
    <row r="651" spans="1:7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row>
    <row r="652" spans="1:7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row>
    <row r="653" spans="1:7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row>
    <row r="654" spans="1:7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row>
    <row r="655" spans="1:7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row>
    <row r="656" spans="1:7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row>
    <row r="657" spans="1:7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row>
    <row r="658" spans="1:7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row>
    <row r="659" spans="1:7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row>
    <row r="660" spans="1:7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row>
    <row r="661" spans="1:7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row>
    <row r="662" spans="1:7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row>
    <row r="663" spans="1:7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row>
    <row r="664" spans="1:7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row>
    <row r="665" spans="1:7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row>
    <row r="666" spans="1:7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row>
    <row r="667" spans="1:7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row>
    <row r="668" spans="1:7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row>
    <row r="669" spans="1:7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row>
    <row r="670" spans="1:7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row>
    <row r="671" spans="1:7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row>
    <row r="672" spans="1:7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BH672" s="187"/>
      <c r="BI672" s="187"/>
      <c r="BJ672" s="187"/>
      <c r="BK672" s="187"/>
      <c r="BL672" s="187"/>
      <c r="BM672" s="187"/>
      <c r="BN672" s="187"/>
      <c r="BO672" s="187"/>
      <c r="BP672" s="187"/>
      <c r="BQ672" s="187"/>
      <c r="BR672" s="187"/>
      <c r="BS672" s="187"/>
      <c r="BT672" s="187"/>
    </row>
    <row r="673" spans="1:7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BH673" s="187"/>
      <c r="BI673" s="187"/>
      <c r="BJ673" s="187"/>
      <c r="BK673" s="187"/>
      <c r="BL673" s="187"/>
      <c r="BM673" s="187"/>
      <c r="BN673" s="187"/>
      <c r="BO673" s="187"/>
      <c r="BP673" s="187"/>
      <c r="BQ673" s="187"/>
      <c r="BR673" s="187"/>
      <c r="BS673" s="187"/>
      <c r="BT673" s="187"/>
    </row>
    <row r="674" spans="1:7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BH674" s="187"/>
      <c r="BI674" s="187"/>
      <c r="BJ674" s="187"/>
      <c r="BK674" s="187"/>
      <c r="BL674" s="187"/>
      <c r="BM674" s="187"/>
      <c r="BN674" s="187"/>
      <c r="BO674" s="187"/>
      <c r="BP674" s="187"/>
      <c r="BQ674" s="187"/>
      <c r="BR674" s="187"/>
      <c r="BS674" s="187"/>
      <c r="BT674" s="187"/>
    </row>
    <row r="675" spans="1:7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BH675" s="187"/>
      <c r="BI675" s="187"/>
      <c r="BJ675" s="187"/>
      <c r="BK675" s="187"/>
      <c r="BL675" s="187"/>
      <c r="BM675" s="187"/>
      <c r="BN675" s="187"/>
      <c r="BO675" s="187"/>
      <c r="BP675" s="187"/>
      <c r="BQ675" s="187"/>
      <c r="BR675" s="187"/>
      <c r="BS675" s="187"/>
      <c r="BT675" s="187"/>
    </row>
    <row r="676" spans="1:7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BH676" s="187"/>
      <c r="BI676" s="187"/>
      <c r="BJ676" s="187"/>
      <c r="BK676" s="187"/>
      <c r="BL676" s="187"/>
      <c r="BM676" s="187"/>
      <c r="BN676" s="187"/>
      <c r="BO676" s="187"/>
      <c r="BP676" s="187"/>
      <c r="BQ676" s="187"/>
      <c r="BR676" s="187"/>
      <c r="BS676" s="187"/>
      <c r="BT676" s="187"/>
    </row>
    <row r="677" spans="1:7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BH677" s="187"/>
      <c r="BI677" s="187"/>
      <c r="BJ677" s="187"/>
      <c r="BK677" s="187"/>
      <c r="BL677" s="187"/>
      <c r="BM677" s="187"/>
      <c r="BN677" s="187"/>
      <c r="BO677" s="187"/>
      <c r="BP677" s="187"/>
      <c r="BQ677" s="187"/>
      <c r="BR677" s="187"/>
      <c r="BS677" s="187"/>
      <c r="BT677" s="187"/>
    </row>
    <row r="678" spans="1:7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BH678" s="187"/>
      <c r="BI678" s="187"/>
      <c r="BJ678" s="187"/>
      <c r="BK678" s="187"/>
      <c r="BL678" s="187"/>
      <c r="BM678" s="187"/>
      <c r="BN678" s="187"/>
      <c r="BO678" s="187"/>
      <c r="BP678" s="187"/>
      <c r="BQ678" s="187"/>
      <c r="BR678" s="187"/>
      <c r="BS678" s="187"/>
      <c r="BT678" s="187"/>
    </row>
    <row r="679" spans="1:7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BH679" s="187"/>
      <c r="BI679" s="187"/>
      <c r="BJ679" s="187"/>
      <c r="BK679" s="187"/>
      <c r="BL679" s="187"/>
      <c r="BM679" s="187"/>
      <c r="BN679" s="187"/>
      <c r="BO679" s="187"/>
      <c r="BP679" s="187"/>
      <c r="BQ679" s="187"/>
      <c r="BR679" s="187"/>
      <c r="BS679" s="187"/>
      <c r="BT679" s="187"/>
    </row>
    <row r="680" spans="1:7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BH680" s="187"/>
      <c r="BI680" s="187"/>
      <c r="BJ680" s="187"/>
      <c r="BK680" s="187"/>
      <c r="BL680" s="187"/>
      <c r="BM680" s="187"/>
      <c r="BN680" s="187"/>
      <c r="BO680" s="187"/>
      <c r="BP680" s="187"/>
      <c r="BQ680" s="187"/>
      <c r="BR680" s="187"/>
      <c r="BS680" s="187"/>
      <c r="BT680" s="187"/>
    </row>
    <row r="681" spans="1:7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BH681" s="187"/>
      <c r="BI681" s="187"/>
      <c r="BJ681" s="187"/>
      <c r="BK681" s="187"/>
      <c r="BL681" s="187"/>
      <c r="BM681" s="187"/>
      <c r="BN681" s="187"/>
      <c r="BO681" s="187"/>
      <c r="BP681" s="187"/>
      <c r="BQ681" s="187"/>
      <c r="BR681" s="187"/>
      <c r="BS681" s="187"/>
      <c r="BT681" s="187"/>
    </row>
    <row r="682" spans="1:7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BH682" s="187"/>
      <c r="BI682" s="187"/>
      <c r="BJ682" s="187"/>
      <c r="BK682" s="187"/>
      <c r="BL682" s="187"/>
      <c r="BM682" s="187"/>
      <c r="BN682" s="187"/>
      <c r="BO682" s="187"/>
      <c r="BP682" s="187"/>
      <c r="BQ682" s="187"/>
      <c r="BR682" s="187"/>
      <c r="BS682" s="187"/>
      <c r="BT682" s="187"/>
    </row>
    <row r="683" spans="1:7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BH683" s="187"/>
      <c r="BI683" s="187"/>
      <c r="BJ683" s="187"/>
      <c r="BK683" s="187"/>
      <c r="BL683" s="187"/>
      <c r="BM683" s="187"/>
      <c r="BN683" s="187"/>
      <c r="BO683" s="187"/>
      <c r="BP683" s="187"/>
      <c r="BQ683" s="187"/>
      <c r="BR683" s="187"/>
      <c r="BS683" s="187"/>
      <c r="BT683" s="187"/>
    </row>
    <row r="684" spans="1:7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BH684" s="187"/>
      <c r="BI684" s="187"/>
      <c r="BJ684" s="187"/>
      <c r="BK684" s="187"/>
      <c r="BL684" s="187"/>
      <c r="BM684" s="187"/>
      <c r="BN684" s="187"/>
      <c r="BO684" s="187"/>
      <c r="BP684" s="187"/>
      <c r="BQ684" s="187"/>
      <c r="BR684" s="187"/>
      <c r="BS684" s="187"/>
      <c r="BT684" s="187"/>
    </row>
    <row r="685" spans="1:7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BH685" s="187"/>
      <c r="BI685" s="187"/>
      <c r="BJ685" s="187"/>
      <c r="BK685" s="187"/>
      <c r="BL685" s="187"/>
      <c r="BM685" s="187"/>
      <c r="BN685" s="187"/>
      <c r="BO685" s="187"/>
      <c r="BP685" s="187"/>
      <c r="BQ685" s="187"/>
      <c r="BR685" s="187"/>
      <c r="BS685" s="187"/>
      <c r="BT685" s="187"/>
    </row>
    <row r="686" spans="1:7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BH686" s="187"/>
      <c r="BI686" s="187"/>
      <c r="BJ686" s="187"/>
      <c r="BK686" s="187"/>
      <c r="BL686" s="187"/>
      <c r="BM686" s="187"/>
      <c r="BN686" s="187"/>
      <c r="BO686" s="187"/>
      <c r="BP686" s="187"/>
      <c r="BQ686" s="187"/>
      <c r="BR686" s="187"/>
      <c r="BS686" s="187"/>
      <c r="BT686" s="187"/>
    </row>
    <row r="687" spans="1:7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BH687" s="187"/>
      <c r="BI687" s="187"/>
      <c r="BJ687" s="187"/>
      <c r="BK687" s="187"/>
      <c r="BL687" s="187"/>
      <c r="BM687" s="187"/>
      <c r="BN687" s="187"/>
      <c r="BO687" s="187"/>
      <c r="BP687" s="187"/>
      <c r="BQ687" s="187"/>
      <c r="BR687" s="187"/>
      <c r="BS687" s="187"/>
      <c r="BT687" s="187"/>
    </row>
    <row r="688" spans="1:7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BH688" s="187"/>
      <c r="BI688" s="187"/>
      <c r="BJ688" s="187"/>
      <c r="BK688" s="187"/>
      <c r="BL688" s="187"/>
      <c r="BM688" s="187"/>
      <c r="BN688" s="187"/>
      <c r="BO688" s="187"/>
      <c r="BP688" s="187"/>
      <c r="BQ688" s="187"/>
      <c r="BR688" s="187"/>
      <c r="BS688" s="187"/>
      <c r="BT688" s="187"/>
    </row>
    <row r="689" spans="1:7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BH689" s="187"/>
      <c r="BI689" s="187"/>
      <c r="BJ689" s="187"/>
      <c r="BK689" s="187"/>
      <c r="BL689" s="187"/>
      <c r="BM689" s="187"/>
      <c r="BN689" s="187"/>
      <c r="BO689" s="187"/>
      <c r="BP689" s="187"/>
      <c r="BQ689" s="187"/>
      <c r="BR689" s="187"/>
      <c r="BS689" s="187"/>
      <c r="BT689" s="187"/>
    </row>
    <row r="690" spans="1:7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BH690" s="187"/>
      <c r="BI690" s="187"/>
      <c r="BJ690" s="187"/>
      <c r="BK690" s="187"/>
      <c r="BL690" s="187"/>
      <c r="BM690" s="187"/>
      <c r="BN690" s="187"/>
      <c r="BO690" s="187"/>
      <c r="BP690" s="187"/>
      <c r="BQ690" s="187"/>
      <c r="BR690" s="187"/>
      <c r="BS690" s="187"/>
      <c r="BT690" s="187"/>
    </row>
    <row r="691" spans="1:7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BH691" s="187"/>
      <c r="BI691" s="187"/>
      <c r="BJ691" s="187"/>
      <c r="BK691" s="187"/>
      <c r="BL691" s="187"/>
      <c r="BM691" s="187"/>
      <c r="BN691" s="187"/>
      <c r="BO691" s="187"/>
      <c r="BP691" s="187"/>
      <c r="BQ691" s="187"/>
      <c r="BR691" s="187"/>
      <c r="BS691" s="187"/>
      <c r="BT691" s="187"/>
    </row>
    <row r="692" spans="1:7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BH692" s="187"/>
      <c r="BI692" s="187"/>
      <c r="BJ692" s="187"/>
      <c r="BK692" s="187"/>
      <c r="BL692" s="187"/>
      <c r="BM692" s="187"/>
      <c r="BN692" s="187"/>
      <c r="BO692" s="187"/>
      <c r="BP692" s="187"/>
      <c r="BQ692" s="187"/>
      <c r="BR692" s="187"/>
      <c r="BS692" s="187"/>
      <c r="BT692" s="187"/>
    </row>
    <row r="693" spans="1:7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BH693" s="187"/>
      <c r="BI693" s="187"/>
      <c r="BJ693" s="187"/>
      <c r="BK693" s="187"/>
      <c r="BL693" s="187"/>
      <c r="BM693" s="187"/>
      <c r="BN693" s="187"/>
      <c r="BO693" s="187"/>
      <c r="BP693" s="187"/>
      <c r="BQ693" s="187"/>
      <c r="BR693" s="187"/>
      <c r="BS693" s="187"/>
      <c r="BT693" s="187"/>
    </row>
    <row r="694" spans="1:7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BH694" s="187"/>
      <c r="BI694" s="187"/>
      <c r="BJ694" s="187"/>
      <c r="BK694" s="187"/>
      <c r="BL694" s="187"/>
      <c r="BM694" s="187"/>
      <c r="BN694" s="187"/>
      <c r="BO694" s="187"/>
      <c r="BP694" s="187"/>
      <c r="BQ694" s="187"/>
      <c r="BR694" s="187"/>
      <c r="BS694" s="187"/>
      <c r="BT694" s="187"/>
    </row>
    <row r="695" spans="1:7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BH695" s="187"/>
      <c r="BI695" s="187"/>
      <c r="BJ695" s="187"/>
      <c r="BK695" s="187"/>
      <c r="BL695" s="187"/>
      <c r="BM695" s="187"/>
      <c r="BN695" s="187"/>
      <c r="BO695" s="187"/>
      <c r="BP695" s="187"/>
      <c r="BQ695" s="187"/>
      <c r="BR695" s="187"/>
      <c r="BS695" s="187"/>
      <c r="BT695" s="187"/>
    </row>
    <row r="696" spans="1:7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BH696" s="187"/>
      <c r="BI696" s="187"/>
      <c r="BJ696" s="187"/>
      <c r="BK696" s="187"/>
      <c r="BL696" s="187"/>
      <c r="BM696" s="187"/>
      <c r="BN696" s="187"/>
      <c r="BO696" s="187"/>
      <c r="BP696" s="187"/>
      <c r="BQ696" s="187"/>
      <c r="BR696" s="187"/>
      <c r="BS696" s="187"/>
      <c r="BT696" s="187"/>
    </row>
    <row r="697" spans="1:7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BH697" s="187"/>
      <c r="BI697" s="187"/>
      <c r="BJ697" s="187"/>
      <c r="BK697" s="187"/>
      <c r="BL697" s="187"/>
      <c r="BM697" s="187"/>
      <c r="BN697" s="187"/>
      <c r="BO697" s="187"/>
      <c r="BP697" s="187"/>
      <c r="BQ697" s="187"/>
      <c r="BR697" s="187"/>
      <c r="BS697" s="187"/>
      <c r="BT697" s="187"/>
    </row>
    <row r="698" spans="1:7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BH698" s="187"/>
      <c r="BI698" s="187"/>
      <c r="BJ698" s="187"/>
      <c r="BK698" s="187"/>
      <c r="BL698" s="187"/>
      <c r="BM698" s="187"/>
      <c r="BN698" s="187"/>
      <c r="BO698" s="187"/>
      <c r="BP698" s="187"/>
      <c r="BQ698" s="187"/>
      <c r="BR698" s="187"/>
      <c r="BS698" s="187"/>
      <c r="BT698" s="187"/>
    </row>
    <row r="699" spans="1:7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BH699" s="187"/>
      <c r="BI699" s="187"/>
      <c r="BJ699" s="187"/>
      <c r="BK699" s="187"/>
      <c r="BL699" s="187"/>
      <c r="BM699" s="187"/>
      <c r="BN699" s="187"/>
      <c r="BO699" s="187"/>
      <c r="BP699" s="187"/>
      <c r="BQ699" s="187"/>
      <c r="BR699" s="187"/>
      <c r="BS699" s="187"/>
      <c r="BT699" s="187"/>
    </row>
    <row r="700" spans="1:7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BH700" s="187"/>
      <c r="BI700" s="187"/>
      <c r="BJ700" s="187"/>
      <c r="BK700" s="187"/>
      <c r="BL700" s="187"/>
      <c r="BM700" s="187"/>
      <c r="BN700" s="187"/>
      <c r="BO700" s="187"/>
      <c r="BP700" s="187"/>
      <c r="BQ700" s="187"/>
      <c r="BR700" s="187"/>
      <c r="BS700" s="187"/>
      <c r="BT700" s="187"/>
    </row>
    <row r="701" spans="1:7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BH701" s="187"/>
      <c r="BI701" s="187"/>
      <c r="BJ701" s="187"/>
      <c r="BK701" s="187"/>
      <c r="BL701" s="187"/>
      <c r="BM701" s="187"/>
      <c r="BN701" s="187"/>
      <c r="BO701" s="187"/>
      <c r="BP701" s="187"/>
      <c r="BQ701" s="187"/>
      <c r="BR701" s="187"/>
      <c r="BS701" s="187"/>
      <c r="BT701" s="187"/>
    </row>
    <row r="702" spans="1:7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BH702" s="187"/>
      <c r="BI702" s="187"/>
      <c r="BJ702" s="187"/>
      <c r="BK702" s="187"/>
      <c r="BL702" s="187"/>
      <c r="BM702" s="187"/>
      <c r="BN702" s="187"/>
      <c r="BO702" s="187"/>
      <c r="BP702" s="187"/>
      <c r="BQ702" s="187"/>
      <c r="BR702" s="187"/>
      <c r="BS702" s="187"/>
      <c r="BT702" s="187"/>
    </row>
    <row r="703" spans="1:7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BH703" s="187"/>
      <c r="BI703" s="187"/>
      <c r="BJ703" s="187"/>
      <c r="BK703" s="187"/>
      <c r="BL703" s="187"/>
      <c r="BM703" s="187"/>
      <c r="BN703" s="187"/>
      <c r="BO703" s="187"/>
      <c r="BP703" s="187"/>
      <c r="BQ703" s="187"/>
      <c r="BR703" s="187"/>
      <c r="BS703" s="187"/>
      <c r="BT703" s="187"/>
    </row>
    <row r="704" spans="1:7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BH704" s="187"/>
      <c r="BI704" s="187"/>
      <c r="BJ704" s="187"/>
      <c r="BK704" s="187"/>
      <c r="BL704" s="187"/>
      <c r="BM704" s="187"/>
      <c r="BN704" s="187"/>
      <c r="BO704" s="187"/>
      <c r="BP704" s="187"/>
      <c r="BQ704" s="187"/>
      <c r="BR704" s="187"/>
      <c r="BS704" s="187"/>
      <c r="BT704" s="187"/>
    </row>
    <row r="705" spans="1:7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BH705" s="187"/>
      <c r="BI705" s="187"/>
      <c r="BJ705" s="187"/>
      <c r="BK705" s="187"/>
      <c r="BL705" s="187"/>
      <c r="BM705" s="187"/>
      <c r="BN705" s="187"/>
      <c r="BO705" s="187"/>
      <c r="BP705" s="187"/>
      <c r="BQ705" s="187"/>
      <c r="BR705" s="187"/>
      <c r="BS705" s="187"/>
      <c r="BT705" s="187"/>
    </row>
    <row r="706" spans="1:7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BH706" s="187"/>
      <c r="BI706" s="187"/>
      <c r="BJ706" s="187"/>
      <c r="BK706" s="187"/>
      <c r="BL706" s="187"/>
      <c r="BM706" s="187"/>
      <c r="BN706" s="187"/>
      <c r="BO706" s="187"/>
      <c r="BP706" s="187"/>
      <c r="BQ706" s="187"/>
      <c r="BR706" s="187"/>
      <c r="BS706" s="187"/>
      <c r="BT706" s="187"/>
    </row>
    <row r="707" spans="1:7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BH707" s="187"/>
      <c r="BI707" s="187"/>
      <c r="BJ707" s="187"/>
      <c r="BK707" s="187"/>
      <c r="BL707" s="187"/>
      <c r="BM707" s="187"/>
      <c r="BN707" s="187"/>
      <c r="BO707" s="187"/>
      <c r="BP707" s="187"/>
      <c r="BQ707" s="187"/>
      <c r="BR707" s="187"/>
      <c r="BS707" s="187"/>
      <c r="BT707" s="187"/>
    </row>
    <row r="708" spans="1:7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BH708" s="187"/>
      <c r="BI708" s="187"/>
      <c r="BJ708" s="187"/>
      <c r="BK708" s="187"/>
      <c r="BL708" s="187"/>
      <c r="BM708" s="187"/>
      <c r="BN708" s="187"/>
      <c r="BO708" s="187"/>
      <c r="BP708" s="187"/>
      <c r="BQ708" s="187"/>
      <c r="BR708" s="187"/>
      <c r="BS708" s="187"/>
      <c r="BT708" s="187"/>
    </row>
    <row r="709" spans="1:7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BH709" s="187"/>
      <c r="BI709" s="187"/>
      <c r="BJ709" s="187"/>
      <c r="BK709" s="187"/>
      <c r="BL709" s="187"/>
      <c r="BM709" s="187"/>
      <c r="BN709" s="187"/>
      <c r="BO709" s="187"/>
      <c r="BP709" s="187"/>
      <c r="BQ709" s="187"/>
      <c r="BR709" s="187"/>
      <c r="BS709" s="187"/>
      <c r="BT709" s="187"/>
    </row>
    <row r="710" spans="1:7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BH710" s="187"/>
      <c r="BI710" s="187"/>
      <c r="BJ710" s="187"/>
      <c r="BK710" s="187"/>
      <c r="BL710" s="187"/>
      <c r="BM710" s="187"/>
      <c r="BN710" s="187"/>
      <c r="BO710" s="187"/>
      <c r="BP710" s="187"/>
      <c r="BQ710" s="187"/>
      <c r="BR710" s="187"/>
      <c r="BS710" s="187"/>
      <c r="BT710" s="187"/>
    </row>
    <row r="711" spans="1:7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BH711" s="187"/>
      <c r="BI711" s="187"/>
      <c r="BJ711" s="187"/>
      <c r="BK711" s="187"/>
      <c r="BL711" s="187"/>
      <c r="BM711" s="187"/>
      <c r="BN711" s="187"/>
      <c r="BO711" s="187"/>
      <c r="BP711" s="187"/>
      <c r="BQ711" s="187"/>
      <c r="BR711" s="187"/>
      <c r="BS711" s="187"/>
      <c r="BT711" s="187"/>
    </row>
    <row r="712" spans="1:7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BH712" s="187"/>
      <c r="BI712" s="187"/>
      <c r="BJ712" s="187"/>
      <c r="BK712" s="187"/>
      <c r="BL712" s="187"/>
      <c r="BM712" s="187"/>
      <c r="BN712" s="187"/>
      <c r="BO712" s="187"/>
      <c r="BP712" s="187"/>
      <c r="BQ712" s="187"/>
      <c r="BR712" s="187"/>
      <c r="BS712" s="187"/>
      <c r="BT712" s="187"/>
    </row>
    <row r="713" spans="1:7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BH713" s="187"/>
      <c r="BI713" s="187"/>
      <c r="BJ713" s="187"/>
      <c r="BK713" s="187"/>
      <c r="BL713" s="187"/>
      <c r="BM713" s="187"/>
      <c r="BN713" s="187"/>
      <c r="BO713" s="187"/>
      <c r="BP713" s="187"/>
      <c r="BQ713" s="187"/>
      <c r="BR713" s="187"/>
      <c r="BS713" s="187"/>
      <c r="BT713" s="187"/>
    </row>
    <row r="714" spans="1:7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BH714" s="187"/>
      <c r="BI714" s="187"/>
      <c r="BJ714" s="187"/>
      <c r="BK714" s="187"/>
      <c r="BL714" s="187"/>
      <c r="BM714" s="187"/>
      <c r="BN714" s="187"/>
      <c r="BO714" s="187"/>
      <c r="BP714" s="187"/>
      <c r="BQ714" s="187"/>
      <c r="BR714" s="187"/>
      <c r="BS714" s="187"/>
      <c r="BT714" s="187"/>
    </row>
    <row r="715" spans="1:7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BH715" s="187"/>
      <c r="BI715" s="187"/>
      <c r="BJ715" s="187"/>
      <c r="BK715" s="187"/>
      <c r="BL715" s="187"/>
      <c r="BM715" s="187"/>
      <c r="BN715" s="187"/>
      <c r="BO715" s="187"/>
      <c r="BP715" s="187"/>
      <c r="BQ715" s="187"/>
      <c r="BR715" s="187"/>
      <c r="BS715" s="187"/>
      <c r="BT715" s="187"/>
    </row>
    <row r="716" spans="1:7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BH716" s="187"/>
      <c r="BI716" s="187"/>
      <c r="BJ716" s="187"/>
      <c r="BK716" s="187"/>
      <c r="BL716" s="187"/>
      <c r="BM716" s="187"/>
      <c r="BN716" s="187"/>
      <c r="BO716" s="187"/>
      <c r="BP716" s="187"/>
      <c r="BQ716" s="187"/>
      <c r="BR716" s="187"/>
      <c r="BS716" s="187"/>
      <c r="BT716" s="187"/>
    </row>
    <row r="717" spans="1:7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BH717" s="187"/>
      <c r="BI717" s="187"/>
      <c r="BJ717" s="187"/>
      <c r="BK717" s="187"/>
      <c r="BL717" s="187"/>
      <c r="BM717" s="187"/>
      <c r="BN717" s="187"/>
      <c r="BO717" s="187"/>
      <c r="BP717" s="187"/>
      <c r="BQ717" s="187"/>
      <c r="BR717" s="187"/>
      <c r="BS717" s="187"/>
      <c r="BT717" s="187"/>
    </row>
    <row r="718" spans="1:7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BH718" s="187"/>
      <c r="BI718" s="187"/>
      <c r="BJ718" s="187"/>
      <c r="BK718" s="187"/>
      <c r="BL718" s="187"/>
      <c r="BM718" s="187"/>
      <c r="BN718" s="187"/>
      <c r="BO718" s="187"/>
      <c r="BP718" s="187"/>
      <c r="BQ718" s="187"/>
      <c r="BR718" s="187"/>
      <c r="BS718" s="187"/>
      <c r="BT718" s="187"/>
    </row>
    <row r="719" spans="1:7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BH719" s="187"/>
      <c r="BI719" s="187"/>
      <c r="BJ719" s="187"/>
      <c r="BK719" s="187"/>
      <c r="BL719" s="187"/>
      <c r="BM719" s="187"/>
      <c r="BN719" s="187"/>
      <c r="BO719" s="187"/>
      <c r="BP719" s="187"/>
      <c r="BQ719" s="187"/>
      <c r="BR719" s="187"/>
      <c r="BS719" s="187"/>
      <c r="BT719" s="187"/>
    </row>
    <row r="720" spans="1:7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BH720" s="187"/>
      <c r="BI720" s="187"/>
      <c r="BJ720" s="187"/>
      <c r="BK720" s="187"/>
      <c r="BL720" s="187"/>
      <c r="BM720" s="187"/>
      <c r="BN720" s="187"/>
      <c r="BO720" s="187"/>
      <c r="BP720" s="187"/>
      <c r="BQ720" s="187"/>
      <c r="BR720" s="187"/>
      <c r="BS720" s="187"/>
      <c r="BT720" s="187"/>
    </row>
    <row r="721" spans="1:7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BH721" s="187"/>
      <c r="BI721" s="187"/>
      <c r="BJ721" s="187"/>
      <c r="BK721" s="187"/>
      <c r="BL721" s="187"/>
      <c r="BM721" s="187"/>
      <c r="BN721" s="187"/>
      <c r="BO721" s="187"/>
      <c r="BP721" s="187"/>
      <c r="BQ721" s="187"/>
      <c r="BR721" s="187"/>
      <c r="BS721" s="187"/>
      <c r="BT721" s="187"/>
    </row>
    <row r="722" spans="1:7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BH722" s="187"/>
      <c r="BI722" s="187"/>
      <c r="BJ722" s="187"/>
      <c r="BK722" s="187"/>
      <c r="BL722" s="187"/>
      <c r="BM722" s="187"/>
      <c r="BN722" s="187"/>
      <c r="BO722" s="187"/>
      <c r="BP722" s="187"/>
      <c r="BQ722" s="187"/>
      <c r="BR722" s="187"/>
      <c r="BS722" s="187"/>
      <c r="BT722" s="187"/>
    </row>
    <row r="723" spans="1:7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BH723" s="187"/>
      <c r="BI723" s="187"/>
      <c r="BJ723" s="187"/>
      <c r="BK723" s="187"/>
      <c r="BL723" s="187"/>
      <c r="BM723" s="187"/>
      <c r="BN723" s="187"/>
      <c r="BO723" s="187"/>
      <c r="BP723" s="187"/>
      <c r="BQ723" s="187"/>
      <c r="BR723" s="187"/>
      <c r="BS723" s="187"/>
      <c r="BT723" s="187"/>
    </row>
    <row r="724" spans="1:7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BH724" s="187"/>
      <c r="BI724" s="187"/>
      <c r="BJ724" s="187"/>
      <c r="BK724" s="187"/>
      <c r="BL724" s="187"/>
      <c r="BM724" s="187"/>
      <c r="BN724" s="187"/>
      <c r="BO724" s="187"/>
      <c r="BP724" s="187"/>
      <c r="BQ724" s="187"/>
      <c r="BR724" s="187"/>
      <c r="BS724" s="187"/>
      <c r="BT724" s="187"/>
    </row>
    <row r="725" spans="1:7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BH725" s="187"/>
      <c r="BI725" s="187"/>
      <c r="BJ725" s="187"/>
      <c r="BK725" s="187"/>
      <c r="BL725" s="187"/>
      <c r="BM725" s="187"/>
      <c r="BN725" s="187"/>
      <c r="BO725" s="187"/>
      <c r="BP725" s="187"/>
      <c r="BQ725" s="187"/>
      <c r="BR725" s="187"/>
      <c r="BS725" s="187"/>
      <c r="BT725" s="187"/>
    </row>
    <row r="726" spans="1:7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BH726" s="187"/>
      <c r="BI726" s="187"/>
      <c r="BJ726" s="187"/>
      <c r="BK726" s="187"/>
      <c r="BL726" s="187"/>
      <c r="BM726" s="187"/>
      <c r="BN726" s="187"/>
      <c r="BO726" s="187"/>
      <c r="BP726" s="187"/>
      <c r="BQ726" s="187"/>
      <c r="BR726" s="187"/>
      <c r="BS726" s="187"/>
      <c r="BT726" s="187"/>
    </row>
    <row r="727" spans="1:7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BH727" s="187"/>
      <c r="BI727" s="187"/>
      <c r="BJ727" s="187"/>
      <c r="BK727" s="187"/>
      <c r="BL727" s="187"/>
      <c r="BM727" s="187"/>
      <c r="BN727" s="187"/>
      <c r="BO727" s="187"/>
      <c r="BP727" s="187"/>
      <c r="BQ727" s="187"/>
      <c r="BR727" s="187"/>
      <c r="BS727" s="187"/>
      <c r="BT727" s="187"/>
    </row>
    <row r="728" spans="1:7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BH728" s="187"/>
      <c r="BI728" s="187"/>
      <c r="BJ728" s="187"/>
      <c r="BK728" s="187"/>
      <c r="BL728" s="187"/>
      <c r="BM728" s="187"/>
      <c r="BN728" s="187"/>
      <c r="BO728" s="187"/>
      <c r="BP728" s="187"/>
      <c r="BQ728" s="187"/>
      <c r="BR728" s="187"/>
      <c r="BS728" s="187"/>
      <c r="BT728" s="187"/>
    </row>
    <row r="729" spans="1:7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BH729" s="187"/>
      <c r="BI729" s="187"/>
      <c r="BJ729" s="187"/>
      <c r="BK729" s="187"/>
      <c r="BL729" s="187"/>
      <c r="BM729" s="187"/>
      <c r="BN729" s="187"/>
      <c r="BO729" s="187"/>
      <c r="BP729" s="187"/>
      <c r="BQ729" s="187"/>
      <c r="BR729" s="187"/>
      <c r="BS729" s="187"/>
      <c r="BT729" s="187"/>
    </row>
    <row r="730" spans="1:7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BH730" s="187"/>
      <c r="BI730" s="187"/>
      <c r="BJ730" s="187"/>
      <c r="BK730" s="187"/>
      <c r="BL730" s="187"/>
      <c r="BM730" s="187"/>
      <c r="BN730" s="187"/>
      <c r="BO730" s="187"/>
      <c r="BP730" s="187"/>
      <c r="BQ730" s="187"/>
      <c r="BR730" s="187"/>
      <c r="BS730" s="187"/>
      <c r="BT730" s="187"/>
    </row>
    <row r="731" spans="1:7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BH731" s="187"/>
      <c r="BI731" s="187"/>
      <c r="BJ731" s="187"/>
      <c r="BK731" s="187"/>
      <c r="BL731" s="187"/>
      <c r="BM731" s="187"/>
      <c r="BN731" s="187"/>
      <c r="BO731" s="187"/>
      <c r="BP731" s="187"/>
      <c r="BQ731" s="187"/>
      <c r="BR731" s="187"/>
      <c r="BS731" s="187"/>
      <c r="BT731" s="187"/>
    </row>
    <row r="732" spans="1:7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BH732" s="187"/>
      <c r="BI732" s="187"/>
      <c r="BJ732" s="187"/>
      <c r="BK732" s="187"/>
      <c r="BL732" s="187"/>
      <c r="BM732" s="187"/>
      <c r="BN732" s="187"/>
      <c r="BO732" s="187"/>
      <c r="BP732" s="187"/>
      <c r="BQ732" s="187"/>
      <c r="BR732" s="187"/>
      <c r="BS732" s="187"/>
      <c r="BT732" s="187"/>
    </row>
    <row r="733" spans="1:7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BH733" s="187"/>
      <c r="BI733" s="187"/>
      <c r="BJ733" s="187"/>
      <c r="BK733" s="187"/>
      <c r="BL733" s="187"/>
      <c r="BM733" s="187"/>
      <c r="BN733" s="187"/>
      <c r="BO733" s="187"/>
      <c r="BP733" s="187"/>
      <c r="BQ733" s="187"/>
      <c r="BR733" s="187"/>
      <c r="BS733" s="187"/>
      <c r="BT733" s="187"/>
    </row>
    <row r="734" spans="1:7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BH734" s="187"/>
      <c r="BI734" s="187"/>
      <c r="BJ734" s="187"/>
      <c r="BK734" s="187"/>
      <c r="BL734" s="187"/>
      <c r="BM734" s="187"/>
      <c r="BN734" s="187"/>
      <c r="BO734" s="187"/>
      <c r="BP734" s="187"/>
      <c r="BQ734" s="187"/>
      <c r="BR734" s="187"/>
      <c r="BS734" s="187"/>
      <c r="BT734" s="187"/>
    </row>
    <row r="735" spans="1:7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BH735" s="187"/>
      <c r="BI735" s="187"/>
      <c r="BJ735" s="187"/>
      <c r="BK735" s="187"/>
      <c r="BL735" s="187"/>
      <c r="BM735" s="187"/>
      <c r="BN735" s="187"/>
      <c r="BO735" s="187"/>
      <c r="BP735" s="187"/>
      <c r="BQ735" s="187"/>
      <c r="BR735" s="187"/>
      <c r="BS735" s="187"/>
      <c r="BT735" s="187"/>
    </row>
    <row r="736" spans="1:7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BH736" s="187"/>
      <c r="BI736" s="187"/>
      <c r="BJ736" s="187"/>
      <c r="BK736" s="187"/>
      <c r="BL736" s="187"/>
      <c r="BM736" s="187"/>
      <c r="BN736" s="187"/>
      <c r="BO736" s="187"/>
      <c r="BP736" s="187"/>
      <c r="BQ736" s="187"/>
      <c r="BR736" s="187"/>
      <c r="BS736" s="187"/>
      <c r="BT736" s="187"/>
    </row>
    <row r="737" spans="1:7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BH737" s="187"/>
      <c r="BI737" s="187"/>
      <c r="BJ737" s="187"/>
      <c r="BK737" s="187"/>
      <c r="BL737" s="187"/>
      <c r="BM737" s="187"/>
      <c r="BN737" s="187"/>
      <c r="BO737" s="187"/>
      <c r="BP737" s="187"/>
      <c r="BQ737" s="187"/>
      <c r="BR737" s="187"/>
      <c r="BS737" s="187"/>
      <c r="BT737" s="187"/>
    </row>
    <row r="738" spans="1:7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BH738" s="187"/>
      <c r="BI738" s="187"/>
      <c r="BJ738" s="187"/>
      <c r="BK738" s="187"/>
      <c r="BL738" s="187"/>
      <c r="BM738" s="187"/>
      <c r="BN738" s="187"/>
      <c r="BO738" s="187"/>
      <c r="BP738" s="187"/>
      <c r="BQ738" s="187"/>
      <c r="BR738" s="187"/>
      <c r="BS738" s="187"/>
      <c r="BT738" s="187"/>
    </row>
    <row r="739" spans="1:7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BH739" s="187"/>
      <c r="BI739" s="187"/>
      <c r="BJ739" s="187"/>
      <c r="BK739" s="187"/>
      <c r="BL739" s="187"/>
      <c r="BM739" s="187"/>
      <c r="BN739" s="187"/>
      <c r="BO739" s="187"/>
      <c r="BP739" s="187"/>
      <c r="BQ739" s="187"/>
      <c r="BR739" s="187"/>
      <c r="BS739" s="187"/>
      <c r="BT739" s="187"/>
    </row>
    <row r="740" spans="1:7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BH740" s="187"/>
      <c r="BI740" s="187"/>
      <c r="BJ740" s="187"/>
      <c r="BK740" s="187"/>
      <c r="BL740" s="187"/>
      <c r="BM740" s="187"/>
      <c r="BN740" s="187"/>
      <c r="BO740" s="187"/>
      <c r="BP740" s="187"/>
      <c r="BQ740" s="187"/>
      <c r="BR740" s="187"/>
      <c r="BS740" s="187"/>
      <c r="BT740" s="187"/>
    </row>
    <row r="741" spans="1:7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BH741" s="187"/>
      <c r="BI741" s="187"/>
      <c r="BJ741" s="187"/>
      <c r="BK741" s="187"/>
      <c r="BL741" s="187"/>
      <c r="BM741" s="187"/>
      <c r="BN741" s="187"/>
      <c r="BO741" s="187"/>
      <c r="BP741" s="187"/>
      <c r="BQ741" s="187"/>
      <c r="BR741" s="187"/>
      <c r="BS741" s="187"/>
      <c r="BT741" s="187"/>
    </row>
    <row r="742" spans="1:7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BH742" s="187"/>
      <c r="BI742" s="187"/>
      <c r="BJ742" s="187"/>
      <c r="BK742" s="187"/>
      <c r="BL742" s="187"/>
      <c r="BM742" s="187"/>
      <c r="BN742" s="187"/>
      <c r="BO742" s="187"/>
      <c r="BP742" s="187"/>
      <c r="BQ742" s="187"/>
      <c r="BR742" s="187"/>
      <c r="BS742" s="187"/>
      <c r="BT742" s="187"/>
    </row>
    <row r="743" spans="1:7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BH743" s="187"/>
      <c r="BI743" s="187"/>
      <c r="BJ743" s="187"/>
      <c r="BK743" s="187"/>
      <c r="BL743" s="187"/>
      <c r="BM743" s="187"/>
      <c r="BN743" s="187"/>
      <c r="BO743" s="187"/>
      <c r="BP743" s="187"/>
      <c r="BQ743" s="187"/>
      <c r="BR743" s="187"/>
      <c r="BS743" s="187"/>
      <c r="BT743" s="187"/>
    </row>
    <row r="744" spans="1:7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BH744" s="187"/>
      <c r="BI744" s="187"/>
      <c r="BJ744" s="187"/>
      <c r="BK744" s="187"/>
      <c r="BL744" s="187"/>
      <c r="BM744" s="187"/>
      <c r="BN744" s="187"/>
      <c r="BO744" s="187"/>
      <c r="BP744" s="187"/>
      <c r="BQ744" s="187"/>
      <c r="BR744" s="187"/>
      <c r="BS744" s="187"/>
      <c r="BT744" s="187"/>
    </row>
    <row r="745" spans="1:72">
      <c r="BH745" s="187"/>
      <c r="BI745" s="187"/>
      <c r="BJ745" s="187"/>
      <c r="BK745" s="187"/>
      <c r="BL745" s="187"/>
      <c r="BM745" s="187"/>
      <c r="BN745" s="187"/>
      <c r="BO745" s="187"/>
      <c r="BP745" s="187"/>
      <c r="BQ745" s="187"/>
      <c r="BR745" s="187"/>
      <c r="BS745" s="187"/>
      <c r="BT745" s="187"/>
    </row>
    <row r="746" spans="1:72">
      <c r="BH746" s="187"/>
      <c r="BI746" s="187"/>
      <c r="BJ746" s="187"/>
      <c r="BK746" s="187"/>
      <c r="BL746" s="187"/>
      <c r="BM746" s="187"/>
      <c r="BN746" s="187"/>
      <c r="BO746" s="187"/>
      <c r="BP746" s="187"/>
      <c r="BQ746" s="187"/>
      <c r="BR746" s="187"/>
      <c r="BS746" s="187"/>
      <c r="BT746" s="187"/>
    </row>
    <row r="747" spans="1:72">
      <c r="BH747" s="187"/>
      <c r="BI747" s="187"/>
      <c r="BJ747" s="187"/>
      <c r="BK747" s="187"/>
      <c r="BL747" s="187"/>
      <c r="BM747" s="187"/>
      <c r="BN747" s="187"/>
      <c r="BO747" s="187"/>
      <c r="BP747" s="187"/>
      <c r="BQ747" s="187"/>
      <c r="BR747" s="187"/>
      <c r="BS747" s="187"/>
      <c r="BT747" s="187"/>
    </row>
    <row r="748" spans="1:72">
      <c r="BH748" s="187"/>
      <c r="BI748" s="187"/>
      <c r="BJ748" s="187"/>
      <c r="BK748" s="187"/>
      <c r="BL748" s="187"/>
      <c r="BM748" s="187"/>
      <c r="BN748" s="187"/>
      <c r="BO748" s="187"/>
      <c r="BP748" s="187"/>
      <c r="BQ748" s="187"/>
      <c r="BR748" s="187"/>
      <c r="BS748" s="187"/>
      <c r="BT748" s="187"/>
    </row>
    <row r="749" spans="1:72">
      <c r="BH749" s="187"/>
      <c r="BI749" s="187"/>
      <c r="BJ749" s="187"/>
      <c r="BK749" s="187"/>
      <c r="BL749" s="187"/>
      <c r="BM749" s="187"/>
      <c r="BN749" s="187"/>
      <c r="BO749" s="187"/>
      <c r="BP749" s="187"/>
      <c r="BQ749" s="187"/>
      <c r="BR749" s="187"/>
      <c r="BS749" s="187"/>
      <c r="BT749" s="187"/>
    </row>
    <row r="750" spans="1:72">
      <c r="BH750" s="187"/>
      <c r="BI750" s="187"/>
      <c r="BJ750" s="187"/>
      <c r="BK750" s="187"/>
      <c r="BL750" s="187"/>
      <c r="BM750" s="187"/>
      <c r="BN750" s="187"/>
      <c r="BO750" s="187"/>
      <c r="BP750" s="187"/>
      <c r="BQ750" s="187"/>
      <c r="BR750" s="187"/>
      <c r="BS750" s="187"/>
      <c r="BT750" s="187"/>
    </row>
    <row r="751" spans="1:72">
      <c r="BH751" s="187"/>
      <c r="BI751" s="187"/>
      <c r="BJ751" s="187"/>
      <c r="BK751" s="187"/>
      <c r="BL751" s="187"/>
      <c r="BM751" s="187"/>
      <c r="BN751" s="187"/>
      <c r="BO751" s="187"/>
      <c r="BP751" s="187"/>
      <c r="BQ751" s="187"/>
      <c r="BR751" s="187"/>
      <c r="BS751" s="187"/>
      <c r="BT751" s="187"/>
    </row>
    <row r="752" spans="1:72">
      <c r="BH752" s="187"/>
      <c r="BI752" s="187"/>
      <c r="BJ752" s="187"/>
      <c r="BK752" s="187"/>
      <c r="BL752" s="187"/>
      <c r="BM752" s="187"/>
      <c r="BN752" s="187"/>
      <c r="BO752" s="187"/>
      <c r="BP752" s="187"/>
      <c r="BQ752" s="187"/>
      <c r="BR752" s="187"/>
      <c r="BS752" s="187"/>
      <c r="BT752" s="187"/>
    </row>
    <row r="753" spans="60:72">
      <c r="BH753" s="187"/>
      <c r="BI753" s="187"/>
      <c r="BJ753" s="187"/>
      <c r="BK753" s="187"/>
      <c r="BL753" s="187"/>
      <c r="BM753" s="187"/>
      <c r="BN753" s="187"/>
      <c r="BO753" s="187"/>
      <c r="BP753" s="187"/>
      <c r="BQ753" s="187"/>
      <c r="BR753" s="187"/>
      <c r="BS753" s="187"/>
      <c r="BT753" s="187"/>
    </row>
    <row r="754" spans="60:72">
      <c r="BH754" s="187"/>
      <c r="BI754" s="187"/>
      <c r="BJ754" s="187"/>
      <c r="BK754" s="187"/>
      <c r="BL754" s="187"/>
      <c r="BM754" s="187"/>
      <c r="BN754" s="187"/>
      <c r="BO754" s="187"/>
      <c r="BP754" s="187"/>
      <c r="BQ754" s="187"/>
      <c r="BR754" s="187"/>
      <c r="BS754" s="187"/>
      <c r="BT754" s="187"/>
    </row>
    <row r="755" spans="60:72">
      <c r="BH755" s="187"/>
      <c r="BI755" s="187"/>
      <c r="BJ755" s="187"/>
      <c r="BK755" s="187"/>
      <c r="BL755" s="187"/>
      <c r="BM755" s="187"/>
      <c r="BN755" s="187"/>
      <c r="BO755" s="187"/>
      <c r="BP755" s="187"/>
      <c r="BQ755" s="187"/>
      <c r="BR755" s="187"/>
      <c r="BS755" s="187"/>
      <c r="BT755" s="187"/>
    </row>
    <row r="756" spans="60:72">
      <c r="BH756" s="187"/>
      <c r="BI756" s="187"/>
      <c r="BJ756" s="187"/>
      <c r="BK756" s="187"/>
      <c r="BL756" s="187"/>
      <c r="BM756" s="187"/>
      <c r="BN756" s="187"/>
      <c r="BO756" s="187"/>
      <c r="BP756" s="187"/>
      <c r="BQ756" s="187"/>
      <c r="BR756" s="187"/>
      <c r="BS756" s="187"/>
      <c r="BT756" s="187"/>
    </row>
    <row r="757" spans="60:72">
      <c r="BH757" s="187"/>
      <c r="BI757" s="187"/>
      <c r="BJ757" s="187"/>
      <c r="BK757" s="187"/>
      <c r="BL757" s="187"/>
      <c r="BM757" s="187"/>
      <c r="BN757" s="187"/>
      <c r="BO757" s="187"/>
      <c r="BP757" s="187"/>
      <c r="BQ757" s="187"/>
      <c r="BR757" s="187"/>
      <c r="BS757" s="187"/>
      <c r="BT757" s="187"/>
    </row>
    <row r="758" spans="60:72">
      <c r="BH758" s="187"/>
      <c r="BI758" s="187"/>
      <c r="BJ758" s="187"/>
      <c r="BK758" s="187"/>
      <c r="BL758" s="187"/>
      <c r="BM758" s="187"/>
      <c r="BN758" s="187"/>
      <c r="BO758" s="187"/>
      <c r="BP758" s="187"/>
      <c r="BQ758" s="187"/>
      <c r="BR758" s="187"/>
      <c r="BS758" s="187"/>
      <c r="BT758" s="187"/>
    </row>
    <row r="759" spans="60:72">
      <c r="BH759" s="187"/>
      <c r="BI759" s="187"/>
      <c r="BJ759" s="187"/>
      <c r="BK759" s="187"/>
      <c r="BL759" s="187"/>
      <c r="BM759" s="187"/>
      <c r="BN759" s="187"/>
      <c r="BO759" s="187"/>
      <c r="BP759" s="187"/>
      <c r="BQ759" s="187"/>
      <c r="BR759" s="187"/>
      <c r="BS759" s="187"/>
      <c r="BT759" s="187"/>
    </row>
    <row r="760" spans="60:72">
      <c r="BH760" s="187"/>
      <c r="BI760" s="187"/>
      <c r="BJ760" s="187"/>
      <c r="BK760" s="187"/>
      <c r="BL760" s="187"/>
      <c r="BM760" s="187"/>
      <c r="BN760" s="187"/>
      <c r="BO760" s="187"/>
      <c r="BP760" s="187"/>
      <c r="BQ760" s="187"/>
      <c r="BR760" s="187"/>
      <c r="BS760" s="187"/>
      <c r="BT760" s="187"/>
    </row>
    <row r="761" spans="60:72">
      <c r="BH761" s="187"/>
      <c r="BI761" s="187"/>
      <c r="BJ761" s="187"/>
      <c r="BK761" s="187"/>
      <c r="BL761" s="187"/>
      <c r="BM761" s="187"/>
      <c r="BN761" s="187"/>
      <c r="BO761" s="187"/>
      <c r="BP761" s="187"/>
      <c r="BQ761" s="187"/>
      <c r="BR761" s="187"/>
      <c r="BS761" s="187"/>
      <c r="BT761" s="187"/>
    </row>
    <row r="762" spans="60:72">
      <c r="BH762" s="187"/>
      <c r="BI762" s="187"/>
      <c r="BJ762" s="187"/>
      <c r="BK762" s="187"/>
      <c r="BL762" s="187"/>
      <c r="BM762" s="187"/>
      <c r="BN762" s="187"/>
      <c r="BO762" s="187"/>
      <c r="BP762" s="187"/>
      <c r="BQ762" s="187"/>
      <c r="BR762" s="187"/>
      <c r="BS762" s="187"/>
      <c r="BT762" s="187"/>
    </row>
    <row r="763" spans="60:72">
      <c r="BH763" s="187"/>
      <c r="BI763" s="187"/>
      <c r="BJ763" s="187"/>
      <c r="BK763" s="187"/>
      <c r="BL763" s="187"/>
      <c r="BM763" s="187"/>
      <c r="BN763" s="187"/>
      <c r="BO763" s="187"/>
      <c r="BP763" s="187"/>
      <c r="BQ763" s="187"/>
      <c r="BR763" s="187"/>
      <c r="BS763" s="187"/>
      <c r="BT763" s="187"/>
    </row>
    <row r="764" spans="60:72">
      <c r="BH764" s="187"/>
      <c r="BI764" s="187"/>
      <c r="BJ764" s="187"/>
      <c r="BK764" s="187"/>
      <c r="BL764" s="187"/>
      <c r="BM764" s="187"/>
      <c r="BN764" s="187"/>
      <c r="BO764" s="187"/>
      <c r="BP764" s="187"/>
      <c r="BQ764" s="187"/>
      <c r="BR764" s="187"/>
      <c r="BS764" s="187"/>
      <c r="BT764" s="187"/>
    </row>
    <row r="765" spans="60:72">
      <c r="BH765" s="187"/>
      <c r="BI765" s="187"/>
      <c r="BJ765" s="187"/>
      <c r="BK765" s="187"/>
      <c r="BL765" s="187"/>
      <c r="BM765" s="187"/>
      <c r="BN765" s="187"/>
      <c r="BO765" s="187"/>
      <c r="BP765" s="187"/>
      <c r="BQ765" s="187"/>
      <c r="BR765" s="187"/>
      <c r="BS765" s="187"/>
      <c r="BT765" s="187"/>
    </row>
    <row r="766" spans="60:72">
      <c r="BH766" s="187"/>
      <c r="BI766" s="187"/>
      <c r="BJ766" s="187"/>
      <c r="BK766" s="187"/>
      <c r="BL766" s="187"/>
      <c r="BM766" s="187"/>
      <c r="BN766" s="187"/>
      <c r="BO766" s="187"/>
      <c r="BP766" s="187"/>
      <c r="BQ766" s="187"/>
      <c r="BR766" s="187"/>
      <c r="BS766" s="187"/>
      <c r="BT766" s="187"/>
    </row>
    <row r="767" spans="60:72">
      <c r="BH767" s="187"/>
      <c r="BI767" s="187"/>
      <c r="BJ767" s="187"/>
      <c r="BK767" s="187"/>
      <c r="BL767" s="187"/>
      <c r="BM767" s="187"/>
      <c r="BN767" s="187"/>
      <c r="BO767" s="187"/>
      <c r="BP767" s="187"/>
      <c r="BQ767" s="187"/>
      <c r="BR767" s="187"/>
      <c r="BS767" s="187"/>
      <c r="BT767" s="187"/>
    </row>
    <row r="768" spans="60:72">
      <c r="BH768" s="187"/>
      <c r="BI768" s="187"/>
      <c r="BJ768" s="187"/>
      <c r="BK768" s="187"/>
      <c r="BL768" s="187"/>
      <c r="BM768" s="187"/>
      <c r="BN768" s="187"/>
      <c r="BO768" s="187"/>
      <c r="BP768" s="187"/>
      <c r="BQ768" s="187"/>
      <c r="BR768" s="187"/>
      <c r="BS768" s="187"/>
      <c r="BT768" s="187"/>
    </row>
    <row r="769" spans="60:72">
      <c r="BH769" s="187"/>
      <c r="BI769" s="187"/>
      <c r="BJ769" s="187"/>
      <c r="BK769" s="187"/>
      <c r="BL769" s="187"/>
      <c r="BM769" s="187"/>
      <c r="BN769" s="187"/>
      <c r="BO769" s="187"/>
      <c r="BP769" s="187"/>
      <c r="BQ769" s="187"/>
      <c r="BR769" s="187"/>
      <c r="BS769" s="187"/>
      <c r="BT769" s="187"/>
    </row>
    <row r="770" spans="60:72">
      <c r="BH770" s="187"/>
      <c r="BI770" s="187"/>
      <c r="BJ770" s="187"/>
      <c r="BK770" s="187"/>
      <c r="BL770" s="187"/>
      <c r="BM770" s="187"/>
      <c r="BN770" s="187"/>
      <c r="BO770" s="187"/>
      <c r="BP770" s="187"/>
      <c r="BQ770" s="187"/>
      <c r="BR770" s="187"/>
      <c r="BS770" s="187"/>
      <c r="BT770" s="187"/>
    </row>
    <row r="771" spans="60:72">
      <c r="BH771" s="187"/>
      <c r="BI771" s="187"/>
      <c r="BJ771" s="187"/>
      <c r="BK771" s="187"/>
      <c r="BL771" s="187"/>
      <c r="BM771" s="187"/>
      <c r="BN771" s="187"/>
      <c r="BO771" s="187"/>
      <c r="BP771" s="187"/>
      <c r="BQ771" s="187"/>
      <c r="BR771" s="187"/>
      <c r="BS771" s="187"/>
      <c r="BT771" s="187"/>
    </row>
    <row r="772" spans="60:72">
      <c r="BH772" s="187"/>
      <c r="BI772" s="187"/>
      <c r="BJ772" s="187"/>
      <c r="BK772" s="187"/>
      <c r="BL772" s="187"/>
      <c r="BM772" s="187"/>
      <c r="BN772" s="187"/>
      <c r="BO772" s="187"/>
      <c r="BP772" s="187"/>
      <c r="BQ772" s="187"/>
      <c r="BR772" s="187"/>
      <c r="BS772" s="187"/>
      <c r="BT772" s="187"/>
    </row>
    <row r="773" spans="60:72">
      <c r="BH773" s="187"/>
      <c r="BI773" s="187"/>
      <c r="BJ773" s="187"/>
      <c r="BK773" s="187"/>
      <c r="BL773" s="187"/>
      <c r="BM773" s="187"/>
      <c r="BN773" s="187"/>
      <c r="BO773" s="187"/>
      <c r="BP773" s="187"/>
      <c r="BQ773" s="187"/>
      <c r="BR773" s="187"/>
      <c r="BS773" s="187"/>
      <c r="BT773" s="187"/>
    </row>
    <row r="774" spans="60:72">
      <c r="BH774" s="187"/>
      <c r="BI774" s="187"/>
      <c r="BJ774" s="187"/>
      <c r="BK774" s="187"/>
      <c r="BL774" s="187"/>
      <c r="BM774" s="187"/>
      <c r="BN774" s="187"/>
      <c r="BO774" s="187"/>
      <c r="BP774" s="187"/>
      <c r="BQ774" s="187"/>
      <c r="BR774" s="187"/>
      <c r="BS774" s="187"/>
      <c r="BT774" s="187"/>
    </row>
    <row r="775" spans="60:72">
      <c r="BH775" s="187"/>
      <c r="BI775" s="187"/>
      <c r="BJ775" s="187"/>
      <c r="BK775" s="187"/>
      <c r="BL775" s="187"/>
      <c r="BM775" s="187"/>
      <c r="BN775" s="187"/>
      <c r="BO775" s="187"/>
      <c r="BP775" s="187"/>
      <c r="BQ775" s="187"/>
      <c r="BR775" s="187"/>
      <c r="BS775" s="187"/>
      <c r="BT775" s="187"/>
    </row>
    <row r="776" spans="60:72">
      <c r="BH776" s="187"/>
      <c r="BI776" s="187"/>
      <c r="BJ776" s="187"/>
      <c r="BK776" s="187"/>
      <c r="BL776" s="187"/>
      <c r="BM776" s="187"/>
      <c r="BN776" s="187"/>
      <c r="BO776" s="187"/>
      <c r="BP776" s="187"/>
      <c r="BQ776" s="187"/>
      <c r="BR776" s="187"/>
      <c r="BS776" s="187"/>
      <c r="BT776" s="187"/>
    </row>
    <row r="777" spans="60:72">
      <c r="BH777" s="187"/>
      <c r="BI777" s="187"/>
      <c r="BJ777" s="187"/>
      <c r="BK777" s="187"/>
      <c r="BL777" s="187"/>
      <c r="BM777" s="187"/>
      <c r="BN777" s="187"/>
      <c r="BO777" s="187"/>
      <c r="BP777" s="187"/>
      <c r="BQ777" s="187"/>
      <c r="BR777" s="187"/>
      <c r="BS777" s="187"/>
      <c r="BT777" s="187"/>
    </row>
    <row r="778" spans="60:72">
      <c r="BH778" s="187"/>
      <c r="BI778" s="187"/>
      <c r="BJ778" s="187"/>
      <c r="BK778" s="187"/>
      <c r="BL778" s="187"/>
      <c r="BM778" s="187"/>
      <c r="BN778" s="187"/>
      <c r="BO778" s="187"/>
      <c r="BP778" s="187"/>
      <c r="BQ778" s="187"/>
      <c r="BR778" s="187"/>
      <c r="BS778" s="187"/>
      <c r="BT778" s="187"/>
    </row>
    <row r="779" spans="60:72">
      <c r="BH779" s="187"/>
      <c r="BI779" s="187"/>
      <c r="BJ779" s="187"/>
      <c r="BK779" s="187"/>
      <c r="BL779" s="187"/>
      <c r="BM779" s="187"/>
      <c r="BN779" s="187"/>
      <c r="BO779" s="187"/>
      <c r="BP779" s="187"/>
      <c r="BQ779" s="187"/>
      <c r="BR779" s="187"/>
      <c r="BS779" s="187"/>
      <c r="BT779" s="187"/>
    </row>
    <row r="780" spans="60:72">
      <c r="BH780" s="187"/>
      <c r="BI780" s="187"/>
      <c r="BJ780" s="187"/>
      <c r="BK780" s="187"/>
      <c r="BL780" s="187"/>
      <c r="BM780" s="187"/>
      <c r="BN780" s="187"/>
      <c r="BO780" s="187"/>
      <c r="BP780" s="187"/>
      <c r="BQ780" s="187"/>
      <c r="BR780" s="187"/>
      <c r="BS780" s="187"/>
      <c r="BT780" s="187"/>
    </row>
    <row r="781" spans="60:72">
      <c r="BH781" s="187"/>
      <c r="BI781" s="187"/>
      <c r="BJ781" s="187"/>
      <c r="BK781" s="187"/>
      <c r="BL781" s="187"/>
      <c r="BM781" s="187"/>
      <c r="BN781" s="187"/>
      <c r="BO781" s="187"/>
      <c r="BP781" s="187"/>
      <c r="BQ781" s="187"/>
      <c r="BR781" s="187"/>
      <c r="BS781" s="187"/>
      <c r="BT781" s="187"/>
    </row>
    <row r="782" spans="60:72">
      <c r="BH782" s="187"/>
      <c r="BI782" s="187"/>
      <c r="BJ782" s="187"/>
      <c r="BK782" s="187"/>
      <c r="BL782" s="187"/>
      <c r="BM782" s="187"/>
      <c r="BN782" s="187"/>
      <c r="BO782" s="187"/>
      <c r="BP782" s="187"/>
      <c r="BQ782" s="187"/>
      <c r="BR782" s="187"/>
      <c r="BS782" s="187"/>
      <c r="BT782" s="187"/>
    </row>
    <row r="783" spans="60:72">
      <c r="BH783" s="187"/>
      <c r="BI783" s="187"/>
      <c r="BJ783" s="187"/>
      <c r="BK783" s="187"/>
      <c r="BL783" s="187"/>
      <c r="BM783" s="187"/>
      <c r="BN783" s="187"/>
      <c r="BO783" s="187"/>
      <c r="BP783" s="187"/>
      <c r="BQ783" s="187"/>
      <c r="BR783" s="187"/>
      <c r="BS783" s="187"/>
      <c r="BT783" s="187"/>
    </row>
    <row r="784" spans="60:72">
      <c r="BH784" s="187"/>
      <c r="BI784" s="187"/>
      <c r="BJ784" s="187"/>
      <c r="BK784" s="187"/>
      <c r="BL784" s="187"/>
      <c r="BM784" s="187"/>
      <c r="BN784" s="187"/>
      <c r="BO784" s="187"/>
      <c r="BP784" s="187"/>
      <c r="BQ784" s="187"/>
      <c r="BR784" s="187"/>
      <c r="BS784" s="187"/>
      <c r="BT784" s="187"/>
    </row>
    <row r="785" spans="60:72">
      <c r="BH785" s="187"/>
      <c r="BI785" s="187"/>
      <c r="BJ785" s="187"/>
      <c r="BK785" s="187"/>
      <c r="BL785" s="187"/>
      <c r="BM785" s="187"/>
      <c r="BN785" s="187"/>
      <c r="BO785" s="187"/>
      <c r="BP785" s="187"/>
      <c r="BQ785" s="187"/>
      <c r="BR785" s="187"/>
      <c r="BS785" s="187"/>
      <c r="BT785" s="187"/>
    </row>
    <row r="786" spans="60:72">
      <c r="BH786" s="187"/>
      <c r="BI786" s="187"/>
      <c r="BJ786" s="187"/>
      <c r="BK786" s="187"/>
      <c r="BL786" s="187"/>
      <c r="BM786" s="187"/>
      <c r="BN786" s="187"/>
      <c r="BO786" s="187"/>
      <c r="BP786" s="187"/>
      <c r="BQ786" s="187"/>
      <c r="BR786" s="187"/>
      <c r="BS786" s="187"/>
      <c r="BT786" s="187"/>
    </row>
    <row r="787" spans="60:72">
      <c r="BH787" s="187"/>
      <c r="BI787" s="187"/>
      <c r="BJ787" s="187"/>
      <c r="BK787" s="187"/>
      <c r="BL787" s="187"/>
      <c r="BM787" s="187"/>
      <c r="BN787" s="187"/>
      <c r="BO787" s="187"/>
      <c r="BP787" s="187"/>
      <c r="BQ787" s="187"/>
      <c r="BR787" s="187"/>
      <c r="BS787" s="187"/>
      <c r="BT787" s="187"/>
    </row>
    <row r="788" spans="60:72">
      <c r="BH788" s="187"/>
      <c r="BI788" s="187"/>
      <c r="BJ788" s="187"/>
      <c r="BK788" s="187"/>
      <c r="BL788" s="187"/>
      <c r="BM788" s="187"/>
      <c r="BN788" s="187"/>
      <c r="BO788" s="187"/>
      <c r="BP788" s="187"/>
      <c r="BQ788" s="187"/>
      <c r="BR788" s="187"/>
      <c r="BS788" s="187"/>
      <c r="BT788" s="187"/>
    </row>
    <row r="789" spans="60:72">
      <c r="BH789" s="187"/>
      <c r="BI789" s="187"/>
      <c r="BJ789" s="187"/>
      <c r="BK789" s="187"/>
      <c r="BL789" s="187"/>
      <c r="BM789" s="187"/>
      <c r="BN789" s="187"/>
      <c r="BO789" s="187"/>
      <c r="BP789" s="187"/>
      <c r="BQ789" s="187"/>
      <c r="BR789" s="187"/>
      <c r="BS789" s="187"/>
      <c r="BT789" s="187"/>
    </row>
    <row r="790" spans="60:72">
      <c r="BH790" s="187"/>
      <c r="BI790" s="187"/>
      <c r="BJ790" s="187"/>
      <c r="BK790" s="187"/>
      <c r="BL790" s="187"/>
      <c r="BM790" s="187"/>
      <c r="BN790" s="187"/>
      <c r="BO790" s="187"/>
      <c r="BP790" s="187"/>
      <c r="BQ790" s="187"/>
      <c r="BR790" s="187"/>
      <c r="BS790" s="187"/>
      <c r="BT790" s="187"/>
    </row>
    <row r="791" spans="60:72">
      <c r="BH791" s="187"/>
      <c r="BI791" s="187"/>
      <c r="BJ791" s="187"/>
      <c r="BK791" s="187"/>
      <c r="BL791" s="187"/>
      <c r="BM791" s="187"/>
      <c r="BN791" s="187"/>
      <c r="BO791" s="187"/>
      <c r="BP791" s="187"/>
      <c r="BQ791" s="187"/>
      <c r="BR791" s="187"/>
      <c r="BS791" s="187"/>
      <c r="BT791" s="187"/>
    </row>
    <row r="792" spans="60:72">
      <c r="BH792" s="187"/>
      <c r="BI792" s="187"/>
      <c r="BJ792" s="187"/>
      <c r="BK792" s="187"/>
      <c r="BL792" s="187"/>
      <c r="BM792" s="187"/>
      <c r="BN792" s="187"/>
      <c r="BO792" s="187"/>
      <c r="BP792" s="187"/>
      <c r="BQ792" s="187"/>
      <c r="BR792" s="187"/>
      <c r="BS792" s="187"/>
      <c r="BT792" s="187"/>
    </row>
    <row r="793" spans="60:72">
      <c r="BH793" s="187"/>
      <c r="BI793" s="187"/>
      <c r="BJ793" s="187"/>
      <c r="BK793" s="187"/>
      <c r="BL793" s="187"/>
      <c r="BM793" s="187"/>
      <c r="BN793" s="187"/>
      <c r="BO793" s="187"/>
      <c r="BP793" s="187"/>
      <c r="BQ793" s="187"/>
      <c r="BR793" s="187"/>
      <c r="BS793" s="187"/>
      <c r="BT793" s="187"/>
    </row>
    <row r="794" spans="60:72">
      <c r="BH794" s="187"/>
      <c r="BI794" s="187"/>
      <c r="BJ794" s="187"/>
      <c r="BK794" s="187"/>
      <c r="BL794" s="187"/>
      <c r="BM794" s="187"/>
      <c r="BN794" s="187"/>
      <c r="BO794" s="187"/>
      <c r="BP794" s="187"/>
      <c r="BQ794" s="187"/>
      <c r="BR794" s="187"/>
      <c r="BS794" s="187"/>
      <c r="BT794" s="187"/>
    </row>
    <row r="795" spans="60:72">
      <c r="BH795" s="187"/>
      <c r="BI795" s="187"/>
      <c r="BJ795" s="187"/>
      <c r="BK795" s="187"/>
      <c r="BL795" s="187"/>
      <c r="BM795" s="187"/>
      <c r="BN795" s="187"/>
      <c r="BO795" s="187"/>
      <c r="BP795" s="187"/>
      <c r="BQ795" s="187"/>
      <c r="BR795" s="187"/>
      <c r="BS795" s="187"/>
      <c r="BT795" s="187"/>
    </row>
    <row r="796" spans="60:72">
      <c r="BH796" s="187"/>
      <c r="BI796" s="187"/>
      <c r="BJ796" s="187"/>
      <c r="BK796" s="187"/>
      <c r="BL796" s="187"/>
      <c r="BM796" s="187"/>
      <c r="BN796" s="187"/>
      <c r="BO796" s="187"/>
      <c r="BP796" s="187"/>
      <c r="BQ796" s="187"/>
      <c r="BR796" s="187"/>
      <c r="BS796" s="187"/>
      <c r="BT796" s="187"/>
    </row>
    <row r="797" spans="60:72">
      <c r="BH797" s="187"/>
      <c r="BI797" s="187"/>
      <c r="BJ797" s="187"/>
      <c r="BK797" s="187"/>
      <c r="BL797" s="187"/>
      <c r="BM797" s="187"/>
      <c r="BN797" s="187"/>
      <c r="BO797" s="187"/>
      <c r="BP797" s="187"/>
      <c r="BQ797" s="187"/>
      <c r="BR797" s="187"/>
      <c r="BS797" s="187"/>
      <c r="BT797" s="187"/>
    </row>
    <row r="798" spans="60:72">
      <c r="BH798" s="187"/>
      <c r="BI798" s="187"/>
      <c r="BJ798" s="187"/>
      <c r="BK798" s="187"/>
      <c r="BL798" s="187"/>
      <c r="BM798" s="187"/>
      <c r="BN798" s="187"/>
      <c r="BO798" s="187"/>
      <c r="BP798" s="187"/>
      <c r="BQ798" s="187"/>
      <c r="BR798" s="187"/>
      <c r="BS798" s="187"/>
      <c r="BT798" s="187"/>
    </row>
    <row r="799" spans="60:72">
      <c r="BH799" s="187"/>
      <c r="BI799" s="187"/>
      <c r="BJ799" s="187"/>
      <c r="BK799" s="187"/>
      <c r="BL799" s="187"/>
      <c r="BM799" s="187"/>
      <c r="BN799" s="187"/>
      <c r="BO799" s="187"/>
      <c r="BP799" s="187"/>
      <c r="BQ799" s="187"/>
      <c r="BR799" s="187"/>
      <c r="BS799" s="187"/>
      <c r="BT799" s="187"/>
    </row>
    <row r="800" spans="60:72">
      <c r="BH800" s="187"/>
      <c r="BI800" s="187"/>
      <c r="BJ800" s="187"/>
      <c r="BK800" s="187"/>
      <c r="BL800" s="187"/>
      <c r="BM800" s="187"/>
      <c r="BN800" s="187"/>
      <c r="BO800" s="187"/>
      <c r="BP800" s="187"/>
      <c r="BQ800" s="187"/>
      <c r="BR800" s="187"/>
      <c r="BS800" s="187"/>
      <c r="BT800" s="187"/>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3:Q113 L120 L122 L124 L126 L128 L130 L132 L134 L136 L138 L140 L142 L144 L146 L271 L273 L275 L277 L279 L281 L283 L285 L287 L289 L291 L293 L295 L297 L299 L301 L303 N273:N304 O306:Q306 N306 N271 O271:Q304 M306 M115:Q115 M117:Q117 M119:Q146"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zoomScale="85" zoomScaleNormal="85"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51"/>
      <c r="BE1" s="51"/>
      <c r="BF1" s="51"/>
      <c r="BG1" s="51"/>
      <c r="BH1" s="51"/>
      <c r="BI1" s="51"/>
      <c r="BJ1" s="51"/>
      <c r="BK1" s="12"/>
      <c r="BL1" s="12"/>
    </row>
    <row r="2" spans="1:256" ht="15.75">
      <c r="A2" s="9"/>
      <c r="B2" s="9"/>
      <c r="C2" s="591" t="s">
        <v>224</v>
      </c>
      <c r="D2" s="9"/>
      <c r="E2" s="9"/>
      <c r="F2" s="9"/>
      <c r="G2" s="9"/>
      <c r="H2" s="9"/>
      <c r="I2" s="9"/>
      <c r="J2" s="9"/>
      <c r="K2" s="9"/>
      <c r="L2" s="9"/>
      <c r="M2" s="9"/>
      <c r="N2" s="9"/>
      <c r="O2" s="9"/>
      <c r="P2" s="9"/>
      <c r="Q2" s="9"/>
      <c r="R2" s="9"/>
      <c r="S2" s="12"/>
      <c r="T2" s="12"/>
      <c r="U2" s="12"/>
      <c r="V2" s="12"/>
      <c r="W2" s="12"/>
      <c r="X2" s="12"/>
      <c r="Y2" s="12"/>
      <c r="Z2" s="12"/>
      <c r="AA2" s="12"/>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12"/>
      <c r="BE2" s="12"/>
      <c r="BF2" s="12"/>
      <c r="BG2" s="12"/>
      <c r="BH2" s="12"/>
      <c r="BI2" s="12"/>
      <c r="BJ2" s="12"/>
      <c r="BK2" s="12"/>
      <c r="BL2" s="12"/>
    </row>
    <row r="3" spans="1:256" s="1" customFormat="1">
      <c r="A3" s="57"/>
      <c r="B3" s="57"/>
      <c r="C3" s="58"/>
      <c r="D3" s="57"/>
      <c r="E3" s="57"/>
      <c r="F3" s="57"/>
      <c r="G3" s="236">
        <v>0</v>
      </c>
      <c r="H3" s="236">
        <f t="shared" ref="H3:R3" si="0">G3+1</f>
        <v>1</v>
      </c>
      <c r="I3" s="236">
        <f t="shared" si="0"/>
        <v>2</v>
      </c>
      <c r="J3" s="236">
        <f t="shared" si="0"/>
        <v>3</v>
      </c>
      <c r="K3" s="236">
        <f t="shared" si="0"/>
        <v>4</v>
      </c>
      <c r="L3" s="236">
        <f t="shared" si="0"/>
        <v>5</v>
      </c>
      <c r="M3" s="236">
        <f t="shared" si="0"/>
        <v>6</v>
      </c>
      <c r="N3" s="236">
        <f t="shared" si="0"/>
        <v>7</v>
      </c>
      <c r="O3" s="236">
        <f t="shared" si="0"/>
        <v>8</v>
      </c>
      <c r="P3" s="236">
        <f t="shared" si="0"/>
        <v>9</v>
      </c>
      <c r="Q3" s="236">
        <f t="shared" si="0"/>
        <v>10</v>
      </c>
      <c r="R3" s="236">
        <f t="shared" si="0"/>
        <v>11</v>
      </c>
      <c r="S3" s="51"/>
      <c r="T3" s="51"/>
      <c r="U3" s="51"/>
      <c r="V3" s="51"/>
      <c r="W3" s="51"/>
      <c r="X3" s="51"/>
      <c r="Y3" s="51"/>
      <c r="Z3" s="51"/>
      <c r="AA3" s="51"/>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51"/>
      <c r="BE3" s="51"/>
      <c r="BF3" s="51"/>
      <c r="BG3" s="51"/>
      <c r="BH3" s="51"/>
      <c r="BI3" s="51"/>
      <c r="BJ3" s="51"/>
      <c r="BK3" s="89"/>
      <c r="BL3" s="8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f>'Adjustment for previous period'!F4</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17"/>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35</v>
      </c>
      <c r="D6" s="9"/>
      <c r="E6" s="85"/>
      <c r="F6" s="257"/>
      <c r="G6" s="198">
        <f>Input!G177</f>
        <v>3.5199076745527913E-2</v>
      </c>
      <c r="H6" s="21">
        <f>Input!H177</f>
        <v>2.0040080160320661E-2</v>
      </c>
      <c r="I6" s="21">
        <f>Input!I177</f>
        <v>2.16110019646365E-2</v>
      </c>
      <c r="J6" s="21">
        <f>Input!J177</f>
        <v>2.3076923076923217E-2</v>
      </c>
      <c r="K6" s="21">
        <f>Input!K177</f>
        <v>1.5037593984962294E-2</v>
      </c>
      <c r="L6" s="21">
        <f>Input!L177</f>
        <v>1.2962962962963065E-2</v>
      </c>
      <c r="M6" s="21">
        <f>Input!M177</f>
        <v>2.47E-2</v>
      </c>
      <c r="N6" s="21">
        <f>Input!N177</f>
        <v>2.47E-2</v>
      </c>
      <c r="O6" s="21">
        <f>Input!O177</f>
        <v>2.47E-2</v>
      </c>
      <c r="P6" s="21">
        <f>Input!P177</f>
        <v>2.47E-2</v>
      </c>
      <c r="Q6" s="21">
        <f>Input!Q177</f>
        <v>2.47E-2</v>
      </c>
      <c r="R6" s="21"/>
      <c r="S6" s="85"/>
      <c r="T6" s="85"/>
      <c r="U6" s="85"/>
      <c r="V6" s="85"/>
      <c r="W6" s="85"/>
      <c r="X6" s="85"/>
      <c r="Y6" s="85"/>
      <c r="Z6" s="85"/>
      <c r="AA6" s="85"/>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85"/>
      <c r="BE6" s="85"/>
      <c r="BF6" s="85"/>
      <c r="BG6" s="85"/>
      <c r="BH6" s="85"/>
      <c r="BI6" s="85"/>
      <c r="BJ6" s="85"/>
      <c r="BK6" s="12"/>
      <c r="BL6" s="12"/>
    </row>
    <row r="7" spans="1:256">
      <c r="A7" s="9"/>
      <c r="B7" s="9"/>
      <c r="C7" s="9" t="s">
        <v>74</v>
      </c>
      <c r="D7" s="9"/>
      <c r="E7" s="9"/>
      <c r="F7" s="9"/>
      <c r="G7" s="199">
        <f>Input!G178</f>
        <v>1</v>
      </c>
      <c r="H7" s="237">
        <f>Input!H178</f>
        <v>1.0200400801603207</v>
      </c>
      <c r="I7" s="238">
        <f>Input!I178</f>
        <v>1.0420841683366733</v>
      </c>
      <c r="J7" s="238">
        <f>Input!J178</f>
        <v>1.0661322645290583</v>
      </c>
      <c r="K7" s="238">
        <f>Input!K178</f>
        <v>1.0821643286573146</v>
      </c>
      <c r="L7" s="238">
        <f>Input!L178</f>
        <v>1.0961923847695392</v>
      </c>
      <c r="M7" s="238">
        <f>Input!M178</f>
        <v>1.1104022860535889</v>
      </c>
      <c r="N7" s="238">
        <f>Input!N178</f>
        <v>1.1378292225191124</v>
      </c>
      <c r="O7" s="238">
        <f>Input!O178</f>
        <v>1.1659336043153345</v>
      </c>
      <c r="P7" s="238">
        <f>Input!P178</f>
        <v>1.1947321643419233</v>
      </c>
      <c r="Q7" s="238">
        <f>Input!Q178</f>
        <v>1.2242420488011687</v>
      </c>
      <c r="R7" s="22"/>
      <c r="S7" s="99"/>
      <c r="T7" s="99"/>
      <c r="U7" s="99"/>
      <c r="V7" s="99"/>
      <c r="W7" s="99"/>
      <c r="X7" s="99"/>
      <c r="Y7" s="99"/>
      <c r="Z7" s="99"/>
      <c r="AA7" s="9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9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99"/>
      <c r="BE8" s="99"/>
      <c r="BF8" s="99"/>
      <c r="BG8" s="99"/>
      <c r="BH8" s="99"/>
      <c r="BI8" s="99"/>
      <c r="BJ8" s="99"/>
      <c r="BK8" s="12"/>
      <c r="BL8" s="12"/>
    </row>
    <row r="9" spans="1:256">
      <c r="A9" s="80"/>
      <c r="B9" s="80"/>
      <c r="C9" s="80" t="s">
        <v>30</v>
      </c>
      <c r="D9" s="109"/>
      <c r="E9" s="109"/>
      <c r="F9" s="109"/>
      <c r="G9" s="109"/>
      <c r="H9" s="109"/>
      <c r="I9" s="73"/>
      <c r="J9" s="73"/>
      <c r="K9" s="73"/>
      <c r="L9" s="73"/>
      <c r="M9" s="73"/>
      <c r="N9" s="73"/>
      <c r="O9" s="73"/>
      <c r="P9" s="73"/>
      <c r="Q9" s="73"/>
      <c r="R9" s="73"/>
      <c r="S9" s="73"/>
      <c r="T9" s="99"/>
      <c r="U9" s="99"/>
      <c r="V9" s="99"/>
      <c r="W9" s="99"/>
      <c r="X9" s="99"/>
      <c r="Y9" s="99"/>
      <c r="Z9" s="99"/>
      <c r="AA9" s="9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99"/>
      <c r="BE9" s="99"/>
      <c r="BF9" s="99"/>
      <c r="BG9" s="99"/>
      <c r="BH9" s="99"/>
      <c r="BI9" s="99"/>
      <c r="BJ9" s="99"/>
      <c r="BK9" s="12"/>
      <c r="BL9" s="12"/>
    </row>
    <row r="10" spans="1:256">
      <c r="A10" s="9"/>
      <c r="B10" s="17"/>
      <c r="C10" s="17"/>
      <c r="D10" s="122"/>
      <c r="E10" s="122"/>
      <c r="F10" s="122"/>
      <c r="G10" s="122"/>
      <c r="H10" s="122"/>
      <c r="I10" s="12"/>
      <c r="J10" s="12"/>
      <c r="K10" s="12"/>
      <c r="L10" s="12"/>
      <c r="M10" s="12"/>
      <c r="N10" s="12"/>
      <c r="O10" s="12"/>
      <c r="P10" s="12"/>
      <c r="Q10" s="12"/>
      <c r="R10" s="12"/>
      <c r="S10" s="99"/>
      <c r="T10" s="99"/>
      <c r="U10" s="99"/>
      <c r="V10" s="99"/>
      <c r="W10" s="99"/>
      <c r="X10" s="99"/>
      <c r="Y10" s="99"/>
      <c r="Z10" s="99"/>
      <c r="AA10" s="9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99"/>
      <c r="BE10" s="99"/>
      <c r="BF10" s="99"/>
      <c r="BG10" s="99"/>
      <c r="BH10" s="99"/>
      <c r="BI10" s="99"/>
      <c r="BJ10" s="99"/>
      <c r="BK10" s="12"/>
      <c r="BL10" s="12"/>
    </row>
    <row r="11" spans="1:256">
      <c r="A11" s="9"/>
      <c r="B11" s="9"/>
      <c r="C11" s="46" t="s">
        <v>33</v>
      </c>
      <c r="D11" s="9"/>
      <c r="E11" s="9"/>
      <c r="F11" s="9"/>
      <c r="G11" s="37"/>
      <c r="H11" s="37">
        <f>SUM(H12:H41)</f>
        <v>99.753809225027069</v>
      </c>
      <c r="I11" s="37">
        <f t="shared" ref="I11:P11" si="2">SUM(I12:I41)</f>
        <v>107.45214240494342</v>
      </c>
      <c r="J11" s="37">
        <f t="shared" si="2"/>
        <v>119.34535801949404</v>
      </c>
      <c r="K11" s="37">
        <f t="shared" si="2"/>
        <v>82.606490654429876</v>
      </c>
      <c r="L11" s="37">
        <f>SUM(L12:L41)</f>
        <v>94.110136929523961</v>
      </c>
      <c r="M11" s="37">
        <f t="shared" si="2"/>
        <v>0</v>
      </c>
      <c r="N11" s="37">
        <f t="shared" si="2"/>
        <v>0</v>
      </c>
      <c r="O11" s="37">
        <f t="shared" si="2"/>
        <v>0</v>
      </c>
      <c r="P11" s="37">
        <f t="shared" si="2"/>
        <v>0</v>
      </c>
      <c r="Q11" s="37">
        <f>SUM(Q12:Q41)</f>
        <v>0</v>
      </c>
      <c r="R11" s="29"/>
      <c r="S11" s="100"/>
      <c r="T11" s="100"/>
      <c r="U11" s="100"/>
      <c r="V11" s="100"/>
      <c r="W11" s="100"/>
      <c r="X11" s="100"/>
      <c r="Y11" s="100"/>
      <c r="Z11" s="100"/>
      <c r="AA11" s="100"/>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100"/>
      <c r="BE11" s="100"/>
      <c r="BF11" s="100"/>
      <c r="BG11" s="100"/>
      <c r="BH11" s="100"/>
      <c r="BI11" s="100"/>
      <c r="BJ11" s="100"/>
      <c r="BK11" s="12"/>
      <c r="BL11" s="12"/>
    </row>
    <row r="12" spans="1:256" outlineLevel="1">
      <c r="A12" s="9"/>
      <c r="B12" s="9"/>
      <c r="C12" s="46"/>
      <c r="D12" s="129" t="str">
        <f>Asset1</f>
        <v>Mains &amp; Services</v>
      </c>
      <c r="E12" s="9"/>
      <c r="F12" s="9"/>
      <c r="G12" s="123"/>
      <c r="H12" s="111">
        <f>Input!H143*(1+vanilla1)^0.5</f>
        <v>86.626012838328492</v>
      </c>
      <c r="I12" s="111">
        <f>Input!I143*(1+vanilla2)^0.5</f>
        <v>92.365265186152982</v>
      </c>
      <c r="J12" s="111">
        <f>Input!J143*(1+vanilla3)^0.5</f>
        <v>96.53464607451285</v>
      </c>
      <c r="K12" s="111">
        <f>Input!K143*(1+vanilla4)^0.5</f>
        <v>69.08047409486602</v>
      </c>
      <c r="L12" s="111">
        <f>Input!L143*(1+vanilla5)^0.5</f>
        <v>67.241664642574776</v>
      </c>
      <c r="M12" s="111">
        <f>Input!M143*(1+vanilla6)^0.5</f>
        <v>0</v>
      </c>
      <c r="N12" s="111">
        <f>Input!N143*(1+vanilla7)^0.5</f>
        <v>0</v>
      </c>
      <c r="O12" s="111">
        <f>Input!O143*(1+vanilla8)^0.5</f>
        <v>0</v>
      </c>
      <c r="P12" s="111">
        <f>Input!P143*(1+vanilla9)^0.5</f>
        <v>0</v>
      </c>
      <c r="Q12" s="111">
        <f>Input!Q143*(1+vanilla10)^0.5</f>
        <v>0</v>
      </c>
      <c r="R12" s="29"/>
      <c r="S12" s="100"/>
      <c r="T12" s="100"/>
      <c r="U12" s="100"/>
      <c r="V12" s="100"/>
      <c r="W12" s="100"/>
      <c r="X12" s="100"/>
      <c r="Y12" s="100"/>
      <c r="Z12" s="100"/>
      <c r="AA12" s="100"/>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100"/>
      <c r="BE12" s="100"/>
      <c r="BF12" s="100"/>
      <c r="BG12" s="100"/>
      <c r="BH12" s="100"/>
      <c r="BI12" s="100"/>
      <c r="BJ12" s="100"/>
      <c r="BK12" s="12"/>
      <c r="BL12" s="12"/>
    </row>
    <row r="13" spans="1:256" outlineLevel="1">
      <c r="A13" s="9"/>
      <c r="B13" s="9"/>
      <c r="C13" s="46"/>
      <c r="D13" s="129" t="str">
        <f>Asset2</f>
        <v>Meters</v>
      </c>
      <c r="E13" s="9"/>
      <c r="F13" s="9"/>
      <c r="G13" s="123"/>
      <c r="H13" s="111">
        <f>Input!H144*(1+vanilla1)^0.5</f>
        <v>8.6298533102825754</v>
      </c>
      <c r="I13" s="111">
        <f>Input!I144*(1+vanilla2)^0.5</f>
        <v>10.433719662019415</v>
      </c>
      <c r="J13" s="111">
        <f>Input!J144*(1+vanilla3)^0.5</f>
        <v>9.3321155723247244</v>
      </c>
      <c r="K13" s="111">
        <f>Input!K144*(1+vanilla4)^0.5</f>
        <v>10.778842584851366</v>
      </c>
      <c r="L13" s="111">
        <f>Input!L144*(1+vanilla5)^0.5</f>
        <v>14.369322884485934</v>
      </c>
      <c r="M13" s="111">
        <f>Input!M144*(1+vanilla6)^0.5</f>
        <v>0</v>
      </c>
      <c r="N13" s="111">
        <f>Input!N144*(1+vanilla7)^0.5</f>
        <v>0</v>
      </c>
      <c r="O13" s="111">
        <f>Input!O144*(1+vanilla8)^0.5</f>
        <v>0</v>
      </c>
      <c r="P13" s="111">
        <f>Input!P144*(1+vanilla9)^0.5</f>
        <v>0</v>
      </c>
      <c r="Q13" s="111">
        <f>Input!Q144*(1+vanilla10)^0.5</f>
        <v>0</v>
      </c>
      <c r="R13" s="29"/>
      <c r="S13" s="100"/>
      <c r="T13" s="100"/>
      <c r="U13" s="100"/>
      <c r="V13" s="100"/>
      <c r="W13" s="100"/>
      <c r="X13" s="100"/>
      <c r="Y13" s="100"/>
      <c r="Z13" s="100"/>
      <c r="AA13" s="100"/>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100"/>
      <c r="BE13" s="100"/>
      <c r="BF13" s="100"/>
      <c r="BG13" s="100"/>
      <c r="BH13" s="100"/>
      <c r="BI13" s="100"/>
      <c r="BJ13" s="100"/>
      <c r="BK13" s="12"/>
      <c r="BL13" s="12"/>
    </row>
    <row r="14" spans="1:256" outlineLevel="1">
      <c r="A14" s="9"/>
      <c r="B14" s="9"/>
      <c r="C14" s="46"/>
      <c r="D14" s="129" t="str">
        <f>Asset3</f>
        <v>Buildings</v>
      </c>
      <c r="E14" s="9"/>
      <c r="F14" s="9"/>
      <c r="G14" s="123"/>
      <c r="H14" s="111">
        <f>Input!H145*(1+vanilla1)^0.5</f>
        <v>-0.76940728562207938</v>
      </c>
      <c r="I14" s="111">
        <f>Input!I145*(1+vanilla2)^0.5</f>
        <v>0</v>
      </c>
      <c r="J14" s="111">
        <f>Input!J145*(1+vanilla3)^0.5</f>
        <v>0</v>
      </c>
      <c r="K14" s="111">
        <f>Input!K145*(1+vanilla4)^0.5</f>
        <v>0</v>
      </c>
      <c r="L14" s="111">
        <f>Input!L145*(1+vanilla5)^0.5</f>
        <v>0</v>
      </c>
      <c r="M14" s="111">
        <f>Input!M145*(1+vanilla6)^0.5</f>
        <v>0</v>
      </c>
      <c r="N14" s="111">
        <f>Input!N145*(1+vanilla7)^0.5</f>
        <v>0</v>
      </c>
      <c r="O14" s="111">
        <f>Input!O145*(1+vanilla8)^0.5</f>
        <v>0</v>
      </c>
      <c r="P14" s="111">
        <f>Input!P145*(1+vanilla9)^0.5</f>
        <v>0</v>
      </c>
      <c r="Q14" s="111">
        <f>Input!Q145*(1+vanilla10)^0.5</f>
        <v>0</v>
      </c>
      <c r="R14" s="29"/>
      <c r="S14" s="100"/>
      <c r="T14" s="100"/>
      <c r="U14" s="100"/>
      <c r="V14" s="100"/>
      <c r="W14" s="100"/>
      <c r="X14" s="100"/>
      <c r="Y14" s="100"/>
      <c r="Z14" s="100"/>
      <c r="AA14" s="100"/>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100"/>
      <c r="BE14" s="100"/>
      <c r="BF14" s="100"/>
      <c r="BG14" s="100"/>
      <c r="BH14" s="100"/>
      <c r="BI14" s="100"/>
      <c r="BJ14" s="100"/>
      <c r="BK14" s="12"/>
      <c r="BL14" s="12"/>
    </row>
    <row r="15" spans="1:256" outlineLevel="1">
      <c r="A15" s="9"/>
      <c r="B15" s="9"/>
      <c r="C15" s="46"/>
      <c r="D15" s="129" t="str">
        <f>Asset4</f>
        <v>SCADA</v>
      </c>
      <c r="E15" s="9"/>
      <c r="F15" s="9"/>
      <c r="G15" s="123"/>
      <c r="H15" s="111">
        <f>Input!H146*(1+vanilla1)^0.5</f>
        <v>0.15245332158068201</v>
      </c>
      <c r="I15" s="111">
        <f>Input!I146*(1+vanilla2)^0.5</f>
        <v>0.39186424914826801</v>
      </c>
      <c r="J15" s="111">
        <f>Input!J146*(1+vanilla3)^0.5</f>
        <v>0.39742611620685475</v>
      </c>
      <c r="K15" s="111">
        <f>Input!K146*(1+vanilla4)^0.5</f>
        <v>0.22688610148724364</v>
      </c>
      <c r="L15" s="111">
        <f>Input!L146*(1+vanilla5)^0.5</f>
        <v>0.47929069137265051</v>
      </c>
      <c r="M15" s="111">
        <f>Input!M146*(1+vanilla6)^0.5</f>
        <v>0</v>
      </c>
      <c r="N15" s="111">
        <f>Input!N146*(1+vanilla7)^0.5</f>
        <v>0</v>
      </c>
      <c r="O15" s="111">
        <f>Input!O146*(1+vanilla8)^0.5</f>
        <v>0</v>
      </c>
      <c r="P15" s="111">
        <f>Input!P146*(1+vanilla9)^0.5</f>
        <v>0</v>
      </c>
      <c r="Q15" s="111">
        <f>Input!Q146*(1+vanilla10)^0.5</f>
        <v>0</v>
      </c>
      <c r="R15" s="29"/>
      <c r="S15" s="100"/>
      <c r="T15" s="100"/>
      <c r="U15" s="100"/>
      <c r="V15" s="100"/>
      <c r="W15" s="100"/>
      <c r="X15" s="100"/>
      <c r="Y15" s="100"/>
      <c r="Z15" s="100"/>
      <c r="AA15" s="100"/>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100"/>
      <c r="BE15" s="100"/>
      <c r="BF15" s="100"/>
      <c r="BG15" s="100"/>
      <c r="BH15" s="100"/>
      <c r="BI15" s="100"/>
      <c r="BJ15" s="100"/>
      <c r="BK15" s="12"/>
      <c r="BL15" s="12"/>
    </row>
    <row r="16" spans="1:256" outlineLevel="1">
      <c r="A16" s="9"/>
      <c r="B16" s="9"/>
      <c r="C16" s="46"/>
      <c r="D16" s="129" t="str">
        <f>Asset5</f>
        <v>Computer Equipment</v>
      </c>
      <c r="E16" s="9"/>
      <c r="F16" s="9"/>
      <c r="G16" s="123"/>
      <c r="H16" s="111">
        <f>Input!H147*(1+vanilla1)^0.5</f>
        <v>0.88486069936465739</v>
      </c>
      <c r="I16" s="111">
        <f>Input!I147*(1+vanilla2)^0.5</f>
        <v>0.40467689961022646</v>
      </c>
      <c r="J16" s="111">
        <f>Input!J147*(1+vanilla3)^0.5</f>
        <v>10.959887984711786</v>
      </c>
      <c r="K16" s="111">
        <f>Input!K147*(1+vanilla4)^0.5</f>
        <v>0.49925892827172114</v>
      </c>
      <c r="L16" s="111">
        <f>Input!L147*(1+vanilla5)^0.5</f>
        <v>8.1103503265607344</v>
      </c>
      <c r="M16" s="111">
        <f>Input!M147*(1+vanilla6)^0.5</f>
        <v>0</v>
      </c>
      <c r="N16" s="111">
        <f>Input!N147*(1+vanilla7)^0.5</f>
        <v>0</v>
      </c>
      <c r="O16" s="111">
        <f>Input!O147*(1+vanilla8)^0.5</f>
        <v>0</v>
      </c>
      <c r="P16" s="111">
        <f>Input!P147*(1+vanilla9)^0.5</f>
        <v>0</v>
      </c>
      <c r="Q16" s="111">
        <f>Input!Q147*(1+vanilla10)^0.5</f>
        <v>0</v>
      </c>
      <c r="R16" s="29"/>
      <c r="S16" s="100"/>
      <c r="T16" s="100"/>
      <c r="U16" s="100"/>
      <c r="V16" s="100"/>
      <c r="W16" s="100"/>
      <c r="X16" s="100"/>
      <c r="Y16" s="100"/>
      <c r="Z16" s="100"/>
      <c r="AA16" s="100"/>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100"/>
      <c r="BE16" s="100"/>
      <c r="BF16" s="100"/>
      <c r="BG16" s="100"/>
      <c r="BH16" s="100"/>
      <c r="BI16" s="100"/>
      <c r="BJ16" s="100"/>
      <c r="BK16" s="12"/>
      <c r="BL16" s="12"/>
    </row>
    <row r="17" spans="1:64" outlineLevel="1">
      <c r="A17" s="9"/>
      <c r="B17" s="9"/>
      <c r="C17" s="46"/>
      <c r="D17" s="129" t="str">
        <f>Asset6</f>
        <v>Other Assets</v>
      </c>
      <c r="E17" s="9"/>
      <c r="F17" s="9"/>
      <c r="G17" s="123"/>
      <c r="H17" s="111">
        <f>Input!H148*(1+vanilla1)^0.5</f>
        <v>4.2300363410927542</v>
      </c>
      <c r="I17" s="111">
        <f>Input!I148*(1+vanilla2)^0.5</f>
        <v>3.8566164080125298</v>
      </c>
      <c r="J17" s="111">
        <f>Input!J148*(1+vanilla3)^0.5</f>
        <v>2.1212822717378286</v>
      </c>
      <c r="K17" s="111">
        <f>Input!K148*(1+vanilla4)^0.5</f>
        <v>2.0210289449535495</v>
      </c>
      <c r="L17" s="111">
        <f>Input!L148*(1+vanilla5)^0.5</f>
        <v>3.9095083845298553</v>
      </c>
      <c r="M17" s="111">
        <f>Input!M148*(1+vanilla6)^0.5</f>
        <v>0</v>
      </c>
      <c r="N17" s="111">
        <f>Input!N148*(1+vanilla7)^0.5</f>
        <v>0</v>
      </c>
      <c r="O17" s="111">
        <f>Input!O148*(1+vanilla8)^0.5</f>
        <v>0</v>
      </c>
      <c r="P17" s="111">
        <f>Input!P148*(1+vanilla9)^0.5</f>
        <v>0</v>
      </c>
      <c r="Q17" s="111">
        <f>Input!Q148*(1+vanilla10)^0.5</f>
        <v>0</v>
      </c>
      <c r="R17" s="29"/>
      <c r="S17" s="100"/>
      <c r="T17" s="100"/>
      <c r="U17" s="100"/>
      <c r="V17" s="100"/>
      <c r="W17" s="100"/>
      <c r="X17" s="100"/>
      <c r="Y17" s="100"/>
      <c r="Z17" s="100"/>
      <c r="AA17" s="100"/>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100"/>
      <c r="BE17" s="100"/>
      <c r="BF17" s="100"/>
      <c r="BG17" s="100"/>
      <c r="BH17" s="100"/>
      <c r="BI17" s="100"/>
      <c r="BJ17" s="100"/>
      <c r="BK17" s="12"/>
      <c r="BL17" s="12"/>
    </row>
    <row r="18" spans="1:64" outlineLevel="1">
      <c r="A18" s="9"/>
      <c r="B18" s="9"/>
      <c r="C18" s="46"/>
      <c r="D18" s="129" t="str">
        <f>Asset7</f>
        <v>Equity Raising Costs</v>
      </c>
      <c r="E18" s="9"/>
      <c r="F18" s="9"/>
      <c r="G18" s="123"/>
      <c r="H18" s="111">
        <f>Input!H149*(1+vanilla1)^0.5</f>
        <v>0</v>
      </c>
      <c r="I18" s="111">
        <f>Input!I149*(1+vanilla2)^0.5</f>
        <v>0</v>
      </c>
      <c r="J18" s="111">
        <f>Input!J149*(1+vanilla3)^0.5</f>
        <v>0</v>
      </c>
      <c r="K18" s="111">
        <f>Input!K149*(1+vanilla4)^0.5</f>
        <v>0</v>
      </c>
      <c r="L18" s="111">
        <f>Input!L149*(1+vanilla5)^0.5</f>
        <v>0</v>
      </c>
      <c r="M18" s="111">
        <f>Input!M149*(1+vanilla6)^0.5</f>
        <v>0</v>
      </c>
      <c r="N18" s="111">
        <f>Input!N149*(1+vanilla7)^0.5</f>
        <v>0</v>
      </c>
      <c r="O18" s="111">
        <f>Input!O149*(1+vanilla8)^0.5</f>
        <v>0</v>
      </c>
      <c r="P18" s="111">
        <f>Input!P149*(1+vanilla9)^0.5</f>
        <v>0</v>
      </c>
      <c r="Q18" s="111">
        <f>Input!Q149*(1+vanilla10)^0.5</f>
        <v>0</v>
      </c>
      <c r="R18" s="29"/>
      <c r="S18" s="100"/>
      <c r="T18" s="100"/>
      <c r="U18" s="100"/>
      <c r="V18" s="100"/>
      <c r="W18" s="100"/>
      <c r="X18" s="100"/>
      <c r="Y18" s="100"/>
      <c r="Z18" s="100"/>
      <c r="AA18" s="100"/>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100"/>
      <c r="BE18" s="100"/>
      <c r="BF18" s="100"/>
      <c r="BG18" s="100"/>
      <c r="BH18" s="100"/>
      <c r="BI18" s="100"/>
      <c r="BJ18" s="100"/>
      <c r="BK18" s="12"/>
      <c r="BL18" s="12"/>
    </row>
    <row r="19" spans="1:64" outlineLevel="1">
      <c r="A19" s="9"/>
      <c r="B19" s="9"/>
      <c r="C19" s="46"/>
      <c r="D19" s="129" t="str">
        <f>Asset8</f>
        <v>Land</v>
      </c>
      <c r="E19" s="9"/>
      <c r="F19" s="9"/>
      <c r="G19" s="123"/>
      <c r="H19" s="111">
        <f>Input!H150*(1+vanilla1)^0.5</f>
        <v>0</v>
      </c>
      <c r="I19" s="111">
        <f>Input!I150*(1+vanilla2)^0.5</f>
        <v>0</v>
      </c>
      <c r="J19" s="111">
        <f>Input!J150*(1+vanilla3)^0.5</f>
        <v>0</v>
      </c>
      <c r="K19" s="111">
        <f>Input!K150*(1+vanilla4)^0.5</f>
        <v>0</v>
      </c>
      <c r="L19" s="111">
        <f>Input!L150*(1+vanilla5)^0.5</f>
        <v>0</v>
      </c>
      <c r="M19" s="111">
        <f>Input!M150*(1+vanilla6)^0.5</f>
        <v>0</v>
      </c>
      <c r="N19" s="111">
        <f>Input!N150*(1+vanilla7)^0.5</f>
        <v>0</v>
      </c>
      <c r="O19" s="111">
        <f>Input!O150*(1+vanilla8)^0.5</f>
        <v>0</v>
      </c>
      <c r="P19" s="111">
        <f>Input!P150*(1+vanilla9)^0.5</f>
        <v>0</v>
      </c>
      <c r="Q19" s="111">
        <f>Input!Q150*(1+vanilla10)^0.5</f>
        <v>0</v>
      </c>
      <c r="R19" s="29"/>
      <c r="S19" s="100"/>
      <c r="T19" s="100"/>
      <c r="U19" s="100"/>
      <c r="V19" s="100"/>
      <c r="W19" s="100"/>
      <c r="X19" s="100"/>
      <c r="Y19" s="100"/>
      <c r="Z19" s="100"/>
      <c r="AA19" s="100"/>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100"/>
      <c r="BE19" s="100"/>
      <c r="BF19" s="100"/>
      <c r="BG19" s="100"/>
      <c r="BH19" s="100"/>
      <c r="BI19" s="100"/>
      <c r="BJ19" s="100"/>
      <c r="BK19" s="12"/>
      <c r="BL19" s="12"/>
    </row>
    <row r="20" spans="1:64" outlineLevel="1">
      <c r="A20" s="9"/>
      <c r="B20" s="9"/>
      <c r="C20" s="46"/>
      <c r="D20" s="129">
        <f>Asset9</f>
        <v>0</v>
      </c>
      <c r="E20" s="9"/>
      <c r="F20" s="9"/>
      <c r="G20" s="123"/>
      <c r="H20" s="111">
        <f>Input!H151*(1+vanilla1)^0.5</f>
        <v>0</v>
      </c>
      <c r="I20" s="111">
        <f>Input!I151*(1+vanilla2)^0.5</f>
        <v>0</v>
      </c>
      <c r="J20" s="111">
        <f>Input!J151*(1+vanilla3)^0.5</f>
        <v>0</v>
      </c>
      <c r="K20" s="111">
        <f>Input!K151*(1+vanilla4)^0.5</f>
        <v>0</v>
      </c>
      <c r="L20" s="111">
        <f>Input!L151*(1+vanilla5)^0.5</f>
        <v>0</v>
      </c>
      <c r="M20" s="111">
        <f>Input!M151*(1+vanilla6)^0.5</f>
        <v>0</v>
      </c>
      <c r="N20" s="111">
        <f>Input!N151*(1+vanilla7)^0.5</f>
        <v>0</v>
      </c>
      <c r="O20" s="111">
        <f>Input!O151*(1+vanilla8)^0.5</f>
        <v>0</v>
      </c>
      <c r="P20" s="111">
        <f>Input!P151*(1+vanilla9)^0.5</f>
        <v>0</v>
      </c>
      <c r="Q20" s="111">
        <f>Input!Q151*(1+vanilla10)^0.5</f>
        <v>0</v>
      </c>
      <c r="R20" s="29"/>
      <c r="S20" s="100"/>
      <c r="T20" s="100"/>
      <c r="U20" s="100"/>
      <c r="V20" s="100"/>
      <c r="W20" s="100"/>
      <c r="X20" s="100"/>
      <c r="Y20" s="100"/>
      <c r="Z20" s="100"/>
      <c r="AA20" s="100"/>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100"/>
      <c r="BE20" s="100"/>
      <c r="BF20" s="100"/>
      <c r="BG20" s="100"/>
      <c r="BH20" s="100"/>
      <c r="BI20" s="100"/>
      <c r="BJ20" s="100"/>
      <c r="BK20" s="12"/>
      <c r="BL20" s="12"/>
    </row>
    <row r="21" spans="1:64" outlineLevel="1">
      <c r="A21" s="9"/>
      <c r="B21" s="9"/>
      <c r="C21" s="46"/>
      <c r="D21" s="129">
        <f>Asset10</f>
        <v>0</v>
      </c>
      <c r="E21" s="9"/>
      <c r="F21" s="9"/>
      <c r="G21" s="123"/>
      <c r="H21" s="111">
        <f>Input!H152*(1+vanilla1)^0.5</f>
        <v>0</v>
      </c>
      <c r="I21" s="111">
        <f>Input!I152*(1+vanilla2)^0.5</f>
        <v>0</v>
      </c>
      <c r="J21" s="111">
        <f>Input!J152*(1+vanilla3)^0.5</f>
        <v>0</v>
      </c>
      <c r="K21" s="111">
        <f>Input!K152*(1+vanilla4)^0.5</f>
        <v>0</v>
      </c>
      <c r="L21" s="111">
        <f>Input!L152*(1+vanilla5)^0.5</f>
        <v>0</v>
      </c>
      <c r="M21" s="111">
        <f>Input!M152*(1+vanilla6)^0.5</f>
        <v>0</v>
      </c>
      <c r="N21" s="111">
        <f>Input!N152*(1+vanilla7)^0.5</f>
        <v>0</v>
      </c>
      <c r="O21" s="111">
        <f>Input!O152*(1+vanilla8)^0.5</f>
        <v>0</v>
      </c>
      <c r="P21" s="111">
        <f>Input!P152*(1+vanilla9)^0.5</f>
        <v>0</v>
      </c>
      <c r="Q21" s="111">
        <f>Input!Q152*(1+vanilla10)^0.5</f>
        <v>0</v>
      </c>
      <c r="R21" s="29"/>
      <c r="S21" s="100"/>
      <c r="T21" s="100"/>
      <c r="U21" s="100"/>
      <c r="V21" s="100"/>
      <c r="W21" s="100"/>
      <c r="X21" s="100"/>
      <c r="Y21" s="100"/>
      <c r="Z21" s="100"/>
      <c r="AA21" s="100"/>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100"/>
      <c r="BE21" s="100"/>
      <c r="BF21" s="100"/>
      <c r="BG21" s="100"/>
      <c r="BH21" s="100"/>
      <c r="BI21" s="100"/>
      <c r="BJ21" s="100"/>
      <c r="BK21" s="12"/>
      <c r="BL21" s="12"/>
    </row>
    <row r="22" spans="1:64" outlineLevel="1">
      <c r="A22" s="9"/>
      <c r="B22" s="9"/>
      <c r="C22" s="46"/>
      <c r="D22" s="129">
        <f>Asset11</f>
        <v>0</v>
      </c>
      <c r="E22" s="9"/>
      <c r="F22" s="9"/>
      <c r="G22" s="123"/>
      <c r="H22" s="111">
        <f>Input!H153*(1+vanilla1)^0.5</f>
        <v>0</v>
      </c>
      <c r="I22" s="111">
        <f>Input!I153*(1+vanilla2)^0.5</f>
        <v>0</v>
      </c>
      <c r="J22" s="111">
        <f>Input!J153*(1+vanilla3)^0.5</f>
        <v>0</v>
      </c>
      <c r="K22" s="111">
        <f>Input!K153*(1+vanilla4)^0.5</f>
        <v>0</v>
      </c>
      <c r="L22" s="111">
        <f>Input!L153*(1+vanilla5)^0.5</f>
        <v>0</v>
      </c>
      <c r="M22" s="111">
        <f>Input!M153*(1+vanilla6)^0.5</f>
        <v>0</v>
      </c>
      <c r="N22" s="111">
        <f>Input!N153*(1+vanilla7)^0.5</f>
        <v>0</v>
      </c>
      <c r="O22" s="111">
        <f>Input!O153*(1+vanilla8)^0.5</f>
        <v>0</v>
      </c>
      <c r="P22" s="111">
        <f>Input!P153*(1+vanilla9)^0.5</f>
        <v>0</v>
      </c>
      <c r="Q22" s="111">
        <f>Input!Q153*(1+vanilla10)^0.5</f>
        <v>0</v>
      </c>
      <c r="R22" s="29"/>
      <c r="S22" s="100"/>
      <c r="T22" s="100"/>
      <c r="U22" s="100"/>
      <c r="V22" s="100"/>
      <c r="W22" s="100"/>
      <c r="X22" s="100"/>
      <c r="Y22" s="100"/>
      <c r="Z22" s="100"/>
      <c r="AA22" s="100"/>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100"/>
      <c r="BE22" s="100"/>
      <c r="BF22" s="100"/>
      <c r="BG22" s="100"/>
      <c r="BH22" s="100"/>
      <c r="BI22" s="100"/>
      <c r="BJ22" s="100"/>
      <c r="BK22" s="12"/>
      <c r="BL22" s="12"/>
    </row>
    <row r="23" spans="1:64" outlineLevel="1">
      <c r="A23" s="9"/>
      <c r="B23" s="9"/>
      <c r="C23" s="46"/>
      <c r="D23" s="129">
        <f>Asset12</f>
        <v>0</v>
      </c>
      <c r="E23" s="9"/>
      <c r="F23" s="9"/>
      <c r="G23" s="123"/>
      <c r="H23" s="111">
        <f>Input!H154*(1+vanilla1)^0.5</f>
        <v>0</v>
      </c>
      <c r="I23" s="111">
        <f>Input!I154*(1+vanilla2)^0.5</f>
        <v>0</v>
      </c>
      <c r="J23" s="111">
        <f>Input!J154*(1+vanilla3)^0.5</f>
        <v>0</v>
      </c>
      <c r="K23" s="111">
        <f>Input!K154*(1+vanilla4)^0.5</f>
        <v>0</v>
      </c>
      <c r="L23" s="111">
        <f>Input!L154*(1+vanilla5)^0.5</f>
        <v>0</v>
      </c>
      <c r="M23" s="111">
        <f>Input!M154*(1+vanilla6)^0.5</f>
        <v>0</v>
      </c>
      <c r="N23" s="111">
        <f>Input!N154*(1+vanilla7)^0.5</f>
        <v>0</v>
      </c>
      <c r="O23" s="111">
        <f>Input!O154*(1+vanilla8)^0.5</f>
        <v>0</v>
      </c>
      <c r="P23" s="111">
        <f>Input!P154*(1+vanilla9)^0.5</f>
        <v>0</v>
      </c>
      <c r="Q23" s="111">
        <f>Input!Q154*(1+vanilla10)^0.5</f>
        <v>0</v>
      </c>
      <c r="R23" s="29"/>
      <c r="S23" s="100"/>
      <c r="T23" s="100"/>
      <c r="U23" s="100"/>
      <c r="V23" s="100"/>
      <c r="W23" s="100"/>
      <c r="X23" s="100"/>
      <c r="Y23" s="100"/>
      <c r="Z23" s="100"/>
      <c r="AA23" s="100"/>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100"/>
      <c r="BE23" s="100"/>
      <c r="BF23" s="100"/>
      <c r="BG23" s="100"/>
      <c r="BH23" s="100"/>
      <c r="BI23" s="100"/>
      <c r="BJ23" s="100"/>
      <c r="BK23" s="12"/>
      <c r="BL23" s="12"/>
    </row>
    <row r="24" spans="1:64" outlineLevel="1">
      <c r="A24" s="9"/>
      <c r="B24" s="9"/>
      <c r="C24" s="46"/>
      <c r="D24" s="129">
        <f>Asset13</f>
        <v>0</v>
      </c>
      <c r="E24" s="9"/>
      <c r="F24" s="9"/>
      <c r="G24" s="123"/>
      <c r="H24" s="111">
        <f>Input!H155*(1+vanilla1)^0.5</f>
        <v>0</v>
      </c>
      <c r="I24" s="111">
        <f>Input!I155*(1+vanilla2)^0.5</f>
        <v>0</v>
      </c>
      <c r="J24" s="111">
        <f>Input!J155*(1+vanilla3)^0.5</f>
        <v>0</v>
      </c>
      <c r="K24" s="111">
        <f>Input!K155*(1+vanilla4)^0.5</f>
        <v>0</v>
      </c>
      <c r="L24" s="111">
        <f>Input!L155*(1+vanilla5)^0.5</f>
        <v>0</v>
      </c>
      <c r="M24" s="111">
        <f>Input!M155*(1+vanilla6)^0.5</f>
        <v>0</v>
      </c>
      <c r="N24" s="111">
        <f>Input!N155*(1+vanilla7)^0.5</f>
        <v>0</v>
      </c>
      <c r="O24" s="111">
        <f>Input!O155*(1+vanilla8)^0.5</f>
        <v>0</v>
      </c>
      <c r="P24" s="111">
        <f>Input!P155*(1+vanilla9)^0.5</f>
        <v>0</v>
      </c>
      <c r="Q24" s="111">
        <f>Input!Q155*(1+vanilla10)^0.5</f>
        <v>0</v>
      </c>
      <c r="R24" s="29"/>
      <c r="S24" s="100"/>
      <c r="T24" s="100"/>
      <c r="U24" s="100"/>
      <c r="V24" s="100"/>
      <c r="W24" s="100"/>
      <c r="X24" s="100"/>
      <c r="Y24" s="100"/>
      <c r="Z24" s="100"/>
      <c r="AA24" s="100"/>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100"/>
      <c r="BE24" s="100"/>
      <c r="BF24" s="100"/>
      <c r="BG24" s="100"/>
      <c r="BH24" s="100"/>
      <c r="BI24" s="100"/>
      <c r="BJ24" s="100"/>
      <c r="BK24" s="12"/>
      <c r="BL24" s="12"/>
    </row>
    <row r="25" spans="1:64" outlineLevel="1">
      <c r="A25" s="9"/>
      <c r="B25" s="9"/>
      <c r="C25" s="46"/>
      <c r="D25" s="129">
        <f>Asset14</f>
        <v>0</v>
      </c>
      <c r="E25" s="9"/>
      <c r="F25" s="9"/>
      <c r="G25" s="123"/>
      <c r="H25" s="111">
        <f>Input!H156*(1+vanilla1)^0.5</f>
        <v>0</v>
      </c>
      <c r="I25" s="111">
        <f>Input!I156*(1+vanilla2)^0.5</f>
        <v>0</v>
      </c>
      <c r="J25" s="111">
        <f>Input!J156*(1+vanilla3)^0.5</f>
        <v>0</v>
      </c>
      <c r="K25" s="111">
        <f>Input!K156*(1+vanilla4)^0.5</f>
        <v>0</v>
      </c>
      <c r="L25" s="111">
        <f>Input!L156*(1+vanilla5)^0.5</f>
        <v>0</v>
      </c>
      <c r="M25" s="111">
        <f>Input!M156*(1+vanilla6)^0.5</f>
        <v>0</v>
      </c>
      <c r="N25" s="111">
        <f>Input!N156*(1+vanilla7)^0.5</f>
        <v>0</v>
      </c>
      <c r="O25" s="111">
        <f>Input!O156*(1+vanilla8)^0.5</f>
        <v>0</v>
      </c>
      <c r="P25" s="111">
        <f>Input!P156*(1+vanilla9)^0.5</f>
        <v>0</v>
      </c>
      <c r="Q25" s="111">
        <f>Input!Q156*(1+vanilla10)^0.5</f>
        <v>0</v>
      </c>
      <c r="R25" s="29"/>
      <c r="S25" s="100"/>
      <c r="T25" s="100"/>
      <c r="U25" s="100"/>
      <c r="V25" s="100"/>
      <c r="W25" s="100"/>
      <c r="X25" s="100"/>
      <c r="Y25" s="100"/>
      <c r="Z25" s="100"/>
      <c r="AA25" s="100"/>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100"/>
      <c r="BE25" s="100"/>
      <c r="BF25" s="100"/>
      <c r="BG25" s="100"/>
      <c r="BH25" s="100"/>
      <c r="BI25" s="100"/>
      <c r="BJ25" s="100"/>
      <c r="BK25" s="12"/>
      <c r="BL25" s="12"/>
    </row>
    <row r="26" spans="1:64" outlineLevel="1">
      <c r="A26" s="9"/>
      <c r="B26" s="9"/>
      <c r="C26" s="46"/>
      <c r="D26" s="129">
        <f>Asset15</f>
        <v>0</v>
      </c>
      <c r="E26" s="9"/>
      <c r="F26" s="9"/>
      <c r="G26" s="123"/>
      <c r="H26" s="111">
        <f>Input!H157*(1+vanilla1)^0.5</f>
        <v>0</v>
      </c>
      <c r="I26" s="111">
        <f>Input!I157*(1+vanilla2)^0.5</f>
        <v>0</v>
      </c>
      <c r="J26" s="111">
        <f>Input!J157*(1+vanilla3)^0.5</f>
        <v>0</v>
      </c>
      <c r="K26" s="111">
        <f>Input!K157*(1+vanilla4)^0.5</f>
        <v>0</v>
      </c>
      <c r="L26" s="111">
        <f>Input!L157*(1+vanilla5)^0.5</f>
        <v>0</v>
      </c>
      <c r="M26" s="111">
        <f>Input!M157*(1+vanilla6)^0.5</f>
        <v>0</v>
      </c>
      <c r="N26" s="111">
        <f>Input!N157*(1+vanilla7)^0.5</f>
        <v>0</v>
      </c>
      <c r="O26" s="111">
        <f>Input!O157*(1+vanilla8)^0.5</f>
        <v>0</v>
      </c>
      <c r="P26" s="111">
        <f>Input!P157*(1+vanilla9)^0.5</f>
        <v>0</v>
      </c>
      <c r="Q26" s="111">
        <f>Input!Q157*(1+vanilla10)^0.5</f>
        <v>0</v>
      </c>
      <c r="R26" s="29"/>
      <c r="S26" s="100"/>
      <c r="T26" s="100"/>
      <c r="U26" s="100"/>
      <c r="V26" s="100"/>
      <c r="W26" s="100"/>
      <c r="X26" s="100"/>
      <c r="Y26" s="100"/>
      <c r="Z26" s="100"/>
      <c r="AA26" s="100"/>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100"/>
      <c r="BE26" s="100"/>
      <c r="BF26" s="100"/>
      <c r="BG26" s="100"/>
      <c r="BH26" s="100"/>
      <c r="BI26" s="100"/>
      <c r="BJ26" s="100"/>
      <c r="BK26" s="12"/>
      <c r="BL26" s="12"/>
    </row>
    <row r="27" spans="1:64" outlineLevel="1">
      <c r="A27" s="9"/>
      <c r="B27" s="9"/>
      <c r="C27" s="46"/>
      <c r="D27" s="129">
        <f>Asset16</f>
        <v>0</v>
      </c>
      <c r="E27" s="9"/>
      <c r="F27" s="9"/>
      <c r="G27" s="123"/>
      <c r="H27" s="111">
        <f>Input!H158*(1+vanilla1)^0.5</f>
        <v>0</v>
      </c>
      <c r="I27" s="111">
        <f>Input!I158*(1+vanilla2)^0.5</f>
        <v>0</v>
      </c>
      <c r="J27" s="111">
        <f>Input!J158*(1+vanilla3)^0.5</f>
        <v>0</v>
      </c>
      <c r="K27" s="111">
        <f>Input!K158*(1+vanilla4)^0.5</f>
        <v>0</v>
      </c>
      <c r="L27" s="111">
        <f>Input!L158*(1+vanilla5)^0.5</f>
        <v>0</v>
      </c>
      <c r="M27" s="111">
        <f>Input!M158*(1+vanilla6)^0.5</f>
        <v>0</v>
      </c>
      <c r="N27" s="111">
        <f>Input!N158*(1+vanilla7)^0.5</f>
        <v>0</v>
      </c>
      <c r="O27" s="111">
        <f>Input!O158*(1+vanilla8)^0.5</f>
        <v>0</v>
      </c>
      <c r="P27" s="111">
        <f>Input!P158*(1+vanilla9)^0.5</f>
        <v>0</v>
      </c>
      <c r="Q27" s="111">
        <f>Input!Q158*(1+vanilla10)^0.5</f>
        <v>0</v>
      </c>
      <c r="R27" s="29"/>
      <c r="S27" s="100"/>
      <c r="T27" s="100"/>
      <c r="U27" s="100"/>
      <c r="V27" s="100"/>
      <c r="W27" s="100"/>
      <c r="X27" s="100"/>
      <c r="Y27" s="100"/>
      <c r="Z27" s="100"/>
      <c r="AA27" s="100"/>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100"/>
      <c r="BE27" s="100"/>
      <c r="BF27" s="100"/>
      <c r="BG27" s="100"/>
      <c r="BH27" s="100"/>
      <c r="BI27" s="100"/>
      <c r="BJ27" s="100"/>
      <c r="BK27" s="12"/>
      <c r="BL27" s="12"/>
    </row>
    <row r="28" spans="1:64" outlineLevel="1">
      <c r="A28" s="9"/>
      <c r="B28" s="9"/>
      <c r="C28" s="46"/>
      <c r="D28" s="129">
        <f>Asset17</f>
        <v>0</v>
      </c>
      <c r="E28" s="9"/>
      <c r="F28" s="9"/>
      <c r="G28" s="123"/>
      <c r="H28" s="111">
        <f>Input!H159*(1+vanilla1)^0.5</f>
        <v>0</v>
      </c>
      <c r="I28" s="111">
        <f>Input!I159*(1+vanilla2)^0.5</f>
        <v>0</v>
      </c>
      <c r="J28" s="111">
        <f>Input!J159*(1+vanilla3)^0.5</f>
        <v>0</v>
      </c>
      <c r="K28" s="111">
        <f>Input!K159*(1+vanilla4)^0.5</f>
        <v>0</v>
      </c>
      <c r="L28" s="111">
        <f>Input!L159*(1+vanilla5)^0.5</f>
        <v>0</v>
      </c>
      <c r="M28" s="111">
        <f>Input!M159*(1+vanilla6)^0.5</f>
        <v>0</v>
      </c>
      <c r="N28" s="111">
        <f>Input!N159*(1+vanilla7)^0.5</f>
        <v>0</v>
      </c>
      <c r="O28" s="111">
        <f>Input!O159*(1+vanilla8)^0.5</f>
        <v>0</v>
      </c>
      <c r="P28" s="111">
        <f>Input!P159*(1+vanilla9)^0.5</f>
        <v>0</v>
      </c>
      <c r="Q28" s="111">
        <f>Input!Q159*(1+vanilla10)^0.5</f>
        <v>0</v>
      </c>
      <c r="R28" s="29"/>
      <c r="S28" s="100"/>
      <c r="T28" s="100"/>
      <c r="U28" s="100"/>
      <c r="V28" s="100"/>
      <c r="W28" s="100"/>
      <c r="X28" s="100"/>
      <c r="Y28" s="100"/>
      <c r="Z28" s="100"/>
      <c r="AA28" s="100"/>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100"/>
      <c r="BE28" s="100"/>
      <c r="BF28" s="100"/>
      <c r="BG28" s="100"/>
      <c r="BH28" s="100"/>
      <c r="BI28" s="100"/>
      <c r="BJ28" s="100"/>
      <c r="BK28" s="12"/>
      <c r="BL28" s="12"/>
    </row>
    <row r="29" spans="1:64" outlineLevel="1">
      <c r="A29" s="9"/>
      <c r="B29" s="9"/>
      <c r="C29" s="46"/>
      <c r="D29" s="129">
        <f>Asset18</f>
        <v>0</v>
      </c>
      <c r="E29" s="9"/>
      <c r="F29" s="9"/>
      <c r="G29" s="123"/>
      <c r="H29" s="111">
        <f>Input!H160*(1+vanilla1)^0.5</f>
        <v>0</v>
      </c>
      <c r="I29" s="111">
        <f>Input!I160*(1+vanilla2)^0.5</f>
        <v>0</v>
      </c>
      <c r="J29" s="111">
        <f>Input!J160*(1+vanilla3)^0.5</f>
        <v>0</v>
      </c>
      <c r="K29" s="111">
        <f>Input!K160*(1+vanilla4)^0.5</f>
        <v>0</v>
      </c>
      <c r="L29" s="111">
        <f>Input!L160*(1+vanilla5)^0.5</f>
        <v>0</v>
      </c>
      <c r="M29" s="111">
        <f>Input!M160*(1+vanilla6)^0.5</f>
        <v>0</v>
      </c>
      <c r="N29" s="111">
        <f>Input!N160*(1+vanilla7)^0.5</f>
        <v>0</v>
      </c>
      <c r="O29" s="111">
        <f>Input!O160*(1+vanilla8)^0.5</f>
        <v>0</v>
      </c>
      <c r="P29" s="111">
        <f>Input!P160*(1+vanilla9)^0.5</f>
        <v>0</v>
      </c>
      <c r="Q29" s="111">
        <f>Input!Q160*(1+vanilla10)^0.5</f>
        <v>0</v>
      </c>
      <c r="R29" s="29"/>
      <c r="S29" s="100"/>
      <c r="T29" s="100"/>
      <c r="U29" s="100"/>
      <c r="V29" s="100"/>
      <c r="W29" s="100"/>
      <c r="X29" s="100"/>
      <c r="Y29" s="100"/>
      <c r="Z29" s="100"/>
      <c r="AA29" s="100"/>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100"/>
      <c r="BE29" s="100"/>
      <c r="BF29" s="100"/>
      <c r="BG29" s="100"/>
      <c r="BH29" s="100"/>
      <c r="BI29" s="100"/>
      <c r="BJ29" s="100"/>
      <c r="BK29" s="12"/>
      <c r="BL29" s="12"/>
    </row>
    <row r="30" spans="1:64" outlineLevel="1">
      <c r="A30" s="9"/>
      <c r="B30" s="9"/>
      <c r="C30" s="46"/>
      <c r="D30" s="129">
        <f>Asset19</f>
        <v>0</v>
      </c>
      <c r="E30" s="9"/>
      <c r="F30" s="9"/>
      <c r="G30" s="123"/>
      <c r="H30" s="111">
        <f>Input!H161*(1+vanilla1)^0.5</f>
        <v>0</v>
      </c>
      <c r="I30" s="111">
        <f>Input!I161*(1+vanilla2)^0.5</f>
        <v>0</v>
      </c>
      <c r="J30" s="111">
        <f>Input!J161*(1+vanilla3)^0.5</f>
        <v>0</v>
      </c>
      <c r="K30" s="111">
        <f>Input!K161*(1+vanilla4)^0.5</f>
        <v>0</v>
      </c>
      <c r="L30" s="111">
        <f>Input!L161*(1+vanilla5)^0.5</f>
        <v>0</v>
      </c>
      <c r="M30" s="111">
        <f>Input!M161*(1+vanilla6)^0.5</f>
        <v>0</v>
      </c>
      <c r="N30" s="111">
        <f>Input!N161*(1+vanilla7)^0.5</f>
        <v>0</v>
      </c>
      <c r="O30" s="111">
        <f>Input!O161*(1+vanilla8)^0.5</f>
        <v>0</v>
      </c>
      <c r="P30" s="111">
        <f>Input!P161*(1+vanilla9)^0.5</f>
        <v>0</v>
      </c>
      <c r="Q30" s="111">
        <f>Input!Q161*(1+vanilla10)^0.5</f>
        <v>0</v>
      </c>
      <c r="R30" s="29"/>
      <c r="S30" s="100"/>
      <c r="T30" s="100"/>
      <c r="U30" s="100"/>
      <c r="V30" s="100"/>
      <c r="W30" s="100"/>
      <c r="X30" s="100"/>
      <c r="Y30" s="100"/>
      <c r="Z30" s="100"/>
      <c r="AA30" s="100"/>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100"/>
      <c r="BE30" s="100"/>
      <c r="BF30" s="100"/>
      <c r="BG30" s="100"/>
      <c r="BH30" s="100"/>
      <c r="BI30" s="100"/>
      <c r="BJ30" s="100"/>
      <c r="BK30" s="12"/>
      <c r="BL30" s="12"/>
    </row>
    <row r="31" spans="1:64" outlineLevel="1">
      <c r="A31" s="9"/>
      <c r="B31" s="9"/>
      <c r="C31" s="46"/>
      <c r="D31" s="129">
        <f>Asset20</f>
        <v>0</v>
      </c>
      <c r="E31" s="9"/>
      <c r="F31" s="9"/>
      <c r="G31" s="123"/>
      <c r="H31" s="111">
        <f>Input!H162*(1+vanilla1)^0.5</f>
        <v>0</v>
      </c>
      <c r="I31" s="111">
        <f>Input!I162*(1+vanilla2)^0.5</f>
        <v>0</v>
      </c>
      <c r="J31" s="111">
        <f>Input!J162*(1+vanilla3)^0.5</f>
        <v>0</v>
      </c>
      <c r="K31" s="111">
        <f>Input!K162*(1+vanilla4)^0.5</f>
        <v>0</v>
      </c>
      <c r="L31" s="111">
        <f>Input!L162*(1+vanilla5)^0.5</f>
        <v>0</v>
      </c>
      <c r="M31" s="111">
        <f>Input!M162*(1+vanilla6)^0.5</f>
        <v>0</v>
      </c>
      <c r="N31" s="111">
        <f>Input!N162*(1+vanilla7)^0.5</f>
        <v>0</v>
      </c>
      <c r="O31" s="111">
        <f>Input!O162*(1+vanilla8)^0.5</f>
        <v>0</v>
      </c>
      <c r="P31" s="111">
        <f>Input!P162*(1+vanilla9)^0.5</f>
        <v>0</v>
      </c>
      <c r="Q31" s="111">
        <f>Input!Q162*(1+vanilla10)^0.5</f>
        <v>0</v>
      </c>
      <c r="R31" s="29"/>
      <c r="S31" s="100"/>
      <c r="T31" s="100"/>
      <c r="U31" s="100"/>
      <c r="V31" s="100"/>
      <c r="W31" s="100"/>
      <c r="X31" s="100"/>
      <c r="Y31" s="100"/>
      <c r="Z31" s="100"/>
      <c r="AA31" s="100"/>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100"/>
      <c r="BE31" s="100"/>
      <c r="BF31" s="100"/>
      <c r="BG31" s="100"/>
      <c r="BH31" s="100"/>
      <c r="BI31" s="100"/>
      <c r="BJ31" s="100"/>
      <c r="BK31" s="12"/>
      <c r="BL31" s="12"/>
    </row>
    <row r="32" spans="1:64" outlineLevel="1">
      <c r="A32" s="9"/>
      <c r="B32" s="9"/>
      <c r="C32" s="46"/>
      <c r="D32" s="129">
        <f>Asset21</f>
        <v>0</v>
      </c>
      <c r="E32" s="9"/>
      <c r="F32" s="9"/>
      <c r="G32" s="123"/>
      <c r="H32" s="111">
        <f>Input!H163*(1+vanilla1)^0.5</f>
        <v>0</v>
      </c>
      <c r="I32" s="111">
        <f>Input!I163*(1+vanilla2)^0.5</f>
        <v>0</v>
      </c>
      <c r="J32" s="111">
        <f>Input!J163*(1+vanilla3)^0.5</f>
        <v>0</v>
      </c>
      <c r="K32" s="111">
        <f>Input!K163*(1+vanilla4)^0.5</f>
        <v>0</v>
      </c>
      <c r="L32" s="111">
        <f>Input!L163*(1+vanilla5)^0.5</f>
        <v>0</v>
      </c>
      <c r="M32" s="111">
        <f>Input!M163*(1+vanilla6)^0.5</f>
        <v>0</v>
      </c>
      <c r="N32" s="111">
        <f>Input!N163*(1+vanilla7)^0.5</f>
        <v>0</v>
      </c>
      <c r="O32" s="111">
        <f>Input!O163*(1+vanilla8)^0.5</f>
        <v>0</v>
      </c>
      <c r="P32" s="111">
        <f>Input!P163*(1+vanilla9)^0.5</f>
        <v>0</v>
      </c>
      <c r="Q32" s="111">
        <f>Input!Q163*(1+vanilla10)^0.5</f>
        <v>0</v>
      </c>
      <c r="R32" s="29"/>
      <c r="S32" s="100"/>
      <c r="T32" s="100"/>
      <c r="U32" s="100"/>
      <c r="V32" s="100"/>
      <c r="W32" s="100"/>
      <c r="X32" s="100"/>
      <c r="Y32" s="100"/>
      <c r="Z32" s="100"/>
      <c r="AA32" s="100"/>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100"/>
      <c r="BE32" s="100"/>
      <c r="BF32" s="100"/>
      <c r="BG32" s="100"/>
      <c r="BH32" s="100"/>
      <c r="BI32" s="100"/>
      <c r="BJ32" s="100"/>
      <c r="BK32" s="12"/>
      <c r="BL32" s="12"/>
    </row>
    <row r="33" spans="1:256" outlineLevel="1">
      <c r="A33" s="9"/>
      <c r="B33" s="9"/>
      <c r="C33" s="46"/>
      <c r="D33" s="129">
        <f>Asset22</f>
        <v>0</v>
      </c>
      <c r="E33" s="9"/>
      <c r="F33" s="9"/>
      <c r="G33" s="123"/>
      <c r="H33" s="111">
        <f>Input!H164*(1+vanilla1)^0.5</f>
        <v>0</v>
      </c>
      <c r="I33" s="111">
        <f>Input!I164*(1+vanilla2)^0.5</f>
        <v>0</v>
      </c>
      <c r="J33" s="111">
        <f>Input!J164*(1+vanilla3)^0.5</f>
        <v>0</v>
      </c>
      <c r="K33" s="111">
        <f>Input!K164*(1+vanilla4)^0.5</f>
        <v>0</v>
      </c>
      <c r="L33" s="111">
        <f>Input!L164*(1+vanilla5)^0.5</f>
        <v>0</v>
      </c>
      <c r="M33" s="111">
        <f>Input!M164*(1+vanilla6)^0.5</f>
        <v>0</v>
      </c>
      <c r="N33" s="111">
        <f>Input!N164*(1+vanilla7)^0.5</f>
        <v>0</v>
      </c>
      <c r="O33" s="111">
        <f>Input!O164*(1+vanilla8)^0.5</f>
        <v>0</v>
      </c>
      <c r="P33" s="111">
        <f>Input!P164*(1+vanilla9)^0.5</f>
        <v>0</v>
      </c>
      <c r="Q33" s="111">
        <f>Input!Q164*(1+vanilla10)^0.5</f>
        <v>0</v>
      </c>
      <c r="R33" s="29"/>
      <c r="S33" s="100"/>
      <c r="T33" s="100"/>
      <c r="U33" s="100"/>
      <c r="V33" s="100"/>
      <c r="W33" s="100"/>
      <c r="X33" s="100"/>
      <c r="Y33" s="100"/>
      <c r="Z33" s="100"/>
      <c r="AA33" s="100"/>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100"/>
      <c r="BE33" s="100"/>
      <c r="BF33" s="100"/>
      <c r="BG33" s="100"/>
      <c r="BH33" s="100"/>
      <c r="BI33" s="100"/>
      <c r="BJ33" s="100"/>
      <c r="BK33" s="12"/>
      <c r="BL33" s="12"/>
    </row>
    <row r="34" spans="1:256" outlineLevel="1">
      <c r="A34" s="9"/>
      <c r="B34" s="9"/>
      <c r="C34" s="46"/>
      <c r="D34" s="129">
        <f>Asset23</f>
        <v>0</v>
      </c>
      <c r="E34" s="9"/>
      <c r="F34" s="9"/>
      <c r="G34" s="123"/>
      <c r="H34" s="111">
        <f>Input!H165*(1+vanilla1)^0.5</f>
        <v>0</v>
      </c>
      <c r="I34" s="111">
        <f>Input!I165*(1+vanilla2)^0.5</f>
        <v>0</v>
      </c>
      <c r="J34" s="111">
        <f>Input!J165*(1+vanilla3)^0.5</f>
        <v>0</v>
      </c>
      <c r="K34" s="111">
        <f>Input!K165*(1+vanilla4)^0.5</f>
        <v>0</v>
      </c>
      <c r="L34" s="111">
        <f>Input!L165*(1+vanilla5)^0.5</f>
        <v>0</v>
      </c>
      <c r="M34" s="111">
        <f>Input!M165*(1+vanilla6)^0.5</f>
        <v>0</v>
      </c>
      <c r="N34" s="111">
        <f>Input!N165*(1+vanilla7)^0.5</f>
        <v>0</v>
      </c>
      <c r="O34" s="111">
        <f>Input!O165*(1+vanilla8)^0.5</f>
        <v>0</v>
      </c>
      <c r="P34" s="111">
        <f>Input!P165*(1+vanilla9)^0.5</f>
        <v>0</v>
      </c>
      <c r="Q34" s="111">
        <f>Input!Q165*(1+vanilla10)^0.5</f>
        <v>0</v>
      </c>
      <c r="R34" s="29"/>
      <c r="S34" s="100"/>
      <c r="T34" s="100"/>
      <c r="U34" s="100"/>
      <c r="V34" s="100"/>
      <c r="W34" s="100"/>
      <c r="X34" s="100"/>
      <c r="Y34" s="100"/>
      <c r="Z34" s="100"/>
      <c r="AA34" s="100"/>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100"/>
      <c r="BE34" s="100"/>
      <c r="BF34" s="100"/>
      <c r="BG34" s="100"/>
      <c r="BH34" s="100"/>
      <c r="BI34" s="100"/>
      <c r="BJ34" s="100"/>
      <c r="BK34" s="12"/>
      <c r="BL34" s="12"/>
    </row>
    <row r="35" spans="1:256" outlineLevel="1">
      <c r="A35" s="9"/>
      <c r="B35" s="9"/>
      <c r="C35" s="46"/>
      <c r="D35" s="129">
        <f>Asset24</f>
        <v>0</v>
      </c>
      <c r="E35" s="9"/>
      <c r="F35" s="9"/>
      <c r="G35" s="123"/>
      <c r="H35" s="111">
        <f>Input!H166*(1+vanilla1)^0.5</f>
        <v>0</v>
      </c>
      <c r="I35" s="111">
        <f>Input!I166*(1+vanilla2)^0.5</f>
        <v>0</v>
      </c>
      <c r="J35" s="111">
        <f>Input!J166*(1+vanilla3)^0.5</f>
        <v>0</v>
      </c>
      <c r="K35" s="111">
        <f>Input!K166*(1+vanilla4)^0.5</f>
        <v>0</v>
      </c>
      <c r="L35" s="111">
        <f>Input!L166*(1+vanilla5)^0.5</f>
        <v>0</v>
      </c>
      <c r="M35" s="111">
        <f>Input!M166*(1+vanilla6)^0.5</f>
        <v>0</v>
      </c>
      <c r="N35" s="111">
        <f>Input!N166*(1+vanilla7)^0.5</f>
        <v>0</v>
      </c>
      <c r="O35" s="111">
        <f>Input!O166*(1+vanilla8)^0.5</f>
        <v>0</v>
      </c>
      <c r="P35" s="111">
        <f>Input!P166*(1+vanilla9)^0.5</f>
        <v>0</v>
      </c>
      <c r="Q35" s="111">
        <f>Input!Q166*(1+vanilla10)^0.5</f>
        <v>0</v>
      </c>
      <c r="R35" s="29"/>
      <c r="S35" s="100"/>
      <c r="T35" s="100"/>
      <c r="U35" s="100"/>
      <c r="V35" s="100"/>
      <c r="W35" s="100"/>
      <c r="X35" s="100"/>
      <c r="Y35" s="100"/>
      <c r="Z35" s="100"/>
      <c r="AA35" s="100"/>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100"/>
      <c r="BE35" s="100"/>
      <c r="BF35" s="100"/>
      <c r="BG35" s="100"/>
      <c r="BH35" s="100"/>
      <c r="BI35" s="100"/>
      <c r="BJ35" s="100"/>
      <c r="BK35" s="12"/>
      <c r="BL35" s="12"/>
    </row>
    <row r="36" spans="1:256" outlineLevel="1">
      <c r="A36" s="9"/>
      <c r="B36" s="9"/>
      <c r="C36" s="46"/>
      <c r="D36" s="129">
        <f>Asset25</f>
        <v>0</v>
      </c>
      <c r="E36" s="9"/>
      <c r="F36" s="9"/>
      <c r="G36" s="123"/>
      <c r="H36" s="111">
        <f>Input!H167*(1+vanilla1)^0.5</f>
        <v>0</v>
      </c>
      <c r="I36" s="111">
        <f>Input!I167*(1+vanilla2)^0.5</f>
        <v>0</v>
      </c>
      <c r="J36" s="111">
        <f>Input!J167*(1+vanilla3)^0.5</f>
        <v>0</v>
      </c>
      <c r="K36" s="111">
        <f>Input!K167*(1+vanilla4)^0.5</f>
        <v>0</v>
      </c>
      <c r="L36" s="111">
        <f>Input!L167*(1+vanilla5)^0.5</f>
        <v>0</v>
      </c>
      <c r="M36" s="111">
        <f>Input!M167*(1+vanilla6)^0.5</f>
        <v>0</v>
      </c>
      <c r="N36" s="111">
        <f>Input!N167*(1+vanilla7)^0.5</f>
        <v>0</v>
      </c>
      <c r="O36" s="111">
        <f>Input!O167*(1+vanilla8)^0.5</f>
        <v>0</v>
      </c>
      <c r="P36" s="111">
        <f>Input!P167*(1+vanilla9)^0.5</f>
        <v>0</v>
      </c>
      <c r="Q36" s="111">
        <f>Input!Q167*(1+vanilla10)^0.5</f>
        <v>0</v>
      </c>
      <c r="R36" s="29"/>
      <c r="S36" s="100"/>
      <c r="T36" s="100"/>
      <c r="U36" s="100"/>
      <c r="V36" s="100"/>
      <c r="W36" s="100"/>
      <c r="X36" s="100"/>
      <c r="Y36" s="100"/>
      <c r="Z36" s="100"/>
      <c r="AA36" s="100"/>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100"/>
      <c r="BE36" s="100"/>
      <c r="BF36" s="100"/>
      <c r="BG36" s="100"/>
      <c r="BH36" s="100"/>
      <c r="BI36" s="100"/>
      <c r="BJ36" s="100"/>
      <c r="BK36" s="12"/>
      <c r="BL36" s="12"/>
    </row>
    <row r="37" spans="1:256" outlineLevel="1">
      <c r="A37" s="9"/>
      <c r="B37" s="9"/>
      <c r="C37" s="46"/>
      <c r="D37" s="129">
        <f>Asset26</f>
        <v>0</v>
      </c>
      <c r="E37" s="9"/>
      <c r="F37" s="9"/>
      <c r="G37" s="123"/>
      <c r="H37" s="111">
        <f>Input!H168*(1+vanilla1)^0.5</f>
        <v>0</v>
      </c>
      <c r="I37" s="111">
        <f>Input!I168*(1+vanilla2)^0.5</f>
        <v>0</v>
      </c>
      <c r="J37" s="111">
        <f>Input!J168*(1+vanilla3)^0.5</f>
        <v>0</v>
      </c>
      <c r="K37" s="111">
        <f>Input!K168*(1+vanilla4)^0.5</f>
        <v>0</v>
      </c>
      <c r="L37" s="111">
        <f>Input!L168*(1+vanilla5)^0.5</f>
        <v>0</v>
      </c>
      <c r="M37" s="111">
        <f>Input!M168*(1+vanilla6)^0.5</f>
        <v>0</v>
      </c>
      <c r="N37" s="111">
        <f>Input!N168*(1+vanilla7)^0.5</f>
        <v>0</v>
      </c>
      <c r="O37" s="111">
        <f>Input!O168*(1+vanilla8)^0.5</f>
        <v>0</v>
      </c>
      <c r="P37" s="111">
        <f>Input!P168*(1+vanilla9)^0.5</f>
        <v>0</v>
      </c>
      <c r="Q37" s="111">
        <f>Input!Q168*(1+vanilla10)^0.5</f>
        <v>0</v>
      </c>
      <c r="R37" s="29"/>
      <c r="S37" s="100"/>
      <c r="T37" s="100"/>
      <c r="U37" s="100"/>
      <c r="V37" s="100"/>
      <c r="W37" s="100"/>
      <c r="X37" s="100"/>
      <c r="Y37" s="100"/>
      <c r="Z37" s="100"/>
      <c r="AA37" s="100"/>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100"/>
      <c r="BE37" s="100"/>
      <c r="BF37" s="100"/>
      <c r="BG37" s="100"/>
      <c r="BH37" s="100"/>
      <c r="BI37" s="100"/>
      <c r="BJ37" s="100"/>
      <c r="BK37" s="12"/>
      <c r="BL37" s="12"/>
    </row>
    <row r="38" spans="1:256" outlineLevel="1">
      <c r="A38" s="9"/>
      <c r="B38" s="9"/>
      <c r="C38" s="46"/>
      <c r="D38" s="129">
        <f>Asset27</f>
        <v>0</v>
      </c>
      <c r="E38" s="9"/>
      <c r="F38" s="9"/>
      <c r="G38" s="123"/>
      <c r="H38" s="111">
        <f>Input!H169*(1+vanilla1)^0.5</f>
        <v>0</v>
      </c>
      <c r="I38" s="111">
        <f>Input!I169*(1+vanilla2)^0.5</f>
        <v>0</v>
      </c>
      <c r="J38" s="111">
        <f>Input!J169*(1+vanilla3)^0.5</f>
        <v>0</v>
      </c>
      <c r="K38" s="111">
        <f>Input!K169*(1+vanilla4)^0.5</f>
        <v>0</v>
      </c>
      <c r="L38" s="111">
        <f>Input!L169*(1+vanilla5)^0.5</f>
        <v>0</v>
      </c>
      <c r="M38" s="111">
        <f>Input!M169*(1+vanilla6)^0.5</f>
        <v>0</v>
      </c>
      <c r="N38" s="111">
        <f>Input!N169*(1+vanilla7)^0.5</f>
        <v>0</v>
      </c>
      <c r="O38" s="111">
        <f>Input!O169*(1+vanilla8)^0.5</f>
        <v>0</v>
      </c>
      <c r="P38" s="111">
        <f>Input!P169*(1+vanilla9)^0.5</f>
        <v>0</v>
      </c>
      <c r="Q38" s="111">
        <f>Input!Q169*(1+vanilla10)^0.5</f>
        <v>0</v>
      </c>
      <c r="R38" s="29"/>
      <c r="S38" s="100"/>
      <c r="T38" s="100"/>
      <c r="U38" s="100"/>
      <c r="V38" s="100"/>
      <c r="W38" s="100"/>
      <c r="X38" s="100"/>
      <c r="Y38" s="100"/>
      <c r="Z38" s="100"/>
      <c r="AA38" s="100"/>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100"/>
      <c r="BE38" s="100"/>
      <c r="BF38" s="100"/>
      <c r="BG38" s="100"/>
      <c r="BH38" s="100"/>
      <c r="BI38" s="100"/>
      <c r="BJ38" s="100"/>
      <c r="BK38" s="12"/>
      <c r="BL38" s="12"/>
    </row>
    <row r="39" spans="1:256" outlineLevel="1">
      <c r="A39" s="9"/>
      <c r="B39" s="9"/>
      <c r="C39" s="46"/>
      <c r="D39" s="129">
        <f>Asset28</f>
        <v>0</v>
      </c>
      <c r="E39" s="9"/>
      <c r="F39" s="9"/>
      <c r="G39" s="123"/>
      <c r="H39" s="111">
        <f>Input!H170*(1+vanilla1)^0.5</f>
        <v>0</v>
      </c>
      <c r="I39" s="111">
        <f>Input!I170*(1+vanilla2)^0.5</f>
        <v>0</v>
      </c>
      <c r="J39" s="111">
        <f>Input!J170*(1+vanilla3)^0.5</f>
        <v>0</v>
      </c>
      <c r="K39" s="111">
        <f>Input!K170*(1+vanilla4)^0.5</f>
        <v>0</v>
      </c>
      <c r="L39" s="111">
        <f>Input!L170*(1+vanilla5)^0.5</f>
        <v>0</v>
      </c>
      <c r="M39" s="111">
        <f>Input!M170*(1+vanilla6)^0.5</f>
        <v>0</v>
      </c>
      <c r="N39" s="111">
        <f>Input!N170*(1+vanilla7)^0.5</f>
        <v>0</v>
      </c>
      <c r="O39" s="111">
        <f>Input!O170*(1+vanilla8)^0.5</f>
        <v>0</v>
      </c>
      <c r="P39" s="111">
        <f>Input!P170*(1+vanilla9)^0.5</f>
        <v>0</v>
      </c>
      <c r="Q39" s="111">
        <f>Input!Q170*(1+vanilla10)^0.5</f>
        <v>0</v>
      </c>
      <c r="R39" s="29"/>
      <c r="S39" s="100"/>
      <c r="T39" s="100"/>
      <c r="U39" s="100"/>
      <c r="V39" s="100"/>
      <c r="W39" s="100"/>
      <c r="X39" s="100"/>
      <c r="Y39" s="100"/>
      <c r="Z39" s="100"/>
      <c r="AA39" s="100"/>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100"/>
      <c r="BE39" s="100"/>
      <c r="BF39" s="100"/>
      <c r="BG39" s="100"/>
      <c r="BH39" s="100"/>
      <c r="BI39" s="100"/>
      <c r="BJ39" s="100"/>
      <c r="BK39" s="12"/>
      <c r="BL39" s="12"/>
    </row>
    <row r="40" spans="1:256" outlineLevel="1">
      <c r="A40" s="9"/>
      <c r="B40" s="9"/>
      <c r="C40" s="46"/>
      <c r="D40" s="129">
        <f>Asset29</f>
        <v>0</v>
      </c>
      <c r="E40" s="9"/>
      <c r="F40" s="9"/>
      <c r="G40" s="123"/>
      <c r="H40" s="111">
        <f>Input!H171*(1+vanilla1)^0.5</f>
        <v>0</v>
      </c>
      <c r="I40" s="111">
        <f>Input!I171*(1+vanilla2)^0.5</f>
        <v>0</v>
      </c>
      <c r="J40" s="111">
        <f>Input!J171*(1+vanilla3)^0.5</f>
        <v>0</v>
      </c>
      <c r="K40" s="111">
        <f>Input!K171*(1+vanilla4)^0.5</f>
        <v>0</v>
      </c>
      <c r="L40" s="111">
        <f>Input!L171*(1+vanilla5)^0.5</f>
        <v>0</v>
      </c>
      <c r="M40" s="111">
        <f>Input!M171*(1+vanilla6)^0.5</f>
        <v>0</v>
      </c>
      <c r="N40" s="111">
        <f>Input!N171*(1+vanilla7)^0.5</f>
        <v>0</v>
      </c>
      <c r="O40" s="111">
        <f>Input!O171*(1+vanilla8)^0.5</f>
        <v>0</v>
      </c>
      <c r="P40" s="111">
        <f>Input!P171*(1+vanilla9)^0.5</f>
        <v>0</v>
      </c>
      <c r="Q40" s="111">
        <f>Input!Q171*(1+vanilla10)^0.5</f>
        <v>0</v>
      </c>
      <c r="R40" s="29"/>
      <c r="S40" s="100"/>
      <c r="T40" s="100"/>
      <c r="U40" s="100"/>
      <c r="V40" s="100"/>
      <c r="W40" s="100"/>
      <c r="X40" s="100"/>
      <c r="Y40" s="100"/>
      <c r="Z40" s="100"/>
      <c r="AA40" s="100"/>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100"/>
      <c r="BE40" s="100"/>
      <c r="BF40" s="100"/>
      <c r="BG40" s="100"/>
      <c r="BH40" s="100"/>
      <c r="BI40" s="100"/>
      <c r="BJ40" s="100"/>
      <c r="BK40" s="12"/>
      <c r="BL40" s="12"/>
    </row>
    <row r="41" spans="1:256" outlineLevel="1">
      <c r="A41" s="9"/>
      <c r="B41" s="9"/>
      <c r="C41" s="46"/>
      <c r="D41" s="129">
        <f>Asset30</f>
        <v>0</v>
      </c>
      <c r="E41" s="9"/>
      <c r="F41" s="9"/>
      <c r="G41" s="123"/>
      <c r="H41" s="111">
        <f>Input!H172*(1+vanilla1)^0.5</f>
        <v>0</v>
      </c>
      <c r="I41" s="111">
        <f>Input!I172*(1+vanilla2)^0.5</f>
        <v>0</v>
      </c>
      <c r="J41" s="111">
        <f>Input!J172*(1+vanilla3)^0.5</f>
        <v>0</v>
      </c>
      <c r="K41" s="111">
        <f>Input!K172*(1+vanilla4)^0.5</f>
        <v>0</v>
      </c>
      <c r="L41" s="111">
        <f>Input!L172*(1+vanilla5)^0.5</f>
        <v>0</v>
      </c>
      <c r="M41" s="111">
        <f>Input!M172*(1+vanilla6)^0.5</f>
        <v>0</v>
      </c>
      <c r="N41" s="111">
        <f>Input!N172*(1+vanilla7)^0.5</f>
        <v>0</v>
      </c>
      <c r="O41" s="111">
        <f>Input!O172*(1+vanilla8)^0.5</f>
        <v>0</v>
      </c>
      <c r="P41" s="111">
        <f>Input!P172*(1+vanilla9)^0.5</f>
        <v>0</v>
      </c>
      <c r="Q41" s="111">
        <f>Input!Q172*(1+vanilla10)^0.5</f>
        <v>0</v>
      </c>
      <c r="R41" s="29"/>
      <c r="S41" s="100"/>
      <c r="T41" s="100"/>
      <c r="U41" s="100"/>
      <c r="V41" s="100"/>
      <c r="W41" s="100"/>
      <c r="X41" s="100"/>
      <c r="Y41" s="100"/>
      <c r="Z41" s="100"/>
      <c r="AA41" s="100"/>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100"/>
      <c r="BE41" s="100"/>
      <c r="BF41" s="100"/>
      <c r="BG41" s="100"/>
      <c r="BH41" s="100"/>
      <c r="BI41" s="100"/>
      <c r="BJ41" s="100"/>
      <c r="BK41" s="12"/>
      <c r="BL41" s="12"/>
    </row>
    <row r="42" spans="1:256">
      <c r="A42" s="9"/>
      <c r="B42" s="9"/>
      <c r="C42" s="46"/>
      <c r="D42" s="114"/>
      <c r="E42" s="9"/>
      <c r="F42" s="9"/>
      <c r="G42" s="28"/>
      <c r="H42" s="37"/>
      <c r="I42" s="37"/>
      <c r="J42" s="37"/>
      <c r="K42" s="37"/>
      <c r="L42" s="37"/>
      <c r="M42" s="37"/>
      <c r="N42" s="110"/>
      <c r="O42" s="29"/>
      <c r="P42" s="29"/>
      <c r="Q42" s="29"/>
      <c r="R42" s="29"/>
      <c r="S42" s="100"/>
      <c r="T42" s="100"/>
      <c r="U42" s="100"/>
      <c r="V42" s="100"/>
      <c r="W42" s="100"/>
      <c r="X42" s="100"/>
      <c r="Y42" s="100"/>
      <c r="Z42" s="100"/>
      <c r="AA42" s="100"/>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100"/>
      <c r="BE42" s="100"/>
      <c r="BF42" s="100"/>
      <c r="BG42" s="100"/>
      <c r="BH42" s="100"/>
      <c r="BI42" s="100"/>
      <c r="BJ42" s="100"/>
      <c r="BK42" s="12"/>
      <c r="BL42" s="12"/>
    </row>
    <row r="43" spans="1:256">
      <c r="A43" s="9"/>
      <c r="B43" s="9"/>
      <c r="C43" s="323" t="s">
        <v>118</v>
      </c>
      <c r="D43" s="324"/>
      <c r="E43" s="9"/>
      <c r="F43" s="9"/>
      <c r="G43" s="117"/>
      <c r="H43" s="117">
        <f>H56+H69+H82+H95+H108+H121+H134+H147+H160+H173+H186+H199+H212+H225+H238+H251+H264+H277+H290+H303+H316+H329+H342+H355+H368+H381+H394+H407+H420+H433</f>
        <v>-39.136430996846663</v>
      </c>
      <c r="I43" s="117">
        <f t="shared" ref="I43:Q43" si="3">I56+I69+I82+I95+I108+I121+I134+I147+I160+I173+I186+I199+I212+I225+I238+I251+I264+I277+I290+I303+I316+I329+I342+I355+I368+I381+I394+I407+I420+I433</f>
        <v>-42.142972176254261</v>
      </c>
      <c r="J43" s="117">
        <f t="shared" si="3"/>
        <v>-46.397203880463003</v>
      </c>
      <c r="K43" s="117">
        <f t="shared" si="3"/>
        <v>-49.200157485173072</v>
      </c>
      <c r="L43" s="117">
        <f>L56+L69+L82+L95+L108+L121+L134+L147+L160+L173+L186+L199+L212+L225+L238+L251+L264+L277+L290+L303+L316+L329+L342+L355+L368+L381+L394+L407+L420+L433</f>
        <v>-51.623417391041379</v>
      </c>
      <c r="M43" s="117">
        <f t="shared" si="3"/>
        <v>0</v>
      </c>
      <c r="N43" s="117">
        <f t="shared" si="3"/>
        <v>0</v>
      </c>
      <c r="O43" s="117">
        <f t="shared" si="3"/>
        <v>0</v>
      </c>
      <c r="P43" s="117">
        <f t="shared" si="3"/>
        <v>0</v>
      </c>
      <c r="Q43" s="117">
        <f t="shared" si="3"/>
        <v>0</v>
      </c>
      <c r="R43" s="9"/>
      <c r="S43" s="9"/>
      <c r="T43" s="9"/>
      <c r="U43" s="9"/>
      <c r="V43" s="9"/>
      <c r="W43" s="9"/>
      <c r="X43" s="9"/>
      <c r="Y43" s="9"/>
      <c r="Z43" s="9"/>
      <c r="AA43" s="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9"/>
      <c r="BE43" s="9"/>
      <c r="BF43" s="9"/>
      <c r="BG43" s="9"/>
      <c r="BH43" s="9"/>
      <c r="BI43" s="9"/>
      <c r="BJ43" s="9"/>
      <c r="BK43" s="9"/>
      <c r="BL43" s="9"/>
    </row>
    <row r="44" spans="1:256" s="5" customFormat="1" ht="12.75" hidden="1" customHeight="1" outlineLevel="2">
      <c r="A44" s="9"/>
      <c r="B44" s="9"/>
      <c r="C44" s="32" t="str">
        <f>Asset1</f>
        <v>Mains &amp; Services</v>
      </c>
      <c r="D44" s="33"/>
      <c r="E44" s="34" t="s">
        <v>28</v>
      </c>
      <c r="F44" s="33"/>
      <c r="G44" s="35"/>
      <c r="H44" s="304">
        <v>24.015679181922891</v>
      </c>
      <c r="I44" s="305">
        <v>24.015679181922891</v>
      </c>
      <c r="J44" s="305">
        <v>24.015679181922891</v>
      </c>
      <c r="K44" s="305">
        <v>24.015679181922891</v>
      </c>
      <c r="L44" s="305">
        <v>24.015679181922891</v>
      </c>
      <c r="M44" s="305">
        <v>24.015679181922891</v>
      </c>
      <c r="N44" s="305">
        <v>24.015679181922891</v>
      </c>
      <c r="O44" s="305">
        <v>24.015679181922891</v>
      </c>
      <c r="P44" s="305">
        <v>24.015679181922891</v>
      </c>
      <c r="Q44" s="305">
        <v>24.015679181922891</v>
      </c>
      <c r="R44" s="36"/>
      <c r="S44" s="101"/>
      <c r="T44" s="101"/>
      <c r="U44" s="101"/>
      <c r="V44" s="101"/>
      <c r="W44" s="101"/>
      <c r="X44" s="101"/>
      <c r="Y44" s="101"/>
      <c r="Z44" s="101"/>
      <c r="AA44" s="101"/>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101"/>
      <c r="BE44" s="101"/>
      <c r="BF44" s="101"/>
      <c r="BG44" s="101"/>
      <c r="BH44" s="101"/>
      <c r="BI44" s="101"/>
      <c r="BJ44" s="101"/>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655" t="s">
        <v>84</v>
      </c>
      <c r="F45" s="86">
        <v>0</v>
      </c>
      <c r="G45" s="27"/>
      <c r="H45" s="299"/>
      <c r="I45" s="299"/>
      <c r="J45" s="299"/>
      <c r="K45" s="299"/>
      <c r="L45" s="299"/>
      <c r="M45" s="299"/>
      <c r="N45" s="299"/>
      <c r="O45" s="299"/>
      <c r="P45" s="299"/>
      <c r="Q45" s="299"/>
      <c r="R45" s="47"/>
      <c r="S45" s="101"/>
      <c r="T45" s="101"/>
      <c r="U45" s="101"/>
      <c r="V45" s="101"/>
      <c r="W45" s="101"/>
      <c r="X45" s="101"/>
      <c r="Y45" s="101"/>
      <c r="Z45" s="101"/>
      <c r="AA45" s="101"/>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101"/>
      <c r="BE45" s="101"/>
      <c r="BF45" s="101"/>
      <c r="BG45" s="101"/>
      <c r="BH45" s="101"/>
      <c r="BI45" s="101"/>
      <c r="BJ45" s="101"/>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656"/>
      <c r="F46" s="86">
        <v>1</v>
      </c>
      <c r="G46" s="27"/>
      <c r="H46" s="300"/>
      <c r="I46" s="588">
        <v>1.1872086309304817</v>
      </c>
      <c r="J46" s="588">
        <v>1.1872086309304817</v>
      </c>
      <c r="K46" s="588">
        <v>1.1872086309304817</v>
      </c>
      <c r="L46" s="588">
        <v>1.1872086309304817</v>
      </c>
      <c r="M46" s="588">
        <v>1.1872086309304817</v>
      </c>
      <c r="N46" s="588">
        <v>1.1872086309304817</v>
      </c>
      <c r="O46" s="588">
        <v>1.1872086309304817</v>
      </c>
      <c r="P46" s="588">
        <v>1.1872086309304817</v>
      </c>
      <c r="Q46" s="588">
        <v>1.1872086309304817</v>
      </c>
      <c r="R46" s="30"/>
      <c r="S46" s="101"/>
      <c r="T46" s="101"/>
      <c r="U46" s="101"/>
      <c r="V46" s="101"/>
      <c r="W46" s="101"/>
      <c r="X46" s="101"/>
      <c r="Y46" s="101"/>
      <c r="Z46" s="101"/>
      <c r="AA46" s="101"/>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101"/>
      <c r="BE46" s="101"/>
      <c r="BF46" s="101"/>
      <c r="BG46" s="101"/>
      <c r="BH46" s="101"/>
      <c r="BI46" s="101"/>
      <c r="BJ46" s="101"/>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656"/>
      <c r="F47" s="86">
        <v>2</v>
      </c>
      <c r="G47" s="27"/>
      <c r="H47" s="301"/>
      <c r="I47" s="589"/>
      <c r="J47" s="588">
        <v>1.0032305496491989</v>
      </c>
      <c r="K47" s="588">
        <v>1.0032305496491989</v>
      </c>
      <c r="L47" s="588">
        <v>1.0032305496491989</v>
      </c>
      <c r="M47" s="588">
        <v>1.0032305496491989</v>
      </c>
      <c r="N47" s="588">
        <v>1.0032305496491989</v>
      </c>
      <c r="O47" s="588">
        <v>1.0032305496491989</v>
      </c>
      <c r="P47" s="588">
        <v>1.0032305496491989</v>
      </c>
      <c r="Q47" s="588">
        <v>1.0032305496491989</v>
      </c>
      <c r="R47" s="30"/>
      <c r="S47" s="101"/>
      <c r="T47" s="101"/>
      <c r="U47" s="101"/>
      <c r="V47" s="101"/>
      <c r="W47" s="101"/>
      <c r="X47" s="101"/>
      <c r="Y47" s="101"/>
      <c r="Z47" s="101"/>
      <c r="AA47" s="101"/>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101"/>
      <c r="BE47" s="101"/>
      <c r="BF47" s="101"/>
      <c r="BG47" s="101"/>
      <c r="BH47" s="101"/>
      <c r="BI47" s="101"/>
      <c r="BJ47" s="101"/>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656"/>
      <c r="F48" s="86">
        <v>3</v>
      </c>
      <c r="G48" s="27"/>
      <c r="H48" s="301"/>
      <c r="I48" s="590"/>
      <c r="J48" s="589"/>
      <c r="K48" s="588">
        <v>0.95948354116709555</v>
      </c>
      <c r="L48" s="588">
        <v>0.95948354116709555</v>
      </c>
      <c r="M48" s="588">
        <v>0.95948354116709555</v>
      </c>
      <c r="N48" s="588">
        <v>0.95948354116709555</v>
      </c>
      <c r="O48" s="588">
        <v>0.95948354116709555</v>
      </c>
      <c r="P48" s="588">
        <v>0.95948354116709555</v>
      </c>
      <c r="Q48" s="588">
        <v>0.95948354116709555</v>
      </c>
      <c r="R48" s="30"/>
      <c r="S48" s="101"/>
      <c r="T48" s="101"/>
      <c r="U48" s="101"/>
      <c r="V48" s="101"/>
      <c r="W48" s="101"/>
      <c r="X48" s="101"/>
      <c r="Y48" s="101"/>
      <c r="Z48" s="101"/>
      <c r="AA48" s="101"/>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101"/>
      <c r="BE48" s="101"/>
      <c r="BF48" s="101"/>
      <c r="BG48" s="101"/>
      <c r="BH48" s="101"/>
      <c r="BI48" s="101"/>
      <c r="BJ48" s="101"/>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656"/>
      <c r="F49" s="86">
        <v>4</v>
      </c>
      <c r="G49" s="27"/>
      <c r="H49" s="301"/>
      <c r="I49" s="590"/>
      <c r="J49" s="590"/>
      <c r="K49" s="589"/>
      <c r="L49" s="588">
        <v>1.0817596055004688</v>
      </c>
      <c r="M49" s="588">
        <v>1.0817596055004688</v>
      </c>
      <c r="N49" s="588">
        <v>1.0817596055004688</v>
      </c>
      <c r="O49" s="588">
        <v>1.0817596055004688</v>
      </c>
      <c r="P49" s="588">
        <v>1.0817596055004688</v>
      </c>
      <c r="Q49" s="588">
        <v>1.0817596055004688</v>
      </c>
      <c r="R49" s="30"/>
      <c r="S49" s="101"/>
      <c r="T49" s="101"/>
      <c r="U49" s="101"/>
      <c r="V49" s="101"/>
      <c r="W49" s="101"/>
      <c r="X49" s="101"/>
      <c r="Y49" s="101"/>
      <c r="Z49" s="101"/>
      <c r="AA49" s="101"/>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101"/>
      <c r="BE49" s="101"/>
      <c r="BF49" s="101"/>
      <c r="BG49" s="101"/>
      <c r="BH49" s="101"/>
      <c r="BI49" s="101"/>
      <c r="BJ49" s="101"/>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656"/>
      <c r="F50" s="86">
        <v>5</v>
      </c>
      <c r="G50" s="27"/>
      <c r="H50" s="301"/>
      <c r="I50" s="590"/>
      <c r="J50" s="590"/>
      <c r="K50" s="590"/>
      <c r="L50" s="589"/>
      <c r="M50" s="588">
        <v>0.87088245035125711</v>
      </c>
      <c r="N50" s="588">
        <v>0.87088245035125711</v>
      </c>
      <c r="O50" s="588">
        <v>0.87088245035125711</v>
      </c>
      <c r="P50" s="588">
        <v>0.87088245035125711</v>
      </c>
      <c r="Q50" s="588">
        <v>0.87088245035125711</v>
      </c>
      <c r="R50" s="30"/>
      <c r="S50" s="101"/>
      <c r="T50" s="101"/>
      <c r="U50" s="101"/>
      <c r="V50" s="101"/>
      <c r="W50" s="101"/>
      <c r="X50" s="101"/>
      <c r="Y50" s="101"/>
      <c r="Z50" s="101"/>
      <c r="AA50" s="101"/>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101"/>
      <c r="BE50" s="101"/>
      <c r="BF50" s="101"/>
      <c r="BG50" s="101"/>
      <c r="BH50" s="101"/>
      <c r="BI50" s="101"/>
      <c r="BJ50" s="101"/>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656"/>
      <c r="F51" s="86">
        <v>6</v>
      </c>
      <c r="G51" s="27"/>
      <c r="H51" s="221"/>
      <c r="I51" s="222"/>
      <c r="J51" s="222"/>
      <c r="K51" s="222"/>
      <c r="L51" s="222"/>
      <c r="M51" s="223"/>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1"/>
      <c r="T51" s="101"/>
      <c r="U51" s="101"/>
      <c r="V51" s="101"/>
      <c r="W51" s="101"/>
      <c r="X51" s="101"/>
      <c r="Y51" s="101"/>
      <c r="Z51" s="101"/>
      <c r="AA51" s="101"/>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101"/>
      <c r="BE51" s="101"/>
      <c r="BF51" s="101"/>
      <c r="BG51" s="101"/>
      <c r="BH51" s="101"/>
      <c r="BI51" s="101"/>
      <c r="BJ51" s="101"/>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656"/>
      <c r="F52" s="86">
        <v>7</v>
      </c>
      <c r="G52" s="27"/>
      <c r="H52" s="221"/>
      <c r="I52" s="222"/>
      <c r="J52" s="222"/>
      <c r="K52" s="222"/>
      <c r="L52" s="222"/>
      <c r="M52" s="222"/>
      <c r="N52" s="223"/>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1"/>
      <c r="T52" s="101"/>
      <c r="U52" s="101"/>
      <c r="V52" s="101"/>
      <c r="W52" s="101"/>
      <c r="X52" s="101"/>
      <c r="Y52" s="101"/>
      <c r="Z52" s="101"/>
      <c r="AA52" s="101"/>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101"/>
      <c r="BE52" s="101"/>
      <c r="BF52" s="101"/>
      <c r="BG52" s="101"/>
      <c r="BH52" s="101"/>
      <c r="BI52" s="101"/>
      <c r="BJ52" s="101"/>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656"/>
      <c r="F53" s="86">
        <v>8</v>
      </c>
      <c r="G53" s="27"/>
      <c r="H53" s="221"/>
      <c r="I53" s="222"/>
      <c r="J53" s="222"/>
      <c r="K53" s="222"/>
      <c r="L53" s="222"/>
      <c r="M53" s="222"/>
      <c r="N53" s="222"/>
      <c r="O53" s="223"/>
      <c r="P53" s="30">
        <f>IF(A1stdlife="n/a","n/a",IF(P$3&gt;(A1stdlife+$F53),(Input!$O$143*(1+vanilla8)^0.5)-SUM($O53:O53),(Input!$O$143*(1+vanilla8)^0.5)/A1stdlife))</f>
        <v>0</v>
      </c>
      <c r="Q53" s="30">
        <f>IF(A1stdlife="n/a","n/a",IF(Q$3&gt;(A1stdlife+$F53),(Input!$O$143*(1+vanilla8)^0.5)-SUM($O53:P53),(Input!$O$143*(1+vanilla8)^0.5)/A1stdlife))</f>
        <v>0</v>
      </c>
      <c r="R53" s="30"/>
      <c r="S53" s="101"/>
      <c r="T53" s="101"/>
      <c r="U53" s="101"/>
      <c r="V53" s="101"/>
      <c r="W53" s="101"/>
      <c r="X53" s="101"/>
      <c r="Y53" s="101"/>
      <c r="Z53" s="101"/>
      <c r="AA53" s="101"/>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101"/>
      <c r="BE53" s="101"/>
      <c r="BF53" s="101"/>
      <c r="BG53" s="101"/>
      <c r="BH53" s="101"/>
      <c r="BI53" s="101"/>
      <c r="BJ53" s="101"/>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656"/>
      <c r="F54" s="86">
        <v>9</v>
      </c>
      <c r="G54" s="27"/>
      <c r="H54" s="221"/>
      <c r="I54" s="222"/>
      <c r="J54" s="222"/>
      <c r="K54" s="222"/>
      <c r="L54" s="222"/>
      <c r="M54" s="222"/>
      <c r="N54" s="222"/>
      <c r="O54" s="222"/>
      <c r="P54" s="223"/>
      <c r="Q54" s="30">
        <f>IF(A1stdlife="n/a","n/a",IF(Q$3&gt;(A1stdlife+$F54),(Input!$P$143*(1+vanilla9)^0.5)-SUM($P54:P54),(Input!$P$143*(1+vanilla9)^0.5)/A1stdlife))</f>
        <v>0</v>
      </c>
      <c r="R54" s="30"/>
      <c r="S54" s="101"/>
      <c r="T54" s="101"/>
      <c r="U54" s="101"/>
      <c r="V54" s="101"/>
      <c r="W54" s="101"/>
      <c r="X54" s="101"/>
      <c r="Y54" s="101"/>
      <c r="Z54" s="101"/>
      <c r="AA54" s="101"/>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101"/>
      <c r="BE54" s="101"/>
      <c r="BF54" s="101"/>
      <c r="BG54" s="101"/>
      <c r="BH54" s="101"/>
      <c r="BI54" s="101"/>
      <c r="BJ54" s="101"/>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656"/>
      <c r="F55" s="87">
        <v>10</v>
      </c>
      <c r="G55" s="27"/>
      <c r="H55" s="221"/>
      <c r="I55" s="222"/>
      <c r="J55" s="222"/>
      <c r="K55" s="222"/>
      <c r="L55" s="222"/>
      <c r="M55" s="222"/>
      <c r="N55" s="222"/>
      <c r="O55" s="222"/>
      <c r="P55" s="222"/>
      <c r="Q55" s="223"/>
      <c r="R55" s="30"/>
      <c r="S55" s="101"/>
      <c r="T55" s="101"/>
      <c r="U55" s="101"/>
      <c r="V55" s="101"/>
      <c r="W55" s="101"/>
      <c r="X55" s="101"/>
      <c r="Y55" s="101"/>
      <c r="Z55" s="101"/>
      <c r="AA55" s="101"/>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101"/>
      <c r="BE55" s="101"/>
      <c r="BF55" s="101"/>
      <c r="BG55" s="101"/>
      <c r="BH55" s="101"/>
      <c r="BI55" s="101"/>
      <c r="BJ55" s="101"/>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6" t="str">
        <f>Asset1</f>
        <v>Mains &amp; Services</v>
      </c>
      <c r="E56" s="9"/>
      <c r="F56" s="9"/>
      <c r="G56" s="123"/>
      <c r="H56" s="166">
        <f>-SUM(H44:H55)</f>
        <v>-24.015679181922891</v>
      </c>
      <c r="I56" s="166">
        <f>-SUM(I44:I55)</f>
        <v>-25.202887812853373</v>
      </c>
      <c r="J56" s="166">
        <f>-SUM(J44:J55)</f>
        <v>-26.206118362502572</v>
      </c>
      <c r="K56" s="166">
        <f>-SUM(K44:K55)</f>
        <v>-27.165601903669668</v>
      </c>
      <c r="L56" s="166">
        <f>-SUM(L44:L55)</f>
        <v>-28.247361509170137</v>
      </c>
      <c r="M56" s="166">
        <f>IF(Input!M173&gt;0, -SUM(M44:M55), 0)</f>
        <v>0</v>
      </c>
      <c r="N56" s="166">
        <f>IF(Input!N173&gt;0, -SUM(N44:N55), 0)</f>
        <v>0</v>
      </c>
      <c r="O56" s="166">
        <f>IF(Input!O173&gt;0, -SUM(O44:O55), 0)</f>
        <v>0</v>
      </c>
      <c r="P56" s="166">
        <f>IF(Input!P173&gt;0, -SUM(P44:P55), 0)</f>
        <v>0</v>
      </c>
      <c r="Q56" s="166">
        <f>IF(Input!Q173&gt;0, -SUM(Q44:Q55), 0)</f>
        <v>0</v>
      </c>
      <c r="R56" s="64"/>
      <c r="S56" s="102"/>
      <c r="T56" s="102"/>
      <c r="U56" s="102"/>
      <c r="V56" s="102"/>
      <c r="W56" s="102"/>
      <c r="X56" s="102"/>
      <c r="Y56" s="102"/>
      <c r="Z56" s="102"/>
      <c r="AA56" s="102"/>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102"/>
      <c r="BE56" s="102"/>
      <c r="BF56" s="102"/>
      <c r="BG56" s="102"/>
      <c r="BH56" s="102"/>
      <c r="BI56" s="102"/>
      <c r="BJ56" s="102"/>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Meters</v>
      </c>
      <c r="D57" s="163"/>
      <c r="E57" s="34" t="s">
        <v>28</v>
      </c>
      <c r="F57" s="33"/>
      <c r="G57" s="176"/>
      <c r="H57" s="305">
        <v>11.926211899228663</v>
      </c>
      <c r="I57" s="305">
        <v>11.926211899228663</v>
      </c>
      <c r="J57" s="305">
        <v>11.926211899228663</v>
      </c>
      <c r="K57" s="305">
        <v>11.926211899228663</v>
      </c>
      <c r="L57" s="305">
        <v>11.926211899228663</v>
      </c>
      <c r="M57" s="305">
        <v>11.926211899228663</v>
      </c>
      <c r="N57" s="305">
        <v>11.926211899228663</v>
      </c>
      <c r="O57" s="305">
        <v>11.926211899228663</v>
      </c>
      <c r="P57" s="305">
        <v>0.27785068442449301</v>
      </c>
      <c r="Q57" s="305">
        <v>0</v>
      </c>
      <c r="R57" s="67"/>
      <c r="S57" s="103"/>
      <c r="T57" s="103"/>
      <c r="U57" s="103"/>
      <c r="V57" s="103"/>
      <c r="W57" s="103"/>
      <c r="X57" s="103"/>
      <c r="Y57" s="103"/>
      <c r="Z57" s="103"/>
      <c r="AA57" s="103"/>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103"/>
      <c r="BE57" s="103"/>
      <c r="BF57" s="103"/>
      <c r="BG57" s="103"/>
      <c r="BH57" s="103"/>
      <c r="BI57" s="103"/>
      <c r="BJ57" s="103"/>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655" t="s">
        <v>84</v>
      </c>
      <c r="F58" s="86">
        <v>0</v>
      </c>
      <c r="G58" s="123"/>
      <c r="H58" s="299"/>
      <c r="I58" s="299"/>
      <c r="J58" s="299"/>
      <c r="K58" s="299"/>
      <c r="L58" s="299"/>
      <c r="M58" s="299"/>
      <c r="N58" s="299"/>
      <c r="O58" s="299"/>
      <c r="P58" s="299"/>
      <c r="Q58" s="299"/>
      <c r="R58" s="68"/>
      <c r="S58" s="103"/>
      <c r="T58" s="103"/>
      <c r="U58" s="103"/>
      <c r="V58" s="103"/>
      <c r="W58" s="103"/>
      <c r="X58" s="103"/>
      <c r="Y58" s="103"/>
      <c r="Z58" s="103"/>
      <c r="AA58" s="103"/>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103"/>
      <c r="BE58" s="103"/>
      <c r="BF58" s="103"/>
      <c r="BG58" s="103"/>
      <c r="BH58" s="103"/>
      <c r="BI58" s="103"/>
      <c r="BJ58" s="103"/>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656"/>
      <c r="F59" s="86">
        <v>1</v>
      </c>
      <c r="G59" s="123"/>
      <c r="H59" s="300"/>
      <c r="I59" s="588">
        <v>0.55107233288351332</v>
      </c>
      <c r="J59" s="588">
        <v>0.55107233288351332</v>
      </c>
      <c r="K59" s="588">
        <v>0.55107233288351332</v>
      </c>
      <c r="L59" s="588">
        <v>0.55107233288351332</v>
      </c>
      <c r="M59" s="588">
        <v>0.55107233288351332</v>
      </c>
      <c r="N59" s="588">
        <v>0.55107233288351332</v>
      </c>
      <c r="O59" s="588">
        <v>0.55107233288351332</v>
      </c>
      <c r="P59" s="588">
        <v>0.55107233288351332</v>
      </c>
      <c r="Q59" s="588">
        <v>0.55107233288351332</v>
      </c>
      <c r="R59" s="68"/>
      <c r="S59" s="103"/>
      <c r="T59" s="103"/>
      <c r="U59" s="103"/>
      <c r="V59" s="103"/>
      <c r="W59" s="103"/>
      <c r="X59" s="103"/>
      <c r="Y59" s="103"/>
      <c r="Z59" s="103"/>
      <c r="AA59" s="103"/>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103"/>
      <c r="BE59" s="103"/>
      <c r="BF59" s="103"/>
      <c r="BG59" s="103"/>
      <c r="BH59" s="103"/>
      <c r="BI59" s="103"/>
      <c r="BJ59" s="103"/>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656"/>
      <c r="F60" s="86">
        <v>2</v>
      </c>
      <c r="G60" s="123"/>
      <c r="H60" s="301"/>
      <c r="I60" s="589"/>
      <c r="J60" s="588">
        <v>0.84474768042834691</v>
      </c>
      <c r="K60" s="588">
        <v>0.84474768042834691</v>
      </c>
      <c r="L60" s="588">
        <v>0.84474768042834691</v>
      </c>
      <c r="M60" s="588">
        <v>0.84474768042834691</v>
      </c>
      <c r="N60" s="588">
        <v>0.84474768042834691</v>
      </c>
      <c r="O60" s="588">
        <v>0.84474768042834691</v>
      </c>
      <c r="P60" s="588">
        <v>0.84474768042834691</v>
      </c>
      <c r="Q60" s="588">
        <v>0.84474768042834691</v>
      </c>
      <c r="R60" s="68"/>
      <c r="S60" s="103"/>
      <c r="T60" s="103"/>
      <c r="U60" s="103"/>
      <c r="V60" s="103"/>
      <c r="W60" s="103"/>
      <c r="X60" s="103"/>
      <c r="Y60" s="103"/>
      <c r="Z60" s="103"/>
      <c r="AA60" s="103"/>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103"/>
      <c r="BE60" s="103"/>
      <c r="BF60" s="103"/>
      <c r="BG60" s="103"/>
      <c r="BH60" s="103"/>
      <c r="BI60" s="103"/>
      <c r="BJ60" s="103"/>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656"/>
      <c r="F61" s="86">
        <v>3</v>
      </c>
      <c r="G61" s="123"/>
      <c r="H61" s="301"/>
      <c r="I61" s="590"/>
      <c r="J61" s="589"/>
      <c r="K61" s="588">
        <v>0.76921086858805554</v>
      </c>
      <c r="L61" s="588">
        <v>0.76921086858805554</v>
      </c>
      <c r="M61" s="588">
        <v>0.76921086858805554</v>
      </c>
      <c r="N61" s="588">
        <v>0.76921086858805554</v>
      </c>
      <c r="O61" s="588">
        <v>0.76921086858805554</v>
      </c>
      <c r="P61" s="588">
        <v>0.76921086858805554</v>
      </c>
      <c r="Q61" s="588">
        <v>0.76921086858805554</v>
      </c>
      <c r="R61" s="68"/>
      <c r="S61" s="103"/>
      <c r="T61" s="103"/>
      <c r="U61" s="103"/>
      <c r="V61" s="103"/>
      <c r="W61" s="103"/>
      <c r="X61" s="103"/>
      <c r="Y61" s="103"/>
      <c r="Z61" s="103"/>
      <c r="AA61" s="103"/>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103"/>
      <c r="BE61" s="103"/>
      <c r="BF61" s="103"/>
      <c r="BG61" s="103"/>
      <c r="BH61" s="103"/>
      <c r="BI61" s="103"/>
      <c r="BJ61" s="103"/>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656"/>
      <c r="F62" s="86">
        <v>4</v>
      </c>
      <c r="G62" s="123"/>
      <c r="H62" s="301"/>
      <c r="I62" s="590"/>
      <c r="J62" s="590"/>
      <c r="K62" s="589"/>
      <c r="L62" s="588">
        <v>1.1292647588510412</v>
      </c>
      <c r="M62" s="588">
        <v>1.1292647588510412</v>
      </c>
      <c r="N62" s="588">
        <v>1.1292647588510412</v>
      </c>
      <c r="O62" s="588">
        <v>1.1292647588510412</v>
      </c>
      <c r="P62" s="588">
        <v>1.1292647588510412</v>
      </c>
      <c r="Q62" s="588">
        <v>1.1292647588510412</v>
      </c>
      <c r="R62" s="68"/>
      <c r="S62" s="103"/>
      <c r="T62" s="103"/>
      <c r="U62" s="103"/>
      <c r="V62" s="103"/>
      <c r="W62" s="103"/>
      <c r="X62" s="103"/>
      <c r="Y62" s="103"/>
      <c r="Z62" s="103"/>
      <c r="AA62" s="103"/>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103"/>
      <c r="BE62" s="103"/>
      <c r="BF62" s="103"/>
      <c r="BG62" s="103"/>
      <c r="BH62" s="103"/>
      <c r="BI62" s="103"/>
      <c r="BJ62" s="103"/>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656"/>
      <c r="F63" s="86">
        <v>5</v>
      </c>
      <c r="G63" s="123"/>
      <c r="H63" s="301"/>
      <c r="I63" s="590"/>
      <c r="J63" s="590"/>
      <c r="K63" s="590"/>
      <c r="L63" s="589"/>
      <c r="M63" s="588">
        <v>0.70455891903056689</v>
      </c>
      <c r="N63" s="588">
        <v>0.70455891903056689</v>
      </c>
      <c r="O63" s="588">
        <v>0.70455891903056689</v>
      </c>
      <c r="P63" s="588">
        <v>0.70455891903056689</v>
      </c>
      <c r="Q63" s="588">
        <v>0.70455891903056689</v>
      </c>
      <c r="R63" s="68"/>
      <c r="S63" s="103"/>
      <c r="T63" s="103"/>
      <c r="U63" s="103"/>
      <c r="V63" s="103"/>
      <c r="W63" s="103"/>
      <c r="X63" s="103"/>
      <c r="Y63" s="103"/>
      <c r="Z63" s="103"/>
      <c r="AA63" s="103"/>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103"/>
      <c r="BE63" s="103"/>
      <c r="BF63" s="103"/>
      <c r="BG63" s="103"/>
      <c r="BH63" s="103"/>
      <c r="BI63" s="103"/>
      <c r="BJ63" s="103"/>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656"/>
      <c r="F64" s="86">
        <v>6</v>
      </c>
      <c r="G64" s="123"/>
      <c r="H64" s="148"/>
      <c r="I64" s="150"/>
      <c r="J64" s="150"/>
      <c r="K64" s="150"/>
      <c r="L64" s="150"/>
      <c r="M64" s="149"/>
      <c r="N64" s="68">
        <f>IF(A2stdlife="n/a","n/a",IF(N$3&gt;(A2stdlife+$F64),(Input!$M$144*(1+vanilla6)^0.5)-SUM($M64:M64),(Input!$M$144*(1+vanilla6)^0.5)/A2stdlife))</f>
        <v>0</v>
      </c>
      <c r="O64" s="68">
        <f>IF(A2stdlife="n/a","n/a",IF(O$3&gt;(A2stdlife+$F64),(Input!$M$144*(1+vanilla6)^0.5)-SUM($M64:N64),(Input!$M$144*(1+vanilla6)^0.5)/A2stdlife))</f>
        <v>0</v>
      </c>
      <c r="P64" s="68">
        <f>IF(A2stdlife="n/a","n/a",IF(P$3&gt;(A2stdlife+$F64),(Input!$M$144*(1+vanilla6)^0.5)-SUM($M64:O64),(Input!$M$144*(1+vanilla6)^0.5)/A2stdlife))</f>
        <v>0</v>
      </c>
      <c r="Q64" s="68">
        <f>IF(A2stdlife="n/a","n/a",IF(Q$3&gt;(A2stdlife+$F64),(Input!$M$144*(1+vanilla6)^0.5)-SUM($M64:P64),(Input!$M$144*(1+vanilla6)^0.5)/A2stdlife))</f>
        <v>0</v>
      </c>
      <c r="R64" s="68"/>
      <c r="S64" s="103"/>
      <c r="T64" s="103"/>
      <c r="U64" s="103"/>
      <c r="V64" s="103"/>
      <c r="W64" s="103"/>
      <c r="X64" s="103"/>
      <c r="Y64" s="103"/>
      <c r="Z64" s="103"/>
      <c r="AA64" s="103"/>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103"/>
      <c r="BE64" s="103"/>
      <c r="BF64" s="103"/>
      <c r="BG64" s="103"/>
      <c r="BH64" s="103"/>
      <c r="BI64" s="103"/>
      <c r="BJ64" s="103"/>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656"/>
      <c r="F65" s="86">
        <v>7</v>
      </c>
      <c r="G65" s="123"/>
      <c r="H65" s="148"/>
      <c r="I65" s="150"/>
      <c r="J65" s="150"/>
      <c r="K65" s="150"/>
      <c r="L65" s="150"/>
      <c r="M65" s="150"/>
      <c r="N65" s="149"/>
      <c r="O65" s="68">
        <f>IF(A2stdlife="n/a","n/a",IF(O$3&gt;(A2stdlife+$F65),(Input!$N$144*(1+vanilla7)^0.5)-SUM($N65:N65),(Input!$N$144*(1+vanilla7)^0.5)/A2stdlife))</f>
        <v>0</v>
      </c>
      <c r="P65" s="68">
        <f>IF(A2stdlife="n/a","n/a",IF(P$3&gt;(A2stdlife+$F65),(Input!$N$144*(1+vanilla7)^0.5)-SUM($N65:O65),(Input!$N$144*(1+vanilla7)^0.5)/A2stdlife))</f>
        <v>0</v>
      </c>
      <c r="Q65" s="68">
        <f>IF(A2stdlife="n/a","n/a",IF(Q$3&gt;(A2stdlife+$F65),(Input!$N$144*(1+vanilla7)^0.5)-SUM($N65:P65),(Input!$N$144*(1+vanilla7)^0.5)/A2stdlife))</f>
        <v>0</v>
      </c>
      <c r="R65" s="68"/>
      <c r="S65" s="103"/>
      <c r="T65" s="103"/>
      <c r="U65" s="103"/>
      <c r="V65" s="103"/>
      <c r="W65" s="103"/>
      <c r="X65" s="103"/>
      <c r="Y65" s="103"/>
      <c r="Z65" s="103"/>
      <c r="AA65" s="103"/>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103"/>
      <c r="BE65" s="103"/>
      <c r="BF65" s="103"/>
      <c r="BG65" s="103"/>
      <c r="BH65" s="103"/>
      <c r="BI65" s="103"/>
      <c r="BJ65" s="103"/>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656"/>
      <c r="F66" s="86">
        <v>8</v>
      </c>
      <c r="G66" s="123"/>
      <c r="H66" s="148"/>
      <c r="I66" s="150"/>
      <c r="J66" s="150"/>
      <c r="K66" s="150"/>
      <c r="L66" s="150"/>
      <c r="M66" s="150"/>
      <c r="N66" s="150"/>
      <c r="O66" s="149"/>
      <c r="P66" s="68">
        <f>IF(A2stdlife="n/a","n/a",IF(P$3&gt;(A2stdlife+$F66),(Input!$O$144*(1+vanilla8)^0.5)-SUM($O66:O66),(Input!$O$144*(1+vanilla8)^0.5)/A2stdlife))</f>
        <v>0</v>
      </c>
      <c r="Q66" s="68">
        <f>IF(A2stdlife="n/a","n/a",IF(Q$3&gt;(A2stdlife+$F66),(Input!$O$144*(1+vanilla8)^0.5)-SUM($O66:P66),(Input!$O$144*(1+vanilla8)^0.5)/A2stdlife))</f>
        <v>0</v>
      </c>
      <c r="R66" s="68"/>
      <c r="S66" s="103"/>
      <c r="T66" s="103"/>
      <c r="U66" s="103"/>
      <c r="V66" s="103"/>
      <c r="W66" s="103"/>
      <c r="X66" s="103"/>
      <c r="Y66" s="103"/>
      <c r="Z66" s="103"/>
      <c r="AA66" s="103"/>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103"/>
      <c r="BE66" s="103"/>
      <c r="BF66" s="103"/>
      <c r="BG66" s="103"/>
      <c r="BH66" s="103"/>
      <c r="BI66" s="103"/>
      <c r="BJ66" s="103"/>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656"/>
      <c r="F67" s="86">
        <v>9</v>
      </c>
      <c r="G67" s="123"/>
      <c r="H67" s="148"/>
      <c r="I67" s="150"/>
      <c r="J67" s="150"/>
      <c r="K67" s="150"/>
      <c r="L67" s="150"/>
      <c r="M67" s="150"/>
      <c r="N67" s="150"/>
      <c r="O67" s="150"/>
      <c r="P67" s="149"/>
      <c r="Q67" s="68">
        <f>IF(A2stdlife="n/a","n/a",IF(Q$3&gt;(A2stdlife+$F67),(Input!$P$144*(1+vanilla9)^0.5)-SUM($P67:P67),(Input!$P$144*(1+vanilla9)^0.5)/A2stdlife))</f>
        <v>0</v>
      </c>
      <c r="R67" s="68"/>
      <c r="S67" s="103"/>
      <c r="T67" s="103"/>
      <c r="U67" s="103"/>
      <c r="V67" s="103"/>
      <c r="W67" s="103"/>
      <c r="X67" s="103"/>
      <c r="Y67" s="103"/>
      <c r="Z67" s="103"/>
      <c r="AA67" s="103"/>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103"/>
      <c r="BE67" s="103"/>
      <c r="BF67" s="103"/>
      <c r="BG67" s="103"/>
      <c r="BH67" s="103"/>
      <c r="BI67" s="103"/>
      <c r="BJ67" s="103"/>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656"/>
      <c r="F68" s="87">
        <v>10</v>
      </c>
      <c r="G68" s="123"/>
      <c r="H68" s="148"/>
      <c r="I68" s="150"/>
      <c r="J68" s="150"/>
      <c r="K68" s="150"/>
      <c r="L68" s="150"/>
      <c r="M68" s="150"/>
      <c r="N68" s="150"/>
      <c r="O68" s="150"/>
      <c r="P68" s="150"/>
      <c r="Q68" s="149"/>
      <c r="R68" s="68"/>
      <c r="S68" s="103"/>
      <c r="T68" s="103"/>
      <c r="U68" s="103"/>
      <c r="V68" s="103"/>
      <c r="W68" s="103"/>
      <c r="X68" s="103"/>
      <c r="Y68" s="103"/>
      <c r="Z68" s="103"/>
      <c r="AA68" s="103"/>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103"/>
      <c r="BE68" s="103"/>
      <c r="BF68" s="103"/>
      <c r="BG68" s="103"/>
      <c r="BH68" s="103"/>
      <c r="BI68" s="103"/>
      <c r="BJ68" s="103"/>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Meters</v>
      </c>
      <c r="E69" s="9"/>
      <c r="F69" s="9"/>
      <c r="G69" s="123"/>
      <c r="H69" s="68">
        <f>-SUM(H57:H68)</f>
        <v>-11.926211899228663</v>
      </c>
      <c r="I69" s="68">
        <f>-SUM(I57:I68)</f>
        <v>-12.477284232112178</v>
      </c>
      <c r="J69" s="68">
        <f>-SUM(J57:J68)</f>
        <v>-13.322031912540524</v>
      </c>
      <c r="K69" s="68">
        <f>-SUM(K57:K68)</f>
        <v>-14.09124278112858</v>
      </c>
      <c r="L69" s="68">
        <f>-SUM(L57:L68)</f>
        <v>-15.220507539979621</v>
      </c>
      <c r="M69" s="68">
        <f>IF(Input!M173&gt;0, -SUM(M57:M68), 0)</f>
        <v>0</v>
      </c>
      <c r="N69" s="68">
        <f>IF(Input!N173&gt;0, -SUM(N57:N68), 0)</f>
        <v>0</v>
      </c>
      <c r="O69" s="68">
        <f>IF(Input!O173&gt;0, -SUM(O57:O68), 0)</f>
        <v>0</v>
      </c>
      <c r="P69" s="68">
        <f>IF(Input!P173&gt;0, -SUM(P57:P68), 0)</f>
        <v>0</v>
      </c>
      <c r="Q69" s="68">
        <f>IF(Input!Q173&gt;0, -SUM(Q57:Q68), 0)</f>
        <v>0</v>
      </c>
      <c r="R69" s="65"/>
      <c r="S69" s="104"/>
      <c r="T69" s="104"/>
      <c r="U69" s="104"/>
      <c r="V69" s="104"/>
      <c r="W69" s="104"/>
      <c r="X69" s="104"/>
      <c r="Y69" s="104"/>
      <c r="Z69" s="104"/>
      <c r="AA69" s="104"/>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104"/>
      <c r="BE69" s="104"/>
      <c r="BF69" s="104"/>
      <c r="BG69" s="104"/>
      <c r="BH69" s="104"/>
      <c r="BI69" s="104"/>
      <c r="BJ69" s="104"/>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Buildings</v>
      </c>
      <c r="D70" s="163"/>
      <c r="E70" s="34" t="s">
        <v>28</v>
      </c>
      <c r="F70" s="33"/>
      <c r="G70" s="176"/>
      <c r="H70" s="305">
        <v>0.42105771561226402</v>
      </c>
      <c r="I70" s="305">
        <v>0.42105771561226402</v>
      </c>
      <c r="J70" s="305">
        <v>0.42105771561226402</v>
      </c>
      <c r="K70" s="305">
        <v>0.42105771561226402</v>
      </c>
      <c r="L70" s="305">
        <v>0.42105771561226402</v>
      </c>
      <c r="M70" s="305">
        <v>0.42105771561226402</v>
      </c>
      <c r="N70" s="305">
        <v>0.42105771561226402</v>
      </c>
      <c r="O70" s="305">
        <v>0.42105771561226402</v>
      </c>
      <c r="P70" s="305">
        <v>0.42105771561226402</v>
      </c>
      <c r="Q70" s="305">
        <v>0.42105771561226402</v>
      </c>
      <c r="R70" s="67"/>
      <c r="S70" s="103"/>
      <c r="T70" s="103"/>
      <c r="U70" s="103"/>
      <c r="V70" s="103"/>
      <c r="W70" s="103"/>
      <c r="X70" s="103"/>
      <c r="Y70" s="103"/>
      <c r="Z70" s="103"/>
      <c r="AA70" s="103"/>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103"/>
      <c r="BE70" s="103"/>
      <c r="BF70" s="103"/>
      <c r="BG70" s="103"/>
      <c r="BH70" s="103"/>
      <c r="BI70" s="103"/>
      <c r="BJ70" s="103"/>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655" t="s">
        <v>84</v>
      </c>
      <c r="F71" s="86">
        <v>0</v>
      </c>
      <c r="G71" s="123"/>
      <c r="H71" s="299"/>
      <c r="I71" s="299"/>
      <c r="J71" s="299"/>
      <c r="K71" s="299"/>
      <c r="L71" s="299"/>
      <c r="M71" s="299"/>
      <c r="N71" s="299"/>
      <c r="O71" s="299"/>
      <c r="P71" s="299"/>
      <c r="Q71" s="299"/>
      <c r="R71" s="68"/>
      <c r="S71" s="103"/>
      <c r="T71" s="103"/>
      <c r="U71" s="103"/>
      <c r="V71" s="103"/>
      <c r="W71" s="103"/>
      <c r="X71" s="103"/>
      <c r="Y71" s="103"/>
      <c r="Z71" s="103"/>
      <c r="AA71" s="103"/>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103"/>
      <c r="BE71" s="103"/>
      <c r="BF71" s="103"/>
      <c r="BG71" s="103"/>
      <c r="BH71" s="103"/>
      <c r="BI71" s="103"/>
      <c r="BJ71" s="103"/>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656"/>
      <c r="F72" s="86">
        <v>1</v>
      </c>
      <c r="G72" s="123"/>
      <c r="H72" s="300"/>
      <c r="I72" s="306">
        <v>0</v>
      </c>
      <c r="J72" s="306">
        <v>0</v>
      </c>
      <c r="K72" s="306">
        <v>0</v>
      </c>
      <c r="L72" s="306">
        <v>0</v>
      </c>
      <c r="M72" s="306">
        <v>0</v>
      </c>
      <c r="N72" s="306">
        <v>0</v>
      </c>
      <c r="O72" s="306">
        <v>0</v>
      </c>
      <c r="P72" s="306">
        <v>0</v>
      </c>
      <c r="Q72" s="306">
        <v>0</v>
      </c>
      <c r="R72" s="68"/>
      <c r="S72" s="103"/>
      <c r="T72" s="103"/>
      <c r="U72" s="103"/>
      <c r="V72" s="103"/>
      <c r="W72" s="103"/>
      <c r="X72" s="103"/>
      <c r="Y72" s="103"/>
      <c r="Z72" s="103"/>
      <c r="AA72" s="103"/>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103"/>
      <c r="BE72" s="103"/>
      <c r="BF72" s="103"/>
      <c r="BG72" s="103"/>
      <c r="BH72" s="103"/>
      <c r="BI72" s="103"/>
      <c r="BJ72" s="103"/>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656"/>
      <c r="F73" s="86">
        <v>2</v>
      </c>
      <c r="G73" s="123"/>
      <c r="H73" s="301"/>
      <c r="I73" s="302"/>
      <c r="J73" s="306">
        <v>0</v>
      </c>
      <c r="K73" s="306">
        <v>0</v>
      </c>
      <c r="L73" s="306">
        <v>0</v>
      </c>
      <c r="M73" s="306">
        <v>0</v>
      </c>
      <c r="N73" s="306">
        <v>0</v>
      </c>
      <c r="O73" s="306">
        <v>0</v>
      </c>
      <c r="P73" s="306">
        <v>0</v>
      </c>
      <c r="Q73" s="306">
        <v>0</v>
      </c>
      <c r="R73" s="68"/>
      <c r="S73" s="103"/>
      <c r="T73" s="103"/>
      <c r="U73" s="103"/>
      <c r="V73" s="103"/>
      <c r="W73" s="103"/>
      <c r="X73" s="103"/>
      <c r="Y73" s="103"/>
      <c r="Z73" s="103"/>
      <c r="AA73" s="103"/>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103"/>
      <c r="BE73" s="103"/>
      <c r="BF73" s="103"/>
      <c r="BG73" s="103"/>
      <c r="BH73" s="103"/>
      <c r="BI73" s="103"/>
      <c r="BJ73" s="103"/>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656"/>
      <c r="F74" s="86">
        <v>3</v>
      </c>
      <c r="G74" s="123"/>
      <c r="H74" s="301"/>
      <c r="I74" s="303"/>
      <c r="J74" s="302"/>
      <c r="K74" s="306">
        <v>0</v>
      </c>
      <c r="L74" s="306">
        <v>0</v>
      </c>
      <c r="M74" s="306">
        <v>0</v>
      </c>
      <c r="N74" s="306">
        <v>0</v>
      </c>
      <c r="O74" s="306">
        <v>0</v>
      </c>
      <c r="P74" s="306">
        <v>0</v>
      </c>
      <c r="Q74" s="306">
        <v>0</v>
      </c>
      <c r="R74" s="68"/>
      <c r="S74" s="103"/>
      <c r="T74" s="103"/>
      <c r="U74" s="103"/>
      <c r="V74" s="103"/>
      <c r="W74" s="103"/>
      <c r="X74" s="103"/>
      <c r="Y74" s="103"/>
      <c r="Z74" s="103"/>
      <c r="AA74" s="103"/>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103"/>
      <c r="BE74" s="103"/>
      <c r="BF74" s="103"/>
      <c r="BG74" s="103"/>
      <c r="BH74" s="103"/>
      <c r="BI74" s="103"/>
      <c r="BJ74" s="103"/>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656"/>
      <c r="F75" s="86">
        <v>4</v>
      </c>
      <c r="G75" s="123"/>
      <c r="H75" s="301"/>
      <c r="I75" s="303"/>
      <c r="J75" s="303"/>
      <c r="K75" s="302"/>
      <c r="L75" s="306">
        <v>0</v>
      </c>
      <c r="M75" s="306">
        <v>0</v>
      </c>
      <c r="N75" s="306">
        <v>0</v>
      </c>
      <c r="O75" s="306">
        <v>0</v>
      </c>
      <c r="P75" s="306">
        <v>0</v>
      </c>
      <c r="Q75" s="306">
        <v>0</v>
      </c>
      <c r="R75" s="68"/>
      <c r="S75" s="103"/>
      <c r="T75" s="103"/>
      <c r="U75" s="103"/>
      <c r="V75" s="103"/>
      <c r="W75" s="103"/>
      <c r="X75" s="103"/>
      <c r="Y75" s="103"/>
      <c r="Z75" s="103"/>
      <c r="AA75" s="103"/>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103"/>
      <c r="BE75" s="103"/>
      <c r="BF75" s="103"/>
      <c r="BG75" s="103"/>
      <c r="BH75" s="103"/>
      <c r="BI75" s="103"/>
      <c r="BJ75" s="103"/>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656"/>
      <c r="F76" s="86">
        <v>5</v>
      </c>
      <c r="G76" s="123"/>
      <c r="H76" s="301"/>
      <c r="I76" s="303"/>
      <c r="J76" s="303"/>
      <c r="K76" s="303"/>
      <c r="L76" s="302"/>
      <c r="M76" s="306">
        <v>0</v>
      </c>
      <c r="N76" s="306">
        <v>0</v>
      </c>
      <c r="O76" s="306">
        <v>0</v>
      </c>
      <c r="P76" s="306">
        <v>0</v>
      </c>
      <c r="Q76" s="306">
        <v>0</v>
      </c>
      <c r="R76" s="68"/>
      <c r="S76" s="103"/>
      <c r="T76" s="103"/>
      <c r="U76" s="103"/>
      <c r="V76" s="103"/>
      <c r="W76" s="103"/>
      <c r="X76" s="103"/>
      <c r="Y76" s="103"/>
      <c r="Z76" s="103"/>
      <c r="AA76" s="103"/>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103"/>
      <c r="BE76" s="103"/>
      <c r="BF76" s="103"/>
      <c r="BG76" s="103"/>
      <c r="BH76" s="103"/>
      <c r="BI76" s="103"/>
      <c r="BJ76" s="103"/>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656"/>
      <c r="F77" s="86">
        <v>6</v>
      </c>
      <c r="G77" s="123"/>
      <c r="H77" s="148"/>
      <c r="I77" s="150"/>
      <c r="J77" s="150"/>
      <c r="K77" s="150"/>
      <c r="L77" s="150"/>
      <c r="M77" s="149"/>
      <c r="N77" s="68">
        <f>IF(A3stdlife="n/a","n/a",IF(N$3&gt;(A3stdlife+$F77),(Input!$M$145*(1+vanilla6)^0.5)-SUM($M77:M77),(Input!$M$145*(1+vanilla6)^0.5)/A3stdlife))</f>
        <v>0</v>
      </c>
      <c r="O77" s="68">
        <f>IF(A3stdlife="n/a","n/a",IF(O$3&gt;(A3stdlife+$F77),(Input!$M$145*(1+vanilla6)^0.5)-SUM($M77:N77),(Input!$M$145*(1+vanilla6)^0.5)/A3stdlife))</f>
        <v>0</v>
      </c>
      <c r="P77" s="68">
        <f>IF(A3stdlife="n/a","n/a",IF(P$3&gt;(A3stdlife+$F77),(Input!$M$145*(1+vanilla6)^0.5)-SUM($M77:O77),(Input!$M$145*(1+vanilla6)^0.5)/A3stdlife))</f>
        <v>0</v>
      </c>
      <c r="Q77" s="68">
        <f>IF(A3stdlife="n/a","n/a",IF(Q$3&gt;(A3stdlife+$F77),(Input!$M$145*(1+vanilla6)^0.5)-SUM($M77:P77),(Input!$M$145*(1+vanilla6)^0.5)/A3stdlife))</f>
        <v>0</v>
      </c>
      <c r="R77" s="68"/>
      <c r="S77" s="103"/>
      <c r="T77" s="103"/>
      <c r="U77" s="103"/>
      <c r="V77" s="103"/>
      <c r="W77" s="103"/>
      <c r="X77" s="103"/>
      <c r="Y77" s="103"/>
      <c r="Z77" s="103"/>
      <c r="AA77" s="103"/>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103"/>
      <c r="BE77" s="103"/>
      <c r="BF77" s="103"/>
      <c r="BG77" s="103"/>
      <c r="BH77" s="103"/>
      <c r="BI77" s="103"/>
      <c r="BJ77" s="103"/>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656"/>
      <c r="F78" s="86">
        <v>7</v>
      </c>
      <c r="G78" s="123"/>
      <c r="H78" s="148"/>
      <c r="I78" s="150"/>
      <c r="J78" s="150"/>
      <c r="K78" s="150"/>
      <c r="L78" s="150"/>
      <c r="M78" s="150"/>
      <c r="N78" s="149"/>
      <c r="O78" s="68">
        <f>IF(A3stdlife="n/a","n/a",IF(O$3&gt;(A3stdlife+$F78),(Input!$N$145*(1+vanilla7)^0.5)-SUM($N78:N78),(Input!$N$145*(1+vanilla7)^0.5)/A3stdlife))</f>
        <v>0</v>
      </c>
      <c r="P78" s="68">
        <f>IF(A3stdlife="n/a","n/a",IF(P$3&gt;(A3stdlife+$F78),(Input!$N$145*(1+vanilla7)^0.5)-SUM($N78:O78),(Input!$N$145*(1+vanilla7)^0.5)/A3stdlife))</f>
        <v>0</v>
      </c>
      <c r="Q78" s="68">
        <f>IF(A3stdlife="n/a","n/a",IF(Q$3&gt;(A3stdlife+$F78),(Input!$N$145*(1+vanilla7)^0.5)-SUM($N78:P78),(Input!$N$145*(1+vanilla7)^0.5)/A3stdlife))</f>
        <v>0</v>
      </c>
      <c r="R78" s="68"/>
      <c r="S78" s="103"/>
      <c r="T78" s="103"/>
      <c r="U78" s="103"/>
      <c r="V78" s="103"/>
      <c r="W78" s="103"/>
      <c r="X78" s="103"/>
      <c r="Y78" s="103"/>
      <c r="Z78" s="103"/>
      <c r="AA78" s="103"/>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103"/>
      <c r="BE78" s="103"/>
      <c r="BF78" s="103"/>
      <c r="BG78" s="103"/>
      <c r="BH78" s="103"/>
      <c r="BI78" s="103"/>
      <c r="BJ78" s="103"/>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656"/>
      <c r="F79" s="86">
        <v>8</v>
      </c>
      <c r="G79" s="123"/>
      <c r="H79" s="148"/>
      <c r="I79" s="150"/>
      <c r="J79" s="150"/>
      <c r="K79" s="150"/>
      <c r="L79" s="150"/>
      <c r="M79" s="150"/>
      <c r="N79" s="150"/>
      <c r="O79" s="149"/>
      <c r="P79" s="68">
        <f>IF(A3stdlife="n/a","n/a",IF(P$3&gt;(A3stdlife+$F79),(Input!$O$145*(1+vanilla8)^0.5)-SUM($O79:O79),(Input!$O$145*(1+vanilla8)^0.5)/A3stdlife))</f>
        <v>0</v>
      </c>
      <c r="Q79" s="68">
        <f>IF(A3stdlife="n/a","n/a",IF(Q$3&gt;(A3stdlife+$F79),(Input!$O$145*(1+vanilla8)^0.5)-SUM($O79:P79),(Input!$O$145*(1+vanilla8)^0.5)/A3stdlife))</f>
        <v>0</v>
      </c>
      <c r="R79" s="68"/>
      <c r="S79" s="103"/>
      <c r="T79" s="103"/>
      <c r="U79" s="103"/>
      <c r="V79" s="103"/>
      <c r="W79" s="103"/>
      <c r="X79" s="103"/>
      <c r="Y79" s="103"/>
      <c r="Z79" s="103"/>
      <c r="AA79" s="103"/>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103"/>
      <c r="BE79" s="103"/>
      <c r="BF79" s="103"/>
      <c r="BG79" s="103"/>
      <c r="BH79" s="103"/>
      <c r="BI79" s="103"/>
      <c r="BJ79" s="103"/>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656"/>
      <c r="F80" s="86">
        <v>9</v>
      </c>
      <c r="G80" s="123"/>
      <c r="H80" s="148"/>
      <c r="I80" s="150"/>
      <c r="J80" s="150"/>
      <c r="K80" s="150"/>
      <c r="L80" s="150"/>
      <c r="M80" s="150"/>
      <c r="N80" s="150"/>
      <c r="O80" s="150"/>
      <c r="P80" s="149"/>
      <c r="Q80" s="68">
        <f>IF(A3stdlife="n/a","n/a",IF(Q$3&gt;(A3stdlife+$F80),(Input!$P$145*(1+vanilla9)^0.5)-SUM($P80:P80),(Input!$P$145*(1+vanilla9)^0.5)/A3stdlife))</f>
        <v>0</v>
      </c>
      <c r="R80" s="68"/>
      <c r="S80" s="103"/>
      <c r="T80" s="103"/>
      <c r="U80" s="103"/>
      <c r="V80" s="103"/>
      <c r="W80" s="103"/>
      <c r="X80" s="103"/>
      <c r="Y80" s="103"/>
      <c r="Z80" s="103"/>
      <c r="AA80" s="103"/>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103"/>
      <c r="BE80" s="103"/>
      <c r="BF80" s="103"/>
      <c r="BG80" s="103"/>
      <c r="BH80" s="103"/>
      <c r="BI80" s="103"/>
      <c r="BJ80" s="103"/>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656"/>
      <c r="F81" s="87">
        <v>10</v>
      </c>
      <c r="G81" s="123"/>
      <c r="H81" s="148"/>
      <c r="I81" s="150"/>
      <c r="J81" s="150"/>
      <c r="K81" s="150"/>
      <c r="L81" s="150"/>
      <c r="M81" s="150"/>
      <c r="N81" s="150"/>
      <c r="O81" s="150"/>
      <c r="P81" s="150"/>
      <c r="Q81" s="149"/>
      <c r="R81" s="68"/>
      <c r="S81" s="103"/>
      <c r="T81" s="103"/>
      <c r="U81" s="103"/>
      <c r="V81" s="103"/>
      <c r="W81" s="103"/>
      <c r="X81" s="103"/>
      <c r="Y81" s="103"/>
      <c r="Z81" s="103"/>
      <c r="AA81" s="103"/>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103"/>
      <c r="BE81" s="103"/>
      <c r="BF81" s="103"/>
      <c r="BG81" s="103"/>
      <c r="BH81" s="103"/>
      <c r="BI81" s="103"/>
      <c r="BJ81" s="103"/>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Buildings</v>
      </c>
      <c r="E82" s="9"/>
      <c r="F82" s="9"/>
      <c r="G82" s="123"/>
      <c r="H82" s="167">
        <f>-SUM(H70:H81)</f>
        <v>-0.42105771561226402</v>
      </c>
      <c r="I82" s="167">
        <f>-SUM(I70:I81)</f>
        <v>-0.42105771561226402</v>
      </c>
      <c r="J82" s="167">
        <f>-SUM(J70:J81)</f>
        <v>-0.42105771561226402</v>
      </c>
      <c r="K82" s="167">
        <f>-SUM(K70:K81)</f>
        <v>-0.42105771561226402</v>
      </c>
      <c r="L82" s="167">
        <f>-SUM(L70:L81)</f>
        <v>-0.42105771561226402</v>
      </c>
      <c r="M82" s="167">
        <f>IF(Input!M173&gt;0, -SUM(M70:M81), 0)</f>
        <v>0</v>
      </c>
      <c r="N82" s="167">
        <f>IF(Input!N173&gt;0, -SUM(N70:N81), 0)</f>
        <v>0</v>
      </c>
      <c r="O82" s="167">
        <f>IF(Input!O173&gt;0, -SUM(O70:O81), 0)</f>
        <v>0</v>
      </c>
      <c r="P82" s="167">
        <f>IF(Input!P173&gt;0, -SUM(P70:P81), 0)</f>
        <v>0</v>
      </c>
      <c r="Q82" s="167">
        <f>IF(Input!Q173&gt;0, -SUM(Q70:Q81), 0)</f>
        <v>0</v>
      </c>
      <c r="R82" s="66"/>
      <c r="S82" s="105"/>
      <c r="T82" s="105"/>
      <c r="U82" s="105"/>
      <c r="V82" s="105"/>
      <c r="W82" s="105"/>
      <c r="X82" s="105"/>
      <c r="Y82" s="105"/>
      <c r="Z82" s="105"/>
      <c r="AA82" s="105"/>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SCADA</v>
      </c>
      <c r="D83" s="163"/>
      <c r="E83" s="34" t="s">
        <v>28</v>
      </c>
      <c r="F83" s="33"/>
      <c r="G83" s="176"/>
      <c r="H83" s="305">
        <v>0.11855054020521991</v>
      </c>
      <c r="I83" s="305">
        <v>0.11855054020521991</v>
      </c>
      <c r="J83" s="305">
        <v>0.11855054020521991</v>
      </c>
      <c r="K83" s="305">
        <v>0.11855054020521991</v>
      </c>
      <c r="L83" s="305">
        <v>0.11855054020521991</v>
      </c>
      <c r="M83" s="305">
        <v>0.11855054020521991</v>
      </c>
      <c r="N83" s="305">
        <v>0.11855054020521991</v>
      </c>
      <c r="O83" s="305">
        <v>0.10897769030520887</v>
      </c>
      <c r="P83" s="305">
        <v>0</v>
      </c>
      <c r="Q83" s="305">
        <v>0</v>
      </c>
      <c r="R83" s="67"/>
      <c r="S83" s="103"/>
      <c r="T83" s="103"/>
      <c r="U83" s="103"/>
      <c r="V83" s="103"/>
      <c r="W83" s="103"/>
      <c r="X83" s="103"/>
      <c r="Y83" s="103"/>
      <c r="Z83" s="103"/>
      <c r="AA83" s="103"/>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103"/>
      <c r="BE83" s="103"/>
      <c r="BF83" s="103"/>
      <c r="BG83" s="103"/>
      <c r="BH83" s="103"/>
      <c r="BI83" s="103"/>
      <c r="BJ83" s="103"/>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655" t="s">
        <v>84</v>
      </c>
      <c r="F84" s="86">
        <v>0</v>
      </c>
      <c r="G84" s="123"/>
      <c r="H84" s="299"/>
      <c r="I84" s="299"/>
      <c r="J84" s="299"/>
      <c r="K84" s="299"/>
      <c r="L84" s="299"/>
      <c r="M84" s="299"/>
      <c r="N84" s="299"/>
      <c r="O84" s="299"/>
      <c r="P84" s="299"/>
      <c r="Q84" s="299"/>
      <c r="R84" s="68"/>
      <c r="S84" s="103"/>
      <c r="T84" s="103"/>
      <c r="U84" s="103"/>
      <c r="V84" s="103"/>
      <c r="W84" s="103"/>
      <c r="X84" s="103"/>
      <c r="Y84" s="103"/>
      <c r="Z84" s="103"/>
      <c r="AA84" s="103"/>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103"/>
      <c r="BE84" s="103"/>
      <c r="BF84" s="103"/>
      <c r="BG84" s="103"/>
      <c r="BH84" s="103"/>
      <c r="BI84" s="103"/>
      <c r="BJ84" s="103"/>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656"/>
      <c r="F85" s="86">
        <v>1</v>
      </c>
      <c r="G85" s="123"/>
      <c r="H85" s="300"/>
      <c r="I85" s="588">
        <v>1.4960153459427226E-2</v>
      </c>
      <c r="J85" s="588">
        <v>1.4960153459427226E-2</v>
      </c>
      <c r="K85" s="588">
        <v>1.4960153459427226E-2</v>
      </c>
      <c r="L85" s="588">
        <v>1.4960153459427226E-2</v>
      </c>
      <c r="M85" s="588">
        <v>1.4960153459427226E-2</v>
      </c>
      <c r="N85" s="588">
        <v>1.4960153459427226E-2</v>
      </c>
      <c r="O85" s="588">
        <v>1.4960153459427226E-2</v>
      </c>
      <c r="P85" s="588">
        <v>1.4960153459427226E-2</v>
      </c>
      <c r="Q85" s="588">
        <v>1.4960153459427226E-2</v>
      </c>
      <c r="R85" s="68"/>
      <c r="S85" s="103"/>
      <c r="T85" s="103"/>
      <c r="U85" s="103"/>
      <c r="V85" s="103"/>
      <c r="W85" s="103"/>
      <c r="X85" s="103"/>
      <c r="Y85" s="103"/>
      <c r="Z85" s="103"/>
      <c r="AA85" s="103"/>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103"/>
      <c r="BE85" s="103"/>
      <c r="BF85" s="103"/>
      <c r="BG85" s="103"/>
      <c r="BH85" s="103"/>
      <c r="BI85" s="103"/>
      <c r="BJ85" s="103"/>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656"/>
      <c r="F86" s="86">
        <v>2</v>
      </c>
      <c r="G86" s="123"/>
      <c r="H86" s="301"/>
      <c r="I86" s="589"/>
      <c r="J86" s="588">
        <v>1.6429799915386702E-2</v>
      </c>
      <c r="K86" s="588">
        <v>1.6429799915386702E-2</v>
      </c>
      <c r="L86" s="588">
        <v>1.6429799915386702E-2</v>
      </c>
      <c r="M86" s="588">
        <v>1.6429799915386702E-2</v>
      </c>
      <c r="N86" s="588">
        <v>1.6429799915386702E-2</v>
      </c>
      <c r="O86" s="588">
        <v>1.6429799915386702E-2</v>
      </c>
      <c r="P86" s="588">
        <v>1.6429799915386702E-2</v>
      </c>
      <c r="Q86" s="588">
        <v>1.6429799915386702E-2</v>
      </c>
      <c r="R86" s="68"/>
      <c r="S86" s="103"/>
      <c r="T86" s="103"/>
      <c r="U86" s="103"/>
      <c r="V86" s="103"/>
      <c r="W86" s="103"/>
      <c r="X86" s="103"/>
      <c r="Y86" s="103"/>
      <c r="Z86" s="103"/>
      <c r="AA86" s="103"/>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103"/>
      <c r="BE86" s="103"/>
      <c r="BF86" s="103"/>
      <c r="BG86" s="103"/>
      <c r="BH86" s="103"/>
      <c r="BI86" s="103"/>
      <c r="BJ86" s="103"/>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656"/>
      <c r="F87" s="86">
        <v>3</v>
      </c>
      <c r="G87" s="123"/>
      <c r="H87" s="301"/>
      <c r="I87" s="590"/>
      <c r="J87" s="589"/>
      <c r="K87" s="588">
        <v>1.6903179981973326E-2</v>
      </c>
      <c r="L87" s="588">
        <v>1.6903179981973326E-2</v>
      </c>
      <c r="M87" s="588">
        <v>1.6903179981973326E-2</v>
      </c>
      <c r="N87" s="588">
        <v>1.6903179981973326E-2</v>
      </c>
      <c r="O87" s="588">
        <v>1.6903179981973326E-2</v>
      </c>
      <c r="P87" s="588">
        <v>1.6903179981973326E-2</v>
      </c>
      <c r="Q87" s="588">
        <v>1.6903179981973326E-2</v>
      </c>
      <c r="R87" s="68"/>
      <c r="S87" s="103"/>
      <c r="T87" s="103"/>
      <c r="U87" s="103"/>
      <c r="V87" s="103"/>
      <c r="W87" s="103"/>
      <c r="X87" s="103"/>
      <c r="Y87" s="103"/>
      <c r="Z87" s="103"/>
      <c r="AA87" s="103"/>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103"/>
      <c r="BE87" s="103"/>
      <c r="BF87" s="103"/>
      <c r="BG87" s="103"/>
      <c r="BH87" s="103"/>
      <c r="BI87" s="103"/>
      <c r="BJ87" s="103"/>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656"/>
      <c r="F88" s="86">
        <v>4</v>
      </c>
      <c r="G88" s="123"/>
      <c r="H88" s="301"/>
      <c r="I88" s="590"/>
      <c r="J88" s="590"/>
      <c r="K88" s="589"/>
      <c r="L88" s="588">
        <v>1.7149105661701119E-2</v>
      </c>
      <c r="M88" s="588">
        <v>1.7149105661701119E-2</v>
      </c>
      <c r="N88" s="588">
        <v>1.7149105661701119E-2</v>
      </c>
      <c r="O88" s="588">
        <v>1.7149105661701119E-2</v>
      </c>
      <c r="P88" s="588">
        <v>1.7149105661701119E-2</v>
      </c>
      <c r="Q88" s="588">
        <v>1.7149105661701119E-2</v>
      </c>
      <c r="R88" s="68"/>
      <c r="S88" s="103"/>
      <c r="T88" s="103"/>
      <c r="U88" s="103"/>
      <c r="V88" s="103"/>
      <c r="W88" s="103"/>
      <c r="X88" s="103"/>
      <c r="Y88" s="103"/>
      <c r="Z88" s="103"/>
      <c r="AA88" s="103"/>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103"/>
      <c r="BE88" s="103"/>
      <c r="BF88" s="103"/>
      <c r="BG88" s="103"/>
      <c r="BH88" s="103"/>
      <c r="BI88" s="103"/>
      <c r="BJ88" s="103"/>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656"/>
      <c r="F89" s="86">
        <v>5</v>
      </c>
      <c r="G89" s="123"/>
      <c r="H89" s="301"/>
      <c r="I89" s="590"/>
      <c r="J89" s="590"/>
      <c r="K89" s="590"/>
      <c r="L89" s="589"/>
      <c r="M89" s="588">
        <v>1.7246179768130417E-2</v>
      </c>
      <c r="N89" s="588">
        <v>1.7246179768130417E-2</v>
      </c>
      <c r="O89" s="588">
        <v>1.7246179768130417E-2</v>
      </c>
      <c r="P89" s="588">
        <v>1.7246179768130417E-2</v>
      </c>
      <c r="Q89" s="588">
        <v>1.7246179768130417E-2</v>
      </c>
      <c r="R89" s="68"/>
      <c r="S89" s="103"/>
      <c r="T89" s="103"/>
      <c r="U89" s="103"/>
      <c r="V89" s="103"/>
      <c r="W89" s="103"/>
      <c r="X89" s="103"/>
      <c r="Y89" s="103"/>
      <c r="Z89" s="103"/>
      <c r="AA89" s="103"/>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656"/>
      <c r="F90" s="86">
        <v>6</v>
      </c>
      <c r="G90" s="123"/>
      <c r="H90" s="148"/>
      <c r="I90" s="150"/>
      <c r="J90" s="150"/>
      <c r="K90" s="150"/>
      <c r="L90" s="150"/>
      <c r="M90" s="149"/>
      <c r="N90" s="68">
        <f>IF(A4stdlife="n/a","n/a",IF(N$3&gt;(A4stdlife+$F90),(Input!$M$146*(1+vanilla6)^0.5)-SUM($M90:M90),(Input!$M$146*(1+vanilla6)^0.5)/A4stdlife))</f>
        <v>0</v>
      </c>
      <c r="O90" s="68">
        <f>IF(A4stdlife="n/a","n/a",IF(O$3&gt;(A4stdlife+$F90),(Input!$M$146*(1+vanilla6)^0.5)-SUM($M90:N90),(Input!$M$146*(1+vanilla6)^0.5)/A4stdlife))</f>
        <v>0</v>
      </c>
      <c r="P90" s="68">
        <f>IF(A4stdlife="n/a","n/a",IF(P$3&gt;(A4stdlife+$F90),(Input!$M$146*(1+vanilla6)^0.5)-SUM($M90:O90),(Input!$M$146*(1+vanilla6)^0.5)/A4stdlife))</f>
        <v>0</v>
      </c>
      <c r="Q90" s="68">
        <f>IF(A4stdlife="n/a","n/a",IF(Q$3&gt;(A4stdlife+$F90),(Input!$M$146*(1+vanilla6)^0.5)-SUM($M90:P90),(Input!$M$146*(1+vanilla6)^0.5)/A4stdlife))</f>
        <v>0</v>
      </c>
      <c r="R90" s="68"/>
      <c r="S90" s="103"/>
      <c r="T90" s="103"/>
      <c r="U90" s="103"/>
      <c r="V90" s="103"/>
      <c r="W90" s="103"/>
      <c r="X90" s="103"/>
      <c r="Y90" s="103"/>
      <c r="Z90" s="103"/>
      <c r="AA90" s="103"/>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656"/>
      <c r="F91" s="86">
        <v>7</v>
      </c>
      <c r="G91" s="123"/>
      <c r="H91" s="148"/>
      <c r="I91" s="150"/>
      <c r="J91" s="150"/>
      <c r="K91" s="150"/>
      <c r="L91" s="150"/>
      <c r="M91" s="150"/>
      <c r="N91" s="149"/>
      <c r="O91" s="68">
        <f>IF(A4stdlife="n/a","n/a",IF(O$3&gt;(A4stdlife+$F91),(Input!$N$146*(1+vanilla7)^0.5)-SUM($N91:N91),(Input!$N$146*(1+vanilla7)^0.5)/A4stdlife))</f>
        <v>0</v>
      </c>
      <c r="P91" s="68">
        <f>IF(A4stdlife="n/a","n/a",IF(P$3&gt;(A4stdlife+$F91),(Input!$N$146*(1+vanilla7)^0.5)-SUM($N91:O91),(Input!$N$146*(1+vanilla7)^0.5)/A4stdlife))</f>
        <v>0</v>
      </c>
      <c r="Q91" s="68">
        <f>IF(A4stdlife="n/a","n/a",IF(Q$3&gt;(A4stdlife+$F91),(Input!$N$146*(1+vanilla7)^0.5)-SUM($N91:P91),(Input!$N$146*(1+vanilla7)^0.5)/A4stdlife))</f>
        <v>0</v>
      </c>
      <c r="R91" s="68"/>
      <c r="S91" s="103"/>
      <c r="T91" s="103"/>
      <c r="U91" s="103"/>
      <c r="V91" s="103"/>
      <c r="W91" s="103"/>
      <c r="X91" s="103"/>
      <c r="Y91" s="103"/>
      <c r="Z91" s="103"/>
      <c r="AA91" s="103"/>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656"/>
      <c r="F92" s="86">
        <v>8</v>
      </c>
      <c r="G92" s="123"/>
      <c r="H92" s="148"/>
      <c r="I92" s="150"/>
      <c r="J92" s="150"/>
      <c r="K92" s="150"/>
      <c r="L92" s="150"/>
      <c r="M92" s="150"/>
      <c r="N92" s="150"/>
      <c r="O92" s="149"/>
      <c r="P92" s="68">
        <f>IF(A4stdlife="n/a","n/a",IF(P$3&gt;(A4stdlife+$F92),(Input!$O$146*(1+vanilla8)^0.5)-SUM($O92:O92),(Input!$O$146*(1+vanilla8)^0.5)/A4stdlife))</f>
        <v>0</v>
      </c>
      <c r="Q92" s="68">
        <f>IF(A4stdlife="n/a","n/a",IF(Q$3&gt;(A4stdlife+$F92),(Input!$O$146*(1+vanilla8)^0.5)-SUM($O92:P92),(Input!$O$146*(1+vanilla8)^0.5)/A4stdlife))</f>
        <v>0</v>
      </c>
      <c r="R92" s="68"/>
      <c r="S92" s="103"/>
      <c r="T92" s="103"/>
      <c r="U92" s="103"/>
      <c r="V92" s="103"/>
      <c r="W92" s="103"/>
      <c r="X92" s="103"/>
      <c r="Y92" s="103"/>
      <c r="Z92" s="103"/>
      <c r="AA92" s="103"/>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656"/>
      <c r="F93" s="86">
        <v>9</v>
      </c>
      <c r="G93" s="123"/>
      <c r="H93" s="148"/>
      <c r="I93" s="150"/>
      <c r="J93" s="150"/>
      <c r="K93" s="150"/>
      <c r="L93" s="150"/>
      <c r="M93" s="150"/>
      <c r="N93" s="150"/>
      <c r="O93" s="150"/>
      <c r="P93" s="149"/>
      <c r="Q93" s="68">
        <f>IF(A4stdlife="n/a","n/a",IF(Q$3&gt;(A4stdlife+$F93),(Input!$P$146*(1+vanilla9)^0.5)-SUM($P93:P93),(Input!$P$146*(1+vanilla9)^0.5)/A4stdlife))</f>
        <v>0</v>
      </c>
      <c r="R93" s="68"/>
      <c r="S93" s="103"/>
      <c r="T93" s="103"/>
      <c r="U93" s="103"/>
      <c r="V93" s="103"/>
      <c r="W93" s="103"/>
      <c r="X93" s="103"/>
      <c r="Y93" s="103"/>
      <c r="Z93" s="103"/>
      <c r="AA93" s="103"/>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656"/>
      <c r="F94" s="87">
        <v>10</v>
      </c>
      <c r="G94" s="123"/>
      <c r="H94" s="148"/>
      <c r="I94" s="150"/>
      <c r="J94" s="150"/>
      <c r="K94" s="150"/>
      <c r="L94" s="150"/>
      <c r="M94" s="150"/>
      <c r="N94" s="150"/>
      <c r="O94" s="150"/>
      <c r="P94" s="150"/>
      <c r="Q94" s="149"/>
      <c r="R94" s="68"/>
      <c r="S94" s="103"/>
      <c r="T94" s="103"/>
      <c r="U94" s="103"/>
      <c r="V94" s="103"/>
      <c r="W94" s="103"/>
      <c r="X94" s="103"/>
      <c r="Y94" s="103"/>
      <c r="Z94" s="103"/>
      <c r="AA94" s="103"/>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SCADA</v>
      </c>
      <c r="E95" s="9"/>
      <c r="F95" s="9"/>
      <c r="G95" s="123"/>
      <c r="H95" s="167">
        <f>-SUM(H83:H94)</f>
        <v>-0.11855054020521991</v>
      </c>
      <c r="I95" s="167">
        <f>-SUM(I83:I94)</f>
        <v>-0.13351069366464713</v>
      </c>
      <c r="J95" s="167">
        <f>-SUM(J83:J94)</f>
        <v>-0.14994049358003383</v>
      </c>
      <c r="K95" s="167">
        <f>-SUM(K83:K94)</f>
        <v>-0.16684367356200716</v>
      </c>
      <c r="L95" s="167">
        <f>-SUM(L83:L94)</f>
        <v>-0.18399277922370827</v>
      </c>
      <c r="M95" s="167">
        <f>IF(Input!M173&gt;0, -SUM(M83:M94), 0)</f>
        <v>0</v>
      </c>
      <c r="N95" s="167">
        <f>IF(Input!N173&gt;0, -SUM(N83:N94), 0)</f>
        <v>0</v>
      </c>
      <c r="O95" s="167">
        <f>IF(Input!O173&gt;0, -SUM(O83:O94), 0)</f>
        <v>0</v>
      </c>
      <c r="P95" s="167">
        <f>IF(Input!P173&gt;0, -SUM(P83:P94), 0)</f>
        <v>0</v>
      </c>
      <c r="Q95" s="167">
        <f>IF(Input!Q173&gt;0, -SUM(Q83:Q94), 0)</f>
        <v>0</v>
      </c>
      <c r="R95" s="66"/>
      <c r="S95" s="105"/>
      <c r="T95" s="105"/>
      <c r="U95" s="105"/>
      <c r="V95" s="105"/>
      <c r="W95" s="105"/>
      <c r="X95" s="105"/>
      <c r="Y95" s="105"/>
      <c r="Z95" s="105"/>
      <c r="AA95" s="105"/>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105"/>
      <c r="BE95" s="105"/>
      <c r="BF95" s="105"/>
      <c r="BG95" s="105"/>
      <c r="BH95" s="105"/>
      <c r="BI95" s="105"/>
      <c r="BJ95" s="105"/>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Computer Equipment</v>
      </c>
      <c r="D96" s="163"/>
      <c r="E96" s="34" t="s">
        <v>28</v>
      </c>
      <c r="F96" s="33"/>
      <c r="G96" s="176"/>
      <c r="H96" s="305">
        <v>0.2375265825679905</v>
      </c>
      <c r="I96" s="305">
        <v>0.2375265825679905</v>
      </c>
      <c r="J96" s="305">
        <v>0.2375265825679905</v>
      </c>
      <c r="K96" s="305">
        <v>0.11718068034527795</v>
      </c>
      <c r="L96" s="305">
        <v>0</v>
      </c>
      <c r="M96" s="305">
        <v>0</v>
      </c>
      <c r="N96" s="305">
        <v>0</v>
      </c>
      <c r="O96" s="305">
        <v>0</v>
      </c>
      <c r="P96" s="305">
        <v>0</v>
      </c>
      <c r="Q96" s="305">
        <v>0</v>
      </c>
      <c r="R96" s="67"/>
      <c r="S96" s="103"/>
      <c r="T96" s="103"/>
      <c r="U96" s="103"/>
      <c r="V96" s="103"/>
      <c r="W96" s="103"/>
      <c r="X96" s="103"/>
      <c r="Y96" s="103"/>
      <c r="Z96" s="103"/>
      <c r="AA96" s="103"/>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655" t="s">
        <v>84</v>
      </c>
      <c r="F97" s="86">
        <v>0</v>
      </c>
      <c r="G97" s="123"/>
      <c r="H97" s="299"/>
      <c r="I97" s="299"/>
      <c r="J97" s="299"/>
      <c r="K97" s="299"/>
      <c r="L97" s="299"/>
      <c r="M97" s="299"/>
      <c r="N97" s="299"/>
      <c r="O97" s="299"/>
      <c r="P97" s="299"/>
      <c r="Q97" s="299"/>
      <c r="R97" s="68"/>
      <c r="S97" s="103"/>
      <c r="T97" s="103"/>
      <c r="U97" s="103"/>
      <c r="V97" s="103"/>
      <c r="W97" s="103"/>
      <c r="X97" s="103"/>
      <c r="Y97" s="103"/>
      <c r="Z97" s="103"/>
      <c r="AA97" s="103"/>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656"/>
      <c r="F98" s="86">
        <v>1</v>
      </c>
      <c r="G98" s="123"/>
      <c r="H98" s="300"/>
      <c r="I98" s="588">
        <v>0.92121190031764111</v>
      </c>
      <c r="J98" s="588">
        <v>0.92121190031764111</v>
      </c>
      <c r="K98" s="588">
        <v>0.92121190031764111</v>
      </c>
      <c r="L98" s="588">
        <v>0.92121190031764111</v>
      </c>
      <c r="M98" s="588">
        <v>0.92121190031764111</v>
      </c>
      <c r="N98" s="588">
        <v>0</v>
      </c>
      <c r="O98" s="588">
        <v>0</v>
      </c>
      <c r="P98" s="588">
        <v>0</v>
      </c>
      <c r="Q98" s="588">
        <v>0</v>
      </c>
      <c r="R98" s="68"/>
      <c r="S98" s="103"/>
      <c r="T98" s="103"/>
      <c r="U98" s="103"/>
      <c r="V98" s="103"/>
      <c r="W98" s="103"/>
      <c r="X98" s="103"/>
      <c r="Y98" s="103"/>
      <c r="Z98" s="103"/>
      <c r="AA98" s="103"/>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656"/>
      <c r="F99" s="86">
        <v>2</v>
      </c>
      <c r="G99" s="123"/>
      <c r="H99" s="301"/>
      <c r="I99" s="589"/>
      <c r="J99" s="588">
        <v>1.8160693517976938</v>
      </c>
      <c r="K99" s="588">
        <v>1.8160693517976938</v>
      </c>
      <c r="L99" s="588">
        <v>1.8160693517976938</v>
      </c>
      <c r="M99" s="588">
        <v>1.8160693517976938</v>
      </c>
      <c r="N99" s="588">
        <v>1.8160693517976938</v>
      </c>
      <c r="O99" s="588">
        <v>0</v>
      </c>
      <c r="P99" s="588">
        <v>0</v>
      </c>
      <c r="Q99" s="588">
        <v>0</v>
      </c>
      <c r="R99" s="68"/>
      <c r="S99" s="103"/>
      <c r="T99" s="103"/>
      <c r="U99" s="103"/>
      <c r="V99" s="103"/>
      <c r="W99" s="103"/>
      <c r="X99" s="103"/>
      <c r="Y99" s="103"/>
      <c r="Z99" s="103"/>
      <c r="AA99" s="103"/>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656"/>
      <c r="F100" s="86">
        <v>3</v>
      </c>
      <c r="G100" s="123"/>
      <c r="H100" s="301"/>
      <c r="I100" s="590"/>
      <c r="J100" s="589"/>
      <c r="K100" s="588">
        <v>0.75562802619406821</v>
      </c>
      <c r="L100" s="588">
        <v>0.75562802619406821</v>
      </c>
      <c r="M100" s="588">
        <v>0.75562802619406821</v>
      </c>
      <c r="N100" s="588">
        <v>0.75562802619406821</v>
      </c>
      <c r="O100" s="588">
        <v>0.75562802619406821</v>
      </c>
      <c r="P100" s="588">
        <v>4.4408920985006262E-16</v>
      </c>
      <c r="Q100" s="588">
        <v>0</v>
      </c>
      <c r="R100" s="68"/>
      <c r="S100" s="103"/>
      <c r="T100" s="103"/>
      <c r="U100" s="103"/>
      <c r="V100" s="103"/>
      <c r="W100" s="103"/>
      <c r="X100" s="103"/>
      <c r="Y100" s="103"/>
      <c r="Z100" s="103"/>
      <c r="AA100" s="103"/>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656"/>
      <c r="F101" s="86">
        <v>4</v>
      </c>
      <c r="G101" s="123"/>
      <c r="H101" s="301"/>
      <c r="I101" s="590"/>
      <c r="J101" s="590"/>
      <c r="K101" s="589"/>
      <c r="L101" s="588">
        <v>4.3142222238059046E-2</v>
      </c>
      <c r="M101" s="588">
        <v>4.3142222238059046E-2</v>
      </c>
      <c r="N101" s="588">
        <v>4.3142222238059046E-2</v>
      </c>
      <c r="O101" s="588">
        <v>4.3142222238059046E-2</v>
      </c>
      <c r="P101" s="588">
        <v>4.3142222238059046E-2</v>
      </c>
      <c r="Q101" s="588">
        <v>0</v>
      </c>
      <c r="R101" s="68"/>
      <c r="S101" s="103"/>
      <c r="T101" s="103"/>
      <c r="U101" s="103"/>
      <c r="V101" s="103"/>
      <c r="W101" s="103"/>
      <c r="X101" s="103"/>
      <c r="Y101" s="103"/>
      <c r="Z101" s="103"/>
      <c r="AA101" s="103"/>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103"/>
      <c r="BE101" s="103"/>
      <c r="BF101" s="103"/>
      <c r="BG101" s="103"/>
      <c r="BH101" s="103"/>
      <c r="BI101" s="103"/>
      <c r="BJ101" s="103"/>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656"/>
      <c r="F102" s="86">
        <v>5</v>
      </c>
      <c r="G102" s="123"/>
      <c r="H102" s="301"/>
      <c r="I102" s="590"/>
      <c r="J102" s="590"/>
      <c r="K102" s="590"/>
      <c r="L102" s="589"/>
      <c r="M102" s="588">
        <v>0.18022085670598847</v>
      </c>
      <c r="N102" s="588">
        <v>0.18022085670598847</v>
      </c>
      <c r="O102" s="588">
        <v>0.18022085670598847</v>
      </c>
      <c r="P102" s="588">
        <v>0.18022085670598847</v>
      </c>
      <c r="Q102" s="588">
        <v>0.18022085670598847</v>
      </c>
      <c r="R102" s="68"/>
      <c r="S102" s="103"/>
      <c r="T102" s="103"/>
      <c r="U102" s="103"/>
      <c r="V102" s="103"/>
      <c r="W102" s="103"/>
      <c r="X102" s="103"/>
      <c r="Y102" s="103"/>
      <c r="Z102" s="103"/>
      <c r="AA102" s="103"/>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656"/>
      <c r="F103" s="86">
        <v>6</v>
      </c>
      <c r="G103" s="123"/>
      <c r="H103" s="148"/>
      <c r="I103" s="150"/>
      <c r="J103" s="150"/>
      <c r="K103" s="150"/>
      <c r="L103" s="150"/>
      <c r="M103" s="149"/>
      <c r="N103" s="68">
        <f>IF(A5stdlife="n/a","n/a",IF(N$3&gt;(A5stdlife+$F103),(Input!$M$147*(1+vanilla6)^0.5)-SUM($M103:M103),(Input!$M$147*(1+vanilla6)^0.5)/A5stdlife))</f>
        <v>0</v>
      </c>
      <c r="O103" s="68">
        <f>IF(A5stdlife="n/a","n/a",IF(O$3&gt;(A5stdlife+$F103),(Input!$M$147*(1+vanilla6)^0.5)-SUM($M103:N103),(Input!$M$147*(1+vanilla6)^0.5)/A5stdlife))</f>
        <v>0</v>
      </c>
      <c r="P103" s="68">
        <f>IF(A5stdlife="n/a","n/a",IF(P$3&gt;(A5stdlife+$F103),(Input!$M$147*(1+vanilla6)^0.5)-SUM($M103:O103),(Input!$M$147*(1+vanilla6)^0.5)/A5stdlife))</f>
        <v>0</v>
      </c>
      <c r="Q103" s="68">
        <f>IF(A5stdlife="n/a","n/a",IF(Q$3&gt;(A5stdlife+$F103),(Input!$M$147*(1+vanilla6)^0.5)-SUM($M103:P103),(Input!$M$147*(1+vanilla6)^0.5)/A5stdlife))</f>
        <v>0</v>
      </c>
      <c r="R103" s="68"/>
      <c r="S103" s="103"/>
      <c r="T103" s="103"/>
      <c r="U103" s="103"/>
      <c r="V103" s="103"/>
      <c r="W103" s="103"/>
      <c r="X103" s="103"/>
      <c r="Y103" s="103"/>
      <c r="Z103" s="103"/>
      <c r="AA103" s="103"/>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656"/>
      <c r="F104" s="86">
        <v>7</v>
      </c>
      <c r="G104" s="123"/>
      <c r="H104" s="148"/>
      <c r="I104" s="150"/>
      <c r="J104" s="150"/>
      <c r="K104" s="150"/>
      <c r="L104" s="150"/>
      <c r="M104" s="150"/>
      <c r="N104" s="149"/>
      <c r="O104" s="68">
        <f>IF(A5stdlife="n/a","n/a",IF(O$3&gt;(A5stdlife+$F104),(Input!$N$147*(1+vanilla7)^0.5)-SUM($N104:N104),(Input!$N$147*(1+vanilla7)^0.5)/A5stdlife))</f>
        <v>0</v>
      </c>
      <c r="P104" s="68">
        <f>IF(A5stdlife="n/a","n/a",IF(P$3&gt;(A5stdlife+$F104),(Input!$N$147*(1+vanilla7)^0.5)-SUM($N104:O104),(Input!$N$147*(1+vanilla7)^0.5)/A5stdlife))</f>
        <v>0</v>
      </c>
      <c r="Q104" s="68">
        <f>IF(A5stdlife="n/a","n/a",IF(Q$3&gt;(A5stdlife+$F104),(Input!$N$147*(1+vanilla7)^0.5)-SUM($N104:P104),(Input!$N$147*(1+vanilla7)^0.5)/A5stdlife))</f>
        <v>0</v>
      </c>
      <c r="R104" s="68"/>
      <c r="S104" s="103"/>
      <c r="T104" s="103"/>
      <c r="U104" s="103"/>
      <c r="V104" s="103"/>
      <c r="W104" s="103"/>
      <c r="X104" s="103"/>
      <c r="Y104" s="103"/>
      <c r="Z104" s="103"/>
      <c r="AA104" s="103"/>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656"/>
      <c r="F105" s="86">
        <v>8</v>
      </c>
      <c r="G105" s="123"/>
      <c r="H105" s="148"/>
      <c r="I105" s="150"/>
      <c r="J105" s="150"/>
      <c r="K105" s="150"/>
      <c r="L105" s="150"/>
      <c r="M105" s="150"/>
      <c r="N105" s="150"/>
      <c r="O105" s="149"/>
      <c r="P105" s="68">
        <f>IF(A5stdlife="n/a","n/a",IF(P$3&gt;(A5stdlife+$F105),(Input!$O$147*(1+vanilla8)^0.5)-SUM($O105:O105),(Input!$O$147*(1+vanilla8)^0.5)/A5stdlife))</f>
        <v>0</v>
      </c>
      <c r="Q105" s="68">
        <f>IF(A5stdlife="n/a","n/a",IF(Q$3&gt;(A5stdlife+$F105),(Input!$O$147*(1+vanilla8)^0.5)-SUM($O105:P105),(Input!$O$147*(1+vanilla8)^0.5)/A5stdlife))</f>
        <v>0</v>
      </c>
      <c r="R105" s="68"/>
      <c r="S105" s="103"/>
      <c r="T105" s="103"/>
      <c r="U105" s="103"/>
      <c r="V105" s="103"/>
      <c r="W105" s="103"/>
      <c r="X105" s="103"/>
      <c r="Y105" s="103"/>
      <c r="Z105" s="103"/>
      <c r="AA105" s="103"/>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656"/>
      <c r="F106" s="86">
        <v>9</v>
      </c>
      <c r="G106" s="123"/>
      <c r="H106" s="148"/>
      <c r="I106" s="150"/>
      <c r="J106" s="150"/>
      <c r="K106" s="150"/>
      <c r="L106" s="150"/>
      <c r="M106" s="150"/>
      <c r="N106" s="150"/>
      <c r="O106" s="150"/>
      <c r="P106" s="149"/>
      <c r="Q106" s="68">
        <f>IF(A5stdlife="n/a","n/a",IF(Q$3&gt;(A5stdlife+$F106),(Input!$P$147*(1+vanilla9)^0.5)-SUM($P106:P106),(Input!$P$147*(1+vanilla9)^0.5)/A5stdlife))</f>
        <v>0</v>
      </c>
      <c r="R106" s="68"/>
      <c r="S106" s="103"/>
      <c r="T106" s="103"/>
      <c r="U106" s="103"/>
      <c r="V106" s="103"/>
      <c r="W106" s="103"/>
      <c r="X106" s="103"/>
      <c r="Y106" s="103"/>
      <c r="Z106" s="103"/>
      <c r="AA106" s="103"/>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656"/>
      <c r="F107" s="87">
        <v>10</v>
      </c>
      <c r="G107" s="123"/>
      <c r="H107" s="148"/>
      <c r="I107" s="150"/>
      <c r="J107" s="150"/>
      <c r="K107" s="150"/>
      <c r="L107" s="150"/>
      <c r="M107" s="150"/>
      <c r="N107" s="150"/>
      <c r="O107" s="150"/>
      <c r="P107" s="150"/>
      <c r="Q107" s="149"/>
      <c r="R107" s="68"/>
      <c r="S107" s="103"/>
      <c r="T107" s="103"/>
      <c r="U107" s="103"/>
      <c r="V107" s="103"/>
      <c r="W107" s="103"/>
      <c r="X107" s="103"/>
      <c r="Y107" s="103"/>
      <c r="Z107" s="103"/>
      <c r="AA107" s="103"/>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Computer Equipment</v>
      </c>
      <c r="E108" s="9"/>
      <c r="F108" s="9"/>
      <c r="G108" s="123"/>
      <c r="H108" s="167">
        <f>-SUM(H96:H107)</f>
        <v>-0.2375265825679905</v>
      </c>
      <c r="I108" s="167">
        <f>-SUM(I96:I107)</f>
        <v>-1.1587384828856315</v>
      </c>
      <c r="J108" s="167">
        <f>-SUM(J96:J107)</f>
        <v>-2.9748078346833253</v>
      </c>
      <c r="K108" s="167">
        <f>-SUM(K96:K107)</f>
        <v>-3.6100899586546813</v>
      </c>
      <c r="L108" s="167">
        <f>-SUM(L96:L107)</f>
        <v>-3.5360515005474622</v>
      </c>
      <c r="M108" s="167">
        <f>IF(Input!M173&gt;0, -SUM(M96:M107), 0)</f>
        <v>0</v>
      </c>
      <c r="N108" s="167">
        <f>IF(Input!N173&gt;0, -SUM(N96:N107), 0)</f>
        <v>0</v>
      </c>
      <c r="O108" s="167">
        <f>IF(Input!O173&gt;0, -SUM(O96:O107), 0)</f>
        <v>0</v>
      </c>
      <c r="P108" s="167">
        <f>IF(Input!P173&gt;0, -SUM(P96:P107), 0)</f>
        <v>0</v>
      </c>
      <c r="Q108" s="167">
        <f>IF(Input!Q173&gt;0, -SUM(Q96:Q107), 0)</f>
        <v>0</v>
      </c>
      <c r="R108" s="66"/>
      <c r="S108" s="105"/>
      <c r="T108" s="105"/>
      <c r="U108" s="105"/>
      <c r="V108" s="105"/>
      <c r="W108" s="105"/>
      <c r="X108" s="105"/>
      <c r="Y108" s="105"/>
      <c r="Z108" s="105"/>
      <c r="AA108" s="105"/>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105"/>
      <c r="BE108" s="105"/>
      <c r="BF108" s="105"/>
      <c r="BG108" s="105"/>
      <c r="BH108" s="105"/>
      <c r="BI108" s="105"/>
      <c r="BJ108" s="105"/>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Other Assets</v>
      </c>
      <c r="D109" s="163"/>
      <c r="E109" s="34" t="s">
        <v>28</v>
      </c>
      <c r="F109" s="33"/>
      <c r="G109" s="176"/>
      <c r="H109" s="305">
        <v>2.4174050773096369</v>
      </c>
      <c r="I109" s="305">
        <v>2.4174050773096369</v>
      </c>
      <c r="J109" s="305">
        <v>2.4174050773096369</v>
      </c>
      <c r="K109" s="305">
        <v>2.4174050773096369</v>
      </c>
      <c r="L109" s="305">
        <v>2.4174050773096369</v>
      </c>
      <c r="M109" s="305">
        <v>2.4174050773096369</v>
      </c>
      <c r="N109" s="305">
        <v>2.4174050773096369</v>
      </c>
      <c r="O109" s="305">
        <v>2.4174050773096369</v>
      </c>
      <c r="P109" s="305">
        <v>2.4174050773096369</v>
      </c>
      <c r="Q109" s="305">
        <v>2.4174050773096369</v>
      </c>
      <c r="R109" s="67"/>
      <c r="S109" s="103"/>
      <c r="T109" s="103"/>
      <c r="U109" s="103"/>
      <c r="V109" s="103"/>
      <c r="W109" s="103"/>
      <c r="X109" s="103"/>
      <c r="Y109" s="103"/>
      <c r="Z109" s="103"/>
      <c r="AA109" s="103"/>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655" t="s">
        <v>84</v>
      </c>
      <c r="F110" s="86">
        <v>0</v>
      </c>
      <c r="G110" s="123"/>
      <c r="H110" s="299"/>
      <c r="I110" s="299"/>
      <c r="J110" s="299"/>
      <c r="K110" s="299"/>
      <c r="L110" s="299"/>
      <c r="M110" s="299"/>
      <c r="N110" s="299"/>
      <c r="O110" s="299"/>
      <c r="P110" s="299"/>
      <c r="Q110" s="299"/>
      <c r="R110" s="68"/>
      <c r="S110" s="103"/>
      <c r="T110" s="103"/>
      <c r="U110" s="103"/>
      <c r="V110" s="103"/>
      <c r="W110" s="103"/>
      <c r="X110" s="103"/>
      <c r="Y110" s="103"/>
      <c r="Z110" s="103"/>
      <c r="AA110" s="103"/>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656"/>
      <c r="F111" s="86">
        <v>1</v>
      </c>
      <c r="G111" s="123"/>
      <c r="H111" s="300"/>
      <c r="I111" s="588">
        <v>0.33208816181652873</v>
      </c>
      <c r="J111" s="588">
        <v>0.33208816181652873</v>
      </c>
      <c r="K111" s="588">
        <v>0.33208816181652873</v>
      </c>
      <c r="L111" s="588">
        <v>0.33208816181652873</v>
      </c>
      <c r="M111" s="588">
        <v>0.33208816181652873</v>
      </c>
      <c r="N111" s="588">
        <v>0.33208816181652873</v>
      </c>
      <c r="O111" s="588">
        <v>0.33208816181652873</v>
      </c>
      <c r="P111" s="588">
        <v>0.33208816181652873</v>
      </c>
      <c r="Q111" s="588">
        <v>0.33208816181652873</v>
      </c>
      <c r="R111" s="68"/>
      <c r="S111" s="103"/>
      <c r="T111" s="103"/>
      <c r="U111" s="103"/>
      <c r="V111" s="103"/>
      <c r="W111" s="103"/>
      <c r="X111" s="103"/>
      <c r="Y111" s="103"/>
      <c r="Z111" s="103"/>
      <c r="AA111" s="103"/>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656"/>
      <c r="F112" s="86">
        <v>2</v>
      </c>
      <c r="G112" s="123"/>
      <c r="H112" s="301"/>
      <c r="I112" s="589"/>
      <c r="J112" s="588">
        <v>0.5737543224181203</v>
      </c>
      <c r="K112" s="588">
        <v>0.5737543224181203</v>
      </c>
      <c r="L112" s="588">
        <v>0.5737543224181203</v>
      </c>
      <c r="M112" s="588">
        <v>0.5737543224181203</v>
      </c>
      <c r="N112" s="588">
        <v>0.5737543224181203</v>
      </c>
      <c r="O112" s="588">
        <v>0.5737543224181203</v>
      </c>
      <c r="P112" s="588">
        <v>0.5737543224181203</v>
      </c>
      <c r="Q112" s="588">
        <v>0.5737543224181203</v>
      </c>
      <c r="R112" s="68"/>
      <c r="S112" s="103"/>
      <c r="T112" s="103"/>
      <c r="U112" s="103"/>
      <c r="V112" s="103"/>
      <c r="W112" s="103"/>
      <c r="X112" s="103"/>
      <c r="Y112" s="103"/>
      <c r="Z112" s="103"/>
      <c r="AA112" s="103"/>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656"/>
      <c r="F113" s="86">
        <v>3</v>
      </c>
      <c r="G113" s="123"/>
      <c r="H113" s="301"/>
      <c r="I113" s="590"/>
      <c r="J113" s="589"/>
      <c r="K113" s="588">
        <v>0.42207389100158915</v>
      </c>
      <c r="L113" s="588">
        <v>0.42207389100158915</v>
      </c>
      <c r="M113" s="588">
        <v>0.42207389100158915</v>
      </c>
      <c r="N113" s="588">
        <v>0.42207389100158915</v>
      </c>
      <c r="O113" s="588">
        <v>0.42207389100158915</v>
      </c>
      <c r="P113" s="588">
        <v>0.42207389100158915</v>
      </c>
      <c r="Q113" s="588">
        <v>0.42207389100158915</v>
      </c>
      <c r="R113" s="68"/>
      <c r="S113" s="103"/>
      <c r="T113" s="103"/>
      <c r="U113" s="103"/>
      <c r="V113" s="103"/>
      <c r="W113" s="103"/>
      <c r="X113" s="103"/>
      <c r="Y113" s="103"/>
      <c r="Z113" s="103"/>
      <c r="AA113" s="103"/>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656"/>
      <c r="F114" s="86">
        <v>4</v>
      </c>
      <c r="G114" s="123"/>
      <c r="H114" s="301"/>
      <c r="I114" s="590"/>
      <c r="J114" s="590"/>
      <c r="K114" s="589"/>
      <c r="L114" s="588">
        <v>0.26912489396231176</v>
      </c>
      <c r="M114" s="588">
        <v>0.26912489396231176</v>
      </c>
      <c r="N114" s="588">
        <v>0.26912489396231176</v>
      </c>
      <c r="O114" s="588">
        <v>0.26912489396231176</v>
      </c>
      <c r="P114" s="588">
        <v>0.26912489396231176</v>
      </c>
      <c r="Q114" s="588">
        <v>0.26912489396231176</v>
      </c>
      <c r="R114" s="68"/>
      <c r="S114" s="103"/>
      <c r="T114" s="103"/>
      <c r="U114" s="103"/>
      <c r="V114" s="103"/>
      <c r="W114" s="103"/>
      <c r="X114" s="103"/>
      <c r="Y114" s="103"/>
      <c r="Z114" s="103"/>
      <c r="AA114" s="103"/>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103"/>
      <c r="BE114" s="103"/>
      <c r="BF114" s="103"/>
      <c r="BG114" s="103"/>
      <c r="BH114" s="103"/>
      <c r="BI114" s="103"/>
      <c r="BJ114" s="103"/>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656"/>
      <c r="F115" s="86">
        <v>5</v>
      </c>
      <c r="G115" s="123"/>
      <c r="H115" s="301"/>
      <c r="I115" s="590"/>
      <c r="J115" s="590"/>
      <c r="K115" s="590"/>
      <c r="L115" s="589"/>
      <c r="M115" s="588">
        <v>0.22925406009849503</v>
      </c>
      <c r="N115" s="588">
        <v>0.22925406009849503</v>
      </c>
      <c r="O115" s="588">
        <v>0.22925406009849503</v>
      </c>
      <c r="P115" s="588">
        <v>0.22925406009849503</v>
      </c>
      <c r="Q115" s="588">
        <v>0.22925406009849503</v>
      </c>
      <c r="R115" s="68"/>
      <c r="S115" s="103"/>
      <c r="T115" s="103"/>
      <c r="U115" s="103"/>
      <c r="V115" s="103"/>
      <c r="W115" s="103"/>
      <c r="X115" s="103"/>
      <c r="Y115" s="103"/>
      <c r="Z115" s="103"/>
      <c r="AA115" s="103"/>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656"/>
      <c r="F116" s="86">
        <v>6</v>
      </c>
      <c r="G116" s="123"/>
      <c r="H116" s="148"/>
      <c r="I116" s="150"/>
      <c r="J116" s="150"/>
      <c r="K116" s="150"/>
      <c r="L116" s="150"/>
      <c r="M116" s="149"/>
      <c r="N116" s="68">
        <f>IF(A6stdlife="n/a","n/a",IF(N$3&gt;(A6stdlife+$F116),(Input!$M$148*(1+vanilla6)^0.5)-SUM($M116:M116),(Input!$M$148*(1+vanilla6)^0.5)/A6stdlife))</f>
        <v>0</v>
      </c>
      <c r="O116" s="68">
        <f>IF(A6stdlife="n/a","n/a",IF(O$3&gt;(A6stdlife+$F116),(Input!$M$148*(1+vanilla6)^0.5)-SUM($M116:N116),(Input!$M$148*(1+vanilla6)^0.5)/A6stdlife))</f>
        <v>0</v>
      </c>
      <c r="P116" s="68">
        <f>IF(A6stdlife="n/a","n/a",IF(P$3&gt;(A6stdlife+$F116),(Input!$M$148*(1+vanilla6)^0.5)-SUM($M116:O116),(Input!$M$148*(1+vanilla6)^0.5)/A6stdlife))</f>
        <v>0</v>
      </c>
      <c r="Q116" s="68">
        <f>IF(A6stdlife="n/a","n/a",IF(Q$3&gt;(A6stdlife+$F116),(Input!$M$148*(1+vanilla6)^0.5)-SUM($M116:P116),(Input!$M$148*(1+vanilla6)^0.5)/A6stdlife))</f>
        <v>0</v>
      </c>
      <c r="R116" s="68"/>
      <c r="S116" s="103"/>
      <c r="T116" s="103"/>
      <c r="U116" s="103"/>
      <c r="V116" s="103"/>
      <c r="W116" s="103"/>
      <c r="X116" s="103"/>
      <c r="Y116" s="103"/>
      <c r="Z116" s="103"/>
      <c r="AA116" s="103"/>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656"/>
      <c r="F117" s="86">
        <v>7</v>
      </c>
      <c r="G117" s="123"/>
      <c r="H117" s="148"/>
      <c r="I117" s="150"/>
      <c r="J117" s="150"/>
      <c r="K117" s="150"/>
      <c r="L117" s="150"/>
      <c r="M117" s="150"/>
      <c r="N117" s="149"/>
      <c r="O117" s="68">
        <f>IF(A6stdlife="n/a","n/a",IF(O$3&gt;(A6stdlife+$F117),(Input!$N$148*(1+vanilla7)^0.5)-SUM($N117:N117),(Input!$N$148*(1+vanilla7)^0.5)/A6stdlife))</f>
        <v>0</v>
      </c>
      <c r="P117" s="68">
        <f>IF(A6stdlife="n/a","n/a",IF(P$3&gt;(A6stdlife+$F117),(Input!$N$148*(1+vanilla7)^0.5)-SUM($N117:O117),(Input!$N$148*(1+vanilla7)^0.5)/A6stdlife))</f>
        <v>0</v>
      </c>
      <c r="Q117" s="68">
        <f>IF(A6stdlife="n/a","n/a",IF(Q$3&gt;(A6stdlife+$F117),(Input!$N$148*(1+vanilla7)^0.5)-SUM($N117:P117),(Input!$N$148*(1+vanilla7)^0.5)/A6stdlife))</f>
        <v>0</v>
      </c>
      <c r="R117" s="68"/>
      <c r="S117" s="103"/>
      <c r="T117" s="103"/>
      <c r="U117" s="103"/>
      <c r="V117" s="103"/>
      <c r="W117" s="103"/>
      <c r="X117" s="103"/>
      <c r="Y117" s="103"/>
      <c r="Z117" s="103"/>
      <c r="AA117" s="103"/>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656"/>
      <c r="F118" s="86">
        <v>8</v>
      </c>
      <c r="G118" s="123"/>
      <c r="H118" s="148"/>
      <c r="I118" s="150"/>
      <c r="J118" s="150"/>
      <c r="K118" s="150"/>
      <c r="L118" s="150"/>
      <c r="M118" s="150"/>
      <c r="N118" s="150"/>
      <c r="O118" s="149"/>
      <c r="P118" s="68">
        <f>IF(A6stdlife="n/a","n/a",IF(P$3&gt;(A6stdlife+$F118),(Input!$O$148*(1+vanilla8)^0.5)-SUM($O118:O118),(Input!$O$148*(1+vanilla8)^0.5)/A6stdlife))</f>
        <v>0</v>
      </c>
      <c r="Q118" s="68">
        <f>IF(A6stdlife="n/a","n/a",IF(Q$3&gt;(A6stdlife+$F118),(Input!$O$148*(1+vanilla8)^0.5)-SUM($O118:P118),(Input!$O$148*(1+vanilla8)^0.5)/A6stdlife))</f>
        <v>0</v>
      </c>
      <c r="R118" s="68"/>
      <c r="S118" s="103"/>
      <c r="T118" s="103"/>
      <c r="U118" s="103"/>
      <c r="V118" s="103"/>
      <c r="W118" s="103"/>
      <c r="X118" s="103"/>
      <c r="Y118" s="103"/>
      <c r="Z118" s="103"/>
      <c r="AA118" s="103"/>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656"/>
      <c r="F119" s="86">
        <v>9</v>
      </c>
      <c r="G119" s="123"/>
      <c r="H119" s="148"/>
      <c r="I119" s="150"/>
      <c r="J119" s="150"/>
      <c r="K119" s="150"/>
      <c r="L119" s="150"/>
      <c r="M119" s="150"/>
      <c r="N119" s="150"/>
      <c r="O119" s="150"/>
      <c r="P119" s="149"/>
      <c r="Q119" s="68">
        <f>IF(A6stdlife="n/a","n/a",IF(Q$3&gt;(A6stdlife+$F119),(Input!$P$148*(1+vanilla9)^0.5)-SUM($P119:P119),(Input!$P$148*(1+vanilla9)^0.5)/A6stdlife))</f>
        <v>0</v>
      </c>
      <c r="R119" s="68"/>
      <c r="S119" s="103"/>
      <c r="T119" s="103"/>
      <c r="U119" s="103"/>
      <c r="V119" s="103"/>
      <c r="W119" s="103"/>
      <c r="X119" s="103"/>
      <c r="Y119" s="103"/>
      <c r="Z119" s="103"/>
      <c r="AA119" s="103"/>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656"/>
      <c r="F120" s="87">
        <v>10</v>
      </c>
      <c r="G120" s="123"/>
      <c r="H120" s="148"/>
      <c r="I120" s="150"/>
      <c r="J120" s="150"/>
      <c r="K120" s="150"/>
      <c r="L120" s="150"/>
      <c r="M120" s="150"/>
      <c r="N120" s="150"/>
      <c r="O120" s="150"/>
      <c r="P120" s="150"/>
      <c r="Q120" s="149"/>
      <c r="R120" s="68"/>
      <c r="S120" s="103"/>
      <c r="T120" s="103"/>
      <c r="U120" s="103"/>
      <c r="V120" s="103"/>
      <c r="W120" s="103"/>
      <c r="X120" s="103"/>
      <c r="Y120" s="103"/>
      <c r="Z120" s="103"/>
      <c r="AA120" s="103"/>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Other Assets</v>
      </c>
      <c r="E121" s="9"/>
      <c r="F121" s="9"/>
      <c r="G121" s="123"/>
      <c r="H121" s="167">
        <f>-SUM(H109:H120)</f>
        <v>-2.4174050773096369</v>
      </c>
      <c r="I121" s="167">
        <f>-SUM(I109:I120)</f>
        <v>-2.7494932391261657</v>
      </c>
      <c r="J121" s="167">
        <f>-SUM(J109:J120)</f>
        <v>-3.323247561544286</v>
      </c>
      <c r="K121" s="167">
        <f>-SUM(K109:K120)</f>
        <v>-3.7453214525458751</v>
      </c>
      <c r="L121" s="167">
        <f>-SUM(L109:L120)</f>
        <v>-4.014446346508187</v>
      </c>
      <c r="M121" s="167">
        <f>IF(Input!M173&gt;0, -SUM(M109:M120), 0)</f>
        <v>0</v>
      </c>
      <c r="N121" s="167">
        <f>IF(Input!N173&gt;0, -SUM(N109:N120), 0)</f>
        <v>0</v>
      </c>
      <c r="O121" s="167">
        <f>IF(Input!O173&gt;0, -SUM(O109:O120), 0)</f>
        <v>0</v>
      </c>
      <c r="P121" s="167">
        <f>IF(Input!P173&gt;0, -SUM(P109:P120), 0)</f>
        <v>0</v>
      </c>
      <c r="Q121" s="167">
        <f>IF(Input!Q173&gt;0, -SUM(Q109:Q120), 0)</f>
        <v>0</v>
      </c>
      <c r="R121" s="66"/>
      <c r="S121" s="105"/>
      <c r="T121" s="105"/>
      <c r="U121" s="105"/>
      <c r="V121" s="105"/>
      <c r="W121" s="105"/>
      <c r="X121" s="105"/>
      <c r="Y121" s="105"/>
      <c r="Z121" s="105"/>
      <c r="AA121" s="105"/>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105"/>
      <c r="BE121" s="105"/>
      <c r="BF121" s="105"/>
      <c r="BG121" s="105"/>
      <c r="BH121" s="105"/>
      <c r="BI121" s="105"/>
      <c r="BJ121" s="105"/>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Equity Raising Costs</v>
      </c>
      <c r="D122" s="163"/>
      <c r="E122" s="34" t="s">
        <v>28</v>
      </c>
      <c r="F122" s="33"/>
      <c r="G122" s="176"/>
      <c r="H122" s="67" t="str">
        <f>IF(H$3&gt;A8remlife,A8value-SUM($G122:G122),IF(A8remlife="N/A","n/a",A8value/A8remlife))</f>
        <v>n/a</v>
      </c>
      <c r="I122" s="67" t="str">
        <f>IF(I$3&gt;A8remlife,A8value-SUM($G122:H122),IF(A8remlife="N/A","n/a",A8value/A8remlife))</f>
        <v>n/a</v>
      </c>
      <c r="J122" s="67" t="str">
        <f>IF(J$3&gt;A8remlife,A8value-SUM($G122:I122),IF(A8remlife="N/A","n/a",A8value/A8remlife))</f>
        <v>n/a</v>
      </c>
      <c r="K122" s="67" t="str">
        <f>IF(K$3&gt;A8remlife,A8value-SUM($G122:J122),IF(A8remlife="N/A","n/a",A8value/A8remlife))</f>
        <v>n/a</v>
      </c>
      <c r="L122" s="67" t="str">
        <f>IF(L$3&gt;A8remlife,A8value-SUM($G122:K122),IF(A8remlife="N/A","n/a",A8value/A8remlife))</f>
        <v>n/a</v>
      </c>
      <c r="M122" s="67" t="str">
        <f>IF(M$3&gt;A8remlife,A8value-SUM($G122:L122),IF(A8remlife="N/A","n/a",A8value/A8remlife))</f>
        <v>n/a</v>
      </c>
      <c r="N122" s="67" t="str">
        <f>IF(N$3&gt;A8remlife,A8value-SUM($G122:M122),IF(A8remlife="N/A","n/a",A8value/A8remlife))</f>
        <v>n/a</v>
      </c>
      <c r="O122" s="67" t="str">
        <f>IF(O$3&gt;A8remlife,A8value-SUM($G122:N122),IF(A8remlife="N/A","n/a",A8value/A8remlife))</f>
        <v>n/a</v>
      </c>
      <c r="P122" s="67" t="str">
        <f>IF(P$3&gt;A8remlife,A8value-SUM($G122:O122),IF(A8remlife="N/A","n/a",A8value/A8remlife))</f>
        <v>n/a</v>
      </c>
      <c r="Q122" s="67" t="str">
        <f>IF(Q$3&gt;A8remlife,A8value-SUM($G122:P122),IF(A8remlife="N/A","n/a",A8value/A8remlife))</f>
        <v>n/a</v>
      </c>
      <c r="R122" s="67"/>
      <c r="S122" s="103"/>
      <c r="T122" s="103"/>
      <c r="U122" s="103"/>
      <c r="V122" s="103"/>
      <c r="W122" s="103"/>
      <c r="X122" s="103"/>
      <c r="Y122" s="103"/>
      <c r="Z122" s="103"/>
      <c r="AA122" s="103"/>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655" t="s">
        <v>84</v>
      </c>
      <c r="F123" s="86">
        <v>0</v>
      </c>
      <c r="G123" s="123"/>
      <c r="H123" s="68"/>
      <c r="I123" s="68"/>
      <c r="J123" s="68"/>
      <c r="K123" s="68"/>
      <c r="L123" s="68"/>
      <c r="M123" s="165"/>
      <c r="N123" s="113"/>
      <c r="O123" s="68"/>
      <c r="P123" s="68"/>
      <c r="Q123" s="68"/>
      <c r="R123" s="68"/>
      <c r="S123" s="103"/>
      <c r="T123" s="103"/>
      <c r="U123" s="103"/>
      <c r="V123" s="103"/>
      <c r="W123" s="103"/>
      <c r="X123" s="103"/>
      <c r="Y123" s="103"/>
      <c r="Z123" s="103"/>
      <c r="AA123" s="103"/>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656"/>
      <c r="F124" s="86">
        <v>1</v>
      </c>
      <c r="G124" s="123"/>
      <c r="H124" s="147"/>
      <c r="I124" s="68" t="s">
        <v>129</v>
      </c>
      <c r="J124" s="68" t="s">
        <v>129</v>
      </c>
      <c r="K124" s="68" t="s">
        <v>129</v>
      </c>
      <c r="L124" s="68" t="s">
        <v>129</v>
      </c>
      <c r="M124" s="68" t="s">
        <v>129</v>
      </c>
      <c r="N124" s="68" t="s">
        <v>129</v>
      </c>
      <c r="O124" s="68" t="s">
        <v>129</v>
      </c>
      <c r="P124" s="68" t="s">
        <v>129</v>
      </c>
      <c r="Q124" s="68" t="s">
        <v>129</v>
      </c>
      <c r="R124" s="68"/>
      <c r="S124" s="103"/>
      <c r="T124" s="103"/>
      <c r="U124" s="103"/>
      <c r="V124" s="103"/>
      <c r="W124" s="103"/>
      <c r="X124" s="103"/>
      <c r="Y124" s="103"/>
      <c r="Z124" s="103"/>
      <c r="AA124" s="103"/>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656"/>
      <c r="F125" s="86">
        <v>2</v>
      </c>
      <c r="G125" s="123"/>
      <c r="H125" s="148"/>
      <c r="I125" s="149"/>
      <c r="J125" s="68" t="s">
        <v>129</v>
      </c>
      <c r="K125" s="68" t="s">
        <v>129</v>
      </c>
      <c r="L125" s="68" t="s">
        <v>129</v>
      </c>
      <c r="M125" s="68" t="s">
        <v>129</v>
      </c>
      <c r="N125" s="68" t="s">
        <v>129</v>
      </c>
      <c r="O125" s="68" t="s">
        <v>129</v>
      </c>
      <c r="P125" s="68" t="s">
        <v>129</v>
      </c>
      <c r="Q125" s="68" t="s">
        <v>129</v>
      </c>
      <c r="R125" s="68"/>
      <c r="S125" s="103"/>
      <c r="T125" s="103"/>
      <c r="U125" s="103"/>
      <c r="V125" s="103"/>
      <c r="W125" s="103"/>
      <c r="X125" s="103"/>
      <c r="Y125" s="103"/>
      <c r="Z125" s="103"/>
      <c r="AA125" s="103"/>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656"/>
      <c r="F126" s="86">
        <v>3</v>
      </c>
      <c r="G126" s="123"/>
      <c r="H126" s="148"/>
      <c r="I126" s="150"/>
      <c r="J126" s="149"/>
      <c r="K126" s="68" t="s">
        <v>129</v>
      </c>
      <c r="L126" s="68" t="s">
        <v>129</v>
      </c>
      <c r="M126" s="68" t="s">
        <v>129</v>
      </c>
      <c r="N126" s="68" t="s">
        <v>129</v>
      </c>
      <c r="O126" s="68" t="s">
        <v>129</v>
      </c>
      <c r="P126" s="68" t="s">
        <v>129</v>
      </c>
      <c r="Q126" s="68" t="s">
        <v>129</v>
      </c>
      <c r="R126" s="68"/>
      <c r="S126" s="103"/>
      <c r="T126" s="103"/>
      <c r="U126" s="103"/>
      <c r="V126" s="103"/>
      <c r="W126" s="103"/>
      <c r="X126" s="103"/>
      <c r="Y126" s="103"/>
      <c r="Z126" s="103"/>
      <c r="AA126" s="103"/>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656"/>
      <c r="F127" s="86">
        <v>4</v>
      </c>
      <c r="G127" s="123"/>
      <c r="H127" s="148"/>
      <c r="I127" s="150"/>
      <c r="J127" s="150"/>
      <c r="K127" s="149"/>
      <c r="L127" s="68" t="s">
        <v>129</v>
      </c>
      <c r="M127" s="68" t="s">
        <v>129</v>
      </c>
      <c r="N127" s="68" t="s">
        <v>129</v>
      </c>
      <c r="O127" s="68" t="s">
        <v>129</v>
      </c>
      <c r="P127" s="68" t="s">
        <v>129</v>
      </c>
      <c r="Q127" s="68" t="s">
        <v>129</v>
      </c>
      <c r="R127" s="68"/>
      <c r="S127" s="103"/>
      <c r="T127" s="103"/>
      <c r="U127" s="103"/>
      <c r="V127" s="103"/>
      <c r="W127" s="103"/>
      <c r="X127" s="103"/>
      <c r="Y127" s="103"/>
      <c r="Z127" s="103"/>
      <c r="AA127" s="103"/>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103"/>
      <c r="BE127" s="103"/>
      <c r="BF127" s="103"/>
      <c r="BG127" s="103"/>
      <c r="BH127" s="103"/>
      <c r="BI127" s="103"/>
      <c r="BJ127" s="103"/>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656"/>
      <c r="F128" s="86">
        <v>5</v>
      </c>
      <c r="G128" s="123"/>
      <c r="H128" s="148"/>
      <c r="I128" s="150"/>
      <c r="J128" s="150"/>
      <c r="K128" s="150"/>
      <c r="L128" s="149"/>
      <c r="M128" s="68" t="s">
        <v>129</v>
      </c>
      <c r="N128" s="68" t="s">
        <v>129</v>
      </c>
      <c r="O128" s="68" t="s">
        <v>129</v>
      </c>
      <c r="P128" s="68" t="s">
        <v>129</v>
      </c>
      <c r="Q128" s="68" t="s">
        <v>129</v>
      </c>
      <c r="R128" s="68"/>
      <c r="S128" s="103"/>
      <c r="T128" s="103"/>
      <c r="U128" s="103"/>
      <c r="V128" s="103"/>
      <c r="W128" s="103"/>
      <c r="X128" s="103"/>
      <c r="Y128" s="103"/>
      <c r="Z128" s="103"/>
      <c r="AA128" s="103"/>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656"/>
      <c r="F129" s="86">
        <v>6</v>
      </c>
      <c r="G129" s="123"/>
      <c r="H129" s="148"/>
      <c r="I129" s="150"/>
      <c r="J129" s="150"/>
      <c r="K129" s="150"/>
      <c r="L129" s="150"/>
      <c r="M129" s="149"/>
      <c r="N129" s="68" t="s">
        <v>129</v>
      </c>
      <c r="O129" s="68" t="s">
        <v>129</v>
      </c>
      <c r="P129" s="68" t="s">
        <v>129</v>
      </c>
      <c r="Q129" s="68" t="s">
        <v>129</v>
      </c>
      <c r="R129" s="68"/>
      <c r="S129" s="103"/>
      <c r="T129" s="103"/>
      <c r="U129" s="103"/>
      <c r="V129" s="103"/>
      <c r="W129" s="103"/>
      <c r="X129" s="103"/>
      <c r="Y129" s="103"/>
      <c r="Z129" s="103"/>
      <c r="AA129" s="103"/>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656"/>
      <c r="F130" s="86">
        <v>7</v>
      </c>
      <c r="G130" s="123"/>
      <c r="H130" s="148"/>
      <c r="I130" s="150"/>
      <c r="J130" s="150"/>
      <c r="K130" s="150"/>
      <c r="L130" s="150"/>
      <c r="M130" s="150"/>
      <c r="N130" s="149"/>
      <c r="O130" s="68" t="s">
        <v>129</v>
      </c>
      <c r="P130" s="68" t="s">
        <v>129</v>
      </c>
      <c r="Q130" s="68" t="s">
        <v>129</v>
      </c>
      <c r="R130" s="68"/>
      <c r="S130" s="103"/>
      <c r="T130" s="103"/>
      <c r="U130" s="103"/>
      <c r="V130" s="103"/>
      <c r="W130" s="103"/>
      <c r="X130" s="103"/>
      <c r="Y130" s="103"/>
      <c r="Z130" s="103"/>
      <c r="AA130" s="103"/>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656"/>
      <c r="F131" s="86">
        <v>8</v>
      </c>
      <c r="G131" s="123"/>
      <c r="H131" s="148"/>
      <c r="I131" s="150"/>
      <c r="J131" s="150"/>
      <c r="K131" s="150"/>
      <c r="L131" s="150"/>
      <c r="M131" s="150"/>
      <c r="N131" s="150"/>
      <c r="O131" s="149"/>
      <c r="P131" s="68" t="s">
        <v>129</v>
      </c>
      <c r="Q131" s="68" t="s">
        <v>129</v>
      </c>
      <c r="R131" s="68"/>
      <c r="S131" s="103"/>
      <c r="T131" s="103"/>
      <c r="U131" s="103"/>
      <c r="V131" s="103"/>
      <c r="W131" s="103"/>
      <c r="X131" s="103"/>
      <c r="Y131" s="103"/>
      <c r="Z131" s="103"/>
      <c r="AA131" s="103"/>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656"/>
      <c r="F132" s="86">
        <v>9</v>
      </c>
      <c r="G132" s="123"/>
      <c r="H132" s="148"/>
      <c r="I132" s="150"/>
      <c r="J132" s="150"/>
      <c r="K132" s="150"/>
      <c r="L132" s="150"/>
      <c r="M132" s="150"/>
      <c r="N132" s="150"/>
      <c r="O132" s="150"/>
      <c r="P132" s="149"/>
      <c r="Q132" s="68" t="s">
        <v>129</v>
      </c>
      <c r="R132" s="68"/>
      <c r="S132" s="103"/>
      <c r="T132" s="103"/>
      <c r="U132" s="103"/>
      <c r="V132" s="103"/>
      <c r="W132" s="103"/>
      <c r="X132" s="103"/>
      <c r="Y132" s="103"/>
      <c r="Z132" s="103"/>
      <c r="AA132" s="103"/>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656"/>
      <c r="F133" s="87">
        <v>10</v>
      </c>
      <c r="G133" s="123"/>
      <c r="H133" s="148"/>
      <c r="I133" s="150"/>
      <c r="J133" s="150"/>
      <c r="K133" s="150"/>
      <c r="L133" s="150"/>
      <c r="M133" s="150"/>
      <c r="N133" s="150"/>
      <c r="O133" s="150"/>
      <c r="P133" s="150"/>
      <c r="Q133" s="149"/>
      <c r="R133" s="68"/>
      <c r="S133" s="103"/>
      <c r="T133" s="103"/>
      <c r="U133" s="103"/>
      <c r="V133" s="103"/>
      <c r="W133" s="103"/>
      <c r="X133" s="103"/>
      <c r="Y133" s="103"/>
      <c r="Z133" s="103"/>
      <c r="AA133" s="103"/>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tr">
        <f>Asset7</f>
        <v>Equity Raising Costs</v>
      </c>
      <c r="E134" s="9"/>
      <c r="F134" s="9"/>
      <c r="G134" s="123"/>
      <c r="H134" s="167">
        <f>-SUM(H122:H133)</f>
        <v>0</v>
      </c>
      <c r="I134" s="167">
        <f>-SUM(I122:I133)</f>
        <v>0</v>
      </c>
      <c r="J134" s="167">
        <f>-SUM(J122:J133)</f>
        <v>0</v>
      </c>
      <c r="K134" s="167">
        <f>-SUM(K122:K133)</f>
        <v>0</v>
      </c>
      <c r="L134" s="167">
        <f>-SUM(L122:L133)</f>
        <v>0</v>
      </c>
      <c r="M134" s="167">
        <f>IF(Input!M173&gt;0, -SUM(M122:M133), 0)</f>
        <v>0</v>
      </c>
      <c r="N134" s="167">
        <f>IF(Input!N173&gt;0, -SUM(N122:N133), 0)</f>
        <v>0</v>
      </c>
      <c r="O134" s="167">
        <f>IF(Input!O173&gt;0, -SUM(O122:O133), 0)</f>
        <v>0</v>
      </c>
      <c r="P134" s="167">
        <f>IF(Input!P173&gt;0, -SUM(P122:P133), 0)</f>
        <v>0</v>
      </c>
      <c r="Q134" s="167">
        <f>IF(Input!Q173&gt;0, -SUM(Q122:Q133), 0)</f>
        <v>0</v>
      </c>
      <c r="R134" s="66"/>
      <c r="S134" s="105"/>
      <c r="T134" s="105"/>
      <c r="U134" s="105"/>
      <c r="V134" s="105"/>
      <c r="W134" s="105"/>
      <c r="X134" s="105"/>
      <c r="Y134" s="105"/>
      <c r="Z134" s="105"/>
      <c r="AA134" s="105"/>
      <c r="AB134" s="232"/>
      <c r="AC134" s="232"/>
      <c r="AD134" s="232"/>
      <c r="AE134" s="232"/>
      <c r="AF134" s="232"/>
      <c r="AG134" s="232"/>
      <c r="AH134" s="232"/>
      <c r="AI134" s="232"/>
      <c r="AJ134" s="232"/>
      <c r="AK134" s="232"/>
      <c r="AL134" s="232"/>
      <c r="AM134" s="232"/>
      <c r="AN134" s="232"/>
      <c r="AO134" s="232"/>
      <c r="AP134" s="232"/>
      <c r="AQ134" s="232"/>
      <c r="AR134" s="232"/>
      <c r="AS134" s="232"/>
      <c r="AT134" s="232"/>
      <c r="AU134" s="232"/>
      <c r="AV134" s="232"/>
      <c r="AW134" s="232"/>
      <c r="AX134" s="232"/>
      <c r="AY134" s="232"/>
      <c r="AZ134" s="232"/>
      <c r="BA134" s="232"/>
      <c r="BB134" s="232"/>
      <c r="BC134" s="232"/>
      <c r="BD134" s="105"/>
      <c r="BE134" s="105"/>
      <c r="BF134" s="105"/>
      <c r="BG134" s="105"/>
      <c r="BH134" s="105"/>
      <c r="BI134" s="105"/>
      <c r="BJ134" s="105"/>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Land</v>
      </c>
      <c r="D135" s="163"/>
      <c r="E135" s="34" t="s">
        <v>28</v>
      </c>
      <c r="F135" s="33"/>
      <c r="G135" s="176"/>
      <c r="H135" s="67" t="str">
        <f>IF(H$3&gt;A8remlife,A8value-SUM($G135:G135),IF(A8remlife="N/A","n/a",A8value/A8remlife))</f>
        <v>n/a</v>
      </c>
      <c r="I135" s="67" t="str">
        <f>IF(I$3&gt;A8remlife,A8value-SUM($G135:H135),IF(A8remlife="N/A","n/a",A8value/A8remlife))</f>
        <v>n/a</v>
      </c>
      <c r="J135" s="67" t="str">
        <f>IF(J$3&gt;A8remlife,A8value-SUM($G135:I135),IF(A8remlife="N/A","n/a",A8value/A8remlife))</f>
        <v>n/a</v>
      </c>
      <c r="K135" s="67" t="str">
        <f>IF(K$3&gt;A8remlife,A8value-SUM($G135:J135),IF(A8remlife="N/A","n/a",A8value/A8remlife))</f>
        <v>n/a</v>
      </c>
      <c r="L135" s="67" t="str">
        <f>IF(L$3&gt;A8remlife,A8value-SUM($G135:K135),IF(A8remlife="N/A","n/a",A8value/A8remlife))</f>
        <v>n/a</v>
      </c>
      <c r="M135" s="67" t="str">
        <f>IF(M$3&gt;A8remlife,A8value-SUM($G135:L135),IF(A8remlife="N/A","n/a",A8value/A8remlife))</f>
        <v>n/a</v>
      </c>
      <c r="N135" s="67" t="str">
        <f>IF(N$3&gt;A8remlife,A8value-SUM($G135:M135),IF(A8remlife="N/A","n/a",A8value/A8remlife))</f>
        <v>n/a</v>
      </c>
      <c r="O135" s="67" t="str">
        <f>IF(O$3&gt;A8remlife,A8value-SUM($G135:N135),IF(A8remlife="N/A","n/a",A8value/A8remlife))</f>
        <v>n/a</v>
      </c>
      <c r="P135" s="67" t="str">
        <f>IF(P$3&gt;A8remlife,A8value-SUM($G135:O135),IF(A8remlife="N/A","n/a",A8value/A8remlife))</f>
        <v>n/a</v>
      </c>
      <c r="Q135" s="67" t="str">
        <f>IF(Q$3&gt;A8remlife,A8value-SUM($G135:P135),IF(A8remlife="N/A","n/a",A8value/A8remlife))</f>
        <v>n/a</v>
      </c>
      <c r="R135" s="67"/>
      <c r="S135" s="103"/>
      <c r="T135" s="103"/>
      <c r="U135" s="103"/>
      <c r="V135" s="103"/>
      <c r="W135" s="103"/>
      <c r="X135" s="103"/>
      <c r="Y135" s="103"/>
      <c r="Z135" s="103"/>
      <c r="AA135" s="103"/>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655" t="s">
        <v>84</v>
      </c>
      <c r="F136" s="86">
        <v>0</v>
      </c>
      <c r="G136" s="123"/>
      <c r="H136" s="68"/>
      <c r="I136" s="68"/>
      <c r="J136" s="68"/>
      <c r="K136" s="68"/>
      <c r="L136" s="68"/>
      <c r="M136" s="165"/>
      <c r="N136" s="113"/>
      <c r="O136" s="68"/>
      <c r="P136" s="68"/>
      <c r="Q136" s="68"/>
      <c r="R136" s="68"/>
      <c r="S136" s="103"/>
      <c r="T136" s="103"/>
      <c r="U136" s="103"/>
      <c r="V136" s="103"/>
      <c r="W136" s="103"/>
      <c r="X136" s="103"/>
      <c r="Y136" s="103"/>
      <c r="Z136" s="103"/>
      <c r="AA136" s="103"/>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656"/>
      <c r="F137" s="86">
        <v>1</v>
      </c>
      <c r="G137" s="123"/>
      <c r="H137" s="147"/>
      <c r="I137" s="68">
        <f>IF(A8stdlife="n/a","n/a",IF(I$3&gt;(A8stdlife+$F137),(Input!$H$150*(1+vanilla1)^0.5)-SUM($H137:H137),(Input!$H$150*(1+vanilla1)^0.5)/A8stdlife))</f>
        <v>0</v>
      </c>
      <c r="J137" s="68">
        <f>IF(A8stdlife="n/a","n/a",IF(J$3&gt;(A8stdlife+$F137),(Input!$H$150*(1+vanilla1)^0.5)-SUM($H137:I137),(Input!$H$150*(1+vanilla1)^0.5)/A8stdlife))</f>
        <v>0</v>
      </c>
      <c r="K137" s="68">
        <f>IF(A8stdlife="n/a","n/a",IF(K$3&gt;(A8stdlife+$F137),(Input!$H$150*(1+vanilla1)^0.5)-SUM($H137:J137),(Input!$H$150*(1+vanilla1)^0.5)/A8stdlife))</f>
        <v>0</v>
      </c>
      <c r="L137" s="68">
        <f>IF(A8stdlife="n/a","n/a",IF(L$3&gt;(A8stdlife+$F137),(Input!$H$150*(1+vanilla1)^0.5)-SUM($H137:K137),(Input!$H$150*(1+vanilla1)^0.5)/A8stdlife))</f>
        <v>0</v>
      </c>
      <c r="M137" s="68">
        <f>IF(A8stdlife="n/a","n/a",IF(M$3&gt;(A8stdlife+$F137),(Input!$H$150*(1+vanilla1)^0.5)-SUM($H137:L137),(Input!$H$150*(1+vanilla1)^0.5)/A8stdlife))</f>
        <v>0</v>
      </c>
      <c r="N137" s="68">
        <f>IF(A8stdlife="n/a","n/a",IF(N$3&gt;(A8stdlife+$F137),(Input!$H$150*(1+vanilla1)^0.5)-SUM($H137:M137),(Input!$H$150*(1+vanilla1)^0.5)/A8stdlife))</f>
        <v>0</v>
      </c>
      <c r="O137" s="68">
        <f>IF(A8stdlife="n/a","n/a",IF(O$3&gt;(A8stdlife+$F137),(Input!$H$150*(1+vanilla1)^0.5)-SUM($H137:N137),(Input!$H$150*(1+vanilla1)^0.5)/A8stdlife))</f>
        <v>0</v>
      </c>
      <c r="P137" s="68">
        <f>IF(A8stdlife="n/a","n/a",IF(P$3&gt;(A8stdlife+$F137),(Input!$H$150*(1+vanilla1)^0.5)-SUM($H137:O137),(Input!$H$150*(1+vanilla1)^0.5)/A8stdlife))</f>
        <v>0</v>
      </c>
      <c r="Q137" s="68">
        <f>IF(A8stdlife="n/a","n/a",IF(Q$3&gt;(A8stdlife+$F137),(Input!$H$150*(1+vanilla1)^0.5)-SUM($H137:P137),(Input!$H$150*(1+vanilla1)^0.5)/A8stdlife))</f>
        <v>0</v>
      </c>
      <c r="R137" s="68"/>
      <c r="S137" s="103"/>
      <c r="T137" s="103"/>
      <c r="U137" s="103"/>
      <c r="V137" s="103"/>
      <c r="W137" s="103"/>
      <c r="X137" s="103"/>
      <c r="Y137" s="103"/>
      <c r="Z137" s="103"/>
      <c r="AA137" s="103"/>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656"/>
      <c r="F138" s="86">
        <v>2</v>
      </c>
      <c r="G138" s="123"/>
      <c r="H138" s="148"/>
      <c r="I138" s="149"/>
      <c r="J138" s="68">
        <f>IF(A8stdlife="n/a","n/a",IF(J$3&gt;(A8stdlife+$F138),(Input!$I$150*(1+vanilla2)^0.5)-SUM($I138:I138),(Input!$I$150*(1+vanilla2)^0.5)/A8stdlife))</f>
        <v>0</v>
      </c>
      <c r="K138" s="68">
        <f>IF(A8stdlife="n/a","n/a",IF(K$3&gt;(A8stdlife+$F138),(Input!$I$150*(1+vanilla2)^0.5)-SUM($I138:J138),(Input!$I$150*(1+vanilla2)^0.5)/A8stdlife))</f>
        <v>0</v>
      </c>
      <c r="L138" s="68">
        <f>IF(A8stdlife="n/a","n/a",IF(L$3&gt;(A8stdlife+$F138),(Input!$I$150*(1+vanilla2)^0.5)-SUM($I138:K138),(Input!$I$150*(1+vanilla2)^0.5)/A8stdlife))</f>
        <v>0</v>
      </c>
      <c r="M138" s="68">
        <f>IF(A8stdlife="n/a","n/a",IF(M$3&gt;(A8stdlife+$F138),(Input!$I$150*(1+vanilla2)^0.5)-SUM($I138:L138),(Input!$I$150*(1+vanilla2)^0.5)/A8stdlife))</f>
        <v>0</v>
      </c>
      <c r="N138" s="68">
        <f>IF(A8stdlife="n/a","n/a",IF(N$3&gt;(A8stdlife+$F138),(Input!$I$150*(1+vanilla2)^0.5)-SUM($I138:M138),(Input!$I$150*(1+vanilla2)^0.5)/A8stdlife))</f>
        <v>0</v>
      </c>
      <c r="O138" s="68">
        <f>IF(A8stdlife="n/a","n/a",IF(O$3&gt;(A8stdlife+$F138),(Input!$I$150*(1+vanilla2)^0.5)-SUM($I138:N138),(Input!$I$150*(1+vanilla2)^0.5)/A8stdlife))</f>
        <v>0</v>
      </c>
      <c r="P138" s="68">
        <f>IF(A8stdlife="n/a","n/a",IF(P$3&gt;(A8stdlife+$F138),(Input!$I$150*(1+vanilla2)^0.5)-SUM($I138:O138),(Input!$I$150*(1+vanilla2)^0.5)/A8stdlife))</f>
        <v>0</v>
      </c>
      <c r="Q138" s="68">
        <f>IF(A8stdlife="n/a","n/a",IF(Q$3&gt;(A8stdlife+$F138),(Input!$I$150*(1+vanilla2)^0.5)-SUM($I138:P138),(Input!$I$150*(1+vanilla2)^0.5)/A8stdlife))</f>
        <v>0</v>
      </c>
      <c r="R138" s="68"/>
      <c r="S138" s="103"/>
      <c r="T138" s="103"/>
      <c r="U138" s="103"/>
      <c r="V138" s="103"/>
      <c r="W138" s="103"/>
      <c r="X138" s="103"/>
      <c r="Y138" s="103"/>
      <c r="Z138" s="103"/>
      <c r="AA138" s="103"/>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656"/>
      <c r="F139" s="86">
        <v>3</v>
      </c>
      <c r="G139" s="123"/>
      <c r="H139" s="148"/>
      <c r="I139" s="150"/>
      <c r="J139" s="149"/>
      <c r="K139" s="68">
        <f>IF(A8stdlife="n/a","n/a",IF(K$3&gt;(A8stdlife+$F139),(Input!$J$150*(1+vanilla3)^0.5)-SUM($J139:J139),(Input!$J$150*(1+vanilla3)^0.5)/A8stdlife))</f>
        <v>0</v>
      </c>
      <c r="L139" s="68">
        <f>IF(A8stdlife="n/a","n/a",IF(L$3&gt;(A8stdlife+$F139),(Input!$J$150*(1+vanilla3)^0.5)-SUM($J139:K139),(Input!$J$150*(1+vanilla3)^0.5)/A8stdlife))</f>
        <v>0</v>
      </c>
      <c r="M139" s="68">
        <f>IF(A8stdlife="n/a","n/a",IF(M$3&gt;(A8stdlife+$F139),(Input!$J$150*(1+vanilla3)^0.5)-SUM($J139:L139),(Input!$J$150*(1+vanilla3)^0.5)/A8stdlife))</f>
        <v>0</v>
      </c>
      <c r="N139" s="68">
        <f>IF(A8stdlife="n/a","n/a",IF(N$3&gt;(A8stdlife+$F139),(Input!$J$150*(1+vanilla3)^0.5)-SUM($J139:M139),(Input!$J$150*(1+vanilla3)^0.5)/A8stdlife))</f>
        <v>0</v>
      </c>
      <c r="O139" s="68">
        <f>IF(A8stdlife="n/a","n/a",IF(O$3&gt;(A8stdlife+$F139),(Input!$J$150*(1+vanilla3)^0.5)-SUM($J139:N139),(Input!$J$150*(1+vanilla3)^0.5)/A8stdlife))</f>
        <v>0</v>
      </c>
      <c r="P139" s="68">
        <f>IF(A8stdlife="n/a","n/a",IF(P$3&gt;(A8stdlife+$F139),(Input!$J$150*(1+vanilla3)^0.5)-SUM($J139:O139),(Input!$J$150*(1+vanilla3)^0.5)/A8stdlife))</f>
        <v>0</v>
      </c>
      <c r="Q139" s="68">
        <f>IF(A8stdlife="n/a","n/a",IF(Q$3&gt;(A8stdlife+$F139),(Input!$J$150*(1+vanilla3)^0.5)-SUM($J139:P139),(Input!$J$150*(1+vanilla3)^0.5)/A8stdlife))</f>
        <v>0</v>
      </c>
      <c r="R139" s="68"/>
      <c r="S139" s="103"/>
      <c r="T139" s="103"/>
      <c r="U139" s="103"/>
      <c r="V139" s="103"/>
      <c r="W139" s="103"/>
      <c r="X139" s="103"/>
      <c r="Y139" s="103"/>
      <c r="Z139" s="103"/>
      <c r="AA139" s="103"/>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656"/>
      <c r="F140" s="86">
        <v>4</v>
      </c>
      <c r="G140" s="123"/>
      <c r="H140" s="148"/>
      <c r="I140" s="150"/>
      <c r="J140" s="150"/>
      <c r="K140" s="149"/>
      <c r="L140" s="68">
        <f>IF(A8stdlife="n/a","n/a",IF(L$3&gt;(A8stdlife+$F140),(Input!$K$150*(1+vanilla4)^0.5)-SUM($K140:K140),(Input!$K$150*(1+vanilla4)^0.5)/A8stdlife))</f>
        <v>0</v>
      </c>
      <c r="M140" s="68">
        <f>IF(A8stdlife="n/a","n/a",IF(M$3&gt;(A8stdlife+$F140),(Input!$K$150*(1+vanilla4)^0.5)-SUM($K140:L140),(Input!$K$150*(1+vanilla4)^0.5)/A8stdlife))</f>
        <v>0</v>
      </c>
      <c r="N140" s="68">
        <f>IF(A8stdlife="n/a","n/a",IF(N$3&gt;(A8stdlife+$F140),(Input!$K$150*(1+vanilla4)^0.5)-SUM($K140:M140),(Input!$K$150*(1+vanilla4)^0.5)/A8stdlife))</f>
        <v>0</v>
      </c>
      <c r="O140" s="68">
        <f>IF(A8stdlife="n/a","n/a",IF(O$3&gt;(A8stdlife+$F140),(Input!$K$150*(1+vanilla4)^0.5)-SUM($K140:N140),(Input!$K$150*(1+vanilla4)^0.5)/A8stdlife))</f>
        <v>0</v>
      </c>
      <c r="P140" s="68">
        <f>IF(A8stdlife="n/a","n/a",IF(P$3&gt;(A8stdlife+$F140),(Input!$K$150*(1+vanilla4)^0.5)-SUM($K140:O140),(Input!$K$150*(1+vanilla4)^0.5)/A8stdlife))</f>
        <v>0</v>
      </c>
      <c r="Q140" s="68">
        <f>IF(A8stdlife="n/a","n/a",IF(Q$3&gt;(A8stdlife+$F140),(Input!$K$150*(1+vanilla4)^0.5)-SUM($K140:P140),(Input!$K$150*(1+vanilla4)^0.5)/A8stdlife))</f>
        <v>0</v>
      </c>
      <c r="R140" s="68"/>
      <c r="S140" s="103"/>
      <c r="T140" s="103"/>
      <c r="U140" s="103"/>
      <c r="V140" s="103"/>
      <c r="W140" s="103"/>
      <c r="X140" s="103"/>
      <c r="Y140" s="103"/>
      <c r="Z140" s="103"/>
      <c r="AA140" s="103"/>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103"/>
      <c r="BE140" s="103"/>
      <c r="BF140" s="103"/>
      <c r="BG140" s="103"/>
      <c r="BH140" s="103"/>
      <c r="BI140" s="103"/>
      <c r="BJ140" s="103"/>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656"/>
      <c r="F141" s="86">
        <v>5</v>
      </c>
      <c r="G141" s="123"/>
      <c r="H141" s="148"/>
      <c r="I141" s="150"/>
      <c r="J141" s="150"/>
      <c r="K141" s="150"/>
      <c r="L141" s="149"/>
      <c r="M141" s="68">
        <f>IF(A8stdlife="n/a","n/a",IF(M$3&gt;(A8stdlife+$F141),(Input!$L$150*(1+vanilla5)^0.5)-SUM($L141:L141),(Input!$L$150*(1+vanilla5)^0.5)/A8stdlife))</f>
        <v>0</v>
      </c>
      <c r="N141" s="68">
        <f>IF(A8stdlife="n/a","n/a",IF(N$3&gt;(A8stdlife+$F141),(Input!$L$150*(1+vanilla5)^0.5)-SUM($L141:M141),(Input!$L$150*(1+vanilla5)^0.5)/A8stdlife))</f>
        <v>0</v>
      </c>
      <c r="O141" s="68">
        <f>IF(A8stdlife="n/a","n/a",IF(O$3&gt;(A8stdlife+$F141),(Input!$L$150*(1+vanilla5)^0.5)-SUM($L141:N141),(Input!$L$150*(1+vanilla5)^0.5)/A8stdlife))</f>
        <v>0</v>
      </c>
      <c r="P141" s="68">
        <f>IF(A8stdlife="n/a","n/a",IF(P$3&gt;(A8stdlife+$F141),(Input!$L$150*(1+vanilla5)^0.5)-SUM($L141:O141),(Input!$L$150*(1+vanilla5)^0.5)/A8stdlife))</f>
        <v>0</v>
      </c>
      <c r="Q141" s="68">
        <f>IF(A8stdlife="n/a","n/a",IF(Q$3&gt;(A8stdlife+$F141),(Input!$L$150*(1+vanilla5)^0.5)-SUM($L141:P141),(Input!$L$150*(1+vanilla5)^0.5)/A8stdlife))</f>
        <v>0</v>
      </c>
      <c r="R141" s="68"/>
      <c r="S141" s="103"/>
      <c r="T141" s="103"/>
      <c r="U141" s="103"/>
      <c r="V141" s="103"/>
      <c r="W141" s="103"/>
      <c r="X141" s="103"/>
      <c r="Y141" s="103"/>
      <c r="Z141" s="103"/>
      <c r="AA141" s="103"/>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656"/>
      <c r="F142" s="86">
        <v>6</v>
      </c>
      <c r="G142" s="123"/>
      <c r="H142" s="148"/>
      <c r="I142" s="150"/>
      <c r="J142" s="150"/>
      <c r="K142" s="150"/>
      <c r="L142" s="150"/>
      <c r="M142" s="149"/>
      <c r="N142" s="68">
        <f>IF(A8stdlife="n/a","n/a",IF(N$3&gt;(A8stdlife+$F142),(Input!$M$150*(1+vanilla6)^0.5)-SUM($M142:M142),(Input!$M$150*(1+vanilla6)^0.5)/A8stdlife))</f>
        <v>0</v>
      </c>
      <c r="O142" s="68">
        <f>IF(A8stdlife="n/a","n/a",IF(O$3&gt;(A8stdlife+$F142),(Input!$M$150*(1+vanilla6)^0.5)-SUM($M142:N142),(Input!$M$150*(1+vanilla6)^0.5)/A8stdlife))</f>
        <v>0</v>
      </c>
      <c r="P142" s="68">
        <f>IF(A8stdlife="n/a","n/a",IF(P$3&gt;(A8stdlife+$F142),(Input!$M$150*(1+vanilla6)^0.5)-SUM($M142:O142),(Input!$M$150*(1+vanilla6)^0.5)/A8stdlife))</f>
        <v>0</v>
      </c>
      <c r="Q142" s="68">
        <f>IF(A8stdlife="n/a","n/a",IF(Q$3&gt;(A8stdlife+$F142),(Input!$M$150*(1+vanilla6)^0.5)-SUM($M142:P142),(Input!$M$150*(1+vanilla6)^0.5)/A8stdlife))</f>
        <v>0</v>
      </c>
      <c r="R142" s="68"/>
      <c r="S142" s="103"/>
      <c r="T142" s="103"/>
      <c r="U142" s="103"/>
      <c r="V142" s="103"/>
      <c r="W142" s="103"/>
      <c r="X142" s="103"/>
      <c r="Y142" s="103"/>
      <c r="Z142" s="103"/>
      <c r="AA142" s="103"/>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656"/>
      <c r="F143" s="86">
        <v>7</v>
      </c>
      <c r="G143" s="123"/>
      <c r="H143" s="148"/>
      <c r="I143" s="150"/>
      <c r="J143" s="150"/>
      <c r="K143" s="150"/>
      <c r="L143" s="150"/>
      <c r="M143" s="150"/>
      <c r="N143" s="149"/>
      <c r="O143" s="68">
        <f>IF(A8stdlife="n/a","n/a",IF(O$3&gt;(A8stdlife+$F143),(Input!$N$150*(1+vanilla7)^0.5)-SUM($N143:N143),(Input!$N$150*(1+vanilla7)^0.5)/A8stdlife))</f>
        <v>0</v>
      </c>
      <c r="P143" s="68">
        <f>IF(A8stdlife="n/a","n/a",IF(P$3&gt;(A8stdlife+$F143),(Input!$N$150*(1+vanilla7)^0.5)-SUM($N143:O143),(Input!$N$150*(1+vanilla7)^0.5)/A8stdlife))</f>
        <v>0</v>
      </c>
      <c r="Q143" s="68">
        <f>IF(A8stdlife="n/a","n/a",IF(Q$3&gt;(A8stdlife+$F143),(Input!$N$150*(1+vanilla7)^0.5)-SUM($N143:P143),(Input!$N$150*(1+vanilla7)^0.5)/A8stdlife))</f>
        <v>0</v>
      </c>
      <c r="R143" s="68"/>
      <c r="S143" s="103"/>
      <c r="T143" s="103"/>
      <c r="U143" s="103"/>
      <c r="V143" s="103"/>
      <c r="W143" s="103"/>
      <c r="X143" s="103"/>
      <c r="Y143" s="103"/>
      <c r="Z143" s="103"/>
      <c r="AA143" s="103"/>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656"/>
      <c r="F144" s="86">
        <v>8</v>
      </c>
      <c r="G144" s="123"/>
      <c r="H144" s="148"/>
      <c r="I144" s="150"/>
      <c r="J144" s="150"/>
      <c r="K144" s="150"/>
      <c r="L144" s="150"/>
      <c r="M144" s="150"/>
      <c r="N144" s="150"/>
      <c r="O144" s="149"/>
      <c r="P144" s="68">
        <f>IF(A8stdlife="n/a","n/a",IF(P$3&gt;(A8stdlife+$F144),(Input!$O$150*(1+vanilla8)^0.5)-SUM($O144:O144),(Input!$O$150*(1+vanilla8)^0.5)/A8stdlife))</f>
        <v>0</v>
      </c>
      <c r="Q144" s="68">
        <f>IF(A8stdlife="n/a","n/a",IF(Q$3&gt;(A8stdlife+$F144),(Input!$O$150*(1+vanilla8)^0.5)-SUM($O144:P144),(Input!$O$150*(1+vanilla8)^0.5)/A8stdlife))</f>
        <v>0</v>
      </c>
      <c r="R144" s="68"/>
      <c r="S144" s="103"/>
      <c r="T144" s="103"/>
      <c r="U144" s="103"/>
      <c r="V144" s="103"/>
      <c r="W144" s="103"/>
      <c r="X144" s="103"/>
      <c r="Y144" s="103"/>
      <c r="Z144" s="103"/>
      <c r="AA144" s="103"/>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656"/>
      <c r="F145" s="86">
        <v>9</v>
      </c>
      <c r="G145" s="123"/>
      <c r="H145" s="148"/>
      <c r="I145" s="150"/>
      <c r="J145" s="150"/>
      <c r="K145" s="150"/>
      <c r="L145" s="150"/>
      <c r="M145" s="150"/>
      <c r="N145" s="150"/>
      <c r="O145" s="150"/>
      <c r="P145" s="149"/>
      <c r="Q145" s="68">
        <f>IF(A8stdlife="n/a","n/a",IF(Q$3&gt;(A8stdlife+$F145),(Input!$P$150*(1+vanilla9)^0.5)-SUM($P145:P145),(Input!$P$150*(1+vanilla9)^0.5)/A8stdlife))</f>
        <v>0</v>
      </c>
      <c r="R145" s="68"/>
      <c r="S145" s="103"/>
      <c r="T145" s="103"/>
      <c r="U145" s="103"/>
      <c r="V145" s="103"/>
      <c r="W145" s="103"/>
      <c r="X145" s="103"/>
      <c r="Y145" s="103"/>
      <c r="Z145" s="103"/>
      <c r="AA145" s="103"/>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656"/>
      <c r="F146" s="87">
        <v>10</v>
      </c>
      <c r="G146" s="123"/>
      <c r="H146" s="148"/>
      <c r="I146" s="150"/>
      <c r="J146" s="150"/>
      <c r="K146" s="150"/>
      <c r="L146" s="150"/>
      <c r="M146" s="150"/>
      <c r="N146" s="150"/>
      <c r="O146" s="150"/>
      <c r="P146" s="150"/>
      <c r="Q146" s="149"/>
      <c r="R146" s="68"/>
      <c r="S146" s="103"/>
      <c r="T146" s="103"/>
      <c r="U146" s="103"/>
      <c r="V146" s="103"/>
      <c r="W146" s="103"/>
      <c r="X146" s="103"/>
      <c r="Y146" s="103"/>
      <c r="Z146" s="103"/>
      <c r="AA146" s="103"/>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t="str">
        <f>Asset8</f>
        <v>Land</v>
      </c>
      <c r="E147" s="9"/>
      <c r="F147" s="9"/>
      <c r="G147" s="123"/>
      <c r="H147" s="167">
        <f>-SUM(H135:H146)</f>
        <v>0</v>
      </c>
      <c r="I147" s="167">
        <f>-SUM(I135:I146)</f>
        <v>0</v>
      </c>
      <c r="J147" s="167">
        <f>-SUM(J135:J146)</f>
        <v>0</v>
      </c>
      <c r="K147" s="167">
        <f>-SUM(K135:K146)</f>
        <v>0</v>
      </c>
      <c r="L147" s="167">
        <f>-SUM(L135:L146)</f>
        <v>0</v>
      </c>
      <c r="M147" s="167">
        <f>IF(Input!M173&gt;0, -SUM(M135:M146), 0)</f>
        <v>0</v>
      </c>
      <c r="N147" s="167">
        <f>IF(Input!N173&gt;0, -SUM(N135:N146), 0)</f>
        <v>0</v>
      </c>
      <c r="O147" s="167">
        <f>IF(Input!O173&gt;0, -SUM(O135:O146), 0)</f>
        <v>0</v>
      </c>
      <c r="P147" s="167">
        <f>IF(Input!P173&gt;0, -SUM(P135:P146), 0)</f>
        <v>0</v>
      </c>
      <c r="Q147" s="167">
        <f>IF(Input!Q173&gt;0, -SUM(Q135:Q146), 0)</f>
        <v>0</v>
      </c>
      <c r="R147" s="66"/>
      <c r="S147" s="105"/>
      <c r="T147" s="105"/>
      <c r="U147" s="105"/>
      <c r="V147" s="105"/>
      <c r="W147" s="105"/>
      <c r="X147" s="105"/>
      <c r="Y147" s="105"/>
      <c r="Z147" s="105"/>
      <c r="AA147" s="105"/>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105"/>
      <c r="BE147" s="105"/>
      <c r="BF147" s="105"/>
      <c r="BG147" s="105"/>
      <c r="BH147" s="105"/>
      <c r="BI147" s="105"/>
      <c r="BJ147" s="105"/>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3"/>
      <c r="E148" s="34" t="s">
        <v>28</v>
      </c>
      <c r="F148" s="33"/>
      <c r="G148" s="176"/>
      <c r="H148" s="67">
        <f>IF(H$3&gt;A9remlife,A9value-SUM($G148:G148),IF(A9remlife="N/A","n/a",A9value/A9remlife))</f>
        <v>0</v>
      </c>
      <c r="I148" s="67">
        <f>IF(I$3&gt;A9remlife,A9value-SUM($G148:H148),IF(A9remlife="N/A","n/a",A9value/A9remlife))</f>
        <v>0</v>
      </c>
      <c r="J148" s="67">
        <f>IF(J$3&gt;A9remlife,A9value-SUM($G148:I148),IF(A9remlife="N/A","n/a",A9value/A9remlife))</f>
        <v>0</v>
      </c>
      <c r="K148" s="67">
        <f>IF(K$3&gt;A9remlife,A9value-SUM($G148:J148),IF(A9remlife="N/A","n/a",A9value/A9remlife))</f>
        <v>0</v>
      </c>
      <c r="L148" s="67">
        <f>IF(L$3&gt;A9remlife,A9value-SUM($G148:K148),IF(A9remlife="N/A","n/a",A9value/A9remlife))</f>
        <v>0</v>
      </c>
      <c r="M148" s="67">
        <f>IF(M$3&gt;A9remlife,A9value-SUM($G148:L148),IF(A9remlife="N/A","n/a",A9value/A9remlife))</f>
        <v>0</v>
      </c>
      <c r="N148" s="67">
        <f>IF(N$3&gt;A9remlife,A9value-SUM($G148:M148),IF(A9remlife="N/A","n/a",A9value/A9remlife))</f>
        <v>0</v>
      </c>
      <c r="O148" s="67">
        <f>IF(O$3&gt;A9remlife,A9value-SUM($G148:N148),IF(A9remlife="N/A","n/a",A9value/A9remlife))</f>
        <v>0</v>
      </c>
      <c r="P148" s="67">
        <f>IF(P$3&gt;A9remlife,A9value-SUM($G148:O148),IF(A9remlife="N/A","n/a",A9value/A9remlife))</f>
        <v>0</v>
      </c>
      <c r="Q148" s="67">
        <f>IF(Q$3&gt;A9remlife,A9value-SUM($G148:P148),IF(A9remlife="N/A","n/a",A9value/A9remlife))</f>
        <v>0</v>
      </c>
      <c r="R148" s="67"/>
      <c r="S148" s="103"/>
      <c r="T148" s="103"/>
      <c r="U148" s="103"/>
      <c r="V148" s="103"/>
      <c r="W148" s="103"/>
      <c r="X148" s="103"/>
      <c r="Y148" s="103"/>
      <c r="Z148" s="103"/>
      <c r="AA148" s="103"/>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655" t="s">
        <v>84</v>
      </c>
      <c r="F149" s="86">
        <v>0</v>
      </c>
      <c r="G149" s="123"/>
      <c r="H149" s="68"/>
      <c r="I149" s="68"/>
      <c r="J149" s="68"/>
      <c r="K149" s="68"/>
      <c r="L149" s="68"/>
      <c r="M149" s="165"/>
      <c r="N149" s="113"/>
      <c r="O149" s="68"/>
      <c r="P149" s="68"/>
      <c r="Q149" s="68"/>
      <c r="R149" s="68"/>
      <c r="S149" s="103"/>
      <c r="T149" s="103"/>
      <c r="U149" s="103"/>
      <c r="V149" s="103"/>
      <c r="W149" s="103"/>
      <c r="X149" s="103"/>
      <c r="Y149" s="103"/>
      <c r="Z149" s="103"/>
      <c r="AA149" s="103"/>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656"/>
      <c r="F150" s="86">
        <v>1</v>
      </c>
      <c r="G150" s="123"/>
      <c r="H150" s="147"/>
      <c r="I150" s="68">
        <f>IF(A9stdlife="n/a","n/a",IF(I$3&gt;(A9stdlife+$F150),(Input!$H$151*(1+vanilla1)^0.5)-SUM($H150:H150),(Input!$H$151*(1+vanilla1)^0.5)/A9stdlife))</f>
        <v>0</v>
      </c>
      <c r="J150" s="68">
        <f>IF(A9stdlife="n/a","n/a",IF(J$3&gt;(A9stdlife+$F150),(Input!$H$151*(1+vanilla1)^0.5)-SUM($H150:I150),(Input!$H$151*(1+vanilla1)^0.5)/A9stdlife))</f>
        <v>0</v>
      </c>
      <c r="K150" s="68">
        <f>IF(A9stdlife="n/a","n/a",IF(K$3&gt;(A9stdlife+$F150),(Input!$H$151*(1+vanilla1)^0.5)-SUM($H150:J150),(Input!$H$151*(1+vanilla1)^0.5)/A9stdlife))</f>
        <v>0</v>
      </c>
      <c r="L150" s="68">
        <f>IF(A9stdlife="n/a","n/a",IF(L$3&gt;(A9stdlife+$F150),(Input!$H$151*(1+vanilla1)^0.5)-SUM($H150:K150),(Input!$H$151*(1+vanilla1)^0.5)/A9stdlife))</f>
        <v>0</v>
      </c>
      <c r="M150" s="68">
        <f>IF(A9stdlife="n/a","n/a",IF(M$3&gt;(A9stdlife+$F150),(Input!$H$151*(1+vanilla1)^0.5)-SUM($H150:L150),(Input!$H$151*(1+vanilla1)^0.5)/A9stdlife))</f>
        <v>0</v>
      </c>
      <c r="N150" s="68">
        <f>IF(A9stdlife="n/a","n/a",IF(N$3&gt;(A9stdlife+$F150),(Input!$H$151*(1+vanilla1)^0.5)-SUM($H150:M150),(Input!$H$151*(1+vanilla1)^0.5)/A9stdlife))</f>
        <v>0</v>
      </c>
      <c r="O150" s="68">
        <f>IF(A9stdlife="n/a","n/a",IF(O$3&gt;(A9stdlife+$F150),(Input!$H$151*(1+vanilla1)^0.5)-SUM($H150:N150),(Input!$H$151*(1+vanilla1)^0.5)/A9stdlife))</f>
        <v>0</v>
      </c>
      <c r="P150" s="68">
        <f>IF(A9stdlife="n/a","n/a",IF(P$3&gt;(A9stdlife+$F150),(Input!$H$151*(1+vanilla1)^0.5)-SUM($H150:O150),(Input!$H$151*(1+vanilla1)^0.5)/A9stdlife))</f>
        <v>0</v>
      </c>
      <c r="Q150" s="68">
        <f>IF(A9stdlife="n/a","n/a",IF(Q$3&gt;(A9stdlife+$F150),(Input!$H$151*(1+vanilla1)^0.5)-SUM($H150:P150),(Input!$H$151*(1+vanilla1)^0.5)/A9stdlife))</f>
        <v>0</v>
      </c>
      <c r="R150" s="68"/>
      <c r="S150" s="103"/>
      <c r="T150" s="103"/>
      <c r="U150" s="103"/>
      <c r="V150" s="103"/>
      <c r="W150" s="103"/>
      <c r="X150" s="103"/>
      <c r="Y150" s="103"/>
      <c r="Z150" s="103"/>
      <c r="AA150" s="103"/>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656"/>
      <c r="F151" s="86">
        <v>2</v>
      </c>
      <c r="G151" s="123"/>
      <c r="H151" s="148"/>
      <c r="I151" s="149"/>
      <c r="J151" s="68">
        <f>IF(A9stdlife="n/a","n/a",IF(J$3&gt;(A9stdlife+$F151),(Input!$I$151*(1+vanilla2)^0.5)-SUM($I151:I151),(Input!$I$151*(1+vanilla2)^0.5)/A9stdlife))</f>
        <v>0</v>
      </c>
      <c r="K151" s="68">
        <f>IF(A9stdlife="n/a","n/a",IF(K$3&gt;(A9stdlife+$F151),(Input!$I$151*(1+vanilla2)^0.5)-SUM($I151:J151),(Input!$I$151*(1+vanilla2)^0.5)/A9stdlife))</f>
        <v>0</v>
      </c>
      <c r="L151" s="68">
        <f>IF(A9stdlife="n/a","n/a",IF(L$3&gt;(A9stdlife+$F151),(Input!$I$151*(1+vanilla2)^0.5)-SUM($I151:K151),(Input!$I$151*(1+vanilla2)^0.5)/A9stdlife))</f>
        <v>0</v>
      </c>
      <c r="M151" s="68">
        <f>IF(A9stdlife="n/a","n/a",IF(M$3&gt;(A9stdlife+$F151),(Input!$I$151*(1+vanilla2)^0.5)-SUM($I151:L151),(Input!$I$151*(1+vanilla2)^0.5)/A9stdlife))</f>
        <v>0</v>
      </c>
      <c r="N151" s="68">
        <f>IF(A9stdlife="n/a","n/a",IF(N$3&gt;(A9stdlife+$F151),(Input!$I$151*(1+vanilla2)^0.5)-SUM($I151:M151),(Input!$I$151*(1+vanilla2)^0.5)/A9stdlife))</f>
        <v>0</v>
      </c>
      <c r="O151" s="68">
        <f>IF(A9stdlife="n/a","n/a",IF(O$3&gt;(A9stdlife+$F151),(Input!$I$151*(1+vanilla2)^0.5)-SUM($I151:N151),(Input!$I$151*(1+vanilla2)^0.5)/A9stdlife))</f>
        <v>0</v>
      </c>
      <c r="P151" s="68">
        <f>IF(A9stdlife="n/a","n/a",IF(P$3&gt;(A9stdlife+$F151),(Input!$I$151*(1+vanilla2)^0.5)-SUM($I151:O151),(Input!$I$151*(1+vanilla2)^0.5)/A9stdlife))</f>
        <v>0</v>
      </c>
      <c r="Q151" s="68">
        <f>IF(A9stdlife="n/a","n/a",IF(Q$3&gt;(A9stdlife+$F151),(Input!$I$151*(1+vanilla2)^0.5)-SUM($I151:P151),(Input!$I$151*(1+vanilla2)^0.5)/A9stdlife))</f>
        <v>0</v>
      </c>
      <c r="R151" s="68"/>
      <c r="S151" s="103"/>
      <c r="T151" s="103"/>
      <c r="U151" s="103"/>
      <c r="V151" s="103"/>
      <c r="W151" s="103"/>
      <c r="X151" s="103"/>
      <c r="Y151" s="103"/>
      <c r="Z151" s="103"/>
      <c r="AA151" s="103"/>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656"/>
      <c r="F152" s="86">
        <v>3</v>
      </c>
      <c r="G152" s="123"/>
      <c r="H152" s="148"/>
      <c r="I152" s="150"/>
      <c r="J152" s="149"/>
      <c r="K152" s="68">
        <f>IF(A9stdlife="n/a","n/a",IF(K$3&gt;(A9stdlife+$F152),(Input!$J$151*(1+vanilla3)^0.5)-SUM($J152:J152),(Input!$J$151*(1+vanilla3)^0.5)/A9stdlife))</f>
        <v>0</v>
      </c>
      <c r="L152" s="68">
        <f>IF(A9stdlife="n/a","n/a",IF(L$3&gt;(A9stdlife+$F152),(Input!$J$151*(1+vanilla3)^0.5)-SUM($J152:K152),(Input!$J$151*(1+vanilla3)^0.5)/A9stdlife))</f>
        <v>0</v>
      </c>
      <c r="M152" s="68">
        <f>IF(A9stdlife="n/a","n/a",IF(M$3&gt;(A9stdlife+$F152),(Input!$J$151*(1+vanilla3)^0.5)-SUM($J152:L152),(Input!$J$151*(1+vanilla3)^0.5)/A9stdlife))</f>
        <v>0</v>
      </c>
      <c r="N152" s="68">
        <f>IF(A9stdlife="n/a","n/a",IF(N$3&gt;(A9stdlife+$F152),(Input!$J$151*(1+vanilla3)^0.5)-SUM($J152:M152),(Input!$J$151*(1+vanilla3)^0.5)/A9stdlife))</f>
        <v>0</v>
      </c>
      <c r="O152" s="68">
        <f>IF(A9stdlife="n/a","n/a",IF(O$3&gt;(A9stdlife+$F152),(Input!$J$151*(1+vanilla3)^0.5)-SUM($J152:N152),(Input!$J$151*(1+vanilla3)^0.5)/A9stdlife))</f>
        <v>0</v>
      </c>
      <c r="P152" s="68">
        <f>IF(A9stdlife="n/a","n/a",IF(P$3&gt;(A9stdlife+$F152),(Input!$J$151*(1+vanilla3)^0.5)-SUM($J152:O152),(Input!$J$151*(1+vanilla3)^0.5)/A9stdlife))</f>
        <v>0</v>
      </c>
      <c r="Q152" s="68">
        <f>IF(A9stdlife="n/a","n/a",IF(Q$3&gt;(A9stdlife+$F152),(Input!$J$151*(1+vanilla3)^0.5)-SUM($J152:P152),(Input!$J$151*(1+vanilla3)^0.5)/A9stdlife))</f>
        <v>0</v>
      </c>
      <c r="R152" s="68"/>
      <c r="S152" s="103"/>
      <c r="T152" s="103"/>
      <c r="U152" s="103"/>
      <c r="V152" s="103"/>
      <c r="W152" s="103"/>
      <c r="X152" s="103"/>
      <c r="Y152" s="103"/>
      <c r="Z152" s="103"/>
      <c r="AA152" s="103"/>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656"/>
      <c r="F153" s="86">
        <v>4</v>
      </c>
      <c r="G153" s="123"/>
      <c r="H153" s="148"/>
      <c r="I153" s="150"/>
      <c r="J153" s="150"/>
      <c r="K153" s="149"/>
      <c r="L153" s="68">
        <f>IF(A9stdlife="n/a","n/a",IF(L$3&gt;(A9stdlife+$F153),(Input!$K$151*(1+vanilla4)^0.5)-SUM($K153:K153),(Input!$K$151*(1+vanilla4)^0.5)/A9stdlife))</f>
        <v>0</v>
      </c>
      <c r="M153" s="68">
        <f>IF(A9stdlife="n/a","n/a",IF(M$3&gt;(A9stdlife+$F153),(Input!$K$151*(1+vanilla4)^0.5)-SUM($K153:L153),(Input!$K$151*(1+vanilla4)^0.5)/A9stdlife))</f>
        <v>0</v>
      </c>
      <c r="N153" s="68">
        <f>IF(A9stdlife="n/a","n/a",IF(N$3&gt;(A9stdlife+$F153),(Input!$K$151*(1+vanilla4)^0.5)-SUM($K153:M153),(Input!$K$151*(1+vanilla4)^0.5)/A9stdlife))</f>
        <v>0</v>
      </c>
      <c r="O153" s="68">
        <f>IF(A9stdlife="n/a","n/a",IF(O$3&gt;(A9stdlife+$F153),(Input!$K$151*(1+vanilla4)^0.5)-SUM($K153:N153),(Input!$K$151*(1+vanilla4)^0.5)/A9stdlife))</f>
        <v>0</v>
      </c>
      <c r="P153" s="68">
        <f>IF(A9stdlife="n/a","n/a",IF(P$3&gt;(A9stdlife+$F153),(Input!$K$151*(1+vanilla4)^0.5)-SUM($K153:O153),(Input!$K$151*(1+vanilla4)^0.5)/A9stdlife))</f>
        <v>0</v>
      </c>
      <c r="Q153" s="68">
        <f>IF(A9stdlife="n/a","n/a",IF(Q$3&gt;(A9stdlife+$F153),(Input!$K$151*(1+vanilla4)^0.5)-SUM($K153:P153),(Input!$K$151*(1+vanilla4)^0.5)/A9stdlife))</f>
        <v>0</v>
      </c>
      <c r="R153" s="68"/>
      <c r="S153" s="103"/>
      <c r="T153" s="103"/>
      <c r="U153" s="103"/>
      <c r="V153" s="103"/>
      <c r="W153" s="103"/>
      <c r="X153" s="103"/>
      <c r="Y153" s="103"/>
      <c r="Z153" s="103"/>
      <c r="AA153" s="103"/>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103"/>
      <c r="BE153" s="103"/>
      <c r="BF153" s="103"/>
      <c r="BG153" s="103"/>
      <c r="BH153" s="103"/>
      <c r="BI153" s="103"/>
      <c r="BJ153" s="103"/>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656"/>
      <c r="F154" s="86">
        <v>5</v>
      </c>
      <c r="G154" s="123"/>
      <c r="H154" s="148"/>
      <c r="I154" s="150"/>
      <c r="J154" s="150"/>
      <c r="K154" s="150"/>
      <c r="L154" s="149"/>
      <c r="M154" s="68">
        <f>IF(A9stdlife="n/a","n/a",IF(M$3&gt;(A9stdlife+$F154),(Input!$L$151*(1+vanilla5)^0.5)-SUM($L154:L154),(Input!$L$151*(1+vanilla5)^0.5)/A9stdlife))</f>
        <v>0</v>
      </c>
      <c r="N154" s="68">
        <f>IF(A9stdlife="n/a","n/a",IF(N$3&gt;(A9stdlife+$F154),(Input!$L$151*(1+vanilla5)^0.5)-SUM($L154:M154),(Input!$L$151*(1+vanilla5)^0.5)/A9stdlife))</f>
        <v>0</v>
      </c>
      <c r="O154" s="68">
        <f>IF(A9stdlife="n/a","n/a",IF(O$3&gt;(A9stdlife+$F154),(Input!$L$151*(1+vanilla5)^0.5)-SUM($L154:N154),(Input!$L$151*(1+vanilla5)^0.5)/A9stdlife))</f>
        <v>0</v>
      </c>
      <c r="P154" s="68">
        <f>IF(A9stdlife="n/a","n/a",IF(P$3&gt;(A9stdlife+$F154),(Input!$L$151*(1+vanilla5)^0.5)-SUM($L154:O154),(Input!$L$151*(1+vanilla5)^0.5)/A9stdlife))</f>
        <v>0</v>
      </c>
      <c r="Q154" s="68">
        <f>IF(A9stdlife="n/a","n/a",IF(Q$3&gt;(A9stdlife+$F154),(Input!$L$151*(1+vanilla5)^0.5)-SUM($L154:P154),(Input!$L$151*(1+vanilla5)^0.5)/A9stdlife))</f>
        <v>0</v>
      </c>
      <c r="R154" s="68"/>
      <c r="S154" s="103"/>
      <c r="T154" s="103"/>
      <c r="U154" s="103"/>
      <c r="V154" s="103"/>
      <c r="W154" s="103"/>
      <c r="X154" s="103"/>
      <c r="Y154" s="103"/>
      <c r="Z154" s="103"/>
      <c r="AA154" s="103"/>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656"/>
      <c r="F155" s="86">
        <v>6</v>
      </c>
      <c r="G155" s="123"/>
      <c r="H155" s="148"/>
      <c r="I155" s="150"/>
      <c r="J155" s="150"/>
      <c r="K155" s="150"/>
      <c r="L155" s="150"/>
      <c r="M155" s="149"/>
      <c r="N155" s="68">
        <f>IF(A9stdlife="n/a","n/a",IF(N$3&gt;(A9stdlife+$F155),(Input!$M$151*(1+vanilla6)^0.5)-SUM($M155:M155),(Input!$M$151*(1+vanilla6)^0.5)/A9stdlife))</f>
        <v>0</v>
      </c>
      <c r="O155" s="68">
        <f>IF(A9stdlife="n/a","n/a",IF(O$3&gt;(A9stdlife+$F155),(Input!$M$151*(1+vanilla6)^0.5)-SUM($M155:N155),(Input!$M$151*(1+vanilla6)^0.5)/A9stdlife))</f>
        <v>0</v>
      </c>
      <c r="P155" s="68">
        <f>IF(A9stdlife="n/a","n/a",IF(P$3&gt;(A9stdlife+$F155),(Input!$M$151*(1+vanilla6)^0.5)-SUM($M155:O155),(Input!$M$151*(1+vanilla6)^0.5)/A9stdlife))</f>
        <v>0</v>
      </c>
      <c r="Q155" s="68">
        <f>IF(A9stdlife="n/a","n/a",IF(Q$3&gt;(A9stdlife+$F155),(Input!$M$151*(1+vanilla6)^0.5)-SUM($M155:P155),(Input!$M$151*(1+vanilla6)^0.5)/A9stdlife))</f>
        <v>0</v>
      </c>
      <c r="R155" s="68"/>
      <c r="S155" s="103"/>
      <c r="T155" s="103"/>
      <c r="U155" s="103"/>
      <c r="V155" s="103"/>
      <c r="W155" s="103"/>
      <c r="X155" s="103"/>
      <c r="Y155" s="103"/>
      <c r="Z155" s="103"/>
      <c r="AA155" s="103"/>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656"/>
      <c r="F156" s="86">
        <v>7</v>
      </c>
      <c r="G156" s="123"/>
      <c r="H156" s="148"/>
      <c r="I156" s="150"/>
      <c r="J156" s="150"/>
      <c r="K156" s="150"/>
      <c r="L156" s="150"/>
      <c r="M156" s="150"/>
      <c r="N156" s="149"/>
      <c r="O156" s="68">
        <f>IF(A9stdlife="n/a","n/a",IF(O$3&gt;(A9stdlife+$F156),(Input!$N$151*(1+vanilla7)^0.5)-SUM($N156:N156),(Input!$N$151*(1+vanilla7)^0.5)/A9stdlife))</f>
        <v>0</v>
      </c>
      <c r="P156" s="68">
        <f>IF(A9stdlife="n/a","n/a",IF(P$3&gt;(A9stdlife+$F156),(Input!$N$151*(1+vanilla7)^0.5)-SUM($N156:O156),(Input!$N$151*(1+vanilla7)^0.5)/A9stdlife))</f>
        <v>0</v>
      </c>
      <c r="Q156" s="68">
        <f>IF(A9stdlife="n/a","n/a",IF(Q$3&gt;(A9stdlife+$F156),(Input!$N$151*(1+vanilla7)^0.5)-SUM($N156:P156),(Input!$N$151*(1+vanilla7)^0.5)/A9stdlife))</f>
        <v>0</v>
      </c>
      <c r="R156" s="68"/>
      <c r="S156" s="103"/>
      <c r="T156" s="103"/>
      <c r="U156" s="103"/>
      <c r="V156" s="103"/>
      <c r="W156" s="103"/>
      <c r="X156" s="103"/>
      <c r="Y156" s="103"/>
      <c r="Z156" s="103"/>
      <c r="AA156" s="103"/>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656"/>
      <c r="F157" s="86">
        <v>8</v>
      </c>
      <c r="G157" s="123"/>
      <c r="H157" s="148"/>
      <c r="I157" s="150"/>
      <c r="J157" s="150"/>
      <c r="K157" s="150"/>
      <c r="L157" s="150"/>
      <c r="M157" s="150"/>
      <c r="N157" s="150"/>
      <c r="O157" s="149"/>
      <c r="P157" s="68">
        <f>IF(A9stdlife="n/a","n/a",IF(P$3&gt;(A9stdlife+$F157),(Input!$O$151*(1+vanilla8)^0.5)-SUM($O157:O157),(Input!$O$151*(1+vanilla8)^0.5)/A9stdlife))</f>
        <v>0</v>
      </c>
      <c r="Q157" s="68">
        <f>IF(A9stdlife="n/a","n/a",IF(Q$3&gt;(A9stdlife+$F157),(Input!$O$151*(1+vanilla8)^0.5)-SUM($O157:P157),(Input!$O$151*(1+vanilla8)^0.5)/A9stdlife))</f>
        <v>0</v>
      </c>
      <c r="R157" s="68"/>
      <c r="S157" s="103"/>
      <c r="T157" s="103"/>
      <c r="U157" s="103"/>
      <c r="V157" s="103"/>
      <c r="W157" s="103"/>
      <c r="X157" s="103"/>
      <c r="Y157" s="103"/>
      <c r="Z157" s="103"/>
      <c r="AA157" s="103"/>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656"/>
      <c r="F158" s="86">
        <v>9</v>
      </c>
      <c r="G158" s="123"/>
      <c r="H158" s="148"/>
      <c r="I158" s="150"/>
      <c r="J158" s="150"/>
      <c r="K158" s="150"/>
      <c r="L158" s="150"/>
      <c r="M158" s="150"/>
      <c r="N158" s="150"/>
      <c r="O158" s="150"/>
      <c r="P158" s="149"/>
      <c r="Q158" s="68">
        <f>IF(A9stdlife="n/a","n/a",IF(Q$3&gt;(A9stdlife+$F158),(Input!$P$151*(1+vanilla9)^0.5)-SUM($P158:P158),(Input!$P$151*(1+vanilla9)^0.5)/A9stdlife))</f>
        <v>0</v>
      </c>
      <c r="R158" s="68"/>
      <c r="S158" s="103"/>
      <c r="T158" s="103"/>
      <c r="U158" s="103"/>
      <c r="V158" s="103"/>
      <c r="W158" s="103"/>
      <c r="X158" s="103"/>
      <c r="Y158" s="103"/>
      <c r="Z158" s="103"/>
      <c r="AA158" s="103"/>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656"/>
      <c r="F159" s="87">
        <v>10</v>
      </c>
      <c r="G159" s="123"/>
      <c r="H159" s="148"/>
      <c r="I159" s="150"/>
      <c r="J159" s="150"/>
      <c r="K159" s="150"/>
      <c r="L159" s="150"/>
      <c r="M159" s="150"/>
      <c r="N159" s="150"/>
      <c r="O159" s="150"/>
      <c r="P159" s="150"/>
      <c r="Q159" s="149"/>
      <c r="R159" s="68"/>
      <c r="S159" s="103"/>
      <c r="T159" s="103"/>
      <c r="U159" s="103"/>
      <c r="V159" s="103"/>
      <c r="W159" s="103"/>
      <c r="X159" s="103"/>
      <c r="Y159" s="103"/>
      <c r="Z159" s="103"/>
      <c r="AA159" s="103"/>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f>Asset9</f>
        <v>0</v>
      </c>
      <c r="E160" s="9"/>
      <c r="F160" s="9"/>
      <c r="G160" s="123"/>
      <c r="H160" s="167">
        <f>-SUM(H148:H159)</f>
        <v>0</v>
      </c>
      <c r="I160" s="167">
        <f>-SUM(I148:I159)</f>
        <v>0</v>
      </c>
      <c r="J160" s="167">
        <f>-SUM(J148:J159)</f>
        <v>0</v>
      </c>
      <c r="K160" s="167">
        <f>-SUM(K148:K159)</f>
        <v>0</v>
      </c>
      <c r="L160" s="167">
        <f>-SUM(L148:L159)</f>
        <v>0</v>
      </c>
      <c r="M160" s="167">
        <f>IF(Input!M173&gt;0, -SUM(M148:M159), 0)</f>
        <v>0</v>
      </c>
      <c r="N160" s="167">
        <f>IF(Input!N173&gt;0, -SUM(N148:N159), 0)</f>
        <v>0</v>
      </c>
      <c r="O160" s="167">
        <f>IF(Input!O173&gt;0, -SUM(O148:O159), 0)</f>
        <v>0</v>
      </c>
      <c r="P160" s="167">
        <f>IF(Input!P173&gt;0, -SUM(P148:P159), 0)</f>
        <v>0</v>
      </c>
      <c r="Q160" s="167">
        <f>IF(Input!Q173&gt;0, -SUM(Q148:Q159), 0)</f>
        <v>0</v>
      </c>
      <c r="R160" s="66"/>
      <c r="S160" s="105"/>
      <c r="T160" s="105"/>
      <c r="U160" s="105"/>
      <c r="V160" s="105"/>
      <c r="W160" s="105"/>
      <c r="X160" s="105"/>
      <c r="Y160" s="105"/>
      <c r="Z160" s="105"/>
      <c r="AA160" s="105"/>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105"/>
      <c r="BE160" s="105"/>
      <c r="BF160" s="105"/>
      <c r="BG160" s="105"/>
      <c r="BH160" s="105"/>
      <c r="BI160" s="105"/>
      <c r="BJ160" s="105"/>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3"/>
      <c r="E161" s="34" t="s">
        <v>28</v>
      </c>
      <c r="F161" s="33"/>
      <c r="G161" s="176"/>
      <c r="H161" s="67">
        <f>IF(H$3&gt;A10remlife,A10value-SUM($G161:G161),IF(A10remlife="N/A","n/a",A10value/A10remlife))</f>
        <v>0</v>
      </c>
      <c r="I161" s="67">
        <f>IF(I$3&gt;A10remlife,A10value-SUM($G161:H161),IF(A10remlife="N/A","n/a",A10value/A10remlife))</f>
        <v>0</v>
      </c>
      <c r="J161" s="67">
        <f>IF(J$3&gt;A10remlife,A10value-SUM($G161:I161),IF(A10remlife="N/A","n/a",A10value/A10remlife))</f>
        <v>0</v>
      </c>
      <c r="K161" s="67">
        <f>IF(K$3&gt;A10remlife,A10value-SUM($G161:J161),IF(A10remlife="N/A","n/a",A10value/A10remlife))</f>
        <v>0</v>
      </c>
      <c r="L161" s="67">
        <f>IF(L$3&gt;A10remlife,A10value-SUM($G161:K161),IF(A10remlife="N/A","n/a",A10value/A10remlife))</f>
        <v>0</v>
      </c>
      <c r="M161" s="67">
        <f>IF(M$3&gt;A10remlife,A10value-SUM($G161:L161),IF(A10remlife="N/A","n/a",A10value/A10remlife))</f>
        <v>0</v>
      </c>
      <c r="N161" s="67">
        <f>IF(N$3&gt;A10remlife,A10value-SUM($G161:M161),IF(A10remlife="N/A","n/a",A10value/A10remlife))</f>
        <v>0</v>
      </c>
      <c r="O161" s="67">
        <f>IF(O$3&gt;A10remlife,A10value-SUM($G161:N161),IF(A10remlife="N/A","n/a",A10value/A10remlife))</f>
        <v>0</v>
      </c>
      <c r="P161" s="67">
        <f>IF(P$3&gt;A10remlife,A10value-SUM($G161:O161),IF(A10remlife="N/A","n/a",A10value/A10remlife))</f>
        <v>0</v>
      </c>
      <c r="Q161" s="67">
        <f>IF(Q$3&gt;A10remlife,A10value-SUM($G161:P161),IF(A10remlife="N/A","n/a",A10value/A10remlife))</f>
        <v>0</v>
      </c>
      <c r="R161" s="67"/>
      <c r="S161" s="103"/>
      <c r="T161" s="103"/>
      <c r="U161" s="103"/>
      <c r="V161" s="103"/>
      <c r="W161" s="103"/>
      <c r="X161" s="103"/>
      <c r="Y161" s="103"/>
      <c r="Z161" s="103"/>
      <c r="AA161" s="103"/>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655" t="s">
        <v>84</v>
      </c>
      <c r="F162" s="86">
        <v>0</v>
      </c>
      <c r="G162" s="123"/>
      <c r="H162" s="68"/>
      <c r="I162" s="68"/>
      <c r="J162" s="68"/>
      <c r="K162" s="68"/>
      <c r="L162" s="68"/>
      <c r="M162" s="165"/>
      <c r="N162" s="113"/>
      <c r="O162" s="68"/>
      <c r="P162" s="68"/>
      <c r="Q162" s="68"/>
      <c r="R162" s="68"/>
      <c r="S162" s="103"/>
      <c r="T162" s="103"/>
      <c r="U162" s="103"/>
      <c r="V162" s="103"/>
      <c r="W162" s="103"/>
      <c r="X162" s="103"/>
      <c r="Y162" s="103"/>
      <c r="Z162" s="103"/>
      <c r="AA162" s="103"/>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656"/>
      <c r="F163" s="86">
        <v>1</v>
      </c>
      <c r="G163" s="123"/>
      <c r="H163" s="147"/>
      <c r="I163" s="68">
        <f>IF(A10stdlife="n/a","n/a",IF(I$3&gt;(A10stdlife+$F163),(Input!$H$152*(1+vanilla1)^0.5)-SUM($H163:H163),(Input!$H$152*(1+vanilla1)^0.5)/A10stdlife))</f>
        <v>0</v>
      </c>
      <c r="J163" s="68">
        <f>IF(A10stdlife="n/a","n/a",IF(J$3&gt;(A10stdlife+$F163),(Input!$H$152*(1+vanilla1)^0.5)-SUM($H163:I163),(Input!$H$152*(1+vanilla1)^0.5)/A10stdlife))</f>
        <v>0</v>
      </c>
      <c r="K163" s="68">
        <f>IF(A10stdlife="n/a","n/a",IF(K$3&gt;(A10stdlife+$F163),(Input!$H$152*(1+vanilla1)^0.5)-SUM($H163:J163),(Input!$H$152*(1+vanilla1)^0.5)/A10stdlife))</f>
        <v>0</v>
      </c>
      <c r="L163" s="68">
        <f>IF(A10stdlife="n/a","n/a",IF(L$3&gt;(A10stdlife+$F163),(Input!$H$152*(1+vanilla1)^0.5)-SUM($H163:K163),(Input!$H$152*(1+vanilla1)^0.5)/A10stdlife))</f>
        <v>0</v>
      </c>
      <c r="M163" s="68">
        <f>IF(A10stdlife="n/a","n/a",IF(M$3&gt;(A10stdlife+$F163),(Input!$H$152*(1+vanilla1)^0.5)-SUM($H163:L163),(Input!$H$152*(1+vanilla1)^0.5)/A10stdlife))</f>
        <v>0</v>
      </c>
      <c r="N163" s="68">
        <f>IF(A10stdlife="n/a","n/a",IF(N$3&gt;(A10stdlife+$F163),(Input!$H$152*(1+vanilla1)^0.5)-SUM($H163:M163),(Input!$H$152*(1+vanilla1)^0.5)/A10stdlife))</f>
        <v>0</v>
      </c>
      <c r="O163" s="68">
        <f>IF(A10stdlife="n/a","n/a",IF(O$3&gt;(A10stdlife+$F163),(Input!$H$152*(1+vanilla1)^0.5)-SUM($H163:N163),(Input!$H$152*(1+vanilla1)^0.5)/A10stdlife))</f>
        <v>0</v>
      </c>
      <c r="P163" s="68">
        <f>IF(A10stdlife="n/a","n/a",IF(P$3&gt;(A10stdlife+$F163),(Input!$H$152*(1+vanilla1)^0.5)-SUM($H163:O163),(Input!$H$152*(1+vanilla1)^0.5)/A10stdlife))</f>
        <v>0</v>
      </c>
      <c r="Q163" s="68">
        <f>IF(A10stdlife="n/a","n/a",IF(Q$3&gt;(A10stdlife+$F163),(Input!$H$152*(1+vanilla1)^0.5)-SUM($H163:P163),(Input!$H$152*(1+vanilla1)^0.5)/A10stdlife))</f>
        <v>0</v>
      </c>
      <c r="R163" s="68"/>
      <c r="S163" s="103"/>
      <c r="T163" s="103"/>
      <c r="U163" s="103"/>
      <c r="V163" s="103"/>
      <c r="W163" s="103"/>
      <c r="X163" s="103"/>
      <c r="Y163" s="103"/>
      <c r="Z163" s="103"/>
      <c r="AA163" s="103"/>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656"/>
      <c r="F164" s="86">
        <v>2</v>
      </c>
      <c r="G164" s="123"/>
      <c r="H164" s="148"/>
      <c r="I164" s="149"/>
      <c r="J164" s="68">
        <f>IF(A10stdlife="n/a","n/a",IF(J$3&gt;(A10stdlife+$F164),(Input!$I$152*(1+vanilla2)^0.5)-SUM($I164:I164),(Input!$I$152*(1+vanilla2)^0.5)/A10stdlife))</f>
        <v>0</v>
      </c>
      <c r="K164" s="68">
        <f>IF(A10stdlife="n/a","n/a",IF(K$3&gt;(A10stdlife+$F164),(Input!$I$152*(1+vanilla2)^0.5)-SUM($I164:J164),(Input!$I$152*(1+vanilla2)^0.5)/A10stdlife))</f>
        <v>0</v>
      </c>
      <c r="L164" s="68">
        <f>IF(A10stdlife="n/a","n/a",IF(L$3&gt;(A10stdlife+$F164),(Input!$I$152*(1+vanilla2)^0.5)-SUM($I164:K164),(Input!$I$152*(1+vanilla2)^0.5)/A10stdlife))</f>
        <v>0</v>
      </c>
      <c r="M164" s="68">
        <f>IF(A10stdlife="n/a","n/a",IF(M$3&gt;(A10stdlife+$F164),(Input!$I$152*(1+vanilla2)^0.5)-SUM($I164:L164),(Input!$I$152*(1+vanilla2)^0.5)/A10stdlife))</f>
        <v>0</v>
      </c>
      <c r="N164" s="68">
        <f>IF(A10stdlife="n/a","n/a",IF(N$3&gt;(A10stdlife+$F164),(Input!$I$152*(1+vanilla2)^0.5)-SUM($I164:M164),(Input!$I$152*(1+vanilla2)^0.5)/A10stdlife))</f>
        <v>0</v>
      </c>
      <c r="O164" s="68">
        <f>IF(A10stdlife="n/a","n/a",IF(O$3&gt;(A10stdlife+$F164),(Input!$I$152*(1+vanilla2)^0.5)-SUM($I164:N164),(Input!$I$152*(1+vanilla2)^0.5)/A10stdlife))</f>
        <v>0</v>
      </c>
      <c r="P164" s="68">
        <f>IF(A10stdlife="n/a","n/a",IF(P$3&gt;(A10stdlife+$F164),(Input!$I$152*(1+vanilla2)^0.5)-SUM($I164:O164),(Input!$I$152*(1+vanilla2)^0.5)/A10stdlife))</f>
        <v>0</v>
      </c>
      <c r="Q164" s="68">
        <f>IF(A10stdlife="n/a","n/a",IF(Q$3&gt;(A10stdlife+$F164),(Input!$I$152*(1+vanilla2)^0.5)-SUM($I164:P164),(Input!$I$152*(1+vanilla2)^0.5)/A10stdlife))</f>
        <v>0</v>
      </c>
      <c r="R164" s="68"/>
      <c r="S164" s="103"/>
      <c r="T164" s="103"/>
      <c r="U164" s="103"/>
      <c r="V164" s="103"/>
      <c r="W164" s="103"/>
      <c r="X164" s="103"/>
      <c r="Y164" s="103"/>
      <c r="Z164" s="103"/>
      <c r="AA164" s="103"/>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656"/>
      <c r="F165" s="86">
        <v>3</v>
      </c>
      <c r="G165" s="123"/>
      <c r="H165" s="148"/>
      <c r="I165" s="150"/>
      <c r="J165" s="149"/>
      <c r="K165" s="68">
        <f>IF(A10stdlife="n/a","n/a",IF(K$3&gt;(A10stdlife+$F165),(Input!$J$152*(1+vanilla3)^0.5)-SUM($J165:J165),(Input!$J$152*(1+vanilla3)^0.5)/A10stdlife))</f>
        <v>0</v>
      </c>
      <c r="L165" s="68">
        <f>IF(A10stdlife="n/a","n/a",IF(L$3&gt;(A10stdlife+$F165),(Input!$J$152*(1+vanilla3)^0.5)-SUM($J165:K165),(Input!$J$152*(1+vanilla3)^0.5)/A10stdlife))</f>
        <v>0</v>
      </c>
      <c r="M165" s="68">
        <f>IF(A10stdlife="n/a","n/a",IF(M$3&gt;(A10stdlife+$F165),(Input!$J$152*(1+vanilla3)^0.5)-SUM($J165:L165),(Input!$J$152*(1+vanilla3)^0.5)/A10stdlife))</f>
        <v>0</v>
      </c>
      <c r="N165" s="68">
        <f>IF(A10stdlife="n/a","n/a",IF(N$3&gt;(A10stdlife+$F165),(Input!$J$152*(1+vanilla3)^0.5)-SUM($J165:M165),(Input!$J$152*(1+vanilla3)^0.5)/A10stdlife))</f>
        <v>0</v>
      </c>
      <c r="O165" s="68">
        <f>IF(A10stdlife="n/a","n/a",IF(O$3&gt;(A10stdlife+$F165),(Input!$J$152*(1+vanilla3)^0.5)-SUM($J165:N165),(Input!$J$152*(1+vanilla3)^0.5)/A10stdlife))</f>
        <v>0</v>
      </c>
      <c r="P165" s="68">
        <f>IF(A10stdlife="n/a","n/a",IF(P$3&gt;(A10stdlife+$F165),(Input!$J$152*(1+vanilla3)^0.5)-SUM($J165:O165),(Input!$J$152*(1+vanilla3)^0.5)/A10stdlife))</f>
        <v>0</v>
      </c>
      <c r="Q165" s="68">
        <f>IF(A10stdlife="n/a","n/a",IF(Q$3&gt;(A10stdlife+$F165),(Input!$J$152*(1+vanilla3)^0.5)-SUM($J165:P165),(Input!$J$152*(1+vanilla3)^0.5)/A10stdlife))</f>
        <v>0</v>
      </c>
      <c r="R165" s="68"/>
      <c r="S165" s="103"/>
      <c r="T165" s="103"/>
      <c r="U165" s="103"/>
      <c r="V165" s="103"/>
      <c r="W165" s="103"/>
      <c r="X165" s="103"/>
      <c r="Y165" s="103"/>
      <c r="Z165" s="103"/>
      <c r="AA165" s="103"/>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656"/>
      <c r="F166" s="86">
        <v>4</v>
      </c>
      <c r="G166" s="123"/>
      <c r="H166" s="148"/>
      <c r="I166" s="150"/>
      <c r="J166" s="150"/>
      <c r="K166" s="149"/>
      <c r="L166" s="68">
        <f>IF(A10stdlife="n/a","n/a",IF(L$3&gt;(A10stdlife+$F166),(Input!$K$152*(1+vanilla4)^0.5)-SUM($K166:K166),(Input!$K$152*(1+vanilla4)^0.5)/A10stdlife))</f>
        <v>0</v>
      </c>
      <c r="M166" s="68">
        <f>IF(A10stdlife="n/a","n/a",IF(M$3&gt;(A10stdlife+$F166),(Input!$K$152*(1+vanilla4)^0.5)-SUM($K166:L166),(Input!$K$152*(1+vanilla4)^0.5)/A10stdlife))</f>
        <v>0</v>
      </c>
      <c r="N166" s="68">
        <f>IF(A10stdlife="n/a","n/a",IF(N$3&gt;(A10stdlife+$F166),(Input!$K$152*(1+vanilla4)^0.5)-SUM($K166:M166),(Input!$K$152*(1+vanilla4)^0.5)/A10stdlife))</f>
        <v>0</v>
      </c>
      <c r="O166" s="68">
        <f>IF(A10stdlife="n/a","n/a",IF(O$3&gt;(A10stdlife+$F166),(Input!$K$152*(1+vanilla4)^0.5)-SUM($K166:N166),(Input!$K$152*(1+vanilla4)^0.5)/A10stdlife))</f>
        <v>0</v>
      </c>
      <c r="P166" s="68">
        <f>IF(A10stdlife="n/a","n/a",IF(P$3&gt;(A10stdlife+$F166),(Input!$K$152*(1+vanilla4)^0.5)-SUM($K166:O166),(Input!$K$152*(1+vanilla4)^0.5)/A10stdlife))</f>
        <v>0</v>
      </c>
      <c r="Q166" s="68">
        <f>IF(A10stdlife="n/a","n/a",IF(Q$3&gt;(A10stdlife+$F166),(Input!$K$152*(1+vanilla4)^0.5)-SUM($K166:P166),(Input!$K$152*(1+vanilla4)^0.5)/A10stdlife))</f>
        <v>0</v>
      </c>
      <c r="R166" s="68"/>
      <c r="S166" s="103"/>
      <c r="T166" s="103"/>
      <c r="U166" s="103"/>
      <c r="V166" s="103"/>
      <c r="W166" s="103"/>
      <c r="X166" s="103"/>
      <c r="Y166" s="103"/>
      <c r="Z166" s="103"/>
      <c r="AA166" s="103"/>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103"/>
      <c r="BE166" s="103"/>
      <c r="BF166" s="103"/>
      <c r="BG166" s="103"/>
      <c r="BH166" s="103"/>
      <c r="BI166" s="103"/>
      <c r="BJ166" s="103"/>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656"/>
      <c r="F167" s="86">
        <v>5</v>
      </c>
      <c r="G167" s="27"/>
      <c r="H167" s="148"/>
      <c r="I167" s="150"/>
      <c r="J167" s="150"/>
      <c r="K167" s="150"/>
      <c r="L167" s="149"/>
      <c r="M167" s="68">
        <f>IF(A10stdlife="n/a","n/a",IF(M$3&gt;(A10stdlife+$F167),(Input!$L$152*(1+vanilla5)^0.5)-SUM($L167:L167),(Input!$L$152*(1+vanilla5)^0.5)/A10stdlife))</f>
        <v>0</v>
      </c>
      <c r="N167" s="68">
        <f>IF(A10stdlife="n/a","n/a",IF(N$3&gt;(A10stdlife+$F167),(Input!$L$152*(1+vanilla5)^0.5)-SUM($L167:M167),(Input!$L$152*(1+vanilla5)^0.5)/A10stdlife))</f>
        <v>0</v>
      </c>
      <c r="O167" s="68">
        <f>IF(A10stdlife="n/a","n/a",IF(O$3&gt;(A10stdlife+$F167),(Input!$L$152*(1+vanilla5)^0.5)-SUM($L167:N167),(Input!$L$152*(1+vanilla5)^0.5)/A10stdlife))</f>
        <v>0</v>
      </c>
      <c r="P167" s="68">
        <f>IF(A10stdlife="n/a","n/a",IF(P$3&gt;(A10stdlife+$F167),(Input!$L$152*(1+vanilla5)^0.5)-SUM($L167:O167),(Input!$L$152*(1+vanilla5)^0.5)/A10stdlife))</f>
        <v>0</v>
      </c>
      <c r="Q167" s="68">
        <f>IF(A10stdlife="n/a","n/a",IF(Q$3&gt;(A10stdlife+$F167),(Input!$L$152*(1+vanilla5)^0.5)-SUM($L167:P167),(Input!$L$152*(1+vanilla5)^0.5)/A10stdlife))</f>
        <v>0</v>
      </c>
      <c r="R167" s="68"/>
      <c r="S167" s="103"/>
      <c r="T167" s="103"/>
      <c r="U167" s="103"/>
      <c r="V167" s="103"/>
      <c r="W167" s="103"/>
      <c r="X167" s="103"/>
      <c r="Y167" s="103"/>
      <c r="Z167" s="103"/>
      <c r="AA167" s="103"/>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656"/>
      <c r="F168" s="86">
        <v>6</v>
      </c>
      <c r="G168" s="27"/>
      <c r="H168" s="148"/>
      <c r="I168" s="150"/>
      <c r="J168" s="150"/>
      <c r="K168" s="150"/>
      <c r="L168" s="150"/>
      <c r="M168" s="149"/>
      <c r="N168" s="68">
        <f>IF(A10stdlife="n/a","n/a",IF(N$3&gt;(A10stdlife+$F168),(Input!$M$152*(1+vanilla6)^0.5)-SUM($M168:M168),(Input!$M$152*(1+vanilla6)^0.5)/A10stdlife))</f>
        <v>0</v>
      </c>
      <c r="O168" s="68">
        <f>IF(A10stdlife="n/a","n/a",IF(O$3&gt;(A10stdlife+$F168),(Input!$M$152*(1+vanilla6)^0.5)-SUM($M168:N168),(Input!$M$152*(1+vanilla6)^0.5)/A10stdlife))</f>
        <v>0</v>
      </c>
      <c r="P168" s="68">
        <f>IF(A10stdlife="n/a","n/a",IF(P$3&gt;(A10stdlife+$F168),(Input!$M$152*(1+vanilla6)^0.5)-SUM($M168:O168),(Input!$M$152*(1+vanilla6)^0.5)/A10stdlife))</f>
        <v>0</v>
      </c>
      <c r="Q168" s="68">
        <f>IF(A10stdlife="n/a","n/a",IF(Q$3&gt;(A10stdlife+$F168),(Input!$M$152*(1+vanilla6)^0.5)-SUM($M168:P168),(Input!$M$152*(1+vanilla6)^0.5)/A10stdlife))</f>
        <v>0</v>
      </c>
      <c r="R168" s="68"/>
      <c r="S168" s="103"/>
      <c r="T168" s="103"/>
      <c r="U168" s="103"/>
      <c r="V168" s="103"/>
      <c r="W168" s="103"/>
      <c r="X168" s="103"/>
      <c r="Y168" s="103"/>
      <c r="Z168" s="103"/>
      <c r="AA168" s="103"/>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656"/>
      <c r="F169" s="86">
        <v>7</v>
      </c>
      <c r="G169" s="27"/>
      <c r="H169" s="148"/>
      <c r="I169" s="150"/>
      <c r="J169" s="150"/>
      <c r="K169" s="150"/>
      <c r="L169" s="150"/>
      <c r="M169" s="150"/>
      <c r="N169" s="149"/>
      <c r="O169" s="68">
        <f>IF(A10stdlife="n/a","n/a",IF(O$3&gt;(A10stdlife+$F169),(Input!$N$152*(1+vanilla7)^0.5)-SUM($N169:N169),(Input!$N$152*(1+vanilla7)^0.5)/A10stdlife))</f>
        <v>0</v>
      </c>
      <c r="P169" s="68">
        <f>IF(A10stdlife="n/a","n/a",IF(P$3&gt;(A10stdlife+$F169),(Input!$N$152*(1+vanilla7)^0.5)-SUM($N169:O169),(Input!$N$152*(1+vanilla7)^0.5)/A10stdlife))</f>
        <v>0</v>
      </c>
      <c r="Q169" s="68">
        <f>IF(A10stdlife="n/a","n/a",IF(Q$3&gt;(A10stdlife+$F169),(Input!$N$152*(1+vanilla7)^0.5)-SUM($N169:P169),(Input!$N$152*(1+vanilla7)^0.5)/A10stdlife))</f>
        <v>0</v>
      </c>
      <c r="R169" s="68"/>
      <c r="S169" s="103"/>
      <c r="T169" s="103"/>
      <c r="U169" s="103"/>
      <c r="V169" s="103"/>
      <c r="W169" s="103"/>
      <c r="X169" s="103"/>
      <c r="Y169" s="103"/>
      <c r="Z169" s="103"/>
      <c r="AA169" s="103"/>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656"/>
      <c r="F170" s="86">
        <v>8</v>
      </c>
      <c r="G170" s="27"/>
      <c r="H170" s="148"/>
      <c r="I170" s="150"/>
      <c r="J170" s="150"/>
      <c r="K170" s="150"/>
      <c r="L170" s="150"/>
      <c r="M170" s="150"/>
      <c r="N170" s="150"/>
      <c r="O170" s="149"/>
      <c r="P170" s="68">
        <f>IF(A10stdlife="n/a","n/a",IF(P$3&gt;(A10stdlife+$F170),(Input!$O$152*(1+vanilla8)^0.5)-SUM($O170:O170),(Input!$O$152*(1+vanilla8)^0.5)/A10stdlife))</f>
        <v>0</v>
      </c>
      <c r="Q170" s="68">
        <f>IF(A10stdlife="n/a","n/a",IF(Q$3&gt;(A10stdlife+$F170),(Input!$O$152*(1+vanilla8)^0.5)-SUM($O170:P170),(Input!$O$152*(1+vanilla8)^0.5)/A10stdlife))</f>
        <v>0</v>
      </c>
      <c r="R170" s="68"/>
      <c r="S170" s="103"/>
      <c r="T170" s="103"/>
      <c r="U170" s="103"/>
      <c r="V170" s="103"/>
      <c r="W170" s="103"/>
      <c r="X170" s="103"/>
      <c r="Y170" s="103"/>
      <c r="Z170" s="103"/>
      <c r="AA170" s="103"/>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656"/>
      <c r="F171" s="86">
        <v>9</v>
      </c>
      <c r="G171" s="27"/>
      <c r="H171" s="148"/>
      <c r="I171" s="150"/>
      <c r="J171" s="150"/>
      <c r="K171" s="150"/>
      <c r="L171" s="150"/>
      <c r="M171" s="150"/>
      <c r="N171" s="150"/>
      <c r="O171" s="150"/>
      <c r="P171" s="149"/>
      <c r="Q171" s="68">
        <f>IF(A10stdlife="n/a","n/a",IF(Q$3&gt;(A10stdlife+$F171),(Input!$P$152*(1+vanilla9)^0.5)-SUM($P171:P171),(Input!$P$152*(1+vanilla9)^0.5)/A10stdlife))</f>
        <v>0</v>
      </c>
      <c r="R171" s="68"/>
      <c r="S171" s="103"/>
      <c r="T171" s="103"/>
      <c r="U171" s="103"/>
      <c r="V171" s="103"/>
      <c r="W171" s="103"/>
      <c r="X171" s="103"/>
      <c r="Y171" s="103"/>
      <c r="Z171" s="103"/>
      <c r="AA171" s="103"/>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656"/>
      <c r="F172" s="87">
        <v>10</v>
      </c>
      <c r="G172" s="27"/>
      <c r="H172" s="148"/>
      <c r="I172" s="150"/>
      <c r="J172" s="150"/>
      <c r="K172" s="150"/>
      <c r="L172" s="150"/>
      <c r="M172" s="150"/>
      <c r="N172" s="150"/>
      <c r="O172" s="150"/>
      <c r="P172" s="150"/>
      <c r="Q172" s="149"/>
      <c r="R172" s="68"/>
      <c r="S172" s="103"/>
      <c r="T172" s="103"/>
      <c r="U172" s="103"/>
      <c r="V172" s="103"/>
      <c r="W172" s="103"/>
      <c r="X172" s="103"/>
      <c r="Y172" s="103"/>
      <c r="Z172" s="103"/>
      <c r="AA172" s="103"/>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f>Asset10</f>
        <v>0</v>
      </c>
      <c r="E173" s="9"/>
      <c r="F173" s="9"/>
      <c r="G173" s="123"/>
      <c r="H173" s="167">
        <f>-SUM(H161:H172)</f>
        <v>0</v>
      </c>
      <c r="I173" s="167">
        <f>-SUM(I161:I172)</f>
        <v>0</v>
      </c>
      <c r="J173" s="167">
        <f>-SUM(J161:J172)</f>
        <v>0</v>
      </c>
      <c r="K173" s="167">
        <f>-SUM(K161:K172)</f>
        <v>0</v>
      </c>
      <c r="L173" s="167">
        <f>-SUM(L161:L172)</f>
        <v>0</v>
      </c>
      <c r="M173" s="167">
        <f>IF(Input!M173&gt;0, -SUM(M161:M172), 0)</f>
        <v>0</v>
      </c>
      <c r="N173" s="167">
        <f>IF(Input!N173&gt;0, -SUM(N161:N172), 0)</f>
        <v>0</v>
      </c>
      <c r="O173" s="167">
        <f>IF(Input!O173&gt;0, -SUM(O161:O172), 0)</f>
        <v>0</v>
      </c>
      <c r="P173" s="167">
        <f>IF(Input!P173&gt;0, -SUM(P161:P172), 0)</f>
        <v>0</v>
      </c>
      <c r="Q173" s="167">
        <f>IF(Input!Q173&gt;0, -SUM(Q161:Q172), 0)</f>
        <v>0</v>
      </c>
      <c r="R173" s="66"/>
      <c r="S173" s="105"/>
      <c r="T173" s="105"/>
      <c r="U173" s="105"/>
      <c r="V173" s="105"/>
      <c r="W173" s="105"/>
      <c r="X173" s="105"/>
      <c r="Y173" s="105"/>
      <c r="Z173" s="105"/>
      <c r="AA173" s="105"/>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105"/>
      <c r="BE173" s="105"/>
      <c r="BF173" s="105"/>
      <c r="BG173" s="105"/>
      <c r="BH173" s="105"/>
      <c r="BI173" s="105"/>
      <c r="BJ173" s="105"/>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3"/>
      <c r="E174" s="34" t="s">
        <v>28</v>
      </c>
      <c r="F174" s="33"/>
      <c r="G174" s="176"/>
      <c r="H174" s="67">
        <f>IF(H$3&gt;A11remlife,A11value-SUM($G174:G174),IF(A11remlife="N/A","n/a",A11value/A11remlife))</f>
        <v>0</v>
      </c>
      <c r="I174" s="67">
        <f>IF(I$3&gt;A11remlife,A11value-SUM($G174:H174),IF(A11remlife="N/A","n/a",A11value/A11remlife))</f>
        <v>0</v>
      </c>
      <c r="J174" s="67">
        <f>IF(J$3&gt;A11remlife,A11value-SUM($G174:I174),IF(A11remlife="N/A","n/a",A11value/A11remlife))</f>
        <v>0</v>
      </c>
      <c r="K174" s="67">
        <f>IF(K$3&gt;A11remlife,A11value-SUM($G174:J174),IF(A11remlife="N/A","n/a",A11value/A11remlife))</f>
        <v>0</v>
      </c>
      <c r="L174" s="67">
        <f>IF(L$3&gt;A11remlife,A11value-SUM($G174:K174),IF(A11remlife="N/A","n/a",A11value/A11remlife))</f>
        <v>0</v>
      </c>
      <c r="M174" s="67">
        <f>IF(M$3&gt;A11remlife,A11value-SUM($G174:L174),IF(A11remlife="N/A","n/a",A11value/A11remlife))</f>
        <v>0</v>
      </c>
      <c r="N174" s="67">
        <f>IF(N$3&gt;A11remlife,A11value-SUM($G174:M174),IF(A11remlife="N/A","n/a",A11value/A11remlife))</f>
        <v>0</v>
      </c>
      <c r="O174" s="67">
        <f>IF(O$3&gt;A11remlife,A11value-SUM($G174:N174),IF(A11remlife="N/A","n/a",A11value/A11remlife))</f>
        <v>0</v>
      </c>
      <c r="P174" s="67">
        <f>IF(P$3&gt;A11remlife,A11value-SUM($G174:O174),IF(A11remlife="N/A","n/a",A11value/A11remlife))</f>
        <v>0</v>
      </c>
      <c r="Q174" s="67">
        <f>IF(Q$3&gt;A11remlife,A11value-SUM($G174:P174),IF(A11remlife="N/A","n/a",A11value/A11remlife))</f>
        <v>0</v>
      </c>
      <c r="R174" s="67"/>
      <c r="S174" s="103"/>
      <c r="T174" s="103"/>
      <c r="U174" s="103"/>
      <c r="V174" s="103"/>
      <c r="W174" s="103"/>
      <c r="X174" s="103"/>
      <c r="Y174" s="103"/>
      <c r="Z174" s="103"/>
      <c r="AA174" s="103"/>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655" t="s">
        <v>84</v>
      </c>
      <c r="F175" s="86">
        <v>0</v>
      </c>
      <c r="G175" s="123"/>
      <c r="H175" s="68"/>
      <c r="I175" s="68"/>
      <c r="J175" s="68"/>
      <c r="K175" s="68"/>
      <c r="L175" s="68"/>
      <c r="M175" s="165"/>
      <c r="N175" s="113"/>
      <c r="O175" s="68"/>
      <c r="P175" s="68"/>
      <c r="Q175" s="68"/>
      <c r="R175" s="68"/>
      <c r="S175" s="103"/>
      <c r="T175" s="103"/>
      <c r="U175" s="103"/>
      <c r="V175" s="103"/>
      <c r="W175" s="103"/>
      <c r="X175" s="103"/>
      <c r="Y175" s="103"/>
      <c r="Z175" s="103"/>
      <c r="AA175" s="103"/>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656"/>
      <c r="F176" s="86">
        <v>1</v>
      </c>
      <c r="G176" s="123"/>
      <c r="H176" s="147"/>
      <c r="I176" s="68">
        <f>IF(A11stdlife="n/a","n/a",IF(I$3&gt;(A11stdlife+$F176),(Input!$H$153*(1+vanilla1)^0.5)-SUM($H176:H176),(Input!$H$153*(1+vanilla1)^0.5)/A11stdlife))</f>
        <v>0</v>
      </c>
      <c r="J176" s="68">
        <f>IF(A11stdlife="n/a","n/a",IF(J$3&gt;(A11stdlife+$F176),(Input!$H$153*(1+vanilla1)^0.5)-SUM($H176:I176),(Input!$H$153*(1+vanilla1)^0.5)/A11stdlife))</f>
        <v>0</v>
      </c>
      <c r="K176" s="68">
        <f>IF(A11stdlife="n/a","n/a",IF(K$3&gt;(A11stdlife+$F176),(Input!$H$153*(1+vanilla1)^0.5)-SUM($H176:J176),(Input!$H$153*(1+vanilla1)^0.5)/A11stdlife))</f>
        <v>0</v>
      </c>
      <c r="L176" s="68">
        <f>IF(A11stdlife="n/a","n/a",IF(L$3&gt;(A11stdlife+$F176),(Input!$H$153*(1+vanilla1)^0.5)-SUM($H176:K176),(Input!$H$153*(1+vanilla1)^0.5)/A11stdlife))</f>
        <v>0</v>
      </c>
      <c r="M176" s="68">
        <f>IF(A11stdlife="n/a","n/a",IF(M$3&gt;(A11stdlife+$F176),(Input!$H$153*(1+vanilla1)^0.5)-SUM($H176:L176),(Input!$H$153*(1+vanilla1)^0.5)/A11stdlife))</f>
        <v>0</v>
      </c>
      <c r="N176" s="68">
        <f>IF(A11stdlife="n/a","n/a",IF(N$3&gt;(A11stdlife+$F176),(Input!$H$153*(1+vanilla1)^0.5)-SUM($H176:M176),(Input!$H$153*(1+vanilla1)^0.5)/A11stdlife))</f>
        <v>0</v>
      </c>
      <c r="O176" s="68">
        <f>IF(A11stdlife="n/a","n/a",IF(O$3&gt;(A11stdlife+$F176),(Input!$H$153*(1+vanilla1)^0.5)-SUM($H176:N176),(Input!$H$153*(1+vanilla1)^0.5)/A11stdlife))</f>
        <v>0</v>
      </c>
      <c r="P176" s="68">
        <f>IF(A11stdlife="n/a","n/a",IF(P$3&gt;(A11stdlife+$F176),(Input!$H$153*(1+vanilla1)^0.5)-SUM($H176:O176),(Input!$H$153*(1+vanilla1)^0.5)/A11stdlife))</f>
        <v>0</v>
      </c>
      <c r="Q176" s="68">
        <f>IF(A11stdlife="n/a","n/a",IF(Q$3&gt;(A11stdlife+$F176),(Input!$H$153*(1+vanilla1)^0.5)-SUM($H176:P176),(Input!$H$153*(1+vanilla1)^0.5)/A11stdlife))</f>
        <v>0</v>
      </c>
      <c r="R176" s="68"/>
      <c r="S176" s="103"/>
      <c r="T176" s="103"/>
      <c r="U176" s="103"/>
      <c r="V176" s="103"/>
      <c r="W176" s="103"/>
      <c r="X176" s="103"/>
      <c r="Y176" s="103"/>
      <c r="Z176" s="103"/>
      <c r="AA176" s="103"/>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656"/>
      <c r="F177" s="86">
        <v>2</v>
      </c>
      <c r="G177" s="123"/>
      <c r="H177" s="148"/>
      <c r="I177" s="149"/>
      <c r="J177" s="68">
        <f>IF(A11stdlife="n/a","n/a",IF(J$3&gt;(A11stdlife+$F177),(Input!$I$153*(1+vanilla2)^0.5)-SUM($I177:I177),(Input!$I$153*(1+vanilla2)^0.5)/A11stdlife))</f>
        <v>0</v>
      </c>
      <c r="K177" s="68">
        <f>IF(A11stdlife="n/a","n/a",IF(K$3&gt;(A11stdlife+$F177),(Input!$I$153*(1+vanilla2)^0.5)-SUM($I177:J177),(Input!$I$153*(1+vanilla2)^0.5)/A11stdlife))</f>
        <v>0</v>
      </c>
      <c r="L177" s="68">
        <f>IF(A11stdlife="n/a","n/a",IF(L$3&gt;(A11stdlife+$F177),(Input!$I$153*(1+vanilla2)^0.5)-SUM($I177:K177),(Input!$I$153*(1+vanilla2)^0.5)/A11stdlife))</f>
        <v>0</v>
      </c>
      <c r="M177" s="68">
        <f>IF(A11stdlife="n/a","n/a",IF(M$3&gt;(A11stdlife+$F177),(Input!$I$153*(1+vanilla2)^0.5)-SUM($I177:L177),(Input!$I$153*(1+vanilla2)^0.5)/A11stdlife))</f>
        <v>0</v>
      </c>
      <c r="N177" s="68">
        <f>IF(A11stdlife="n/a","n/a",IF(N$3&gt;(A11stdlife+$F177),(Input!$I$153*(1+vanilla2)^0.5)-SUM($I177:M177),(Input!$I$153*(1+vanilla2)^0.5)/A11stdlife))</f>
        <v>0</v>
      </c>
      <c r="O177" s="68">
        <f>IF(A11stdlife="n/a","n/a",IF(O$3&gt;(A11stdlife+$F177),(Input!$I$153*(1+vanilla2)^0.5)-SUM($I177:N177),(Input!$I$153*(1+vanilla2)^0.5)/A11stdlife))</f>
        <v>0</v>
      </c>
      <c r="P177" s="68">
        <f>IF(A11stdlife="n/a","n/a",IF(P$3&gt;(A11stdlife+$F177),(Input!$I$153*(1+vanilla2)^0.5)-SUM($I177:O177),(Input!$I$153*(1+vanilla2)^0.5)/A11stdlife))</f>
        <v>0</v>
      </c>
      <c r="Q177" s="68">
        <f>IF(A11stdlife="n/a","n/a",IF(Q$3&gt;(A11stdlife+$F177),(Input!$I$153*(1+vanilla2)^0.5)-SUM($I177:P177),(Input!$I$153*(1+vanilla2)^0.5)/A11stdlife))</f>
        <v>0</v>
      </c>
      <c r="R177" s="68"/>
      <c r="S177" s="103"/>
      <c r="T177" s="103"/>
      <c r="U177" s="103"/>
      <c r="V177" s="103"/>
      <c r="W177" s="103"/>
      <c r="X177" s="103"/>
      <c r="Y177" s="103"/>
      <c r="Z177" s="103"/>
      <c r="AA177" s="103"/>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656"/>
      <c r="F178" s="86">
        <v>3</v>
      </c>
      <c r="G178" s="123"/>
      <c r="H178" s="148"/>
      <c r="I178" s="150"/>
      <c r="J178" s="149"/>
      <c r="K178" s="68">
        <f>IF(A11stdlife="n/a","n/a",IF(K$3&gt;(A11stdlife+$F178),(Input!$J$153*(1+vanilla3)^0.5)-SUM($J178:J178),(Input!$J$153*(1+vanilla3)^0.5)/A11stdlife))</f>
        <v>0</v>
      </c>
      <c r="L178" s="68">
        <f>IF(A11stdlife="n/a","n/a",IF(L$3&gt;(A11stdlife+$F178),(Input!$J$153*(1+vanilla3)^0.5)-SUM($J178:K178),(Input!$J$153*(1+vanilla3)^0.5)/A11stdlife))</f>
        <v>0</v>
      </c>
      <c r="M178" s="68">
        <f>IF(A11stdlife="n/a","n/a",IF(M$3&gt;(A11stdlife+$F178),(Input!$J$153*(1+vanilla3)^0.5)-SUM($J178:L178),(Input!$J$153*(1+vanilla3)^0.5)/A11stdlife))</f>
        <v>0</v>
      </c>
      <c r="N178" s="68">
        <f>IF(A11stdlife="n/a","n/a",IF(N$3&gt;(A11stdlife+$F178),(Input!$J$153*(1+vanilla3)^0.5)-SUM($J178:M178),(Input!$J$153*(1+vanilla3)^0.5)/A11stdlife))</f>
        <v>0</v>
      </c>
      <c r="O178" s="68">
        <f>IF(A11stdlife="n/a","n/a",IF(O$3&gt;(A11stdlife+$F178),(Input!$J$153*(1+vanilla3)^0.5)-SUM($J178:N178),(Input!$J$153*(1+vanilla3)^0.5)/A11stdlife))</f>
        <v>0</v>
      </c>
      <c r="P178" s="68">
        <f>IF(A11stdlife="n/a","n/a",IF(P$3&gt;(A11stdlife+$F178),(Input!$J$153*(1+vanilla3)^0.5)-SUM($J178:O178),(Input!$J$153*(1+vanilla3)^0.5)/A11stdlife))</f>
        <v>0</v>
      </c>
      <c r="Q178" s="68">
        <f>IF(A11stdlife="n/a","n/a",IF(Q$3&gt;(A11stdlife+$F178),(Input!$J$153*(1+vanilla3)^0.5)-SUM($J178:P178),(Input!$J$153*(1+vanilla3)^0.5)/A11stdlife))</f>
        <v>0</v>
      </c>
      <c r="R178" s="68"/>
      <c r="S178" s="103"/>
      <c r="T178" s="103"/>
      <c r="U178" s="103"/>
      <c r="V178" s="103"/>
      <c r="W178" s="103"/>
      <c r="X178" s="103"/>
      <c r="Y178" s="103"/>
      <c r="Z178" s="103"/>
      <c r="AA178" s="103"/>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656"/>
      <c r="F179" s="86">
        <v>4</v>
      </c>
      <c r="G179" s="123"/>
      <c r="H179" s="148"/>
      <c r="I179" s="150"/>
      <c r="J179" s="150"/>
      <c r="K179" s="149"/>
      <c r="L179" s="68">
        <f>IF(A11stdlife="n/a","n/a",IF(L$3&gt;(A11stdlife+$F179),(Input!$K$153*(1+vanilla4)^0.5)-SUM($K179:K179),(Input!$K$153*(1+vanilla4)^0.5)/A11stdlife))</f>
        <v>0</v>
      </c>
      <c r="M179" s="68">
        <f>IF(A11stdlife="n/a","n/a",IF(M$3&gt;(A11stdlife+$F179),(Input!$K$153*(1+vanilla4)^0.5)-SUM($K179:L179),(Input!$K$153*(1+vanilla4)^0.5)/A11stdlife))</f>
        <v>0</v>
      </c>
      <c r="N179" s="68">
        <f>IF(A11stdlife="n/a","n/a",IF(N$3&gt;(A11stdlife+$F179),(Input!$K$153*(1+vanilla4)^0.5)-SUM($K179:M179),(Input!$K$153*(1+vanilla4)^0.5)/A11stdlife))</f>
        <v>0</v>
      </c>
      <c r="O179" s="68">
        <f>IF(A11stdlife="n/a","n/a",IF(O$3&gt;(A11stdlife+$F179),(Input!$K$153*(1+vanilla4)^0.5)-SUM($K179:N179),(Input!$K$153*(1+vanilla4)^0.5)/A11stdlife))</f>
        <v>0</v>
      </c>
      <c r="P179" s="68">
        <f>IF(A11stdlife="n/a","n/a",IF(P$3&gt;(A11stdlife+$F179),(Input!$K$153*(1+vanilla4)^0.5)-SUM($K179:O179),(Input!$K$153*(1+vanilla4)^0.5)/A11stdlife))</f>
        <v>0</v>
      </c>
      <c r="Q179" s="68">
        <f>IF(A11stdlife="n/a","n/a",IF(Q$3&gt;(A11stdlife+$F179),(Input!$K$153*(1+vanilla4)^0.5)-SUM($K179:P179),(Input!$K$153*(1+vanilla4)^0.5)/A11stdlife))</f>
        <v>0</v>
      </c>
      <c r="R179" s="68"/>
      <c r="S179" s="103"/>
      <c r="T179" s="103"/>
      <c r="U179" s="103"/>
      <c r="V179" s="103"/>
      <c r="W179" s="103"/>
      <c r="X179" s="103"/>
      <c r="Y179" s="103"/>
      <c r="Z179" s="103"/>
      <c r="AA179" s="103"/>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103"/>
      <c r="BE179" s="103"/>
      <c r="BF179" s="103"/>
      <c r="BG179" s="103"/>
      <c r="BH179" s="103"/>
      <c r="BI179" s="103"/>
      <c r="BJ179" s="103"/>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656"/>
      <c r="F180" s="86">
        <v>5</v>
      </c>
      <c r="G180" s="27"/>
      <c r="H180" s="148"/>
      <c r="I180" s="150"/>
      <c r="J180" s="150"/>
      <c r="K180" s="150"/>
      <c r="L180" s="149"/>
      <c r="M180" s="68">
        <f>IF(A11stdlife="n/a","n/a",IF(M$3&gt;(A11stdlife+$F180),(Input!$L$153*(1+vanilla5)^0.5)-SUM($L180:L180),(Input!$L153*(1+vanilla5)^0.5)/A11stdlife))</f>
        <v>0</v>
      </c>
      <c r="N180" s="68">
        <f>IF(A11stdlife="n/a","n/a",IF(N$3&gt;(A11stdlife+$F180),(Input!$L$153*(1+vanilla5)^0.5)-SUM($L180:M180),(Input!$L153*(1+vanilla5)^0.5)/A11stdlife))</f>
        <v>0</v>
      </c>
      <c r="O180" s="68">
        <f>IF(A11stdlife="n/a","n/a",IF(O$3&gt;(A11stdlife+$F180),(Input!$L$153*(1+vanilla5)^0.5)-SUM($L180:N180),(Input!$L153*(1+vanilla5)^0.5)/A11stdlife))</f>
        <v>0</v>
      </c>
      <c r="P180" s="68">
        <f>IF(A11stdlife="n/a","n/a",IF(P$3&gt;(A11stdlife+$F180),(Input!$L$153*(1+vanilla5)^0.5)-SUM($L180:O180),(Input!$L153*(1+vanilla5)^0.5)/A11stdlife))</f>
        <v>0</v>
      </c>
      <c r="Q180" s="68">
        <f>IF(A11stdlife="n/a","n/a",IF(Q$3&gt;(A11stdlife+$F180),(Input!$L$153*(1+vanilla5)^0.5)-SUM($L180:P180),(Input!$L153*(1+vanilla5)^0.5)/A11stdlife))</f>
        <v>0</v>
      </c>
      <c r="R180" s="68"/>
      <c r="S180" s="103"/>
      <c r="T180" s="103"/>
      <c r="U180" s="103"/>
      <c r="V180" s="103"/>
      <c r="W180" s="103"/>
      <c r="X180" s="103"/>
      <c r="Y180" s="103"/>
      <c r="Z180" s="103"/>
      <c r="AA180" s="103"/>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656"/>
      <c r="F181" s="86">
        <v>6</v>
      </c>
      <c r="G181" s="27"/>
      <c r="H181" s="148"/>
      <c r="I181" s="150"/>
      <c r="J181" s="150"/>
      <c r="K181" s="150"/>
      <c r="L181" s="150"/>
      <c r="M181" s="149"/>
      <c r="N181" s="68">
        <f>IF(A11stdlife="n/a","n/a",IF(N$3&gt;(A11stdlife+$F181),(Input!$M$153*(1+vanilla6)^0.5)-SUM($M181:M181),(Input!$M$153*(1+vanilla6)^0.5)/A11stdlife))</f>
        <v>0</v>
      </c>
      <c r="O181" s="68">
        <f>IF(A11stdlife="n/a","n/a",IF(O$3&gt;(A11stdlife+$F181),(Input!$M$153*(1+vanilla6)^0.5)-SUM($M181:N181),(Input!$M$153*(1+vanilla6)^0.5)/A11stdlife))</f>
        <v>0</v>
      </c>
      <c r="P181" s="68">
        <f>IF(A11stdlife="n/a","n/a",IF(P$3&gt;(A11stdlife+$F181),(Input!$M$153*(1+vanilla6)^0.5)-SUM($M181:O181),(Input!$M$153*(1+vanilla6)^0.5)/A11stdlife))</f>
        <v>0</v>
      </c>
      <c r="Q181" s="68">
        <f>IF(A11stdlife="n/a","n/a",IF(Q$3&gt;(A11stdlife+$F181),(Input!$M$153*(1+vanilla6)^0.5)-SUM($M181:P181),(Input!$M$153*(1+vanilla6)^0.5)/A11stdlife))</f>
        <v>0</v>
      </c>
      <c r="R181" s="68"/>
      <c r="S181" s="103"/>
      <c r="T181" s="103"/>
      <c r="U181" s="103"/>
      <c r="V181" s="103"/>
      <c r="W181" s="103"/>
      <c r="X181" s="103"/>
      <c r="Y181" s="103"/>
      <c r="Z181" s="103"/>
      <c r="AA181" s="103"/>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656"/>
      <c r="F182" s="86">
        <v>7</v>
      </c>
      <c r="G182" s="27"/>
      <c r="H182" s="148"/>
      <c r="I182" s="150"/>
      <c r="J182" s="150"/>
      <c r="K182" s="150"/>
      <c r="L182" s="150"/>
      <c r="M182" s="150"/>
      <c r="N182" s="149"/>
      <c r="O182" s="68">
        <f>IF(A11stdlife="n/a","n/a",IF(O$3&gt;(A11stdlife+$F182),(Input!$N$153*(1+vanilla7)^0.5)-SUM($N182:N182),(Input!$N$153*(1+vanilla7)^0.5)/A11stdlife))</f>
        <v>0</v>
      </c>
      <c r="P182" s="68">
        <f>IF(A11stdlife="n/a","n/a",IF(P$3&gt;(A11stdlife+$F182),(Input!$N$153*(1+vanilla7)^0.5)-SUM($N182:O182),(Input!$N$153*(1+vanilla7)^0.5)/A11stdlife))</f>
        <v>0</v>
      </c>
      <c r="Q182" s="68">
        <f>IF(A11stdlife="n/a","n/a",IF(Q$3&gt;(A11stdlife+$F182),(Input!$N$153*(1+vanilla7)^0.5)-SUM($N182:P182),(Input!$N$153*(1+vanilla7)^0.5)/A11stdlife))</f>
        <v>0</v>
      </c>
      <c r="R182" s="68"/>
      <c r="S182" s="103"/>
      <c r="T182" s="103"/>
      <c r="U182" s="103"/>
      <c r="V182" s="103"/>
      <c r="W182" s="103"/>
      <c r="X182" s="103"/>
      <c r="Y182" s="103"/>
      <c r="Z182" s="103"/>
      <c r="AA182" s="103"/>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656"/>
      <c r="F183" s="86">
        <v>8</v>
      </c>
      <c r="G183" s="27"/>
      <c r="H183" s="148"/>
      <c r="I183" s="150"/>
      <c r="J183" s="150"/>
      <c r="K183" s="150"/>
      <c r="L183" s="150"/>
      <c r="M183" s="150"/>
      <c r="N183" s="150"/>
      <c r="O183" s="149"/>
      <c r="P183" s="68">
        <f>IF(A11stdlife="n/a","n/a",IF(P$3&gt;(A11stdlife+$F183),(Input!$O$153*(1+vanilla8)^0.5)-SUM($O183:O183),(Input!$O$153*(1+vanilla8)^0.5)/A11stdlife))</f>
        <v>0</v>
      </c>
      <c r="Q183" s="68">
        <f>IF(A11stdlife="n/a","n/a",IF(Q$3&gt;(A11stdlife+$F183),(Input!$O$153*(1+vanilla8)^0.5)-SUM($O183:P183),(Input!$O$153*(1+vanilla8)^0.5)/A11stdlife))</f>
        <v>0</v>
      </c>
      <c r="R183" s="68"/>
      <c r="S183" s="103"/>
      <c r="T183" s="103"/>
      <c r="U183" s="103"/>
      <c r="V183" s="103"/>
      <c r="W183" s="103"/>
      <c r="X183" s="103"/>
      <c r="Y183" s="103"/>
      <c r="Z183" s="103"/>
      <c r="AA183" s="103"/>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656"/>
      <c r="F184" s="86">
        <v>9</v>
      </c>
      <c r="G184" s="27"/>
      <c r="H184" s="148"/>
      <c r="I184" s="150"/>
      <c r="J184" s="150"/>
      <c r="K184" s="150"/>
      <c r="L184" s="150"/>
      <c r="M184" s="150"/>
      <c r="N184" s="150"/>
      <c r="O184" s="150"/>
      <c r="P184" s="149"/>
      <c r="Q184" s="68">
        <f>IF(A11stdlife="n/a","n/a",IF(Q$3&gt;(A11stdlife+$F184),(Input!$P$153*(1+vanilla9)^0.5)-SUM($P184:P184),(Input!$P$153*(1+vanilla9)^0.5)/A11stdlife))</f>
        <v>0</v>
      </c>
      <c r="R184" s="68"/>
      <c r="S184" s="103"/>
      <c r="T184" s="103"/>
      <c r="U184" s="103"/>
      <c r="V184" s="103"/>
      <c r="W184" s="103"/>
      <c r="X184" s="103"/>
      <c r="Y184" s="103"/>
      <c r="Z184" s="103"/>
      <c r="AA184" s="103"/>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656"/>
      <c r="F185" s="87">
        <v>10</v>
      </c>
      <c r="G185" s="27"/>
      <c r="H185" s="148"/>
      <c r="I185" s="150"/>
      <c r="J185" s="150"/>
      <c r="K185" s="150"/>
      <c r="L185" s="150"/>
      <c r="M185" s="150"/>
      <c r="N185" s="150"/>
      <c r="O185" s="150"/>
      <c r="P185" s="150"/>
      <c r="Q185" s="149"/>
      <c r="R185" s="68"/>
      <c r="S185" s="103"/>
      <c r="T185" s="103"/>
      <c r="U185" s="103"/>
      <c r="V185" s="103"/>
      <c r="W185" s="103"/>
      <c r="X185" s="103"/>
      <c r="Y185" s="103"/>
      <c r="Z185" s="103"/>
      <c r="AA185" s="103"/>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f>Asset11</f>
        <v>0</v>
      </c>
      <c r="E186" s="9"/>
      <c r="F186" s="9"/>
      <c r="G186" s="123"/>
      <c r="H186" s="167">
        <f>-SUM(H174:H185)</f>
        <v>0</v>
      </c>
      <c r="I186" s="167">
        <f>-SUM(I174:I185)</f>
        <v>0</v>
      </c>
      <c r="J186" s="167">
        <f>-SUM(J174:J185)</f>
        <v>0</v>
      </c>
      <c r="K186" s="167">
        <f>-SUM(K174:K185)</f>
        <v>0</v>
      </c>
      <c r="L186" s="167">
        <f>-SUM(L174:L185)</f>
        <v>0</v>
      </c>
      <c r="M186" s="167">
        <f>IF(Input!M173&gt;0, -SUM(M174:M185), 0)</f>
        <v>0</v>
      </c>
      <c r="N186" s="167">
        <f>IF(Input!N173&gt;0, -SUM(N174:N185), 0)</f>
        <v>0</v>
      </c>
      <c r="O186" s="167">
        <f>IF(Input!O173&gt;0, -SUM(O174:O185), 0)</f>
        <v>0</v>
      </c>
      <c r="P186" s="167">
        <f>IF(Input!P173&gt;0, -SUM(P174:P185), 0)</f>
        <v>0</v>
      </c>
      <c r="Q186" s="167">
        <f>IF(Input!Q173&gt;0, -SUM(Q174:Q185), 0)</f>
        <v>0</v>
      </c>
      <c r="R186" s="66"/>
      <c r="S186" s="105"/>
      <c r="T186" s="105"/>
      <c r="U186" s="105"/>
      <c r="V186" s="105"/>
      <c r="W186" s="105"/>
      <c r="X186" s="105"/>
      <c r="Y186" s="105"/>
      <c r="Z186" s="105"/>
      <c r="AA186" s="105"/>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105"/>
      <c r="BE186" s="105"/>
      <c r="BF186" s="105"/>
      <c r="BG186" s="105"/>
      <c r="BH186" s="105"/>
      <c r="BI186" s="105"/>
      <c r="BJ186" s="105"/>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3"/>
      <c r="E187" s="34" t="s">
        <v>28</v>
      </c>
      <c r="F187" s="33"/>
      <c r="G187" s="176"/>
      <c r="H187" s="67">
        <f>IF(H$3&gt;A12remlife,A12value-SUM($G187:G187),IF(A12remlife="N/A","n/a",A12value/A12remlife))</f>
        <v>0</v>
      </c>
      <c r="I187" s="67">
        <f>IF(I$3&gt;A12remlife,A12value-SUM($G187:H187),IF(A12remlife="N/A","n/a",A12value/A12remlife))</f>
        <v>0</v>
      </c>
      <c r="J187" s="67">
        <f>IF(J$3&gt;A12remlife,A12value-SUM($G187:I187),IF(A12remlife="N/A","n/a",A12value/A12remlife))</f>
        <v>0</v>
      </c>
      <c r="K187" s="67">
        <f>IF(K$3&gt;A12remlife,A12value-SUM($G187:J187),IF(A12remlife="N/A","n/a",A12value/A12remlife))</f>
        <v>0</v>
      </c>
      <c r="L187" s="67">
        <f>IF(L$3&gt;A12remlife,A12value-SUM($G187:K187),IF(A12remlife="N/A","n/a",A12value/A12remlife))</f>
        <v>0</v>
      </c>
      <c r="M187" s="67">
        <f>IF(M$3&gt;A12remlife,A12value-SUM($G187:L187),IF(A12remlife="N/A","n/a",A12value/A12remlife))</f>
        <v>0</v>
      </c>
      <c r="N187" s="67">
        <f>IF(N$3&gt;A12remlife,A12value-SUM($G187:M187),IF(A12remlife="N/A","n/a",A12value/A12remlife))</f>
        <v>0</v>
      </c>
      <c r="O187" s="67">
        <f>IF(O$3&gt;A12remlife,A12value-SUM($G187:N187),IF(A12remlife="N/A","n/a",A12value/A12remlife))</f>
        <v>0</v>
      </c>
      <c r="P187" s="67">
        <f>IF(P$3&gt;A12remlife,A12value-SUM($G187:O187),IF(A12remlife="N/A","n/a",A12value/A12remlife))</f>
        <v>0</v>
      </c>
      <c r="Q187" s="67">
        <f>IF(Q$3&gt;A12remlife,A12value-SUM($G187:P187),IF(A12remlife="N/A","n/a",A12value/A12remlife))</f>
        <v>0</v>
      </c>
      <c r="R187" s="67"/>
      <c r="S187" s="103"/>
      <c r="T187" s="103"/>
      <c r="U187" s="103"/>
      <c r="V187" s="103"/>
      <c r="W187" s="103"/>
      <c r="X187" s="103"/>
      <c r="Y187" s="103"/>
      <c r="Z187" s="103"/>
      <c r="AA187" s="103"/>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655" t="s">
        <v>84</v>
      </c>
      <c r="F188" s="86">
        <v>0</v>
      </c>
      <c r="G188" s="123"/>
      <c r="H188" s="68"/>
      <c r="I188" s="68"/>
      <c r="J188" s="68"/>
      <c r="K188" s="68"/>
      <c r="L188" s="68"/>
      <c r="M188" s="165"/>
      <c r="N188" s="113"/>
      <c r="O188" s="68"/>
      <c r="P188" s="68"/>
      <c r="Q188" s="68"/>
      <c r="R188" s="68"/>
      <c r="S188" s="103"/>
      <c r="T188" s="103"/>
      <c r="U188" s="103"/>
      <c r="V188" s="103"/>
      <c r="W188" s="103"/>
      <c r="X188" s="103"/>
      <c r="Y188" s="103"/>
      <c r="Z188" s="103"/>
      <c r="AA188" s="103"/>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656"/>
      <c r="F189" s="86">
        <v>1</v>
      </c>
      <c r="G189" s="123"/>
      <c r="H189" s="147"/>
      <c r="I189" s="68">
        <f>IF(A12stdlife="n/a","n/a",IF(I$3&gt;(A12stdlife+$F189),(Input!$H$154*(1+vanilla1)^0.5)-SUM($H189:H189),(Input!$H$154*(1+vanilla1)^0.5)/A12stdlife))</f>
        <v>0</v>
      </c>
      <c r="J189" s="68">
        <f>IF(A12stdlife="n/a","n/a",IF(J$3&gt;(A12stdlife+$F189),(Input!$H$154*(1+vanilla1)^0.5)-SUM($H189:I189),(Input!$H$154*(1+vanilla1)^0.5)/A12stdlife))</f>
        <v>0</v>
      </c>
      <c r="K189" s="68">
        <f>IF(A12stdlife="n/a","n/a",IF(K$3&gt;(A12stdlife+$F189),(Input!$H$154*(1+vanilla1)^0.5)-SUM($H189:J189),(Input!$H$154*(1+vanilla1)^0.5)/A12stdlife))</f>
        <v>0</v>
      </c>
      <c r="L189" s="68">
        <f>IF(A12stdlife="n/a","n/a",IF(L$3&gt;(A12stdlife+$F189),(Input!$H$154*(1+vanilla1)^0.5)-SUM($H189:K189),(Input!$H$154*(1+vanilla1)^0.5)/A12stdlife))</f>
        <v>0</v>
      </c>
      <c r="M189" s="68">
        <f>IF(A12stdlife="n/a","n/a",IF(M$3&gt;(A12stdlife+$F189),(Input!$H$154*(1+vanilla1)^0.5)-SUM($H189:L189),(Input!$H$154*(1+vanilla1)^0.5)/A12stdlife))</f>
        <v>0</v>
      </c>
      <c r="N189" s="68">
        <f>IF(A12stdlife="n/a","n/a",IF(N$3&gt;(A12stdlife+$F189),(Input!$H$154*(1+vanilla1)^0.5)-SUM($H189:M189),(Input!$H$154*(1+vanilla1)^0.5)/A12stdlife))</f>
        <v>0</v>
      </c>
      <c r="O189" s="68">
        <f>IF(A12stdlife="n/a","n/a",IF(O$3&gt;(A12stdlife+$F189),(Input!$H$154*(1+vanilla1)^0.5)-SUM($H189:N189),(Input!$H$154*(1+vanilla1)^0.5)/A12stdlife))</f>
        <v>0</v>
      </c>
      <c r="P189" s="68">
        <f>IF(A12stdlife="n/a","n/a",IF(P$3&gt;(A12stdlife+$F189),(Input!$H$154*(1+vanilla1)^0.5)-SUM($H189:O189),(Input!$H$154*(1+vanilla1)^0.5)/A12stdlife))</f>
        <v>0</v>
      </c>
      <c r="Q189" s="68">
        <f>IF(A12stdlife="n/a","n/a",IF(Q$3&gt;(A12stdlife+$F189),(Input!$H$154*(1+vanilla1)^0.5)-SUM($H189:P189),(Input!$H$154*(1+vanilla1)^0.5)/A12stdlife))</f>
        <v>0</v>
      </c>
      <c r="R189" s="68"/>
      <c r="S189" s="103"/>
      <c r="T189" s="103"/>
      <c r="U189" s="103"/>
      <c r="V189" s="103"/>
      <c r="W189" s="103"/>
      <c r="X189" s="103"/>
      <c r="Y189" s="103"/>
      <c r="Z189" s="103"/>
      <c r="AA189" s="103"/>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656"/>
      <c r="F190" s="86">
        <v>2</v>
      </c>
      <c r="G190" s="123"/>
      <c r="H190" s="148"/>
      <c r="I190" s="149"/>
      <c r="J190" s="68">
        <f>IF(A12stdlife="n/a","n/a",IF(J$3&gt;(A12stdlife+$F190),(Input!$I$154*(1+vanilla2)^0.5)-SUM($I190:I190),(Input!$I$154*(1+vanilla2)^0.5)/A12stdlife))</f>
        <v>0</v>
      </c>
      <c r="K190" s="68">
        <f>IF(A12stdlife="n/a","n/a",IF(K$3&gt;(A12stdlife+$F190),(Input!$I$154*(1+vanilla2)^0.5)-SUM($I190:J190),(Input!$I$154*(1+vanilla2)^0.5)/A12stdlife))</f>
        <v>0</v>
      </c>
      <c r="L190" s="68">
        <f>IF(A12stdlife="n/a","n/a",IF(L$3&gt;(A12stdlife+$F190),(Input!$I$154*(1+vanilla2)^0.5)-SUM($I190:K190),(Input!$I$154*(1+vanilla2)^0.5)/A12stdlife))</f>
        <v>0</v>
      </c>
      <c r="M190" s="68">
        <f>IF(A12stdlife="n/a","n/a",IF(M$3&gt;(A12stdlife+$F190),(Input!$I$154*(1+vanilla2)^0.5)-SUM($I190:L190),(Input!$I$154*(1+vanilla2)^0.5)/A12stdlife))</f>
        <v>0</v>
      </c>
      <c r="N190" s="68">
        <f>IF(A12stdlife="n/a","n/a",IF(N$3&gt;(A12stdlife+$F190),(Input!$I$154*(1+vanilla2)^0.5)-SUM($I190:M190),(Input!$I$154*(1+vanilla2)^0.5)/A12stdlife))</f>
        <v>0</v>
      </c>
      <c r="O190" s="68">
        <f>IF(A12stdlife="n/a","n/a",IF(O$3&gt;(A12stdlife+$F190),(Input!$I$154*(1+vanilla2)^0.5)-SUM($I190:N190),(Input!$I$154*(1+vanilla2)^0.5)/A12stdlife))</f>
        <v>0</v>
      </c>
      <c r="P190" s="68">
        <f>IF(A12stdlife="n/a","n/a",IF(P$3&gt;(A12stdlife+$F190),(Input!$I$154*(1+vanilla2)^0.5)-SUM($I190:O190),(Input!$I$154*(1+vanilla2)^0.5)/A12stdlife))</f>
        <v>0</v>
      </c>
      <c r="Q190" s="68">
        <f>IF(A12stdlife="n/a","n/a",IF(Q$3&gt;(A12stdlife+$F190),(Input!$I$154*(1+vanilla2)^0.5)-SUM($I190:P190),(Input!$I$154*(1+vanilla2)^0.5)/A12stdlife))</f>
        <v>0</v>
      </c>
      <c r="R190" s="68"/>
      <c r="S190" s="103"/>
      <c r="T190" s="103"/>
      <c r="U190" s="103"/>
      <c r="V190" s="103"/>
      <c r="W190" s="103"/>
      <c r="X190" s="103"/>
      <c r="Y190" s="103"/>
      <c r="Z190" s="103"/>
      <c r="AA190" s="103"/>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656"/>
      <c r="F191" s="86">
        <v>3</v>
      </c>
      <c r="G191" s="123"/>
      <c r="H191" s="148"/>
      <c r="I191" s="150"/>
      <c r="J191" s="149"/>
      <c r="K191" s="68">
        <f>IF(A12stdlife="n/a","n/a",IF(K$3&gt;(A12stdlife+$F191),(Input!$J$154*(1+vanilla3)^0.5)-SUM($J191:J191),(Input!$J$154*(1+vanilla3)^0.5)/A12stdlife))</f>
        <v>0</v>
      </c>
      <c r="L191" s="68">
        <f>IF(A12stdlife="n/a","n/a",IF(L$3&gt;(A12stdlife+$F191),(Input!$J$154*(1+vanilla3)^0.5)-SUM($J191:K191),(Input!$J$154*(1+vanilla3)^0.5)/A12stdlife))</f>
        <v>0</v>
      </c>
      <c r="M191" s="68">
        <f>IF(A12stdlife="n/a","n/a",IF(M$3&gt;(A12stdlife+$F191),(Input!$J$154*(1+vanilla3)^0.5)-SUM($J191:L191),(Input!$J$154*(1+vanilla3)^0.5)/A12stdlife))</f>
        <v>0</v>
      </c>
      <c r="N191" s="68">
        <f>IF(A12stdlife="n/a","n/a",IF(N$3&gt;(A12stdlife+$F191),(Input!$J$154*(1+vanilla3)^0.5)-SUM($J191:M191),(Input!$J$154*(1+vanilla3)^0.5)/A12stdlife))</f>
        <v>0</v>
      </c>
      <c r="O191" s="68">
        <f>IF(A12stdlife="n/a","n/a",IF(O$3&gt;(A12stdlife+$F191),(Input!$J$154*(1+vanilla3)^0.5)-SUM($J191:N191),(Input!$J$154*(1+vanilla3)^0.5)/A12stdlife))</f>
        <v>0</v>
      </c>
      <c r="P191" s="68">
        <f>IF(A12stdlife="n/a","n/a",IF(P$3&gt;(A12stdlife+$F191),(Input!$J$154*(1+vanilla3)^0.5)-SUM($J191:O191),(Input!$J$154*(1+vanilla3)^0.5)/A12stdlife))</f>
        <v>0</v>
      </c>
      <c r="Q191" s="68">
        <f>IF(A12stdlife="n/a","n/a",IF(Q$3&gt;(A12stdlife+$F191),(Input!$J$154*(1+vanilla3)^0.5)-SUM($J191:P191),(Input!$J$154*(1+vanilla3)^0.5)/A12stdlife))</f>
        <v>0</v>
      </c>
      <c r="R191" s="68"/>
      <c r="S191" s="103"/>
      <c r="T191" s="103"/>
      <c r="U191" s="103"/>
      <c r="V191" s="103"/>
      <c r="W191" s="103"/>
      <c r="X191" s="103"/>
      <c r="Y191" s="103"/>
      <c r="Z191" s="103"/>
      <c r="AA191" s="103"/>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656"/>
      <c r="F192" s="86">
        <v>4</v>
      </c>
      <c r="G192" s="123"/>
      <c r="H192" s="148"/>
      <c r="I192" s="150"/>
      <c r="J192" s="150"/>
      <c r="K192" s="149"/>
      <c r="L192" s="68">
        <f>IF(A12stdlife="n/a","n/a",IF(L$3&gt;(A12stdlife+$F192),(Input!$K$154*(1+vanilla4)^0.5)-SUM($K192:K192),(Input!$K$154*(1+vanilla4)^0.5)/A12stdlife))</f>
        <v>0</v>
      </c>
      <c r="M192" s="68">
        <f>IF(A12stdlife="n/a","n/a",IF(M$3&gt;(A12stdlife+$F192),(Input!$K$154*(1+vanilla4)^0.5)-SUM($K192:L192),(Input!$K$154*(1+vanilla4)^0.5)/A12stdlife))</f>
        <v>0</v>
      </c>
      <c r="N192" s="68">
        <f>IF(A12stdlife="n/a","n/a",IF(N$3&gt;(A12stdlife+$F192),(Input!$K$154*(1+vanilla4)^0.5)-SUM($K192:M192),(Input!$K$154*(1+vanilla4)^0.5)/A12stdlife))</f>
        <v>0</v>
      </c>
      <c r="O192" s="68">
        <f>IF(A12stdlife="n/a","n/a",IF(O$3&gt;(A12stdlife+$F192),(Input!$K$154*(1+vanilla4)^0.5)-SUM($K192:N192),(Input!$K$154*(1+vanilla4)^0.5)/A12stdlife))</f>
        <v>0</v>
      </c>
      <c r="P192" s="68">
        <f>IF(A12stdlife="n/a","n/a",IF(P$3&gt;(A12stdlife+$F192),(Input!$K$154*(1+vanilla4)^0.5)-SUM($K192:O192),(Input!$K$154*(1+vanilla4)^0.5)/A12stdlife))</f>
        <v>0</v>
      </c>
      <c r="Q192" s="68">
        <f>IF(A12stdlife="n/a","n/a",IF(Q$3&gt;(A12stdlife+$F192),(Input!$K$154*(1+vanilla4)^0.5)-SUM($K192:P192),(Input!$K$154*(1+vanilla4)^0.5)/A12stdlife))</f>
        <v>0</v>
      </c>
      <c r="R192" s="68"/>
      <c r="S192" s="103"/>
      <c r="T192" s="103"/>
      <c r="U192" s="103"/>
      <c r="V192" s="103"/>
      <c r="W192" s="103"/>
      <c r="X192" s="103"/>
      <c r="Y192" s="103"/>
      <c r="Z192" s="103"/>
      <c r="AA192" s="103"/>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103"/>
      <c r="BE192" s="103"/>
      <c r="BF192" s="103"/>
      <c r="BG192" s="103"/>
      <c r="BH192" s="103"/>
      <c r="BI192" s="103"/>
      <c r="BJ192" s="103"/>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656"/>
      <c r="F193" s="86">
        <v>5</v>
      </c>
      <c r="G193" s="27"/>
      <c r="H193" s="148"/>
      <c r="I193" s="150"/>
      <c r="J193" s="150"/>
      <c r="K193" s="150"/>
      <c r="L193" s="149"/>
      <c r="M193" s="68">
        <f>IF(A12stdlife="n/a","n/a",IF(M$3&gt;(A12stdlife+$F193),(Input!$L$154*(1+vanilla5)^0.5)-SUM($L193:L193),(Input!$L$154*(1+vanilla5)^0.5)/A12stdlife))</f>
        <v>0</v>
      </c>
      <c r="N193" s="68">
        <f>IF(A12stdlife="n/a","n/a",IF(N$3&gt;(A12stdlife+$F193),(Input!$L$154*(1+vanilla5)^0.5)-SUM($L193:M193),(Input!$L$154*(1+vanilla5)^0.5)/A12stdlife))</f>
        <v>0</v>
      </c>
      <c r="O193" s="68">
        <f>IF(A12stdlife="n/a","n/a",IF(O$3&gt;(A12stdlife+$F193),(Input!$L$154*(1+vanilla5)^0.5)-SUM($L193:N193),(Input!$L$154*(1+vanilla5)^0.5)/A12stdlife))</f>
        <v>0</v>
      </c>
      <c r="P193" s="68">
        <f>IF(A12stdlife="n/a","n/a",IF(P$3&gt;(A12stdlife+$F193),(Input!$L$154*(1+vanilla5)^0.5)-SUM($L193:O193),(Input!$L$154*(1+vanilla5)^0.5)/A12stdlife))</f>
        <v>0</v>
      </c>
      <c r="Q193" s="68">
        <f>IF(A12stdlife="n/a","n/a",IF(Q$3&gt;(A12stdlife+$F193),(Input!$L$154*(1+vanilla5)^0.5)-SUM($L193:P193),(Input!$L$154*(1+vanilla5)^0.5)/A12stdlife))</f>
        <v>0</v>
      </c>
      <c r="R193" s="68"/>
      <c r="S193" s="103"/>
      <c r="T193" s="103"/>
      <c r="U193" s="103"/>
      <c r="V193" s="103"/>
      <c r="W193" s="103"/>
      <c r="X193" s="103"/>
      <c r="Y193" s="103"/>
      <c r="Z193" s="103"/>
      <c r="AA193" s="103"/>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656"/>
      <c r="F194" s="86">
        <v>6</v>
      </c>
      <c r="G194" s="27"/>
      <c r="H194" s="148"/>
      <c r="I194" s="150"/>
      <c r="J194" s="150"/>
      <c r="K194" s="150"/>
      <c r="L194" s="150"/>
      <c r="M194" s="149"/>
      <c r="N194" s="68">
        <f>IF(A12stdlife="n/a","n/a",IF(N$3&gt;(A12stdlife+$F194),(Input!$M$154*(1+vanilla6)^0.5)-SUM($M194:M194),(Input!$M$154*(1+vanilla6)^0.5)/A12stdlife))</f>
        <v>0</v>
      </c>
      <c r="O194" s="68">
        <f>IF(A12stdlife="n/a","n/a",IF(O$3&gt;(A12stdlife+$F194),(Input!$M$154*(1+vanilla6)^0.5)-SUM($M194:N194),(Input!$M$154*(1+vanilla6)^0.5)/A12stdlife))</f>
        <v>0</v>
      </c>
      <c r="P194" s="68">
        <f>IF(A12stdlife="n/a","n/a",IF(P$3&gt;(A12stdlife+$F194),(Input!$M$154*(1+vanilla6)^0.5)-SUM($M194:O194),(Input!$M$154*(1+vanilla6)^0.5)/A12stdlife))</f>
        <v>0</v>
      </c>
      <c r="Q194" s="68">
        <f>IF(A12stdlife="n/a","n/a",IF(Q$3&gt;(A12stdlife+$F194),(Input!$M$154*(1+vanilla6)^0.5)-SUM($M194:P194),(Input!$M$154*(1+vanilla6)^0.5)/A12stdlife))</f>
        <v>0</v>
      </c>
      <c r="R194" s="68"/>
      <c r="S194" s="103"/>
      <c r="T194" s="103"/>
      <c r="U194" s="103"/>
      <c r="V194" s="103"/>
      <c r="W194" s="103"/>
      <c r="X194" s="103"/>
      <c r="Y194" s="103"/>
      <c r="Z194" s="103"/>
      <c r="AA194" s="103"/>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656"/>
      <c r="F195" s="86">
        <v>7</v>
      </c>
      <c r="G195" s="27"/>
      <c r="H195" s="148"/>
      <c r="I195" s="150"/>
      <c r="J195" s="150"/>
      <c r="K195" s="150"/>
      <c r="L195" s="150"/>
      <c r="M195" s="150"/>
      <c r="N195" s="149"/>
      <c r="O195" s="68">
        <f>IF(A12stdlife="n/a","n/a",IF(O$3&gt;(A12stdlife+$F195),(Input!$N$154*(1+vanilla7)^0.5)-SUM($N195:N195),(Input!$N$154*(1+vanilla7)^0.5)/A12stdlife))</f>
        <v>0</v>
      </c>
      <c r="P195" s="68">
        <f>IF(A12stdlife="n/a","n/a",IF(P$3&gt;(A12stdlife+$F195),(Input!$N$154*(1+vanilla7)^0.5)-SUM($N195:O195),(Input!$N$154*(1+vanilla7)^0.5)/A12stdlife))</f>
        <v>0</v>
      </c>
      <c r="Q195" s="68">
        <f>IF(A12stdlife="n/a","n/a",IF(Q$3&gt;(A12stdlife+$F195),(Input!$N$154*(1+vanilla7)^0.5)-SUM($N195:P195),(Input!$N$154*(1+vanilla7)^0.5)/A12stdlife))</f>
        <v>0</v>
      </c>
      <c r="R195" s="68"/>
      <c r="S195" s="103"/>
      <c r="T195" s="103"/>
      <c r="U195" s="103"/>
      <c r="V195" s="103"/>
      <c r="W195" s="103"/>
      <c r="X195" s="103"/>
      <c r="Y195" s="103"/>
      <c r="Z195" s="103"/>
      <c r="AA195" s="103"/>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656"/>
      <c r="F196" s="86">
        <v>8</v>
      </c>
      <c r="G196" s="27"/>
      <c r="H196" s="148"/>
      <c r="I196" s="150"/>
      <c r="J196" s="150"/>
      <c r="K196" s="150"/>
      <c r="L196" s="150"/>
      <c r="M196" s="150"/>
      <c r="N196" s="150"/>
      <c r="O196" s="149"/>
      <c r="P196" s="68">
        <f>IF(A12stdlife="n/a","n/a",IF(P$3&gt;(A12stdlife+$F196),(Input!$O$154*(1+vanilla8)^0.5)-SUM($O196:O196),(Input!$O$154*(1+vanilla8)^0.5)/A12stdlife))</f>
        <v>0</v>
      </c>
      <c r="Q196" s="68">
        <f>IF(A12stdlife="n/a","n/a",IF(Q$3&gt;(A12stdlife+$F196),(Input!$O$154*(1+vanilla8)^0.5)-SUM($O196:P196),(Input!$O$154*(1+vanilla8)^0.5)/A12stdlife))</f>
        <v>0</v>
      </c>
      <c r="R196" s="68"/>
      <c r="S196" s="103"/>
      <c r="T196" s="103"/>
      <c r="U196" s="103"/>
      <c r="V196" s="103"/>
      <c r="W196" s="103"/>
      <c r="X196" s="103"/>
      <c r="Y196" s="103"/>
      <c r="Z196" s="103"/>
      <c r="AA196" s="103"/>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656"/>
      <c r="F197" s="86">
        <v>9</v>
      </c>
      <c r="G197" s="27"/>
      <c r="H197" s="148"/>
      <c r="I197" s="150"/>
      <c r="J197" s="150"/>
      <c r="K197" s="150"/>
      <c r="L197" s="150"/>
      <c r="M197" s="150"/>
      <c r="N197" s="150"/>
      <c r="O197" s="150"/>
      <c r="P197" s="149"/>
      <c r="Q197" s="68">
        <f>IF(A12stdlife="n/a","n/a",IF(Q$3&gt;(A12stdlife+$F197),(Input!$P$154*(1+vanilla9)^0.5)-SUM($P197:P197),(Input!$P$154*(1+vanilla9)^0.5)/A12stdlife))</f>
        <v>0</v>
      </c>
      <c r="R197" s="68"/>
      <c r="S197" s="103"/>
      <c r="T197" s="103"/>
      <c r="U197" s="103"/>
      <c r="V197" s="103"/>
      <c r="W197" s="103"/>
      <c r="X197" s="103"/>
      <c r="Y197" s="103"/>
      <c r="Z197" s="103"/>
      <c r="AA197" s="103"/>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656"/>
      <c r="F198" s="87">
        <v>10</v>
      </c>
      <c r="G198" s="27"/>
      <c r="H198" s="148"/>
      <c r="I198" s="150"/>
      <c r="J198" s="150"/>
      <c r="K198" s="150"/>
      <c r="L198" s="150"/>
      <c r="M198" s="150"/>
      <c r="N198" s="150"/>
      <c r="O198" s="150"/>
      <c r="P198" s="150"/>
      <c r="Q198" s="149"/>
      <c r="R198" s="68"/>
      <c r="S198" s="103"/>
      <c r="T198" s="103"/>
      <c r="U198" s="103"/>
      <c r="V198" s="103"/>
      <c r="W198" s="103"/>
      <c r="X198" s="103"/>
      <c r="Y198" s="103"/>
      <c r="Z198" s="103"/>
      <c r="AA198" s="103"/>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f>Asset12</f>
        <v>0</v>
      </c>
      <c r="E199" s="9"/>
      <c r="F199" s="9"/>
      <c r="G199" s="123"/>
      <c r="H199" s="167">
        <f>-SUM(H187:H198)</f>
        <v>0</v>
      </c>
      <c r="I199" s="167">
        <f>-SUM(I187:I198)</f>
        <v>0</v>
      </c>
      <c r="J199" s="167">
        <f>-SUM(J187:J198)</f>
        <v>0</v>
      </c>
      <c r="K199" s="167">
        <f>-SUM(K187:K198)</f>
        <v>0</v>
      </c>
      <c r="L199" s="167">
        <f>-SUM(L187:L198)</f>
        <v>0</v>
      </c>
      <c r="M199" s="167">
        <f>IF(Input!M173&gt;0, -SUM(M187:M198), 0)</f>
        <v>0</v>
      </c>
      <c r="N199" s="167">
        <f>IF(Input!N173&gt;0, -SUM(N187:N198), 0)</f>
        <v>0</v>
      </c>
      <c r="O199" s="167">
        <f>IF(Input!O173&gt;0, -SUM(O187:O198), 0)</f>
        <v>0</v>
      </c>
      <c r="P199" s="167">
        <f>IF(Input!P173&gt;0, -SUM(P187:P198), 0)</f>
        <v>0</v>
      </c>
      <c r="Q199" s="167">
        <f>IF(Input!Q173&gt;0, -SUM(Q187:Q198), 0)</f>
        <v>0</v>
      </c>
      <c r="R199" s="66"/>
      <c r="S199" s="105"/>
      <c r="T199" s="105"/>
      <c r="U199" s="105"/>
      <c r="V199" s="105"/>
      <c r="W199" s="105"/>
      <c r="X199" s="105"/>
      <c r="Y199" s="105"/>
      <c r="Z199" s="105"/>
      <c r="AA199" s="105"/>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105"/>
      <c r="BE199" s="105"/>
      <c r="BF199" s="105"/>
      <c r="BG199" s="105"/>
      <c r="BH199" s="105"/>
      <c r="BI199" s="105"/>
      <c r="BJ199" s="105"/>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3"/>
      <c r="E200" s="34" t="s">
        <v>28</v>
      </c>
      <c r="F200" s="33"/>
      <c r="G200" s="176"/>
      <c r="H200" s="67">
        <f>IF(H$3&gt;A13remlife,A13value-SUM($G200:G200),IF(A13remlife="N/A","n/a",A13value/A13remlife))</f>
        <v>0</v>
      </c>
      <c r="I200" s="67">
        <f>IF(I$3&gt;A13remlife,A13value-SUM($G200:H200),IF(A13remlife="N/A","n/a",A13value/A13remlife))</f>
        <v>0</v>
      </c>
      <c r="J200" s="67">
        <f>IF(J$3&gt;A13remlife,A13value-SUM($G200:I200),IF(A13remlife="N/A","n/a",A13value/A13remlife))</f>
        <v>0</v>
      </c>
      <c r="K200" s="67">
        <f>IF(K$3&gt;A13remlife,A13value-SUM($G200:J200),IF(A13remlife="N/A","n/a",A13value/A13remlife))</f>
        <v>0</v>
      </c>
      <c r="L200" s="67">
        <f>IF(L$3&gt;A13remlife,A13value-SUM($G200:K200),IF(A13remlife="N/A","n/a",A13value/A13remlife))</f>
        <v>0</v>
      </c>
      <c r="M200" s="67">
        <f>IF(M$3&gt;A13remlife,A13value-SUM($G200:L200),IF(A13remlife="N/A","n/a",A13value/A13remlife))</f>
        <v>0</v>
      </c>
      <c r="N200" s="67">
        <f>IF(N$3&gt;A13remlife,A13value-SUM($G200:M200),IF(A13remlife="N/A","n/a",A13value/A13remlife))</f>
        <v>0</v>
      </c>
      <c r="O200" s="67">
        <f>IF(O$3&gt;A13remlife,A13value-SUM($G200:N200),IF(A13remlife="N/A","n/a",A13value/A13remlife))</f>
        <v>0</v>
      </c>
      <c r="P200" s="67">
        <f>IF(P$3&gt;A13remlife,A13value-SUM($G200:O200),IF(A13remlife="N/A","n/a",A13value/A13remlife))</f>
        <v>0</v>
      </c>
      <c r="Q200" s="67">
        <f>IF(Q$3&gt;A13remlife,A13value-SUM($G200:P200),IF(A13remlife="N/A","n/a",A13value/A13remlife))</f>
        <v>0</v>
      </c>
      <c r="R200" s="67"/>
      <c r="S200" s="103"/>
      <c r="T200" s="103"/>
      <c r="U200" s="103"/>
      <c r="V200" s="103"/>
      <c r="W200" s="103"/>
      <c r="X200" s="103"/>
      <c r="Y200" s="103"/>
      <c r="Z200" s="103"/>
      <c r="AA200" s="103"/>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655" t="s">
        <v>84</v>
      </c>
      <c r="F201" s="86">
        <v>0</v>
      </c>
      <c r="G201" s="123"/>
      <c r="H201" s="68"/>
      <c r="I201" s="68"/>
      <c r="J201" s="68"/>
      <c r="K201" s="68"/>
      <c r="L201" s="68"/>
      <c r="M201" s="165"/>
      <c r="N201" s="113"/>
      <c r="O201" s="68"/>
      <c r="P201" s="68"/>
      <c r="Q201" s="68"/>
      <c r="R201" s="68"/>
      <c r="S201" s="103"/>
      <c r="T201" s="103"/>
      <c r="U201" s="103"/>
      <c r="V201" s="103"/>
      <c r="W201" s="103"/>
      <c r="X201" s="103"/>
      <c r="Y201" s="103"/>
      <c r="Z201" s="103"/>
      <c r="AA201" s="103"/>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656"/>
      <c r="F202" s="86">
        <v>1</v>
      </c>
      <c r="G202" s="123"/>
      <c r="H202" s="147"/>
      <c r="I202" s="68">
        <f>IF(A13stdlife="n/a","n/a",IF(I$3&gt;(A13stdlife+$F202),(Input!$H$155*(1+vanilla1)^0.5)-SUM($H202:H202),(Input!$H$155*(1+vanilla1)^0.5)/A13stdlife))</f>
        <v>0</v>
      </c>
      <c r="J202" s="68">
        <f>IF(A13stdlife="n/a","n/a",IF(J$3&gt;(A13stdlife+$F202),(Input!$H$155*(1+vanilla1)^0.5)-SUM($H202:I202),(Input!$H$155*(1+vanilla1)^0.5)/A13stdlife))</f>
        <v>0</v>
      </c>
      <c r="K202" s="68">
        <f>IF(A13stdlife="n/a","n/a",IF(K$3&gt;(A13stdlife+$F202),(Input!$H$155*(1+vanilla1)^0.5)-SUM($H202:J202),(Input!$H$155*(1+vanilla1)^0.5)/A13stdlife))</f>
        <v>0</v>
      </c>
      <c r="L202" s="68">
        <f>IF(A13stdlife="n/a","n/a",IF(L$3&gt;(A13stdlife+$F202),(Input!$H$155*(1+vanilla1)^0.5)-SUM($H202:K202),(Input!$H$155*(1+vanilla1)^0.5)/A13stdlife))</f>
        <v>0</v>
      </c>
      <c r="M202" s="68">
        <f>IF(A13stdlife="n/a","n/a",IF(M$3&gt;(A13stdlife+$F202),(Input!$H$155*(1+vanilla1)^0.5)-SUM($H202:L202),(Input!$H$155*(1+vanilla1)^0.5)/A13stdlife))</f>
        <v>0</v>
      </c>
      <c r="N202" s="68">
        <f>IF(A13stdlife="n/a","n/a",IF(N$3&gt;(A13stdlife+$F202),(Input!$H$155*(1+vanilla1)^0.5)-SUM($H202:M202),(Input!$H$155*(1+vanilla1)^0.5)/A13stdlife))</f>
        <v>0</v>
      </c>
      <c r="O202" s="68">
        <f>IF(A13stdlife="n/a","n/a",IF(O$3&gt;(A13stdlife+$F202),(Input!$H$155*(1+vanilla1)^0.5)-SUM($H202:N202),(Input!$H$155*(1+vanilla1)^0.5)/A13stdlife))</f>
        <v>0</v>
      </c>
      <c r="P202" s="68">
        <f>IF(A13stdlife="n/a","n/a",IF(P$3&gt;(A13stdlife+$F202),(Input!$H$155*(1+vanilla1)^0.5)-SUM($H202:O202),(Input!$H$155*(1+vanilla1)^0.5)/A13stdlife))</f>
        <v>0</v>
      </c>
      <c r="Q202" s="68">
        <f>IF(A13stdlife="n/a","n/a",IF(Q$3&gt;(A13stdlife+$F202),(Input!$H$155*(1+vanilla1)^0.5)-SUM($H202:P202),(Input!$H$155*(1+vanilla1)^0.5)/A13stdlife))</f>
        <v>0</v>
      </c>
      <c r="R202" s="68"/>
      <c r="S202" s="103"/>
      <c r="T202" s="103"/>
      <c r="U202" s="103"/>
      <c r="V202" s="103"/>
      <c r="W202" s="103"/>
      <c r="X202" s="103"/>
      <c r="Y202" s="103"/>
      <c r="Z202" s="103"/>
      <c r="AA202" s="103"/>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656"/>
      <c r="F203" s="86">
        <v>2</v>
      </c>
      <c r="G203" s="123"/>
      <c r="H203" s="148"/>
      <c r="I203" s="149"/>
      <c r="J203" s="68">
        <f>IF(A13stdlife="n/a","n/a",IF(J$3&gt;(A13stdlife+$F203),(Input!$I$155*(1+vanilla2)^0.5)-SUM($I203:I203),(Input!$I$155*(1+vanilla2)^0.5)/A13stdlife))</f>
        <v>0</v>
      </c>
      <c r="K203" s="68">
        <f>IF(A13stdlife="n/a","n/a",IF(K$3&gt;(A13stdlife+$F203),(Input!$I$155*(1+vanilla2)^0.5)-SUM($I203:J203),(Input!$I$155*(1+vanilla2)^0.5)/A13stdlife))</f>
        <v>0</v>
      </c>
      <c r="L203" s="68">
        <f>IF(A13stdlife="n/a","n/a",IF(L$3&gt;(A13stdlife+$F203),(Input!$I$155*(1+vanilla2)^0.5)-SUM($I203:K203),(Input!$I$155*(1+vanilla2)^0.5)/A13stdlife))</f>
        <v>0</v>
      </c>
      <c r="M203" s="68">
        <f>IF(A13stdlife="n/a","n/a",IF(M$3&gt;(A13stdlife+$F203),(Input!$I$155*(1+vanilla2)^0.5)-SUM($I203:L203),(Input!$I$155*(1+vanilla2)^0.5)/A13stdlife))</f>
        <v>0</v>
      </c>
      <c r="N203" s="68">
        <f>IF(A13stdlife="n/a","n/a",IF(N$3&gt;(A13stdlife+$F203),(Input!$I$155*(1+vanilla2)^0.5)-SUM($I203:M203),(Input!$I$155*(1+vanilla2)^0.5)/A13stdlife))</f>
        <v>0</v>
      </c>
      <c r="O203" s="68">
        <f>IF(A13stdlife="n/a","n/a",IF(O$3&gt;(A13stdlife+$F203),(Input!$I$155*(1+vanilla2)^0.5)-SUM($I203:N203),(Input!$I$155*(1+vanilla2)^0.5)/A13stdlife))</f>
        <v>0</v>
      </c>
      <c r="P203" s="68">
        <f>IF(A13stdlife="n/a","n/a",IF(P$3&gt;(A13stdlife+$F203),(Input!$I$155*(1+vanilla2)^0.5)-SUM($I203:O203),(Input!$I$155*(1+vanilla2)^0.5)/A13stdlife))</f>
        <v>0</v>
      </c>
      <c r="Q203" s="68">
        <f>IF(A13stdlife="n/a","n/a",IF(Q$3&gt;(A13stdlife+$F203),(Input!$I$155*(1+vanilla2)^0.5)-SUM($I203:P203),(Input!$I$155*(1+vanilla2)^0.5)/A13stdlife))</f>
        <v>0</v>
      </c>
      <c r="R203" s="68"/>
      <c r="S203" s="103"/>
      <c r="T203" s="103"/>
      <c r="U203" s="103"/>
      <c r="V203" s="103"/>
      <c r="W203" s="103"/>
      <c r="X203" s="103"/>
      <c r="Y203" s="103"/>
      <c r="Z203" s="103"/>
      <c r="AA203" s="103"/>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656"/>
      <c r="F204" s="86">
        <v>3</v>
      </c>
      <c r="G204" s="123"/>
      <c r="H204" s="148"/>
      <c r="I204" s="150"/>
      <c r="J204" s="149"/>
      <c r="K204" s="68">
        <f>IF(A13stdlife="n/a","n/a",IF(K$3&gt;(A13stdlife+$F204),(Input!$J$155*(1+vanilla3)^0.5)-SUM($J204:J204),(Input!$J$155*(1+vanilla3)^0.5)/A13stdlife))</f>
        <v>0</v>
      </c>
      <c r="L204" s="68">
        <f>IF(A13stdlife="n/a","n/a",IF(L$3&gt;(A13stdlife+$F204),(Input!$J$155*(1+vanilla3)^0.5)-SUM($J204:K204),(Input!$J$155*(1+vanilla3)^0.5)/A13stdlife))</f>
        <v>0</v>
      </c>
      <c r="M204" s="68">
        <f>IF(A13stdlife="n/a","n/a",IF(M$3&gt;(A13stdlife+$F204),(Input!$J$155*(1+vanilla3)^0.5)-SUM($J204:L204),(Input!$J$155*(1+vanilla3)^0.5)/A13stdlife))</f>
        <v>0</v>
      </c>
      <c r="N204" s="68">
        <f>IF(A13stdlife="n/a","n/a",IF(N$3&gt;(A13stdlife+$F204),(Input!$J$155*(1+vanilla3)^0.5)-SUM($J204:M204),(Input!$J$155*(1+vanilla3)^0.5)/A13stdlife))</f>
        <v>0</v>
      </c>
      <c r="O204" s="68">
        <f>IF(A13stdlife="n/a","n/a",IF(O$3&gt;(A13stdlife+$F204),(Input!$J$155*(1+vanilla3)^0.5)-SUM($J204:N204),(Input!$J$155*(1+vanilla3)^0.5)/A13stdlife))</f>
        <v>0</v>
      </c>
      <c r="P204" s="68">
        <f>IF(A13stdlife="n/a","n/a",IF(P$3&gt;(A13stdlife+$F204),(Input!$J$155*(1+vanilla3)^0.5)-SUM($J204:O204),(Input!$J$155*(1+vanilla3)^0.5)/A13stdlife))</f>
        <v>0</v>
      </c>
      <c r="Q204" s="68">
        <f>IF(A13stdlife="n/a","n/a",IF(Q$3&gt;(A13stdlife+$F204),(Input!$J$155*(1+vanilla3)^0.5)-SUM($J204:P204),(Input!$J$155*(1+vanilla3)^0.5)/A13stdlife))</f>
        <v>0</v>
      </c>
      <c r="R204" s="68"/>
      <c r="S204" s="103"/>
      <c r="T204" s="103"/>
      <c r="U204" s="103"/>
      <c r="V204" s="103"/>
      <c r="W204" s="103"/>
      <c r="X204" s="103"/>
      <c r="Y204" s="103"/>
      <c r="Z204" s="103"/>
      <c r="AA204" s="103"/>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656"/>
      <c r="F205" s="86">
        <v>4</v>
      </c>
      <c r="G205" s="123"/>
      <c r="H205" s="148"/>
      <c r="I205" s="150"/>
      <c r="J205" s="150"/>
      <c r="K205" s="149"/>
      <c r="L205" s="68">
        <f>IF(A13stdlife="n/a","n/a",IF(L$3&gt;(A13stdlife+$F205),(Input!$K$155*(1+vanilla4)^0.5)-SUM($K205:K205),(Input!$K$155*(1+vanilla4)^0.5)/A13stdlife))</f>
        <v>0</v>
      </c>
      <c r="M205" s="68">
        <f>IF(A13stdlife="n/a","n/a",IF(M$3&gt;(A13stdlife+$F205),(Input!$K$155*(1+vanilla4)^0.5)-SUM($K205:L205),(Input!$K$155*(1+vanilla4)^0.5)/A13stdlife))</f>
        <v>0</v>
      </c>
      <c r="N205" s="68">
        <f>IF(A13stdlife="n/a","n/a",IF(N$3&gt;(A13stdlife+$F205),(Input!$K$155*(1+vanilla4)^0.5)-SUM($K205:M205),(Input!$K$155*(1+vanilla4)^0.5)/A13stdlife))</f>
        <v>0</v>
      </c>
      <c r="O205" s="68">
        <f>IF(A13stdlife="n/a","n/a",IF(O$3&gt;(A13stdlife+$F205),(Input!$K$155*(1+vanilla4)^0.5)-SUM($K205:N205),(Input!$K$155*(1+vanilla4)^0.5)/A13stdlife))</f>
        <v>0</v>
      </c>
      <c r="P205" s="68">
        <f>IF(A13stdlife="n/a","n/a",IF(P$3&gt;(A13stdlife+$F205),(Input!$K$155*(1+vanilla4)^0.5)-SUM($K205:O205),(Input!$K$155*(1+vanilla4)^0.5)/A13stdlife))</f>
        <v>0</v>
      </c>
      <c r="Q205" s="68">
        <f>IF(A13stdlife="n/a","n/a",IF(Q$3&gt;(A13stdlife+$F205),(Input!$K$155*(1+vanilla4)^0.5)-SUM($K205:P205),(Input!$K$155*(1+vanilla4)^0.5)/A13stdlife))</f>
        <v>0</v>
      </c>
      <c r="R205" s="68"/>
      <c r="S205" s="103"/>
      <c r="T205" s="103"/>
      <c r="U205" s="103"/>
      <c r="V205" s="103"/>
      <c r="W205" s="103"/>
      <c r="X205" s="103"/>
      <c r="Y205" s="103"/>
      <c r="Z205" s="103"/>
      <c r="AA205" s="103"/>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103"/>
      <c r="BE205" s="103"/>
      <c r="BF205" s="103"/>
      <c r="BG205" s="103"/>
      <c r="BH205" s="103"/>
      <c r="BI205" s="103"/>
      <c r="BJ205" s="103"/>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656"/>
      <c r="F206" s="86">
        <v>5</v>
      </c>
      <c r="G206" s="27"/>
      <c r="H206" s="148"/>
      <c r="I206" s="150"/>
      <c r="J206" s="150"/>
      <c r="K206" s="150"/>
      <c r="L206" s="149"/>
      <c r="M206" s="68">
        <f>IF(A13stdlife="n/a","n/a",IF(M$3&gt;(A13stdlife+$F206),(Input!$L$155*(1+vanilla5)^0.5)-SUM($L206:L206),(Input!$L$155*(1+vanilla5)^0.5)/A13stdlife))</f>
        <v>0</v>
      </c>
      <c r="N206" s="68">
        <f>IF(A13stdlife="n/a","n/a",IF(N$3&gt;(A13stdlife+$F206),(Input!$L$155*(1+vanilla5)^0.5)-SUM($L206:M206),(Input!$L$155*(1+vanilla5)^0.5)/A13stdlife))</f>
        <v>0</v>
      </c>
      <c r="O206" s="68">
        <f>IF(A13stdlife="n/a","n/a",IF(O$3&gt;(A13stdlife+$F206),(Input!$L$155*(1+vanilla5)^0.5)-SUM($L206:N206),(Input!$L$155*(1+vanilla5)^0.5)/A13stdlife))</f>
        <v>0</v>
      </c>
      <c r="P206" s="68">
        <f>IF(A13stdlife="n/a","n/a",IF(P$3&gt;(A13stdlife+$F206),(Input!$L$155*(1+vanilla5)^0.5)-SUM($L206:O206),(Input!$L$155*(1+vanilla5)^0.5)/A13stdlife))</f>
        <v>0</v>
      </c>
      <c r="Q206" s="68">
        <f>IF(A13stdlife="n/a","n/a",IF(Q$3&gt;(A13stdlife+$F206),(Input!$L$155*(1+vanilla5)^0.5)-SUM($L206:P206),(Input!$L$155*(1+vanilla5)^0.5)/A13stdlife))</f>
        <v>0</v>
      </c>
      <c r="R206" s="68"/>
      <c r="S206" s="103"/>
      <c r="T206" s="103"/>
      <c r="U206" s="103"/>
      <c r="V206" s="103"/>
      <c r="W206" s="103"/>
      <c r="X206" s="103"/>
      <c r="Y206" s="103"/>
      <c r="Z206" s="103"/>
      <c r="AA206" s="103"/>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656"/>
      <c r="F207" s="86">
        <v>6</v>
      </c>
      <c r="G207" s="27"/>
      <c r="H207" s="148"/>
      <c r="I207" s="150"/>
      <c r="J207" s="150"/>
      <c r="K207" s="150"/>
      <c r="L207" s="150"/>
      <c r="M207" s="149"/>
      <c r="N207" s="68">
        <f>IF(A13stdlife="n/a","n/a",IF(N$3&gt;(A13stdlife+$F207),(Input!$M$155*(1+vanilla6)^0.5)-SUM($M207:M207),(Input!$M$155*(1+vanilla6)^0.5)/A13stdlife))</f>
        <v>0</v>
      </c>
      <c r="O207" s="68">
        <f>IF(A13stdlife="n/a","n/a",IF(O$3&gt;(A13stdlife+$F207),(Input!$M$155*(1+vanilla6)^0.5)-SUM($M207:N207),(Input!$M$155*(1+vanilla6)^0.5)/A13stdlife))</f>
        <v>0</v>
      </c>
      <c r="P207" s="68">
        <f>IF(A13stdlife="n/a","n/a",IF(P$3&gt;(A13stdlife+$F207),(Input!$M$155*(1+vanilla6)^0.5)-SUM($M207:O207),(Input!$M$155*(1+vanilla6)^0.5)/A13stdlife))</f>
        <v>0</v>
      </c>
      <c r="Q207" s="68">
        <f>IF(A13stdlife="n/a","n/a",IF(Q$3&gt;(A13stdlife+$F207),(Input!$M$155*(1+vanilla6)^0.5)-SUM($M207:P207),(Input!$M$155*(1+vanilla6)^0.5)/A13stdlife))</f>
        <v>0</v>
      </c>
      <c r="R207" s="68"/>
      <c r="S207" s="103"/>
      <c r="T207" s="103"/>
      <c r="U207" s="103"/>
      <c r="V207" s="103"/>
      <c r="W207" s="103"/>
      <c r="X207" s="103"/>
      <c r="Y207" s="103"/>
      <c r="Z207" s="103"/>
      <c r="AA207" s="103"/>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656"/>
      <c r="F208" s="86">
        <v>7</v>
      </c>
      <c r="G208" s="27"/>
      <c r="H208" s="148"/>
      <c r="I208" s="150"/>
      <c r="J208" s="150"/>
      <c r="K208" s="150"/>
      <c r="L208" s="150"/>
      <c r="M208" s="150"/>
      <c r="N208" s="149"/>
      <c r="O208" s="68">
        <f>IF(A13stdlife="n/a","n/a",IF(O$3&gt;(A13stdlife+$F208),(Input!$N$155*(1+vanilla7)^0.5)-SUM($N208:N208),(Input!$N$155*(1+vanilla7)^0.5)/A13stdlife))</f>
        <v>0</v>
      </c>
      <c r="P208" s="68">
        <f>IF(A13stdlife="n/a","n/a",IF(P$3&gt;(A13stdlife+$F208),(Input!$N$155*(1+vanilla7)^0.5)-SUM($N208:O208),(Input!$N$155*(1+vanilla7)^0.5)/A13stdlife))</f>
        <v>0</v>
      </c>
      <c r="Q208" s="68">
        <f>IF(A13stdlife="n/a","n/a",IF(Q$3&gt;(A13stdlife+$F208),(Input!$N$155*(1+vanilla7)^0.5)-SUM($N208:P208),(Input!$N$155*(1+vanilla7)^0.5)/A13stdlife))</f>
        <v>0</v>
      </c>
      <c r="R208" s="68"/>
      <c r="S208" s="103"/>
      <c r="T208" s="103"/>
      <c r="U208" s="103"/>
      <c r="V208" s="103"/>
      <c r="W208" s="103"/>
      <c r="X208" s="103"/>
      <c r="Y208" s="103"/>
      <c r="Z208" s="103"/>
      <c r="AA208" s="103"/>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656"/>
      <c r="F209" s="86">
        <v>8</v>
      </c>
      <c r="G209" s="27"/>
      <c r="H209" s="148"/>
      <c r="I209" s="150"/>
      <c r="J209" s="150"/>
      <c r="K209" s="150"/>
      <c r="L209" s="150"/>
      <c r="M209" s="150"/>
      <c r="N209" s="150"/>
      <c r="O209" s="149"/>
      <c r="P209" s="68">
        <f>IF(A13stdlife="n/a","n/a",IF(P$3&gt;(A13stdlife+$F209),(Input!$O$155*(1+vanilla8)^0.5)-SUM($O209:O209),(Input!$O$155*(1+vanilla8)^0.5)/A13stdlife))</f>
        <v>0</v>
      </c>
      <c r="Q209" s="68">
        <f>IF(A13stdlife="n/a","n/a",IF(Q$3&gt;(A13stdlife+$F209),(Input!$O$155*(1+vanilla8)^0.5)-SUM($O209:P209),(Input!$O$155*(1+vanilla8)^0.5)/A13stdlife))</f>
        <v>0</v>
      </c>
      <c r="R209" s="68"/>
      <c r="S209" s="103"/>
      <c r="T209" s="103"/>
      <c r="U209" s="103"/>
      <c r="V209" s="103"/>
      <c r="W209" s="103"/>
      <c r="X209" s="103"/>
      <c r="Y209" s="103"/>
      <c r="Z209" s="103"/>
      <c r="AA209" s="103"/>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656"/>
      <c r="F210" s="86">
        <v>9</v>
      </c>
      <c r="G210" s="27"/>
      <c r="H210" s="148"/>
      <c r="I210" s="150"/>
      <c r="J210" s="150"/>
      <c r="K210" s="150"/>
      <c r="L210" s="150"/>
      <c r="M210" s="150"/>
      <c r="N210" s="150"/>
      <c r="O210" s="150"/>
      <c r="P210" s="149"/>
      <c r="Q210" s="68">
        <f>IF(A13stdlife="n/a","n/a",IF(Q$3&gt;(A13stdlife+$F210),(Input!$P$155*(1+vanilla9)^0.5)-SUM($P210:P210),(Input!$P$155*(1+vanilla9)^0.5)/A13stdlife))</f>
        <v>0</v>
      </c>
      <c r="R210" s="68"/>
      <c r="S210" s="103"/>
      <c r="T210" s="103"/>
      <c r="U210" s="103"/>
      <c r="V210" s="103"/>
      <c r="W210" s="103"/>
      <c r="X210" s="103"/>
      <c r="Y210" s="103"/>
      <c r="Z210" s="103"/>
      <c r="AA210" s="103"/>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656"/>
      <c r="F211" s="87">
        <v>10</v>
      </c>
      <c r="G211" s="27"/>
      <c r="H211" s="148"/>
      <c r="I211" s="150"/>
      <c r="J211" s="150"/>
      <c r="K211" s="150"/>
      <c r="L211" s="150"/>
      <c r="M211" s="150"/>
      <c r="N211" s="150"/>
      <c r="O211" s="150"/>
      <c r="P211" s="150"/>
      <c r="Q211" s="149"/>
      <c r="R211" s="68"/>
      <c r="S211" s="103"/>
      <c r="T211" s="103"/>
      <c r="U211" s="103"/>
      <c r="V211" s="103"/>
      <c r="W211" s="103"/>
      <c r="X211" s="103"/>
      <c r="Y211" s="103"/>
      <c r="Z211" s="103"/>
      <c r="AA211" s="103"/>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f>Asset13</f>
        <v>0</v>
      </c>
      <c r="E212" s="9"/>
      <c r="F212" s="9"/>
      <c r="G212" s="123"/>
      <c r="H212" s="167">
        <f>-SUM(H200:H211)</f>
        <v>0</v>
      </c>
      <c r="I212" s="167">
        <f>-SUM(I200:I211)</f>
        <v>0</v>
      </c>
      <c r="J212" s="167">
        <f>-SUM(J200:J211)</f>
        <v>0</v>
      </c>
      <c r="K212" s="167">
        <f>-SUM(K200:K211)</f>
        <v>0</v>
      </c>
      <c r="L212" s="167">
        <f>-SUM(L200:L211)</f>
        <v>0</v>
      </c>
      <c r="M212" s="167">
        <f>IF(Input!M173&gt;0, -SUM(M200:M211), 0)</f>
        <v>0</v>
      </c>
      <c r="N212" s="167">
        <f>IF(Input!N173&gt;0, -SUM(N200:N211), 0)</f>
        <v>0</v>
      </c>
      <c r="O212" s="167">
        <f>IF(Input!O173&gt;0, -SUM(O200:O211), 0)</f>
        <v>0</v>
      </c>
      <c r="P212" s="167">
        <f>IF(Input!P173&gt;0, -SUM(P200:P211), 0)</f>
        <v>0</v>
      </c>
      <c r="Q212" s="167">
        <f>IF(Input!Q173&gt;0, -SUM(Q200:Q211), 0)</f>
        <v>0</v>
      </c>
      <c r="R212" s="66"/>
      <c r="S212" s="105"/>
      <c r="T212" s="105"/>
      <c r="U212" s="105"/>
      <c r="V212" s="105"/>
      <c r="W212" s="105"/>
      <c r="X212" s="105"/>
      <c r="Y212" s="105"/>
      <c r="Z212" s="105"/>
      <c r="AA212" s="105"/>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105"/>
      <c r="BE212" s="105"/>
      <c r="BF212" s="105"/>
      <c r="BG212" s="105"/>
      <c r="BH212" s="105"/>
      <c r="BI212" s="105"/>
      <c r="BJ212" s="105"/>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3"/>
      <c r="E213" s="34" t="s">
        <v>28</v>
      </c>
      <c r="F213" s="33"/>
      <c r="G213" s="176"/>
      <c r="H213" s="67">
        <f>IF(H$3&gt;A14remlife,A14value-SUM($G213:G213),IF(A14remlife="N/A","n/a",A14value/A14remlife))</f>
        <v>0</v>
      </c>
      <c r="I213" s="67">
        <f>IF(I$3&gt;A14remlife,A14value-SUM($G213:H213),IF(A14remlife="N/A","n/a",A14value/A14remlife))</f>
        <v>0</v>
      </c>
      <c r="J213" s="67">
        <f>IF(J$3&gt;A14remlife,A14value-SUM($G213:I213),IF(A14remlife="N/A","n/a",A14value/A14remlife))</f>
        <v>0</v>
      </c>
      <c r="K213" s="67">
        <f>IF(K$3&gt;A14remlife,A14value-SUM($G213:J213),IF(A14remlife="N/A","n/a",A14value/A14remlife))</f>
        <v>0</v>
      </c>
      <c r="L213" s="67">
        <f>IF(L$3&gt;A14remlife,A14value-SUM($G213:K213),IF(A14remlife="N/A","n/a",A14value/A14remlife))</f>
        <v>0</v>
      </c>
      <c r="M213" s="67">
        <f>IF(M$3&gt;A14remlife,A14value-SUM($G213:L213),IF(A14remlife="N/A","n/a",A14value/A14remlife))</f>
        <v>0</v>
      </c>
      <c r="N213" s="67">
        <f>IF(N$3&gt;A14remlife,A14value-SUM($G213:M213),IF(A14remlife="N/A","n/a",A14value/A14remlife))</f>
        <v>0</v>
      </c>
      <c r="O213" s="67">
        <f>IF(O$3&gt;A14remlife,A14value-SUM($G213:N213),IF(A14remlife="N/A","n/a",A14value/A14remlife))</f>
        <v>0</v>
      </c>
      <c r="P213" s="67">
        <f>IF(P$3&gt;A14remlife,A14value-SUM($G213:O213),IF(A14remlife="N/A","n/a",A14value/A14remlife))</f>
        <v>0</v>
      </c>
      <c r="Q213" s="67">
        <f>IF(Q$3&gt;A14remlife,A14value-SUM($G213:P213),IF(A14remlife="N/A","n/a",A14value/A14remlife))</f>
        <v>0</v>
      </c>
      <c r="R213" s="67"/>
      <c r="S213" s="103"/>
      <c r="T213" s="103"/>
      <c r="U213" s="103"/>
      <c r="V213" s="103"/>
      <c r="W213" s="103"/>
      <c r="X213" s="103"/>
      <c r="Y213" s="103"/>
      <c r="Z213" s="103"/>
      <c r="AA213" s="103"/>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655" t="s">
        <v>84</v>
      </c>
      <c r="F214" s="86">
        <v>0</v>
      </c>
      <c r="G214" s="123"/>
      <c r="H214" s="68"/>
      <c r="I214" s="68"/>
      <c r="J214" s="68"/>
      <c r="K214" s="68"/>
      <c r="L214" s="68"/>
      <c r="M214" s="165"/>
      <c r="N214" s="113"/>
      <c r="O214" s="68"/>
      <c r="P214" s="68"/>
      <c r="Q214" s="68"/>
      <c r="R214" s="68"/>
      <c r="S214" s="103"/>
      <c r="T214" s="103"/>
      <c r="U214" s="103"/>
      <c r="V214" s="103"/>
      <c r="W214" s="103"/>
      <c r="X214" s="103"/>
      <c r="Y214" s="103"/>
      <c r="Z214" s="103"/>
      <c r="AA214" s="103"/>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656"/>
      <c r="F215" s="86">
        <v>1</v>
      </c>
      <c r="G215" s="123"/>
      <c r="H215" s="147"/>
      <c r="I215" s="68">
        <f>IF(A14stdlife="n/a","n/a",IF(I$3&gt;(A14stdlife+$F215),(Input!$H$156*(1+vanilla1)^0.5)-SUM($H215:H215),(Input!$H$156*(1+vanilla1)^0.5)/A14stdlife))</f>
        <v>0</v>
      </c>
      <c r="J215" s="68">
        <f>IF(A14stdlife="n/a","n/a",IF(J$3&gt;(A14stdlife+$F215),(Input!$H$156*(1+vanilla1)^0.5)-SUM($H215:I215),(Input!$H$156*(1+vanilla1)^0.5)/A14stdlife))</f>
        <v>0</v>
      </c>
      <c r="K215" s="68">
        <f>IF(A14stdlife="n/a","n/a",IF(K$3&gt;(A14stdlife+$F215),(Input!$H$156*(1+vanilla1)^0.5)-SUM($H215:J215),(Input!$H$156*(1+vanilla1)^0.5)/A14stdlife))</f>
        <v>0</v>
      </c>
      <c r="L215" s="68">
        <f>IF(A14stdlife="n/a","n/a",IF(L$3&gt;(A14stdlife+$F215),(Input!$H$156*(1+vanilla1)^0.5)-SUM($H215:K215),(Input!$H$156*(1+vanilla1)^0.5)/A14stdlife))</f>
        <v>0</v>
      </c>
      <c r="M215" s="68">
        <f>IF(A14stdlife="n/a","n/a",IF(M$3&gt;(A14stdlife+$F215),(Input!$H$156*(1+vanilla1)^0.5)-SUM($H215:L215),(Input!$H$156*(1+vanilla1)^0.5)/A14stdlife))</f>
        <v>0</v>
      </c>
      <c r="N215" s="68">
        <f>IF(A14stdlife="n/a","n/a",IF(N$3&gt;(A14stdlife+$F215),(Input!$H$156*(1+vanilla1)^0.5)-SUM($H215:M215),(Input!$H$156*(1+vanilla1)^0.5)/A14stdlife))</f>
        <v>0</v>
      </c>
      <c r="O215" s="68">
        <f>IF(A14stdlife="n/a","n/a",IF(O$3&gt;(A14stdlife+$F215),(Input!$H$156*(1+vanilla1)^0.5)-SUM($H215:N215),(Input!$H$156*(1+vanilla1)^0.5)/A14stdlife))</f>
        <v>0</v>
      </c>
      <c r="P215" s="68">
        <f>IF(A14stdlife="n/a","n/a",IF(P$3&gt;(A14stdlife+$F215),(Input!$H$156*(1+vanilla1)^0.5)-SUM($H215:O215),(Input!$H$156*(1+vanilla1)^0.5)/A14stdlife))</f>
        <v>0</v>
      </c>
      <c r="Q215" s="68">
        <f>IF(A14stdlife="n/a","n/a",IF(Q$3&gt;(A14stdlife+$F215),(Input!$H$156*(1+vanilla1)^0.5)-SUM($H215:P215),(Input!$H$156*(1+vanilla1)^0.5)/A14stdlife))</f>
        <v>0</v>
      </c>
      <c r="R215" s="68"/>
      <c r="S215" s="103"/>
      <c r="T215" s="103"/>
      <c r="U215" s="103"/>
      <c r="V215" s="103"/>
      <c r="W215" s="103"/>
      <c r="X215" s="103"/>
      <c r="Y215" s="103"/>
      <c r="Z215" s="103"/>
      <c r="AA215" s="103"/>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656"/>
      <c r="F216" s="86">
        <v>2</v>
      </c>
      <c r="G216" s="123"/>
      <c r="H216" s="148"/>
      <c r="I216" s="149"/>
      <c r="J216" s="68">
        <f>IF(A14stdlife="n/a","n/a",IF(J$3&gt;(A14stdlife+$F216),(Input!$I$156*(1+vanilla2)^0.5)-SUM($I216:I216),(Input!$I$156*(1+vanilla2)^0.5)/A14stdlife))</f>
        <v>0</v>
      </c>
      <c r="K216" s="68">
        <f>IF(A14stdlife="n/a","n/a",IF(K$3&gt;(A14stdlife+$F216),(Input!$I$156*(1+vanilla2)^0.5)-SUM($I216:J216),(Input!$I$156*(1+vanilla2)^0.5)/A14stdlife))</f>
        <v>0</v>
      </c>
      <c r="L216" s="68">
        <f>IF(A14stdlife="n/a","n/a",IF(L$3&gt;(A14stdlife+$F216),(Input!$I$156*(1+vanilla2)^0.5)-SUM($I216:K216),(Input!$I$156*(1+vanilla2)^0.5)/A14stdlife))</f>
        <v>0</v>
      </c>
      <c r="M216" s="68">
        <f>IF(A14stdlife="n/a","n/a",IF(M$3&gt;(A14stdlife+$F216),(Input!$I$156*(1+vanilla2)^0.5)-SUM($I216:L216),(Input!$I$156*(1+vanilla2)^0.5)/A14stdlife))</f>
        <v>0</v>
      </c>
      <c r="N216" s="68">
        <f>IF(A14stdlife="n/a","n/a",IF(N$3&gt;(A14stdlife+$F216),(Input!$I$156*(1+vanilla2)^0.5)-SUM($I216:M216),(Input!$I$156*(1+vanilla2)^0.5)/A14stdlife))</f>
        <v>0</v>
      </c>
      <c r="O216" s="68">
        <f>IF(A14stdlife="n/a","n/a",IF(O$3&gt;(A14stdlife+$F216),(Input!$I$156*(1+vanilla2)^0.5)-SUM($I216:N216),(Input!$I$156*(1+vanilla2)^0.5)/A14stdlife))</f>
        <v>0</v>
      </c>
      <c r="P216" s="68">
        <f>IF(A14stdlife="n/a","n/a",IF(P$3&gt;(A14stdlife+$F216),(Input!$I$156*(1+vanilla2)^0.5)-SUM($I216:O216),(Input!$I$156*(1+vanilla2)^0.5)/A14stdlife))</f>
        <v>0</v>
      </c>
      <c r="Q216" s="68">
        <f>IF(A14stdlife="n/a","n/a",IF(Q$3&gt;(A14stdlife+$F216),(Input!$I$156*(1+vanilla2)^0.5)-SUM($I216:P216),(Input!$I$156*(1+vanilla2)^0.5)/A14stdlife))</f>
        <v>0</v>
      </c>
      <c r="R216" s="68"/>
      <c r="S216" s="103"/>
      <c r="T216" s="103"/>
      <c r="U216" s="103"/>
      <c r="V216" s="103"/>
      <c r="W216" s="103"/>
      <c r="X216" s="103"/>
      <c r="Y216" s="103"/>
      <c r="Z216" s="103"/>
      <c r="AA216" s="103"/>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656"/>
      <c r="F217" s="86">
        <v>3</v>
      </c>
      <c r="G217" s="123"/>
      <c r="H217" s="148"/>
      <c r="I217" s="150"/>
      <c r="J217" s="149"/>
      <c r="K217" s="68">
        <f>IF(A14stdlife="n/a","n/a",IF(K$3&gt;(A14stdlife+$F217),(Input!$J$156*(1+vanilla3)^0.5)-SUM($J217:J217),(Input!$J$156*(1+vanilla3)^0.5)/A14stdlife))</f>
        <v>0</v>
      </c>
      <c r="L217" s="68">
        <f>IF(A14stdlife="n/a","n/a",IF(L$3&gt;(A14stdlife+$F217),(Input!$J$156*(1+vanilla3)^0.5)-SUM($J217:K217),(Input!$J$156*(1+vanilla3)^0.5)/A14stdlife))</f>
        <v>0</v>
      </c>
      <c r="M217" s="68">
        <f>IF(A14stdlife="n/a","n/a",IF(M$3&gt;(A14stdlife+$F217),(Input!$J$156*(1+vanilla3)^0.5)-SUM($J217:L217),(Input!$J$156*(1+vanilla3)^0.5)/A14stdlife))</f>
        <v>0</v>
      </c>
      <c r="N217" s="68">
        <f>IF(A14stdlife="n/a","n/a",IF(N$3&gt;(A14stdlife+$F217),(Input!$J$156*(1+vanilla3)^0.5)-SUM($J217:M217),(Input!$J$156*(1+vanilla3)^0.5)/A14stdlife))</f>
        <v>0</v>
      </c>
      <c r="O217" s="68">
        <f>IF(A14stdlife="n/a","n/a",IF(O$3&gt;(A14stdlife+$F217),(Input!$J$156*(1+vanilla3)^0.5)-SUM($J217:N217),(Input!$J$156*(1+vanilla3)^0.5)/A14stdlife))</f>
        <v>0</v>
      </c>
      <c r="P217" s="68">
        <f>IF(A14stdlife="n/a","n/a",IF(P$3&gt;(A14stdlife+$F217),(Input!$J$156*(1+vanilla3)^0.5)-SUM($J217:O217),(Input!$J$156*(1+vanilla3)^0.5)/A14stdlife))</f>
        <v>0</v>
      </c>
      <c r="Q217" s="68">
        <f>IF(A14stdlife="n/a","n/a",IF(Q$3&gt;(A14stdlife+$F217),(Input!$J$156*(1+vanilla3)^0.5)-SUM($J217:P217),(Input!$J$156*(1+vanilla3)^0.5)/A14stdlife))</f>
        <v>0</v>
      </c>
      <c r="R217" s="68"/>
      <c r="S217" s="103"/>
      <c r="T217" s="103"/>
      <c r="U217" s="103"/>
      <c r="V217" s="103"/>
      <c r="W217" s="103"/>
      <c r="X217" s="103"/>
      <c r="Y217" s="103"/>
      <c r="Z217" s="103"/>
      <c r="AA217" s="103"/>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656"/>
      <c r="F218" s="86">
        <v>4</v>
      </c>
      <c r="G218" s="123"/>
      <c r="H218" s="148"/>
      <c r="I218" s="150"/>
      <c r="J218" s="150"/>
      <c r="K218" s="149"/>
      <c r="L218" s="68">
        <f>IF(A14stdlife="n/a","n/a",IF(L$3&gt;(A14stdlife+$F218),(Input!$K$156*(1+vanilla4)^0.5)-SUM($K218:K218),(Input!$K$156*(1+vanilla4)^0.5)/A14stdlife))</f>
        <v>0</v>
      </c>
      <c r="M218" s="68">
        <f>IF(A14stdlife="n/a","n/a",IF(M$3&gt;(A14stdlife+$F218),(Input!$K$156*(1+vanilla4)^0.5)-SUM($K218:L218),(Input!$K$156*(1+vanilla4)^0.5)/A14stdlife))</f>
        <v>0</v>
      </c>
      <c r="N218" s="68">
        <f>IF(A14stdlife="n/a","n/a",IF(N$3&gt;(A14stdlife+$F218),(Input!$K$156*(1+vanilla4)^0.5)-SUM($K218:M218),(Input!$K$156*(1+vanilla4)^0.5)/A14stdlife))</f>
        <v>0</v>
      </c>
      <c r="O218" s="68">
        <f>IF(A14stdlife="n/a","n/a",IF(O$3&gt;(A14stdlife+$F218),(Input!$K$156*(1+vanilla4)^0.5)-SUM($K218:N218),(Input!$K$156*(1+vanilla4)^0.5)/A14stdlife))</f>
        <v>0</v>
      </c>
      <c r="P218" s="68">
        <f>IF(A14stdlife="n/a","n/a",IF(P$3&gt;(A14stdlife+$F218),(Input!$K$156*(1+vanilla4)^0.5)-SUM($K218:O218),(Input!$K$156*(1+vanilla4)^0.5)/A14stdlife))</f>
        <v>0</v>
      </c>
      <c r="Q218" s="68">
        <f>IF(A14stdlife="n/a","n/a",IF(Q$3&gt;(A14stdlife+$F218),(Input!$K$156*(1+vanilla4)^0.5)-SUM($K218:P218),(Input!$K$156*(1+vanilla4)^0.5)/A14stdlife))</f>
        <v>0</v>
      </c>
      <c r="R218" s="68"/>
      <c r="S218" s="103"/>
      <c r="T218" s="103"/>
      <c r="U218" s="103"/>
      <c r="V218" s="103"/>
      <c r="W218" s="103"/>
      <c r="X218" s="103"/>
      <c r="Y218" s="103"/>
      <c r="Z218" s="103"/>
      <c r="AA218" s="103"/>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103"/>
      <c r="BE218" s="103"/>
      <c r="BF218" s="103"/>
      <c r="BG218" s="103"/>
      <c r="BH218" s="103"/>
      <c r="BI218" s="103"/>
      <c r="BJ218" s="103"/>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656"/>
      <c r="F219" s="86">
        <v>5</v>
      </c>
      <c r="G219" s="27"/>
      <c r="H219" s="148"/>
      <c r="I219" s="150"/>
      <c r="J219" s="150"/>
      <c r="K219" s="150"/>
      <c r="L219" s="149"/>
      <c r="M219" s="68">
        <f>IF(A14stdlife="n/a","n/a",IF(M$3&gt;(A14stdlife+$F219),(Input!$L$156*(1+vanilla5)^0.5)-SUM($L219:L219),(Input!$L$156*(1+vanilla5)^0.5)/A14stdlife))</f>
        <v>0</v>
      </c>
      <c r="N219" s="68">
        <f>IF(A14stdlife="n/a","n/a",IF(N$3&gt;(A14stdlife+$F219),(Input!$L$156*(1+vanilla5)^0.5)-SUM($L219:M219),(Input!$L$156*(1+vanilla5)^0.5)/A14stdlife))</f>
        <v>0</v>
      </c>
      <c r="O219" s="68">
        <f>IF(A14stdlife="n/a","n/a",IF(O$3&gt;(A14stdlife+$F219),(Input!$L$156*(1+vanilla5)^0.5)-SUM($L219:N219),(Input!$L$156*(1+vanilla5)^0.5)/A14stdlife))</f>
        <v>0</v>
      </c>
      <c r="P219" s="68">
        <f>IF(A14stdlife="n/a","n/a",IF(P$3&gt;(A14stdlife+$F219),(Input!$L$156*(1+vanilla5)^0.5)-SUM($L219:O219),(Input!$L$156*(1+vanilla5)^0.5)/A14stdlife))</f>
        <v>0</v>
      </c>
      <c r="Q219" s="68">
        <f>IF(A14stdlife="n/a","n/a",IF(Q$3&gt;(A14stdlife+$F219),(Input!$L$156*(1+vanilla5)^0.5)-SUM($L219:P219),(Input!$L$156*(1+vanilla5)^0.5)/A14stdlife))</f>
        <v>0</v>
      </c>
      <c r="R219" s="68"/>
      <c r="S219" s="103"/>
      <c r="T219" s="103"/>
      <c r="U219" s="103"/>
      <c r="V219" s="103"/>
      <c r="W219" s="103"/>
      <c r="X219" s="103"/>
      <c r="Y219" s="103"/>
      <c r="Z219" s="103"/>
      <c r="AA219" s="103"/>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656"/>
      <c r="F220" s="86">
        <v>6</v>
      </c>
      <c r="G220" s="27"/>
      <c r="H220" s="148"/>
      <c r="I220" s="150"/>
      <c r="J220" s="150"/>
      <c r="K220" s="150"/>
      <c r="L220" s="150"/>
      <c r="M220" s="149"/>
      <c r="N220" s="68">
        <f>IF(A14stdlife="n/a","n/a",IF(N$3&gt;(A14stdlife+$F220),(Input!$M$156*(1+vanilla6)^0.5)-SUM($M220:M220),(Input!$IL$156*(1+vanilla6)^0.5)/A14stdlife))</f>
        <v>0</v>
      </c>
      <c r="O220" s="68">
        <f>IF(A14stdlife="n/a","n/a",IF(O$3&gt;(A14stdlife+$F220),(Input!$M$156*(1+vanilla6)^0.5)-SUM($M220:N220),(Input!$IL$156*(1+vanilla6)^0.5)/A14stdlife))</f>
        <v>0</v>
      </c>
      <c r="P220" s="68">
        <f>IF(A14stdlife="n/a","n/a",IF(P$3&gt;(A14stdlife+$F220),(Input!$M$156*(1+vanilla6)^0.5)-SUM($M220:O220),(Input!$IL$156*(1+vanilla6)^0.5)/A14stdlife))</f>
        <v>0</v>
      </c>
      <c r="Q220" s="68">
        <f>IF(A14stdlife="n/a","n/a",IF(Q$3&gt;(A14stdlife+$F220),(Input!$M$156*(1+vanilla6)^0.5)-SUM($M220:P220),(Input!$IL$156*(1+vanilla6)^0.5)/A14stdlife))</f>
        <v>0</v>
      </c>
      <c r="R220" s="68"/>
      <c r="S220" s="103"/>
      <c r="T220" s="103"/>
      <c r="U220" s="103"/>
      <c r="V220" s="103"/>
      <c r="W220" s="103"/>
      <c r="X220" s="103"/>
      <c r="Y220" s="103"/>
      <c r="Z220" s="103"/>
      <c r="AA220" s="103"/>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656"/>
      <c r="F221" s="86">
        <v>7</v>
      </c>
      <c r="G221" s="27"/>
      <c r="H221" s="148"/>
      <c r="I221" s="150"/>
      <c r="J221" s="150"/>
      <c r="K221" s="150"/>
      <c r="L221" s="150"/>
      <c r="M221" s="150"/>
      <c r="N221" s="149"/>
      <c r="O221" s="68">
        <f>IF(A14stdlife="n/a","n/a",IF(O$3&gt;(A14stdlife+$F221),(Input!$N$156*(1+vanilla7)^0.5)-SUM($N221:N221),(Input!$N$156*(1+vanilla7)^0.5)/A14stdlife))</f>
        <v>0</v>
      </c>
      <c r="P221" s="68">
        <f>IF(A14stdlife="n/a","n/a",IF(P$3&gt;(A14stdlife+$F221),(Input!$N$156*(1+vanilla7)^0.5)-SUM($N221:O221),(Input!$N$156*(1+vanilla7)^0.5)/A14stdlife))</f>
        <v>0</v>
      </c>
      <c r="Q221" s="68">
        <f>IF(A14stdlife="n/a","n/a",IF(Q$3&gt;(A14stdlife+$F221),(Input!$N$156*(1+vanilla7)^0.5)-SUM($N221:P221),(Input!$N$156*(1+vanilla7)^0.5)/A14stdlife))</f>
        <v>0</v>
      </c>
      <c r="R221" s="68"/>
      <c r="S221" s="103"/>
      <c r="T221" s="103"/>
      <c r="U221" s="103"/>
      <c r="V221" s="103"/>
      <c r="W221" s="103"/>
      <c r="X221" s="103"/>
      <c r="Y221" s="103"/>
      <c r="Z221" s="103"/>
      <c r="AA221" s="103"/>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656"/>
      <c r="F222" s="86">
        <v>8</v>
      </c>
      <c r="G222" s="27"/>
      <c r="H222" s="148"/>
      <c r="I222" s="150"/>
      <c r="J222" s="150"/>
      <c r="K222" s="150"/>
      <c r="L222" s="150"/>
      <c r="M222" s="150"/>
      <c r="N222" s="150"/>
      <c r="O222" s="149"/>
      <c r="P222" s="68">
        <f>IF(A14stdlife="n/a","n/a",IF(P$3&gt;(A14stdlife+$F222),(Input!$O$156*(1+vanilla8)^0.5)-SUM($O222:O222),(Input!$O$156*(1+vanilla8)^0.5)/A14stdlife))</f>
        <v>0</v>
      </c>
      <c r="Q222" s="68">
        <f>IF(A14stdlife="n/a","n/a",IF(Q$3&gt;(A14stdlife+$F222),(Input!$O$156*(1+vanilla8)^0.5)-SUM($O222:P222),(Input!$O$156*(1+vanilla8)^0.5)/A14stdlife))</f>
        <v>0</v>
      </c>
      <c r="R222" s="68"/>
      <c r="S222" s="103"/>
      <c r="T222" s="103"/>
      <c r="U222" s="103"/>
      <c r="V222" s="103"/>
      <c r="W222" s="103"/>
      <c r="X222" s="103"/>
      <c r="Y222" s="103"/>
      <c r="Z222" s="103"/>
      <c r="AA222" s="103"/>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656"/>
      <c r="F223" s="86">
        <v>9</v>
      </c>
      <c r="G223" s="27"/>
      <c r="H223" s="148"/>
      <c r="I223" s="150"/>
      <c r="J223" s="150"/>
      <c r="K223" s="150"/>
      <c r="L223" s="150"/>
      <c r="M223" s="150"/>
      <c r="N223" s="150"/>
      <c r="O223" s="150"/>
      <c r="P223" s="149"/>
      <c r="Q223" s="68">
        <f>IF(A14stdlife="n/a","n/a",IF(Q$3&gt;(A14stdlife+$F223),(Input!$P$156*(1+vanilla9)^0.5)-SUM($P223:P223),(Input!$P$156*(1+vanilla9)^0.5)/A14stdlife))</f>
        <v>0</v>
      </c>
      <c r="R223" s="68"/>
      <c r="S223" s="103"/>
      <c r="T223" s="103"/>
      <c r="U223" s="103"/>
      <c r="V223" s="103"/>
      <c r="W223" s="103"/>
      <c r="X223" s="103"/>
      <c r="Y223" s="103"/>
      <c r="Z223" s="103"/>
      <c r="AA223" s="103"/>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656"/>
      <c r="F224" s="87">
        <v>10</v>
      </c>
      <c r="G224" s="27"/>
      <c r="H224" s="148"/>
      <c r="I224" s="150"/>
      <c r="J224" s="150"/>
      <c r="K224" s="150"/>
      <c r="L224" s="150"/>
      <c r="M224" s="150"/>
      <c r="N224" s="150"/>
      <c r="O224" s="150"/>
      <c r="P224" s="150"/>
      <c r="Q224" s="149"/>
      <c r="R224" s="68"/>
      <c r="S224" s="103"/>
      <c r="T224" s="103"/>
      <c r="U224" s="103"/>
      <c r="V224" s="103"/>
      <c r="W224" s="103"/>
      <c r="X224" s="103"/>
      <c r="Y224" s="103"/>
      <c r="Z224" s="103"/>
      <c r="AA224" s="103"/>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f>Asset14</f>
        <v>0</v>
      </c>
      <c r="E225" s="9"/>
      <c r="F225" s="9"/>
      <c r="G225" s="123"/>
      <c r="H225" s="167">
        <f>-SUM(H213:H224)</f>
        <v>0</v>
      </c>
      <c r="I225" s="167">
        <f>-SUM(I213:I224)</f>
        <v>0</v>
      </c>
      <c r="J225" s="167">
        <f>-SUM(J213:J224)</f>
        <v>0</v>
      </c>
      <c r="K225" s="167">
        <f>-SUM(K213:K224)</f>
        <v>0</v>
      </c>
      <c r="L225" s="167">
        <f>-SUM(L213:L224)</f>
        <v>0</v>
      </c>
      <c r="M225" s="167">
        <f>IF(Input!M173&gt;0, -SUM(M213:M224), 0)</f>
        <v>0</v>
      </c>
      <c r="N225" s="167">
        <f>IF(Input!N173&gt;0, -SUM(N213:N224), 0)</f>
        <v>0</v>
      </c>
      <c r="O225" s="167">
        <f>IF(Input!O173&gt;0, -SUM(O213:O224), 0)</f>
        <v>0</v>
      </c>
      <c r="P225" s="167">
        <f>IF(Input!P173&gt;0, -SUM(P213:P224), 0)</f>
        <v>0</v>
      </c>
      <c r="Q225" s="167">
        <f>IF(Input!Q173&gt;0, -SUM(Q213:Q224), 0)</f>
        <v>0</v>
      </c>
      <c r="R225" s="66"/>
      <c r="S225" s="105"/>
      <c r="T225" s="105"/>
      <c r="U225" s="105"/>
      <c r="V225" s="105"/>
      <c r="W225" s="105"/>
      <c r="X225" s="105"/>
      <c r="Y225" s="105"/>
      <c r="Z225" s="105"/>
      <c r="AA225" s="105"/>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105"/>
      <c r="BE225" s="105"/>
      <c r="BF225" s="105"/>
      <c r="BG225" s="105"/>
      <c r="BH225" s="105"/>
      <c r="BI225" s="105"/>
      <c r="BJ225" s="105"/>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3"/>
      <c r="E226" s="34" t="s">
        <v>28</v>
      </c>
      <c r="F226" s="33"/>
      <c r="G226" s="176"/>
      <c r="H226" s="67">
        <f>IF(H$3&gt;A15remlife,A15value-SUM($G226:G226),IF(A15remlife="N/A","n/a",A15value/A15remlife))</f>
        <v>0</v>
      </c>
      <c r="I226" s="67">
        <f>IF(I$3&gt;A15remlife,A15value-SUM($G226:H226),IF(A15remlife="N/A","n/a",A15value/A15remlife))</f>
        <v>0</v>
      </c>
      <c r="J226" s="67">
        <f>IF(J$3&gt;A15remlife,A15value-SUM($G226:I226),IF(A15remlife="N/A","n/a",A15value/A15remlife))</f>
        <v>0</v>
      </c>
      <c r="K226" s="67">
        <f>IF(K$3&gt;A15remlife,A15value-SUM($G226:J226),IF(A15remlife="N/A","n/a",A15value/A15remlife))</f>
        <v>0</v>
      </c>
      <c r="L226" s="67">
        <f>IF(L$3&gt;A15remlife,A15value-SUM($G226:K226),IF(A15remlife="N/A","n/a",A15value/A15remlife))</f>
        <v>0</v>
      </c>
      <c r="M226" s="67">
        <f>IF(M$3&gt;A15remlife,A15value-SUM($G226:L226),IF(A15remlife="N/A","n/a",A15value/A15remlife))</f>
        <v>0</v>
      </c>
      <c r="N226" s="67">
        <f>IF(N$3&gt;A15remlife,A15value-SUM($G226:M226),IF(A15remlife="N/A","n/a",A15value/A15remlife))</f>
        <v>0</v>
      </c>
      <c r="O226" s="67">
        <f>IF(O$3&gt;A15remlife,A15value-SUM($G226:N226),IF(A15remlife="N/A","n/a",A15value/A15remlife))</f>
        <v>0</v>
      </c>
      <c r="P226" s="67">
        <f>IF(P$3&gt;A15remlife,A15value-SUM($G226:O226),IF(A15remlife="N/A","n/a",A15value/A15remlife))</f>
        <v>0</v>
      </c>
      <c r="Q226" s="67">
        <f>IF(Q$3&gt;A15remlife,A15value-SUM($G226:P226),IF(A15remlife="N/A","n/a",A15value/A15remlife))</f>
        <v>0</v>
      </c>
      <c r="R226" s="67"/>
      <c r="S226" s="103"/>
      <c r="T226" s="103"/>
      <c r="U226" s="103"/>
      <c r="V226" s="103"/>
      <c r="W226" s="103"/>
      <c r="X226" s="103"/>
      <c r="Y226" s="103"/>
      <c r="Z226" s="103"/>
      <c r="AA226" s="103"/>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655" t="s">
        <v>84</v>
      </c>
      <c r="F227" s="86">
        <v>0</v>
      </c>
      <c r="G227" s="123"/>
      <c r="H227" s="68"/>
      <c r="I227" s="68"/>
      <c r="J227" s="68"/>
      <c r="K227" s="68"/>
      <c r="L227" s="68"/>
      <c r="M227" s="165"/>
      <c r="N227" s="113"/>
      <c r="O227" s="68"/>
      <c r="P227" s="68"/>
      <c r="Q227" s="68"/>
      <c r="R227" s="68"/>
      <c r="S227" s="103"/>
      <c r="T227" s="103"/>
      <c r="U227" s="103"/>
      <c r="V227" s="103"/>
      <c r="W227" s="103"/>
      <c r="X227" s="103"/>
      <c r="Y227" s="103"/>
      <c r="Z227" s="103"/>
      <c r="AA227" s="103"/>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656"/>
      <c r="F228" s="86">
        <v>1</v>
      </c>
      <c r="G228" s="123"/>
      <c r="H228" s="147"/>
      <c r="I228" s="68">
        <f>IF(A15stdlife="n/a","n/a",IF(I$3&gt;(A15stdlife+$F228),(Input!$H$157*(1+vanilla1)^0.5)-SUM($H228:H228),(Input!$H$157*(1+vanilla1)^0.5)/A15stdlife))</f>
        <v>0</v>
      </c>
      <c r="J228" s="68">
        <f>IF(A15stdlife="n/a","n/a",IF(J$3&gt;(A15stdlife+$F228),(Input!$H$157*(1+vanilla1)^0.5)-SUM($H228:I228),(Input!$H$157*(1+vanilla1)^0.5)/A15stdlife))</f>
        <v>0</v>
      </c>
      <c r="K228" s="68">
        <f>IF(A15stdlife="n/a","n/a",IF(K$3&gt;(A15stdlife+$F228),(Input!$H$157*(1+vanilla1)^0.5)-SUM($H228:J228),(Input!$H$157*(1+vanilla1)^0.5)/A15stdlife))</f>
        <v>0</v>
      </c>
      <c r="L228" s="68">
        <f>IF(A15stdlife="n/a","n/a",IF(L$3&gt;(A15stdlife+$F228),(Input!$H$157*(1+vanilla1)^0.5)-SUM($H228:K228),(Input!$H$157*(1+vanilla1)^0.5)/A15stdlife))</f>
        <v>0</v>
      </c>
      <c r="M228" s="68">
        <f>IF(A15stdlife="n/a","n/a",IF(M$3&gt;(A15stdlife+$F228),(Input!$H$157*(1+vanilla1)^0.5)-SUM($H228:L228),(Input!$H$157*(1+vanilla1)^0.5)/A15stdlife))</f>
        <v>0</v>
      </c>
      <c r="N228" s="68">
        <f>IF(A15stdlife="n/a","n/a",IF(N$3&gt;(A15stdlife+$F228),(Input!$H$157*(1+vanilla1)^0.5)-SUM($H228:M228),(Input!$H$157*(1+vanilla1)^0.5)/A15stdlife))</f>
        <v>0</v>
      </c>
      <c r="O228" s="68">
        <f>IF(A15stdlife="n/a","n/a",IF(O$3&gt;(A15stdlife+$F228),(Input!$H$157*(1+vanilla1)^0.5)-SUM($H228:N228),(Input!$H$157*(1+vanilla1)^0.5)/A15stdlife))</f>
        <v>0</v>
      </c>
      <c r="P228" s="68">
        <f>IF(A15stdlife="n/a","n/a",IF(P$3&gt;(A15stdlife+$F228),(Input!$H$157*(1+vanilla1)^0.5)-SUM($H228:O228),(Input!$H$157*(1+vanilla1)^0.5)/A15stdlife))</f>
        <v>0</v>
      </c>
      <c r="Q228" s="68">
        <f>IF(A15stdlife="n/a","n/a",IF(Q$3&gt;(A15stdlife+$F228),(Input!$H$157*(1+vanilla1)^0.5)-SUM($H228:P228),(Input!$H$157*(1+vanilla1)^0.5)/A15stdlife))</f>
        <v>0</v>
      </c>
      <c r="R228" s="68"/>
      <c r="S228" s="103"/>
      <c r="T228" s="103"/>
      <c r="U228" s="103"/>
      <c r="V228" s="103"/>
      <c r="W228" s="103"/>
      <c r="X228" s="103"/>
      <c r="Y228" s="103"/>
      <c r="Z228" s="103"/>
      <c r="AA228" s="103"/>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656"/>
      <c r="F229" s="86">
        <v>2</v>
      </c>
      <c r="G229" s="123"/>
      <c r="H229" s="148"/>
      <c r="I229" s="149"/>
      <c r="J229" s="68">
        <f>IF(A15stdlife="n/a","n/a",IF(J$3&gt;(A15stdlife+$F229),(Input!$I$157*(1+vanilla2)^0.5)-SUM($I229:I229),(Input!$I$157*(1+vanilla2)^0.5)/A15stdlife))</f>
        <v>0</v>
      </c>
      <c r="K229" s="68">
        <f>IF(A15stdlife="n/a","n/a",IF(K$3&gt;(A15stdlife+$F229),(Input!$I$157*(1+vanilla2)^0.5)-SUM($I229:J229),(Input!$I$157*(1+vanilla2)^0.5)/A15stdlife))</f>
        <v>0</v>
      </c>
      <c r="L229" s="68">
        <f>IF(A15stdlife="n/a","n/a",IF(L$3&gt;(A15stdlife+$F229),(Input!$I$157*(1+vanilla2)^0.5)-SUM($I229:K229),(Input!$I$157*(1+vanilla2)^0.5)/A15stdlife))</f>
        <v>0</v>
      </c>
      <c r="M229" s="68">
        <f>IF(A15stdlife="n/a","n/a",IF(M$3&gt;(A15stdlife+$F229),(Input!$I$157*(1+vanilla2)^0.5)-SUM($I229:L229),(Input!$I$157*(1+vanilla2)^0.5)/A15stdlife))</f>
        <v>0</v>
      </c>
      <c r="N229" s="68">
        <f>IF(A15stdlife="n/a","n/a",IF(N$3&gt;(A15stdlife+$F229),(Input!$I$157*(1+vanilla2)^0.5)-SUM($I229:M229),(Input!$I$157*(1+vanilla2)^0.5)/A15stdlife))</f>
        <v>0</v>
      </c>
      <c r="O229" s="68">
        <f>IF(A15stdlife="n/a","n/a",IF(O$3&gt;(A15stdlife+$F229),(Input!$I$157*(1+vanilla2)^0.5)-SUM($I229:N229),(Input!$I$157*(1+vanilla2)^0.5)/A15stdlife))</f>
        <v>0</v>
      </c>
      <c r="P229" s="68">
        <f>IF(A15stdlife="n/a","n/a",IF(P$3&gt;(A15stdlife+$F229),(Input!$I$157*(1+vanilla2)^0.5)-SUM($I229:O229),(Input!$I$157*(1+vanilla2)^0.5)/A15stdlife))</f>
        <v>0</v>
      </c>
      <c r="Q229" s="68">
        <f>IF(A15stdlife="n/a","n/a",IF(Q$3&gt;(A15stdlife+$F229),(Input!$I$157*(1+vanilla2)^0.5)-SUM($I229:P229),(Input!$I$157*(1+vanilla2)^0.5)/A15stdlife))</f>
        <v>0</v>
      </c>
      <c r="R229" s="68"/>
      <c r="S229" s="103"/>
      <c r="T229" s="103"/>
      <c r="U229" s="103"/>
      <c r="V229" s="103"/>
      <c r="W229" s="103"/>
      <c r="X229" s="103"/>
      <c r="Y229" s="103"/>
      <c r="Z229" s="103"/>
      <c r="AA229" s="103"/>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656"/>
      <c r="F230" s="86">
        <v>3</v>
      </c>
      <c r="G230" s="123"/>
      <c r="H230" s="148"/>
      <c r="I230" s="150"/>
      <c r="J230" s="149"/>
      <c r="K230" s="68">
        <f>IF(A15stdlife="n/a","n/a",IF(K$3&gt;(A15stdlife+$F230),(Input!$J$157*(1+vanilla3)^0.5)-SUM($J230:J230),(Input!$J$157*(1+vanilla3)^0.5)/A15stdlife))</f>
        <v>0</v>
      </c>
      <c r="L230" s="68">
        <f>IF(A15stdlife="n/a","n/a",IF(L$3&gt;(A15stdlife+$F230),(Input!$J$157*(1+vanilla3)^0.5)-SUM($J230:K230),(Input!$J$157*(1+vanilla3)^0.5)/A15stdlife))</f>
        <v>0</v>
      </c>
      <c r="M230" s="68">
        <f>IF(A15stdlife="n/a","n/a",IF(M$3&gt;(A15stdlife+$F230),(Input!$J$157*(1+vanilla3)^0.5)-SUM($J230:L230),(Input!$J$157*(1+vanilla3)^0.5)/A15stdlife))</f>
        <v>0</v>
      </c>
      <c r="N230" s="68">
        <f>IF(A15stdlife="n/a","n/a",IF(N$3&gt;(A15stdlife+$F230),(Input!$J$157*(1+vanilla3)^0.5)-SUM($J230:M230),(Input!$J$157*(1+vanilla3)^0.5)/A15stdlife))</f>
        <v>0</v>
      </c>
      <c r="O230" s="68">
        <f>IF(A15stdlife="n/a","n/a",IF(O$3&gt;(A15stdlife+$F230),(Input!$J$157*(1+vanilla3)^0.5)-SUM($J230:N230),(Input!$J$157*(1+vanilla3)^0.5)/A15stdlife))</f>
        <v>0</v>
      </c>
      <c r="P230" s="68">
        <f>IF(A15stdlife="n/a","n/a",IF(P$3&gt;(A15stdlife+$F230),(Input!$J$157*(1+vanilla3)^0.5)-SUM($J230:O230),(Input!$J$157*(1+vanilla3)^0.5)/A15stdlife))</f>
        <v>0</v>
      </c>
      <c r="Q230" s="68">
        <f>IF(A15stdlife="n/a","n/a",IF(Q$3&gt;(A15stdlife+$F230),(Input!$J$157*(1+vanilla3)^0.5)-SUM($J230:P230),(Input!$J$157*(1+vanilla3)^0.5)/A15stdlife))</f>
        <v>0</v>
      </c>
      <c r="R230" s="68"/>
      <c r="S230" s="103"/>
      <c r="T230" s="103"/>
      <c r="U230" s="103"/>
      <c r="V230" s="103"/>
      <c r="W230" s="103"/>
      <c r="X230" s="103"/>
      <c r="Y230" s="103"/>
      <c r="Z230" s="103"/>
      <c r="AA230" s="103"/>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656"/>
      <c r="F231" s="86">
        <v>4</v>
      </c>
      <c r="G231" s="123"/>
      <c r="H231" s="148"/>
      <c r="I231" s="150"/>
      <c r="J231" s="150"/>
      <c r="K231" s="149"/>
      <c r="L231" s="68">
        <f>IF(A15stdlife="n/a","n/a",IF(L$3&gt;(A15stdlife+$F231),(Input!$K$157*(1+vanilla4)^0.5)-SUM($K231:K231),(Input!$K$157*(1+vanilla4)^0.5)/A15stdlife))</f>
        <v>0</v>
      </c>
      <c r="M231" s="68">
        <f>IF(A15stdlife="n/a","n/a",IF(M$3&gt;(A15stdlife+$F231),(Input!$K$157*(1+vanilla4)^0.5)-SUM($K231:L231),(Input!$K$157*(1+vanilla4)^0.5)/A15stdlife))</f>
        <v>0</v>
      </c>
      <c r="N231" s="68">
        <f>IF(A15stdlife="n/a","n/a",IF(N$3&gt;(A15stdlife+$F231),(Input!$K$157*(1+vanilla4)^0.5)-SUM($K231:M231),(Input!$K$157*(1+vanilla4)^0.5)/A15stdlife))</f>
        <v>0</v>
      </c>
      <c r="O231" s="68">
        <f>IF(A15stdlife="n/a","n/a",IF(O$3&gt;(A15stdlife+$F231),(Input!$K$157*(1+vanilla4)^0.5)-SUM($K231:N231),(Input!$K$157*(1+vanilla4)^0.5)/A15stdlife))</f>
        <v>0</v>
      </c>
      <c r="P231" s="68">
        <f>IF(A15stdlife="n/a","n/a",IF(P$3&gt;(A15stdlife+$F231),(Input!$K$157*(1+vanilla4)^0.5)-SUM($K231:O231),(Input!$K$157*(1+vanilla4)^0.5)/A15stdlife))</f>
        <v>0</v>
      </c>
      <c r="Q231" s="68">
        <f>IF(A15stdlife="n/a","n/a",IF(Q$3&gt;(A15stdlife+$F231),(Input!$K$157*(1+vanilla4)^0.5)-SUM($K231:P231),(Input!$K$157*(1+vanilla4)^0.5)/A15stdlife))</f>
        <v>0</v>
      </c>
      <c r="R231" s="68"/>
      <c r="S231" s="103"/>
      <c r="T231" s="103"/>
      <c r="U231" s="103"/>
      <c r="V231" s="103"/>
      <c r="W231" s="103"/>
      <c r="X231" s="103"/>
      <c r="Y231" s="103"/>
      <c r="Z231" s="103"/>
      <c r="AA231" s="103"/>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103"/>
      <c r="BE231" s="103"/>
      <c r="BF231" s="103"/>
      <c r="BG231" s="103"/>
      <c r="BH231" s="103"/>
      <c r="BI231" s="103"/>
      <c r="BJ231" s="103"/>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656"/>
      <c r="F232" s="86">
        <v>5</v>
      </c>
      <c r="G232" s="27"/>
      <c r="H232" s="148"/>
      <c r="I232" s="150"/>
      <c r="J232" s="150"/>
      <c r="K232" s="150"/>
      <c r="L232" s="149"/>
      <c r="M232" s="68">
        <f>IF(A15stdlife="n/a","n/a",IF(M$3&gt;(A15stdlife+$F232),(Input!$L$157*(1+vanilla5)^0.5)-SUM($L232:L232),(Input!$L$157*(1+vanilla5)^0.5)/A15stdlife))</f>
        <v>0</v>
      </c>
      <c r="N232" s="68">
        <f>IF(A15stdlife="n/a","n/a",IF(N$3&gt;(A15stdlife+$F232),(Input!$L$157*(1+vanilla5)^0.5)-SUM($L232:M232),(Input!$L$157*(1+vanilla5)^0.5)/A15stdlife))</f>
        <v>0</v>
      </c>
      <c r="O232" s="68">
        <f>IF(A15stdlife="n/a","n/a",IF(O$3&gt;(A15stdlife+$F232),(Input!$L$157*(1+vanilla5)^0.5)-SUM($L232:N232),(Input!$L$157*(1+vanilla5)^0.5)/A15stdlife))</f>
        <v>0</v>
      </c>
      <c r="P232" s="68">
        <f>IF(A15stdlife="n/a","n/a",IF(P$3&gt;(A15stdlife+$F232),(Input!$L$157*(1+vanilla5)^0.5)-SUM($L232:O232),(Input!$L$157*(1+vanilla5)^0.5)/A15stdlife))</f>
        <v>0</v>
      </c>
      <c r="Q232" s="68">
        <f>IF(A15stdlife="n/a","n/a",IF(Q$3&gt;(A15stdlife+$F232),(Input!$L$157*(1+vanilla5)^0.5)-SUM($L232:P232),(Input!$L$157*(1+vanilla5)^0.5)/A15stdlife))</f>
        <v>0</v>
      </c>
      <c r="R232" s="68"/>
      <c r="S232" s="103"/>
      <c r="T232" s="103"/>
      <c r="U232" s="103"/>
      <c r="V232" s="103"/>
      <c r="W232" s="103"/>
      <c r="X232" s="103"/>
      <c r="Y232" s="103"/>
      <c r="Z232" s="103"/>
      <c r="AA232" s="103"/>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656"/>
      <c r="F233" s="86">
        <v>6</v>
      </c>
      <c r="G233" s="27"/>
      <c r="H233" s="148"/>
      <c r="I233" s="150"/>
      <c r="J233" s="150"/>
      <c r="K233" s="150"/>
      <c r="L233" s="150"/>
      <c r="M233" s="149"/>
      <c r="N233" s="68">
        <f>IF(A15stdlife="n/a","n/a",IF(N$3&gt;(A15stdlife+$F233),(Input!$M$157*(1+vanilla6)^0.5)-SUM($M233:M233),(Input!$M$157*(1+vanilla6)^0.5)/A15stdlife))</f>
        <v>0</v>
      </c>
      <c r="O233" s="68">
        <f>IF(A15stdlife="n/a","n/a",IF(O$3&gt;(A15stdlife+$F233),(Input!$M$157*(1+vanilla6)^0.5)-SUM($M233:N233),(Input!$M$157*(1+vanilla6)^0.5)/A15stdlife))</f>
        <v>0</v>
      </c>
      <c r="P233" s="68">
        <f>IF(A15stdlife="n/a","n/a",IF(P$3&gt;(A15stdlife+$F233),(Input!$M$157*(1+vanilla6)^0.5)-SUM($M233:O233),(Input!$M$157*(1+vanilla6)^0.5)/A15stdlife))</f>
        <v>0</v>
      </c>
      <c r="Q233" s="68">
        <f>IF(A15stdlife="n/a","n/a",IF(Q$3&gt;(A15stdlife+$F233),(Input!$M$157*(1+vanilla6)^0.5)-SUM($M233:P233),(Input!$M$157*(1+vanilla6)^0.5)/A15stdlife))</f>
        <v>0</v>
      </c>
      <c r="R233" s="68"/>
      <c r="S233" s="103"/>
      <c r="T233" s="103"/>
      <c r="U233" s="103"/>
      <c r="V233" s="103"/>
      <c r="W233" s="103"/>
      <c r="X233" s="103"/>
      <c r="Y233" s="103"/>
      <c r="Z233" s="103"/>
      <c r="AA233" s="103"/>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656"/>
      <c r="F234" s="86">
        <v>7</v>
      </c>
      <c r="G234" s="27"/>
      <c r="H234" s="148"/>
      <c r="I234" s="150"/>
      <c r="J234" s="150"/>
      <c r="K234" s="150"/>
      <c r="L234" s="150"/>
      <c r="M234" s="150"/>
      <c r="N234" s="149"/>
      <c r="O234" s="68">
        <f>IF(A15stdlife="n/a","n/a",IF(O$3&gt;(A15stdlife+$F234),(Input!$N$157*(1+vanilla7)^0.5)-SUM($N234:N234),(Input!$N$157*(1+vanilla7)^0.5)/A15stdlife))</f>
        <v>0</v>
      </c>
      <c r="P234" s="68">
        <f>IF(A15stdlife="n/a","n/a",IF(P$3&gt;(A15stdlife+$F234),(Input!$N$157*(1+vanilla7)^0.5)-SUM($N234:O234),(Input!$N$157*(1+vanilla7)^0.5)/A15stdlife))</f>
        <v>0</v>
      </c>
      <c r="Q234" s="68">
        <f>IF(A15stdlife="n/a","n/a",IF(Q$3&gt;(A15stdlife+$F234),(Input!$N$157*(1+vanilla7)^0.5)-SUM($N234:P234),(Input!$N$157*(1+vanilla7)^0.5)/A15stdlife))</f>
        <v>0</v>
      </c>
      <c r="R234" s="68"/>
      <c r="S234" s="103"/>
      <c r="T234" s="103"/>
      <c r="U234" s="103"/>
      <c r="V234" s="103"/>
      <c r="W234" s="103"/>
      <c r="X234" s="103"/>
      <c r="Y234" s="103"/>
      <c r="Z234" s="103"/>
      <c r="AA234" s="103"/>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656"/>
      <c r="F235" s="86">
        <v>8</v>
      </c>
      <c r="G235" s="27"/>
      <c r="H235" s="148"/>
      <c r="I235" s="150"/>
      <c r="J235" s="150"/>
      <c r="K235" s="150"/>
      <c r="L235" s="150"/>
      <c r="M235" s="150"/>
      <c r="N235" s="150"/>
      <c r="O235" s="149"/>
      <c r="P235" s="68">
        <f>IF(A15stdlife="n/a","n/a",IF(P$3&gt;(A15stdlife+$F235),(Input!$O$157*(1+vanilla8)^0.5)-SUM($O235:O235),(Input!$O$157*(1+vanilla8)^0.5)/A15stdlife))</f>
        <v>0</v>
      </c>
      <c r="Q235" s="68">
        <f>IF(A15stdlife="n/a","n/a",IF(Q$3&gt;(A15stdlife+$F235),(Input!$O$157*(1+vanilla8)^0.5)-SUM($O235:P235),(Input!$O$157*(1+vanilla8)^0.5)/A15stdlife))</f>
        <v>0</v>
      </c>
      <c r="R235" s="68"/>
      <c r="S235" s="103"/>
      <c r="T235" s="103"/>
      <c r="U235" s="103"/>
      <c r="V235" s="103"/>
      <c r="W235" s="103"/>
      <c r="X235" s="103"/>
      <c r="Y235" s="103"/>
      <c r="Z235" s="103"/>
      <c r="AA235" s="103"/>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656"/>
      <c r="F236" s="86">
        <v>9</v>
      </c>
      <c r="G236" s="27"/>
      <c r="H236" s="148"/>
      <c r="I236" s="150"/>
      <c r="J236" s="150"/>
      <c r="K236" s="150"/>
      <c r="L236" s="150"/>
      <c r="M236" s="150"/>
      <c r="N236" s="150"/>
      <c r="O236" s="150"/>
      <c r="P236" s="149"/>
      <c r="Q236" s="68">
        <f>IF(A15stdlife="n/a","n/a",IF(Q$3&gt;(A15stdlife+$F236),(Input!$P$157*(1+vanilla9)^0.5)-SUM($P236:P236),(Input!$P$157*(1+vanilla9)^0.5)/A15stdlife))</f>
        <v>0</v>
      </c>
      <c r="R236" s="68"/>
      <c r="S236" s="103"/>
      <c r="T236" s="103"/>
      <c r="U236" s="103"/>
      <c r="V236" s="103"/>
      <c r="W236" s="103"/>
      <c r="X236" s="103"/>
      <c r="Y236" s="103"/>
      <c r="Z236" s="103"/>
      <c r="AA236" s="103"/>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656"/>
      <c r="F237" s="87">
        <v>10</v>
      </c>
      <c r="G237" s="27"/>
      <c r="H237" s="148"/>
      <c r="I237" s="150"/>
      <c r="J237" s="150"/>
      <c r="K237" s="150"/>
      <c r="L237" s="150"/>
      <c r="M237" s="150"/>
      <c r="N237" s="150"/>
      <c r="O237" s="150"/>
      <c r="P237" s="150"/>
      <c r="Q237" s="149"/>
      <c r="R237" s="68"/>
      <c r="S237" s="103"/>
      <c r="T237" s="103"/>
      <c r="U237" s="103"/>
      <c r="V237" s="103"/>
      <c r="W237" s="103"/>
      <c r="X237" s="103"/>
      <c r="Y237" s="103"/>
      <c r="Z237" s="103"/>
      <c r="AA237" s="103"/>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f>Asset15</f>
        <v>0</v>
      </c>
      <c r="E238" s="9"/>
      <c r="F238" s="9"/>
      <c r="G238" s="123"/>
      <c r="H238" s="167">
        <f>-SUM(H226:H237)</f>
        <v>0</v>
      </c>
      <c r="I238" s="167">
        <f>-SUM(I226:I237)</f>
        <v>0</v>
      </c>
      <c r="J238" s="167">
        <f>-SUM(J226:J237)</f>
        <v>0</v>
      </c>
      <c r="K238" s="167">
        <f>-SUM(K226:K237)</f>
        <v>0</v>
      </c>
      <c r="L238" s="167">
        <f>-SUM(L226:L237)</f>
        <v>0</v>
      </c>
      <c r="M238" s="167">
        <f>IF(Input!M173&gt;0, -SUM(M226:M237), 0)</f>
        <v>0</v>
      </c>
      <c r="N238" s="167">
        <f>IF(Input!N173&gt;0, -SUM(N226:N237), 0)</f>
        <v>0</v>
      </c>
      <c r="O238" s="167">
        <f>IF(Input!O173&gt;0, -SUM(O226:O237), 0)</f>
        <v>0</v>
      </c>
      <c r="P238" s="167">
        <f>IF(Input!P173&gt;0, -SUM(P226:P237), 0)</f>
        <v>0</v>
      </c>
      <c r="Q238" s="167">
        <f>IF(Input!Q173&gt;0, -SUM(Q226:Q237), 0)</f>
        <v>0</v>
      </c>
      <c r="R238" s="66"/>
      <c r="S238" s="105"/>
      <c r="T238" s="105"/>
      <c r="U238" s="105"/>
      <c r="V238" s="105"/>
      <c r="W238" s="105"/>
      <c r="X238" s="105"/>
      <c r="Y238" s="105"/>
      <c r="Z238" s="105"/>
      <c r="AA238" s="105"/>
      <c r="AB238" s="232"/>
      <c r="AC238" s="232"/>
      <c r="AD238" s="232"/>
      <c r="AE238" s="232"/>
      <c r="AF238" s="232"/>
      <c r="AG238" s="232"/>
      <c r="AH238" s="232"/>
      <c r="AI238" s="232"/>
      <c r="AJ238" s="232"/>
      <c r="AK238" s="232"/>
      <c r="AL238" s="232"/>
      <c r="AM238" s="232"/>
      <c r="AN238" s="232"/>
      <c r="AO238" s="232"/>
      <c r="AP238" s="232"/>
      <c r="AQ238" s="232"/>
      <c r="AR238" s="232"/>
      <c r="AS238" s="232"/>
      <c r="AT238" s="232"/>
      <c r="AU238" s="232"/>
      <c r="AV238" s="232"/>
      <c r="AW238" s="232"/>
      <c r="AX238" s="232"/>
      <c r="AY238" s="232"/>
      <c r="AZ238" s="232"/>
      <c r="BA238" s="232"/>
      <c r="BB238" s="232"/>
      <c r="BC238" s="232"/>
      <c r="BD238" s="105"/>
      <c r="BE238" s="105"/>
      <c r="BF238" s="105"/>
      <c r="BG238" s="105"/>
      <c r="BH238" s="105"/>
      <c r="BI238" s="105"/>
      <c r="BJ238" s="105"/>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3"/>
      <c r="E239" s="34" t="s">
        <v>28</v>
      </c>
      <c r="F239" s="33"/>
      <c r="G239" s="176"/>
      <c r="H239" s="67">
        <f>IF(H$3&gt;A16remlife,A16value-SUM($G239:G239),IF(A16remlife="N/A","n/a",A16value/A16remlife))</f>
        <v>0</v>
      </c>
      <c r="I239" s="67">
        <f>IF(I$3&gt;A16remlife,A16value-SUM($G239:H239),IF(A16remlife="N/A","n/a",A16value/A16remlife))</f>
        <v>0</v>
      </c>
      <c r="J239" s="67">
        <f>IF(J$3&gt;A16remlife,A16value-SUM($G239:I239),IF(A16remlife="N/A","n/a",A16value/A16remlife))</f>
        <v>0</v>
      </c>
      <c r="K239" s="67">
        <f>IF(K$3&gt;A16remlife,A16value-SUM($G239:J239),IF(A16remlife="N/A","n/a",A16value/A16remlife))</f>
        <v>0</v>
      </c>
      <c r="L239" s="67">
        <f>IF(L$3&gt;A16remlife,A16value-SUM($G239:K239),IF(A16remlife="N/A","n/a",A16value/A16remlife))</f>
        <v>0</v>
      </c>
      <c r="M239" s="67">
        <f>IF(M$3&gt;A16remlife,A16value-SUM($G239:L239),IF(A16remlife="N/A","n/a",A16value/A16remlife))</f>
        <v>0</v>
      </c>
      <c r="N239" s="67">
        <f>IF(N$3&gt;A16remlife,A16value-SUM($G239:M239),IF(A16remlife="N/A","n/a",A16value/A16remlife))</f>
        <v>0</v>
      </c>
      <c r="O239" s="67">
        <f>IF(O$3&gt;A16remlife,A16value-SUM($G239:N239),IF(A16remlife="N/A","n/a",A16value/A16remlife))</f>
        <v>0</v>
      </c>
      <c r="P239" s="67">
        <f>IF(P$3&gt;A16remlife,A16value-SUM($G239:O239),IF(A16remlife="N/A","n/a",A16value/A16remlife))</f>
        <v>0</v>
      </c>
      <c r="Q239" s="67">
        <f>IF(Q$3&gt;A16remlife,A16value-SUM($G239:P239),IF(A16remlife="N/A","n/a",A16value/A16remlife))</f>
        <v>0</v>
      </c>
      <c r="R239" s="67"/>
      <c r="S239" s="103"/>
      <c r="T239" s="103"/>
      <c r="U239" s="103"/>
      <c r="V239" s="103"/>
      <c r="W239" s="103"/>
      <c r="X239" s="103"/>
      <c r="Y239" s="103"/>
      <c r="Z239" s="103"/>
      <c r="AA239" s="103"/>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655" t="s">
        <v>84</v>
      </c>
      <c r="F240" s="86">
        <v>0</v>
      </c>
      <c r="G240" s="123"/>
      <c r="H240" s="68"/>
      <c r="I240" s="68"/>
      <c r="J240" s="68"/>
      <c r="K240" s="68"/>
      <c r="L240" s="68"/>
      <c r="M240" s="165"/>
      <c r="N240" s="113"/>
      <c r="O240" s="68"/>
      <c r="P240" s="68"/>
      <c r="Q240" s="68"/>
      <c r="R240" s="68"/>
      <c r="S240" s="103"/>
      <c r="T240" s="103"/>
      <c r="U240" s="103"/>
      <c r="V240" s="103"/>
      <c r="W240" s="103"/>
      <c r="X240" s="103"/>
      <c r="Y240" s="103"/>
      <c r="Z240" s="103"/>
      <c r="AA240" s="103"/>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656"/>
      <c r="F241" s="86">
        <v>1</v>
      </c>
      <c r="G241" s="123"/>
      <c r="H241" s="147"/>
      <c r="I241" s="68">
        <f>IF(A16stdlife="n/a","n/a",IF(I$3&gt;(A16stdlife+$F241),(Input!$H$158*(1+vanilla1)^0.5)-SUM($H241:H241),(Input!$H$158*(1+vanilla1)^0.5)/A16stdlife))</f>
        <v>0</v>
      </c>
      <c r="J241" s="68">
        <f>IF(A16stdlife="n/a","n/a",IF(J$3&gt;(A16stdlife+$F241),(Input!$H$158*(1+vanilla1)^0.5)-SUM($H241:I241),(Input!$H$158*(1+vanilla1)^0.5)/A16stdlife))</f>
        <v>0</v>
      </c>
      <c r="K241" s="68">
        <f>IF(A16stdlife="n/a","n/a",IF(K$3&gt;(A16stdlife+$F241),(Input!$H$158*(1+vanilla1)^0.5)-SUM($H241:J241),(Input!$H$158*(1+vanilla1)^0.5)/A16stdlife))</f>
        <v>0</v>
      </c>
      <c r="L241" s="68">
        <f>IF(A16stdlife="n/a","n/a",IF(L$3&gt;(A16stdlife+$F241),(Input!$H$158*(1+vanilla1)^0.5)-SUM($H241:K241),(Input!$H$158*(1+vanilla1)^0.5)/A16stdlife))</f>
        <v>0</v>
      </c>
      <c r="M241" s="68">
        <f>IF(A16stdlife="n/a","n/a",IF(M$3&gt;(A16stdlife+$F241),(Input!$H$158*(1+vanilla1)^0.5)-SUM($H241:L241),(Input!$H$158*(1+vanilla1)^0.5)/A16stdlife))</f>
        <v>0</v>
      </c>
      <c r="N241" s="68">
        <f>IF(A16stdlife="n/a","n/a",IF(N$3&gt;(A16stdlife+$F241),(Input!$H$158*(1+vanilla1)^0.5)-SUM($H241:M241),(Input!$H$158*(1+vanilla1)^0.5)/A16stdlife))</f>
        <v>0</v>
      </c>
      <c r="O241" s="68">
        <f>IF(A16stdlife="n/a","n/a",IF(O$3&gt;(A16stdlife+$F241),(Input!$H$158*(1+vanilla1)^0.5)-SUM($H241:N241),(Input!$H$158*(1+vanilla1)^0.5)/A16stdlife))</f>
        <v>0</v>
      </c>
      <c r="P241" s="68">
        <f>IF(A16stdlife="n/a","n/a",IF(P$3&gt;(A16stdlife+$F241),(Input!$H$158*(1+vanilla1)^0.5)-SUM($H241:O241),(Input!$H$158*(1+vanilla1)^0.5)/A16stdlife))</f>
        <v>0</v>
      </c>
      <c r="Q241" s="68">
        <f>IF(A16stdlife="n/a","n/a",IF(Q$3&gt;(A16stdlife+$F241),(Input!$H$158*(1+vanilla1)^0.5)-SUM($H241:P241),(Input!$H$158*(1+vanilla1)^0.5)/A16stdlife))</f>
        <v>0</v>
      </c>
      <c r="R241" s="68"/>
      <c r="S241" s="103"/>
      <c r="T241" s="103"/>
      <c r="U241" s="103"/>
      <c r="V241" s="103"/>
      <c r="W241" s="103"/>
      <c r="X241" s="103"/>
      <c r="Y241" s="103"/>
      <c r="Z241" s="103"/>
      <c r="AA241" s="103"/>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656"/>
      <c r="F242" s="86">
        <v>2</v>
      </c>
      <c r="G242" s="123"/>
      <c r="H242" s="148"/>
      <c r="I242" s="149"/>
      <c r="J242" s="68">
        <f>IF(A16stdlife="n/a","n/a",IF(J$3&gt;(A16stdlife+$F242),(Input!$I$158*(1+vanilla2)^0.5)-SUM($I242:I242),(Input!$I$158*(1+vanilla2)^0.5)/A16stdlife))</f>
        <v>0</v>
      </c>
      <c r="K242" s="68">
        <f>IF(A16stdlife="n/a","n/a",IF(K$3&gt;(A16stdlife+$F242),(Input!$I$158*(1+vanilla2)^0.5)-SUM($I242:J242),(Input!$I$158*(1+vanilla2)^0.5)/A16stdlife))</f>
        <v>0</v>
      </c>
      <c r="L242" s="68">
        <f>IF(A16stdlife="n/a","n/a",IF(L$3&gt;(A16stdlife+$F242),(Input!$I$158*(1+vanilla2)^0.5)-SUM($I242:K242),(Input!$I$158*(1+vanilla2)^0.5)/A16stdlife))</f>
        <v>0</v>
      </c>
      <c r="M242" s="68">
        <f>IF(A16stdlife="n/a","n/a",IF(M$3&gt;(A16stdlife+$F242),(Input!$I$158*(1+vanilla2)^0.5)-SUM($I242:L242),(Input!$I$158*(1+vanilla2)^0.5)/A16stdlife))</f>
        <v>0</v>
      </c>
      <c r="N242" s="68">
        <f>IF(A16stdlife="n/a","n/a",IF(N$3&gt;(A16stdlife+$F242),(Input!$I$158*(1+vanilla2)^0.5)-SUM($I242:M242),(Input!$I$158*(1+vanilla2)^0.5)/A16stdlife))</f>
        <v>0</v>
      </c>
      <c r="O242" s="68">
        <f>IF(A16stdlife="n/a","n/a",IF(O$3&gt;(A16stdlife+$F242),(Input!$I$158*(1+vanilla2)^0.5)-SUM($I242:N242),(Input!$I$158*(1+vanilla2)^0.5)/A16stdlife))</f>
        <v>0</v>
      </c>
      <c r="P242" s="68">
        <f>IF(A16stdlife="n/a","n/a",IF(P$3&gt;(A16stdlife+$F242),(Input!$I$158*(1+vanilla2)^0.5)-SUM($I242:O242),(Input!$I$158*(1+vanilla2)^0.5)/A16stdlife))</f>
        <v>0</v>
      </c>
      <c r="Q242" s="68">
        <f>IF(A16stdlife="n/a","n/a",IF(Q$3&gt;(A16stdlife+$F242),(Input!$I$158*(1+vanilla2)^0.5)-SUM($I242:P242),(Input!$I$158*(1+vanilla2)^0.5)/A16stdlife))</f>
        <v>0</v>
      </c>
      <c r="R242" s="68"/>
      <c r="S242" s="103"/>
      <c r="T242" s="103"/>
      <c r="U242" s="103"/>
      <c r="V242" s="103"/>
      <c r="W242" s="103"/>
      <c r="X242" s="103"/>
      <c r="Y242" s="103"/>
      <c r="Z242" s="103"/>
      <c r="AA242" s="103"/>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656"/>
      <c r="F243" s="86">
        <v>3</v>
      </c>
      <c r="G243" s="123"/>
      <c r="H243" s="148"/>
      <c r="I243" s="150"/>
      <c r="J243" s="149"/>
      <c r="K243" s="68">
        <f>IF(A16stdlife="n/a","n/a",IF(K$3&gt;(A16stdlife+$F243),(Input!$J$158*(1+vanilla3)^0.5)-SUM($J243:J243),(Input!$J$158*(1+vanilla3)^0.5)/A16stdlife))</f>
        <v>0</v>
      </c>
      <c r="L243" s="68">
        <f>IF(A16stdlife="n/a","n/a",IF(L$3&gt;(A16stdlife+$F243),(Input!$J$158*(1+vanilla3)^0.5)-SUM($J243:K243),(Input!$J$158*(1+vanilla3)^0.5)/A16stdlife))</f>
        <v>0</v>
      </c>
      <c r="M243" s="68">
        <f>IF(A16stdlife="n/a","n/a",IF(M$3&gt;(A16stdlife+$F243),(Input!$J$158*(1+vanilla3)^0.5)-SUM($J243:L243),(Input!$J$158*(1+vanilla3)^0.5)/A16stdlife))</f>
        <v>0</v>
      </c>
      <c r="N243" s="68">
        <f>IF(A16stdlife="n/a","n/a",IF(N$3&gt;(A16stdlife+$F243),(Input!$J$158*(1+vanilla3)^0.5)-SUM($J243:M243),(Input!$J$158*(1+vanilla3)^0.5)/A16stdlife))</f>
        <v>0</v>
      </c>
      <c r="O243" s="68">
        <f>IF(A16stdlife="n/a","n/a",IF(O$3&gt;(A16stdlife+$F243),(Input!$J$158*(1+vanilla3)^0.5)-SUM($J243:N243),(Input!$J$158*(1+vanilla3)^0.5)/A16stdlife))</f>
        <v>0</v>
      </c>
      <c r="P243" s="68">
        <f>IF(A16stdlife="n/a","n/a",IF(P$3&gt;(A16stdlife+$F243),(Input!$J$158*(1+vanilla3)^0.5)-SUM($J243:O243),(Input!$J$158*(1+vanilla3)^0.5)/A16stdlife))</f>
        <v>0</v>
      </c>
      <c r="Q243" s="68">
        <f>IF(A16stdlife="n/a","n/a",IF(Q$3&gt;(A16stdlife+$F243),(Input!$J$158*(1+vanilla3)^0.5)-SUM($J243:P243),(Input!$J$158*(1+vanilla3)^0.5)/A16stdlife))</f>
        <v>0</v>
      </c>
      <c r="R243" s="68"/>
      <c r="S243" s="103"/>
      <c r="T243" s="103"/>
      <c r="U243" s="103"/>
      <c r="V243" s="103"/>
      <c r="W243" s="103"/>
      <c r="X243" s="103"/>
      <c r="Y243" s="103"/>
      <c r="Z243" s="103"/>
      <c r="AA243" s="103"/>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656"/>
      <c r="F244" s="86">
        <v>4</v>
      </c>
      <c r="G244" s="123"/>
      <c r="H244" s="148"/>
      <c r="I244" s="150"/>
      <c r="J244" s="150"/>
      <c r="K244" s="149"/>
      <c r="L244" s="68">
        <f>IF(A16stdlife="n/a","n/a",IF(L$3&gt;(A16stdlife+$F244),(Input!$K$158*(1+vanilla4)^0.5)-SUM($K244:K244),(Input!$K$158*(1+vanilla4)^0.5)/A16stdlife))</f>
        <v>0</v>
      </c>
      <c r="M244" s="68">
        <f>IF(A16stdlife="n/a","n/a",IF(M$3&gt;(A16stdlife+$F244),(Input!$K$158*(1+vanilla4)^0.5)-SUM($K244:L244),(Input!$K$158*(1+vanilla4)^0.5)/A16stdlife))</f>
        <v>0</v>
      </c>
      <c r="N244" s="68">
        <f>IF(A16stdlife="n/a","n/a",IF(N$3&gt;(A16stdlife+$F244),(Input!$K$158*(1+vanilla4)^0.5)-SUM($K244:M244),(Input!$K$158*(1+vanilla4)^0.5)/A16stdlife))</f>
        <v>0</v>
      </c>
      <c r="O244" s="68">
        <f>IF(A16stdlife="n/a","n/a",IF(O$3&gt;(A16stdlife+$F244),(Input!$K$158*(1+vanilla4)^0.5)-SUM($K244:N244),(Input!$K$158*(1+vanilla4)^0.5)/A16stdlife))</f>
        <v>0</v>
      </c>
      <c r="P244" s="68">
        <f>IF(A16stdlife="n/a","n/a",IF(P$3&gt;(A16stdlife+$F244),(Input!$K$158*(1+vanilla4)^0.5)-SUM($K244:O244),(Input!$K$158*(1+vanilla4)^0.5)/A16stdlife))</f>
        <v>0</v>
      </c>
      <c r="Q244" s="68">
        <f>IF(A16stdlife="n/a","n/a",IF(Q$3&gt;(A16stdlife+$F244),(Input!$K$158*(1+vanilla4)^0.5)-SUM($K244:P244),(Input!$K$158*(1+vanilla4)^0.5)/A16stdlife))</f>
        <v>0</v>
      </c>
      <c r="R244" s="68"/>
      <c r="S244" s="103"/>
      <c r="T244" s="103"/>
      <c r="U244" s="103"/>
      <c r="V244" s="103"/>
      <c r="W244" s="103"/>
      <c r="X244" s="103"/>
      <c r="Y244" s="103"/>
      <c r="Z244" s="103"/>
      <c r="AA244" s="103"/>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103"/>
      <c r="BE244" s="103"/>
      <c r="BF244" s="103"/>
      <c r="BG244" s="103"/>
      <c r="BH244" s="103"/>
      <c r="BI244" s="103"/>
      <c r="BJ244" s="103"/>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656"/>
      <c r="F245" s="86">
        <v>5</v>
      </c>
      <c r="G245" s="27"/>
      <c r="H245" s="148"/>
      <c r="I245" s="150"/>
      <c r="J245" s="150"/>
      <c r="K245" s="150"/>
      <c r="L245" s="149"/>
      <c r="M245" s="68">
        <f>IF(A16stdlife="n/a","n/a",IF(M$3&gt;(A16stdlife+$F245),(Input!$L$158*(1+vanilla5)^0.5)-SUM($L245:L245),(Input!$L$158*(1+vanilla5)^0.5)/A16stdlife))</f>
        <v>0</v>
      </c>
      <c r="N245" s="68">
        <f>IF(A16stdlife="n/a","n/a",IF(N$3&gt;(A16stdlife+$F245),(Input!$L$158*(1+vanilla5)^0.5)-SUM($L245:M245),(Input!$L$158*(1+vanilla5)^0.5)/A16stdlife))</f>
        <v>0</v>
      </c>
      <c r="O245" s="68">
        <f>IF(A16stdlife="n/a","n/a",IF(O$3&gt;(A16stdlife+$F245),(Input!$L$158*(1+vanilla5)^0.5)-SUM($L245:N245),(Input!$L$158*(1+vanilla5)^0.5)/A16stdlife))</f>
        <v>0</v>
      </c>
      <c r="P245" s="68">
        <f>IF(A16stdlife="n/a","n/a",IF(P$3&gt;(A16stdlife+$F245),(Input!$L$158*(1+vanilla5)^0.5)-SUM($L245:O245),(Input!$L$158*(1+vanilla5)^0.5)/A16stdlife))</f>
        <v>0</v>
      </c>
      <c r="Q245" s="68">
        <f>IF(A16stdlife="n/a","n/a",IF(Q$3&gt;(A16stdlife+$F245),(Input!$L$158*(1+vanilla5)^0.5)-SUM($L245:P245),(Input!$L$158*(1+vanilla5)^0.5)/A16stdlife))</f>
        <v>0</v>
      </c>
      <c r="R245" s="68"/>
      <c r="S245" s="103"/>
      <c r="T245" s="103"/>
      <c r="U245" s="103"/>
      <c r="V245" s="103"/>
      <c r="W245" s="103"/>
      <c r="X245" s="103"/>
      <c r="Y245" s="103"/>
      <c r="Z245" s="103"/>
      <c r="AA245" s="103"/>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656"/>
      <c r="F246" s="86">
        <v>6</v>
      </c>
      <c r="G246" s="27"/>
      <c r="H246" s="148"/>
      <c r="I246" s="150"/>
      <c r="J246" s="150"/>
      <c r="K246" s="150"/>
      <c r="L246" s="150"/>
      <c r="M246" s="149"/>
      <c r="N246" s="68">
        <f>IF(A16stdlife="n/a","n/a",IF(N$3&gt;(A16stdlife+$F246),(Input!$M$158*(1+vanilla6)^0.5)-SUM($M246:M246),(Input!$M$158*(1+vanilla6)^0.5)/A16stdlife))</f>
        <v>0</v>
      </c>
      <c r="O246" s="68">
        <f>IF(A16stdlife="n/a","n/a",IF(O$3&gt;(A16stdlife+$F246),(Input!$M$158*(1+vanilla6)^0.5)-SUM($M246:N246),(Input!$M$158*(1+vanilla6)^0.5)/A16stdlife))</f>
        <v>0</v>
      </c>
      <c r="P246" s="68">
        <f>IF(A16stdlife="n/a","n/a",IF(P$3&gt;(A16stdlife+$F246),(Input!$M$158*(1+vanilla6)^0.5)-SUM($M246:O246),(Input!$M$158*(1+vanilla6)^0.5)/A16stdlife))</f>
        <v>0</v>
      </c>
      <c r="Q246" s="68">
        <f>IF(A16stdlife="n/a","n/a",IF(Q$3&gt;(A16stdlife+$F246),(Input!$M$158*(1+vanilla6)^0.5)-SUM($M246:P246),(Input!$M$158*(1+vanilla6)^0.5)/A16stdlife))</f>
        <v>0</v>
      </c>
      <c r="R246" s="68"/>
      <c r="S246" s="103"/>
      <c r="T246" s="103"/>
      <c r="U246" s="103"/>
      <c r="V246" s="103"/>
      <c r="W246" s="103"/>
      <c r="X246" s="103"/>
      <c r="Y246" s="103"/>
      <c r="Z246" s="103"/>
      <c r="AA246" s="103"/>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656"/>
      <c r="F247" s="86">
        <v>7</v>
      </c>
      <c r="G247" s="27"/>
      <c r="H247" s="148"/>
      <c r="I247" s="150"/>
      <c r="J247" s="150"/>
      <c r="K247" s="150"/>
      <c r="L247" s="150"/>
      <c r="M247" s="150"/>
      <c r="N247" s="149"/>
      <c r="O247" s="68">
        <f>IF(A16stdlife="n/a","n/a",IF(O$3&gt;(A16stdlife+$F247),(Input!$N$158*(1+vanilla7)^0.5)-SUM($N247:N247),(Input!$N$158*(1+vanilla7)^0.5)/A16stdlife))</f>
        <v>0</v>
      </c>
      <c r="P247" s="68">
        <f>IF(A16stdlife="n/a","n/a",IF(P$3&gt;(A16stdlife+$F247),(Input!$N$158*(1+vanilla7)^0.5)-SUM($N247:O247),(Input!$N$158*(1+vanilla7)^0.5)/A16stdlife))</f>
        <v>0</v>
      </c>
      <c r="Q247" s="68">
        <f>IF(A16stdlife="n/a","n/a",IF(Q$3&gt;(A16stdlife+$F247),(Input!$N$158*(1+vanilla7)^0.5)-SUM($N247:P247),(Input!$N$158*(1+vanilla7)^0.5)/A16stdlife))</f>
        <v>0</v>
      </c>
      <c r="R247" s="68"/>
      <c r="S247" s="103"/>
      <c r="T247" s="103"/>
      <c r="U247" s="103"/>
      <c r="V247" s="103"/>
      <c r="W247" s="103"/>
      <c r="X247" s="103"/>
      <c r="Y247" s="103"/>
      <c r="Z247" s="103"/>
      <c r="AA247" s="103"/>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656"/>
      <c r="F248" s="86">
        <v>8</v>
      </c>
      <c r="G248" s="27"/>
      <c r="H248" s="148"/>
      <c r="I248" s="150"/>
      <c r="J248" s="150"/>
      <c r="K248" s="150"/>
      <c r="L248" s="150"/>
      <c r="M248" s="150"/>
      <c r="N248" s="150"/>
      <c r="O248" s="149"/>
      <c r="P248" s="68">
        <f>IF(A16stdlife="n/a","n/a",IF(P$3&gt;(A16stdlife+$F248),(Input!$O$158*(1+vanilla8)^0.5)-SUM($O248:O248),(Input!$O$158*(1+vanilla8)^0.5)/A16stdlife))</f>
        <v>0</v>
      </c>
      <c r="Q248" s="68">
        <f>IF(A16stdlife="n/a","n/a",IF(Q$3&gt;(A16stdlife+$F248),(Input!$O$158*(1+vanilla8)^0.5)-SUM($O248:P248),(Input!$O$158*(1+vanilla8)^0.5)/A16stdlife))</f>
        <v>0</v>
      </c>
      <c r="R248" s="68"/>
      <c r="S248" s="103"/>
      <c r="T248" s="103"/>
      <c r="U248" s="103"/>
      <c r="V248" s="103"/>
      <c r="W248" s="103"/>
      <c r="X248" s="103"/>
      <c r="Y248" s="103"/>
      <c r="Z248" s="103"/>
      <c r="AA248" s="103"/>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656"/>
      <c r="F249" s="86">
        <v>9</v>
      </c>
      <c r="G249" s="27"/>
      <c r="H249" s="148"/>
      <c r="I249" s="150"/>
      <c r="J249" s="150"/>
      <c r="K249" s="150"/>
      <c r="L249" s="150"/>
      <c r="M249" s="150"/>
      <c r="N249" s="150"/>
      <c r="O249" s="150"/>
      <c r="P249" s="149"/>
      <c r="Q249" s="68">
        <f>IF(A16stdlife="n/a","n/a",IF(Q$3&gt;(A16stdlife+$F249),(Input!$P$158*(1+vanilla9)^0.5)-SUM($P249:P249),(Input!$P$158*(1+vanilla9)^0.5)/A16stdlife))</f>
        <v>0</v>
      </c>
      <c r="R249" s="68"/>
      <c r="S249" s="103"/>
      <c r="T249" s="103"/>
      <c r="U249" s="103"/>
      <c r="V249" s="103"/>
      <c r="W249" s="103"/>
      <c r="X249" s="103"/>
      <c r="Y249" s="103"/>
      <c r="Z249" s="103"/>
      <c r="AA249" s="103"/>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656"/>
      <c r="F250" s="87">
        <v>10</v>
      </c>
      <c r="G250" s="27"/>
      <c r="H250" s="148"/>
      <c r="I250" s="150"/>
      <c r="J250" s="150"/>
      <c r="K250" s="150"/>
      <c r="L250" s="150"/>
      <c r="M250" s="150"/>
      <c r="N250" s="150"/>
      <c r="O250" s="150"/>
      <c r="P250" s="150"/>
      <c r="Q250" s="149"/>
      <c r="R250" s="68"/>
      <c r="S250" s="103"/>
      <c r="T250" s="103"/>
      <c r="U250" s="103"/>
      <c r="V250" s="103"/>
      <c r="W250" s="103"/>
      <c r="X250" s="103"/>
      <c r="Y250" s="103"/>
      <c r="Z250" s="103"/>
      <c r="AA250" s="103"/>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f>Asset16</f>
        <v>0</v>
      </c>
      <c r="E251" s="9"/>
      <c r="F251" s="9"/>
      <c r="G251" s="123"/>
      <c r="H251" s="167">
        <f>-SUM(H239:H250)</f>
        <v>0</v>
      </c>
      <c r="I251" s="167">
        <f>-SUM(I239:I250)</f>
        <v>0</v>
      </c>
      <c r="J251" s="167">
        <f>-SUM(J239:J250)</f>
        <v>0</v>
      </c>
      <c r="K251" s="167">
        <f>-SUM(K239:K250)</f>
        <v>0</v>
      </c>
      <c r="L251" s="167">
        <f>-SUM(L239:L250)</f>
        <v>0</v>
      </c>
      <c r="M251" s="167">
        <f>IF(Input!M173&gt;0, -SUM(M239:M250), 0)</f>
        <v>0</v>
      </c>
      <c r="N251" s="167">
        <f>IF(Input!N173&gt;0, -SUM(N239:N250), 0)</f>
        <v>0</v>
      </c>
      <c r="O251" s="167">
        <f>IF(Input!O173&gt;0, -SUM(O239:O250), 0)</f>
        <v>0</v>
      </c>
      <c r="P251" s="167">
        <f>IF(Input!P173&gt;0, -SUM(P239:P250), 0)</f>
        <v>0</v>
      </c>
      <c r="Q251" s="167">
        <f>IF(Input!Q173&gt;0, -SUM(Q239:Q250), 0)</f>
        <v>0</v>
      </c>
      <c r="R251" s="66"/>
      <c r="S251" s="105"/>
      <c r="T251" s="105"/>
      <c r="U251" s="105"/>
      <c r="V251" s="105"/>
      <c r="W251" s="105"/>
      <c r="X251" s="105"/>
      <c r="Y251" s="105"/>
      <c r="Z251" s="105"/>
      <c r="AA251" s="105"/>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105"/>
      <c r="BE251" s="105"/>
      <c r="BF251" s="105"/>
      <c r="BG251" s="105"/>
      <c r="BH251" s="105"/>
      <c r="BI251" s="105"/>
      <c r="BJ251" s="105"/>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3"/>
      <c r="E252" s="34" t="s">
        <v>28</v>
      </c>
      <c r="F252" s="33"/>
      <c r="G252" s="176"/>
      <c r="H252" s="67">
        <f>IF(H$3&gt;A17remlife,A17value-SUM($G252:G252),IF(A17remlife="N/A","n/a",A17value/A17remlife))</f>
        <v>0</v>
      </c>
      <c r="I252" s="67">
        <f>IF(I$3&gt;A17remlife,A17value-SUM($G252:H252),IF(A17remlife="N/A","n/a",A17value/A17remlife))</f>
        <v>0</v>
      </c>
      <c r="J252" s="67">
        <f>IF(J$3&gt;A17remlife,A17value-SUM($G252:I252),IF(A17remlife="N/A","n/a",A17value/A17remlife))</f>
        <v>0</v>
      </c>
      <c r="K252" s="67">
        <f>IF(K$3&gt;A17remlife,A17value-SUM($G252:J252),IF(A17remlife="N/A","n/a",A17value/A17remlife))</f>
        <v>0</v>
      </c>
      <c r="L252" s="67">
        <f>IF(L$3&gt;A17remlife,A17value-SUM($G252:K252),IF(A17remlife="N/A","n/a",A17value/A17remlife))</f>
        <v>0</v>
      </c>
      <c r="M252" s="67">
        <f>IF(M$3&gt;A17remlife,A17value-SUM($G252:L252),IF(A17remlife="N/A","n/a",A17value/A17remlife))</f>
        <v>0</v>
      </c>
      <c r="N252" s="67">
        <f>IF(N$3&gt;A17remlife,A17value-SUM($G252:M252),IF(A17remlife="N/A","n/a",A17value/A17remlife))</f>
        <v>0</v>
      </c>
      <c r="O252" s="67">
        <f>IF(O$3&gt;A17remlife,A17value-SUM($G252:N252),IF(A17remlife="N/A","n/a",A17value/A17remlife))</f>
        <v>0</v>
      </c>
      <c r="P252" s="67">
        <f>IF(P$3&gt;A17remlife,A17value-SUM($G252:O252),IF(A17remlife="N/A","n/a",A17value/A17remlife))</f>
        <v>0</v>
      </c>
      <c r="Q252" s="67">
        <f>IF(Q$3&gt;A17remlife,A17value-SUM($G252:P252),IF(A17remlife="N/A","n/a",A17value/A17remlife))</f>
        <v>0</v>
      </c>
      <c r="R252" s="67"/>
      <c r="S252" s="103"/>
      <c r="T252" s="103"/>
      <c r="U252" s="103"/>
      <c r="V252" s="103"/>
      <c r="W252" s="103"/>
      <c r="X252" s="103"/>
      <c r="Y252" s="103"/>
      <c r="Z252" s="103"/>
      <c r="AA252" s="103"/>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655" t="s">
        <v>84</v>
      </c>
      <c r="F253" s="86">
        <v>0</v>
      </c>
      <c r="G253" s="123"/>
      <c r="H253" s="68"/>
      <c r="I253" s="68"/>
      <c r="J253" s="68"/>
      <c r="K253" s="68"/>
      <c r="L253" s="68"/>
      <c r="M253" s="165"/>
      <c r="N253" s="113"/>
      <c r="O253" s="68"/>
      <c r="P253" s="68"/>
      <c r="Q253" s="68"/>
      <c r="R253" s="68"/>
      <c r="S253" s="103"/>
      <c r="T253" s="103"/>
      <c r="U253" s="103"/>
      <c r="V253" s="103"/>
      <c r="W253" s="103"/>
      <c r="X253" s="103"/>
      <c r="Y253" s="103"/>
      <c r="Z253" s="103"/>
      <c r="AA253" s="103"/>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656"/>
      <c r="F254" s="86">
        <v>1</v>
      </c>
      <c r="G254" s="123"/>
      <c r="H254" s="147"/>
      <c r="I254" s="68">
        <f>IF(A17stdlife="n/a","n/a",IF(I$3&gt;(A17stdlife+$F254),(Input!$H$159*(1+vanilla1)^0.5)-SUM($H254:H254),(Input!$H$159*(1+vanilla1)^0.5)/A17stdlife))</f>
        <v>0</v>
      </c>
      <c r="J254" s="68">
        <f>IF(A17stdlife="n/a","n/a",IF(J$3&gt;(A17stdlife+$F254),(Input!$H$159*(1+vanilla1)^0.5)-SUM($H254:I254),(Input!$H$159*(1+vanilla1)^0.5)/A17stdlife))</f>
        <v>0</v>
      </c>
      <c r="K254" s="68">
        <f>IF(A17stdlife="n/a","n/a",IF(K$3&gt;(A17stdlife+$F254),(Input!$H$159*(1+vanilla1)^0.5)-SUM($H254:J254),(Input!$H$159*(1+vanilla1)^0.5)/A17stdlife))</f>
        <v>0</v>
      </c>
      <c r="L254" s="68">
        <f>IF(A17stdlife="n/a","n/a",IF(L$3&gt;(A17stdlife+$F254),(Input!$H$159*(1+vanilla1)^0.5)-SUM($H254:K254),(Input!$H$159*(1+vanilla1)^0.5)/A17stdlife))</f>
        <v>0</v>
      </c>
      <c r="M254" s="68">
        <f>IF(A17stdlife="n/a","n/a",IF(M$3&gt;(A17stdlife+$F254),(Input!$H$159*(1+vanilla1)^0.5)-SUM($H254:L254),(Input!$H$159*(1+vanilla1)^0.5)/A17stdlife))</f>
        <v>0</v>
      </c>
      <c r="N254" s="68">
        <f>IF(A17stdlife="n/a","n/a",IF(N$3&gt;(A17stdlife+$F254),(Input!$H$159*(1+vanilla1)^0.5)-SUM($H254:M254),(Input!$H$159*(1+vanilla1)^0.5)/A17stdlife))</f>
        <v>0</v>
      </c>
      <c r="O254" s="68">
        <f>IF(A17stdlife="n/a","n/a",IF(O$3&gt;(A17stdlife+$F254),(Input!$H$159*(1+vanilla1)^0.5)-SUM($H254:N254),(Input!$H$159*(1+vanilla1)^0.5)/A17stdlife))</f>
        <v>0</v>
      </c>
      <c r="P254" s="68">
        <f>IF(A17stdlife="n/a","n/a",IF(P$3&gt;(A17stdlife+$F254),(Input!$H$159*(1+vanilla1)^0.5)-SUM($H254:O254),(Input!$H$159*(1+vanilla1)^0.5)/A17stdlife))</f>
        <v>0</v>
      </c>
      <c r="Q254" s="68">
        <f>IF(A17stdlife="n/a","n/a",IF(Q$3&gt;(A17stdlife+$F254),(Input!$H$159*(1+vanilla1)^0.5)-SUM($H254:P254),(Input!$H$159*(1+vanilla1)^0.5)/A17stdlife))</f>
        <v>0</v>
      </c>
      <c r="R254" s="68"/>
      <c r="S254" s="103"/>
      <c r="T254" s="103"/>
      <c r="U254" s="103"/>
      <c r="V254" s="103"/>
      <c r="W254" s="103"/>
      <c r="X254" s="103"/>
      <c r="Y254" s="103"/>
      <c r="Z254" s="103"/>
      <c r="AA254" s="103"/>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656"/>
      <c r="F255" s="86">
        <v>2</v>
      </c>
      <c r="G255" s="123"/>
      <c r="H255" s="148"/>
      <c r="I255" s="149"/>
      <c r="J255" s="68">
        <f>IF(A17stdlife="n/a","n/a",IF(J$3&gt;(A17stdlife+$F255),(Input!$I$159*(1+vanilla2)^0.5)-SUM($I255:I255),(Input!$I$159*(1+vanilla2)^0.5)/A17stdlife))</f>
        <v>0</v>
      </c>
      <c r="K255" s="68">
        <f>IF(A17stdlife="n/a","n/a",IF(K$3&gt;(A17stdlife+$F255),(Input!$I$159*(1+vanilla2)^0.5)-SUM($I255:J255),(Input!$I$159*(1+vanilla2)^0.5)/A17stdlife))</f>
        <v>0</v>
      </c>
      <c r="L255" s="68">
        <f>IF(A17stdlife="n/a","n/a",IF(L$3&gt;(A17stdlife+$F255),(Input!$I$159*(1+vanilla2)^0.5)-SUM($I255:K255),(Input!$I$159*(1+vanilla2)^0.5)/A17stdlife))</f>
        <v>0</v>
      </c>
      <c r="M255" s="68">
        <f>IF(A17stdlife="n/a","n/a",IF(M$3&gt;(A17stdlife+$F255),(Input!$I$159*(1+vanilla2)^0.5)-SUM($I255:L255),(Input!$I$159*(1+vanilla2)^0.5)/A17stdlife))</f>
        <v>0</v>
      </c>
      <c r="N255" s="68">
        <f>IF(A17stdlife="n/a","n/a",IF(N$3&gt;(A17stdlife+$F255),(Input!$I$159*(1+vanilla2)^0.5)-SUM($I255:M255),(Input!$I$159*(1+vanilla2)^0.5)/A17stdlife))</f>
        <v>0</v>
      </c>
      <c r="O255" s="68">
        <f>IF(A17stdlife="n/a","n/a",IF(O$3&gt;(A17stdlife+$F255),(Input!$I$159*(1+vanilla2)^0.5)-SUM($I255:N255),(Input!$I$159*(1+vanilla2)^0.5)/A17stdlife))</f>
        <v>0</v>
      </c>
      <c r="P255" s="68">
        <f>IF(A17stdlife="n/a","n/a",IF(P$3&gt;(A17stdlife+$F255),(Input!$I$159*(1+vanilla2)^0.5)-SUM($I255:O255),(Input!$I$159*(1+vanilla2)^0.5)/A17stdlife))</f>
        <v>0</v>
      </c>
      <c r="Q255" s="68">
        <f>IF(A17stdlife="n/a","n/a",IF(Q$3&gt;(A17stdlife+$F255),(Input!$I$159*(1+vanilla2)^0.5)-SUM($I255:P255),(Input!$I$159*(1+vanilla2)^0.5)/A17stdlife))</f>
        <v>0</v>
      </c>
      <c r="R255" s="68"/>
      <c r="S255" s="103"/>
      <c r="T255" s="103"/>
      <c r="U255" s="103"/>
      <c r="V255" s="103"/>
      <c r="W255" s="103"/>
      <c r="X255" s="103"/>
      <c r="Y255" s="103"/>
      <c r="Z255" s="103"/>
      <c r="AA255" s="103"/>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656"/>
      <c r="F256" s="86">
        <v>3</v>
      </c>
      <c r="G256" s="123"/>
      <c r="H256" s="148"/>
      <c r="I256" s="150"/>
      <c r="J256" s="149"/>
      <c r="K256" s="68">
        <f>IF(A17stdlife="n/a","n/a",IF(K$3&gt;(A17stdlife+$F256),(Input!$J$159*(1+vanilla3)^0.5)-SUM($J256:J256),(Input!$J$159*(1+vanilla3)^0.5)/A17stdlife))</f>
        <v>0</v>
      </c>
      <c r="L256" s="68">
        <f>IF(A17stdlife="n/a","n/a",IF(L$3&gt;(A17stdlife+$F256),(Input!$J$159*(1+vanilla3)^0.5)-SUM($J256:K256),(Input!$J$159*(1+vanilla3)^0.5)/A17stdlife))</f>
        <v>0</v>
      </c>
      <c r="M256" s="68">
        <f>IF(A17stdlife="n/a","n/a",IF(M$3&gt;(A17stdlife+$F256),(Input!$J$159*(1+vanilla3)^0.5)-SUM($J256:L256),(Input!$J$159*(1+vanilla3)^0.5)/A17stdlife))</f>
        <v>0</v>
      </c>
      <c r="N256" s="68">
        <f>IF(A17stdlife="n/a","n/a",IF(N$3&gt;(A17stdlife+$F256),(Input!$J$159*(1+vanilla3)^0.5)-SUM($J256:M256),(Input!$J$159*(1+vanilla3)^0.5)/A17stdlife))</f>
        <v>0</v>
      </c>
      <c r="O256" s="68">
        <f>IF(A17stdlife="n/a","n/a",IF(O$3&gt;(A17stdlife+$F256),(Input!$J$159*(1+vanilla3)^0.5)-SUM($J256:N256),(Input!$J$159*(1+vanilla3)^0.5)/A17stdlife))</f>
        <v>0</v>
      </c>
      <c r="P256" s="68">
        <f>IF(A17stdlife="n/a","n/a",IF(P$3&gt;(A17stdlife+$F256),(Input!$J$159*(1+vanilla3)^0.5)-SUM($J256:O256),(Input!$J$159*(1+vanilla3)^0.5)/A17stdlife))</f>
        <v>0</v>
      </c>
      <c r="Q256" s="68">
        <f>IF(A17stdlife="n/a","n/a",IF(Q$3&gt;(A17stdlife+$F256),(Input!$J$159*(1+vanilla3)^0.5)-SUM($J256:P256),(Input!$J$159*(1+vanilla3)^0.5)/A17stdlife))</f>
        <v>0</v>
      </c>
      <c r="R256" s="68"/>
      <c r="S256" s="103"/>
      <c r="T256" s="103"/>
      <c r="U256" s="103"/>
      <c r="V256" s="103"/>
      <c r="W256" s="103"/>
      <c r="X256" s="103"/>
      <c r="Y256" s="103"/>
      <c r="Z256" s="103"/>
      <c r="AA256" s="103"/>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656"/>
      <c r="F257" s="86">
        <v>4</v>
      </c>
      <c r="G257" s="123"/>
      <c r="H257" s="148"/>
      <c r="I257" s="150"/>
      <c r="J257" s="150"/>
      <c r="K257" s="149"/>
      <c r="L257" s="68">
        <f>IF(A17stdlife="n/a","n/a",IF(L$3&gt;(A17stdlife+$F257),(Input!$K$159*(1+vanilla4)^0.5)-SUM($K257:K257),(Input!$K$159*(1+vanilla4)^0.5)/A17stdlife))</f>
        <v>0</v>
      </c>
      <c r="M257" s="68">
        <f>IF(A17stdlife="n/a","n/a",IF(M$3&gt;(A17stdlife+$F257),(Input!$K$159*(1+vanilla4)^0.5)-SUM($K257:L257),(Input!$K$159*(1+vanilla4)^0.5)/A17stdlife))</f>
        <v>0</v>
      </c>
      <c r="N257" s="68">
        <f>IF(A17stdlife="n/a","n/a",IF(N$3&gt;(A17stdlife+$F257),(Input!$K$159*(1+vanilla4)^0.5)-SUM($K257:M257),(Input!$K$159*(1+vanilla4)^0.5)/A17stdlife))</f>
        <v>0</v>
      </c>
      <c r="O257" s="68">
        <f>IF(A17stdlife="n/a","n/a",IF(O$3&gt;(A17stdlife+$F257),(Input!$K$159*(1+vanilla4)^0.5)-SUM($K257:N257),(Input!$K$159*(1+vanilla4)^0.5)/A17stdlife))</f>
        <v>0</v>
      </c>
      <c r="P257" s="68">
        <f>IF(A17stdlife="n/a","n/a",IF(P$3&gt;(A17stdlife+$F257),(Input!$K$159*(1+vanilla4)^0.5)-SUM($K257:O257),(Input!$K$159*(1+vanilla4)^0.5)/A17stdlife))</f>
        <v>0</v>
      </c>
      <c r="Q257" s="68">
        <f>IF(A17stdlife="n/a","n/a",IF(Q$3&gt;(A17stdlife+$F257),(Input!$K$159*(1+vanilla4)^0.5)-SUM($K257:P257),(Input!$K$159*(1+vanilla4)^0.5)/A17stdlife))</f>
        <v>0</v>
      </c>
      <c r="R257" s="68"/>
      <c r="S257" s="103"/>
      <c r="T257" s="103"/>
      <c r="U257" s="103"/>
      <c r="V257" s="103"/>
      <c r="W257" s="103"/>
      <c r="X257" s="103"/>
      <c r="Y257" s="103"/>
      <c r="Z257" s="103"/>
      <c r="AA257" s="103"/>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103"/>
      <c r="BE257" s="103"/>
      <c r="BF257" s="103"/>
      <c r="BG257" s="103"/>
      <c r="BH257" s="103"/>
      <c r="BI257" s="103"/>
      <c r="BJ257" s="103"/>
      <c r="BK257" s="103"/>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656"/>
      <c r="F258" s="86">
        <v>5</v>
      </c>
      <c r="G258" s="27"/>
      <c r="H258" s="148"/>
      <c r="I258" s="150"/>
      <c r="J258" s="150"/>
      <c r="K258" s="150"/>
      <c r="L258" s="149"/>
      <c r="M258" s="68">
        <f>IF(A17stdlife="n/a","n/a",IF(M$3&gt;(A17stdlife+$F258),(Input!$L$159*(1+vanilla5)^0.5)-SUM($L258:L258),(Input!$L$159*(1+vanilla5)^0.5)/A17stdlife))</f>
        <v>0</v>
      </c>
      <c r="N258" s="68">
        <f>IF(A17stdlife="n/a","n/a",IF(N$3&gt;(A17stdlife+$F258),(Input!$L$159*(1+vanilla5)^0.5)-SUM($L258:M258),(Input!$L$159*(1+vanilla5)^0.5)/A17stdlife))</f>
        <v>0</v>
      </c>
      <c r="O258" s="68">
        <f>IF(A17stdlife="n/a","n/a",IF(O$3&gt;(A17stdlife+$F258),(Input!$L$159*(1+vanilla5)^0.5)-SUM($L258:N258),(Input!$L$159*(1+vanilla5)^0.5)/A17stdlife))</f>
        <v>0</v>
      </c>
      <c r="P258" s="68">
        <f>IF(A17stdlife="n/a","n/a",IF(P$3&gt;(A17stdlife+$F258),(Input!$L$159*(1+vanilla5)^0.5)-SUM($L258:O258),(Input!$L$159*(1+vanilla5)^0.5)/A17stdlife))</f>
        <v>0</v>
      </c>
      <c r="Q258" s="68">
        <f>IF(A17stdlife="n/a","n/a",IF(Q$3&gt;(A17stdlife+$F258),(Input!$L$159*(1+vanilla5)^0.5)-SUM($L258:P258),(Input!$L$159*(1+vanilla5)^0.5)/A17stdlife))</f>
        <v>0</v>
      </c>
      <c r="R258" s="68"/>
      <c r="S258" s="103"/>
      <c r="T258" s="103"/>
      <c r="U258" s="103"/>
      <c r="V258" s="103"/>
      <c r="W258" s="103"/>
      <c r="X258" s="103"/>
      <c r="Y258" s="103"/>
      <c r="Z258" s="103"/>
      <c r="AA258" s="103"/>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656"/>
      <c r="F259" s="86">
        <v>6</v>
      </c>
      <c r="G259" s="27"/>
      <c r="H259" s="148"/>
      <c r="I259" s="150"/>
      <c r="J259" s="150"/>
      <c r="K259" s="150"/>
      <c r="L259" s="150"/>
      <c r="M259" s="149"/>
      <c r="N259" s="68">
        <f>IF(A17stdlife="n/a","n/a",IF(N$3&gt;(A17stdlife+$F259),(Input!$M$159*(1+vanilla6)^0.5)-SUM($M259:M259),(Input!$M$159*(1+vanilla6)^0.5)/A17stdlife))</f>
        <v>0</v>
      </c>
      <c r="O259" s="68">
        <f>IF(A17stdlife="n/a","n/a",IF(O$3&gt;(A17stdlife+$F259),(Input!$M$159*(1+vanilla6)^0.5)-SUM($M259:N259),(Input!$M$159*(1+vanilla6)^0.5)/A17stdlife))</f>
        <v>0</v>
      </c>
      <c r="P259" s="68">
        <f>IF(A17stdlife="n/a","n/a",IF(P$3&gt;(A17stdlife+$F259),(Input!$M$159*(1+vanilla6)^0.5)-SUM($M259:O259),(Input!$M$159*(1+vanilla6)^0.5)/A17stdlife))</f>
        <v>0</v>
      </c>
      <c r="Q259" s="68">
        <f>IF(A17stdlife="n/a","n/a",IF(Q$3&gt;(A17stdlife+$F259),(Input!$M$159*(1+vanilla6)^0.5)-SUM($M259:P259),(Input!$M$159*(1+vanilla6)^0.5)/A17stdlife))</f>
        <v>0</v>
      </c>
      <c r="R259" s="68"/>
      <c r="S259" s="103"/>
      <c r="T259" s="103"/>
      <c r="U259" s="103"/>
      <c r="V259" s="103"/>
      <c r="W259" s="103"/>
      <c r="X259" s="103"/>
      <c r="Y259" s="103"/>
      <c r="Z259" s="103"/>
      <c r="AA259" s="103"/>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656"/>
      <c r="F260" s="86">
        <v>7</v>
      </c>
      <c r="G260" s="27"/>
      <c r="H260" s="148"/>
      <c r="I260" s="150"/>
      <c r="J260" s="150"/>
      <c r="K260" s="150"/>
      <c r="L260" s="150"/>
      <c r="M260" s="150"/>
      <c r="N260" s="149"/>
      <c r="O260" s="68">
        <f>IF(A17stdlife="n/a","n/a",IF(O$3&gt;(A17stdlife+$F260),(Input!$N$159*(1+vanilla7)^0.5)-SUM($N260:N260),(Input!$N$159*(1+vanilla7)^0.5)/A17stdlife))</f>
        <v>0</v>
      </c>
      <c r="P260" s="68">
        <f>IF(A17stdlife="n/a","n/a",IF(P$3&gt;(A17stdlife+$F260),(Input!$N$159*(1+vanilla7)^0.5)-SUM($N260:O260),(Input!$N$159*(1+vanilla7)^0.5)/A17stdlife))</f>
        <v>0</v>
      </c>
      <c r="Q260" s="68">
        <f>IF(A17stdlife="n/a","n/a",IF(Q$3&gt;(A17stdlife+$F260),(Input!$N$159*(1+vanilla7)^0.5)-SUM($N260:P260),(Input!$N$159*(1+vanilla7)^0.5)/A17stdlife))</f>
        <v>0</v>
      </c>
      <c r="R260" s="68"/>
      <c r="S260" s="103"/>
      <c r="T260" s="103"/>
      <c r="U260" s="103"/>
      <c r="V260" s="103"/>
      <c r="W260" s="103"/>
      <c r="X260" s="103"/>
      <c r="Y260" s="103"/>
      <c r="Z260" s="103"/>
      <c r="AA260" s="103"/>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656"/>
      <c r="F261" s="86">
        <v>8</v>
      </c>
      <c r="G261" s="27"/>
      <c r="H261" s="148"/>
      <c r="I261" s="150"/>
      <c r="J261" s="150"/>
      <c r="K261" s="150"/>
      <c r="L261" s="150"/>
      <c r="M261" s="150"/>
      <c r="N261" s="150"/>
      <c r="O261" s="149"/>
      <c r="P261" s="68">
        <f>IF(A17stdlife="n/a","n/a",IF(P$3&gt;(A17stdlife+$F261),(Input!$O$159*(1+vanilla8)^0.5)-SUM($O261:O261),(Input!$O$159*(1+vanilla8)^0.5)/A17stdlife))</f>
        <v>0</v>
      </c>
      <c r="Q261" s="68">
        <f>IF(A17stdlife="n/a","n/a",IF(Q$3&gt;(A17stdlife+$F261),(Input!$O$159*(1+vanilla8)^0.5)-SUM($O261:P261),(Input!$O$159*(1+vanilla8)^0.5)/A17stdlife))</f>
        <v>0</v>
      </c>
      <c r="R261" s="68"/>
      <c r="S261" s="103"/>
      <c r="T261" s="103"/>
      <c r="U261" s="103"/>
      <c r="V261" s="103"/>
      <c r="W261" s="103"/>
      <c r="X261" s="103"/>
      <c r="Y261" s="103"/>
      <c r="Z261" s="103"/>
      <c r="AA261" s="103"/>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656"/>
      <c r="F262" s="86">
        <v>9</v>
      </c>
      <c r="G262" s="27"/>
      <c r="H262" s="148"/>
      <c r="I262" s="150"/>
      <c r="J262" s="150"/>
      <c r="K262" s="150"/>
      <c r="L262" s="150"/>
      <c r="M262" s="150"/>
      <c r="N262" s="150"/>
      <c r="O262" s="150"/>
      <c r="P262" s="149"/>
      <c r="Q262" s="68">
        <f>IF(A17stdlife="n/a","n/a",IF(Q$3&gt;(A17stdlife+$F262),(Input!$P$159*(1+vanilla9)^0.5)-SUM($P262:P262),(Input!$P$159*(1+vanilla9)^0.5)/A17stdlife))</f>
        <v>0</v>
      </c>
      <c r="R262" s="68"/>
      <c r="S262" s="103"/>
      <c r="T262" s="103"/>
      <c r="U262" s="103"/>
      <c r="V262" s="103"/>
      <c r="W262" s="103"/>
      <c r="X262" s="103"/>
      <c r="Y262" s="103"/>
      <c r="Z262" s="103"/>
      <c r="AA262" s="103"/>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656"/>
      <c r="F263" s="87">
        <v>10</v>
      </c>
      <c r="G263" s="27"/>
      <c r="H263" s="148"/>
      <c r="I263" s="150"/>
      <c r="J263" s="150"/>
      <c r="K263" s="150"/>
      <c r="L263" s="150"/>
      <c r="M263" s="150"/>
      <c r="N263" s="150"/>
      <c r="O263" s="150"/>
      <c r="P263" s="150"/>
      <c r="Q263" s="149"/>
      <c r="R263" s="68"/>
      <c r="S263" s="103"/>
      <c r="T263" s="103"/>
      <c r="U263" s="103"/>
      <c r="V263" s="103"/>
      <c r="W263" s="103"/>
      <c r="X263" s="103"/>
      <c r="Y263" s="103"/>
      <c r="Z263" s="103"/>
      <c r="AA263" s="103"/>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3"/>
      <c r="H264" s="167">
        <f>-SUM(H252:H263)</f>
        <v>0</v>
      </c>
      <c r="I264" s="167">
        <f>-SUM(I252:I263)</f>
        <v>0</v>
      </c>
      <c r="J264" s="167">
        <f>-SUM(J252:J263)</f>
        <v>0</v>
      </c>
      <c r="K264" s="167">
        <f>-SUM(K252:K263)</f>
        <v>0</v>
      </c>
      <c r="L264" s="167">
        <f>-SUM(L252:L263)</f>
        <v>0</v>
      </c>
      <c r="M264" s="167">
        <f>IF(Input!M173&gt;0, -SUM(M252:M263), 0)</f>
        <v>0</v>
      </c>
      <c r="N264" s="167">
        <f>IF(Input!N173&gt;0, -SUM(N252:N263), 0)</f>
        <v>0</v>
      </c>
      <c r="O264" s="167">
        <f>IF(Input!O173&gt;0, -SUM(O252:O263), 0)</f>
        <v>0</v>
      </c>
      <c r="P264" s="167">
        <f>IF(Input!P173&gt;0, -SUM(P252:P263), 0)</f>
        <v>0</v>
      </c>
      <c r="Q264" s="167">
        <f>IF(Input!Q173&gt;0, -SUM(Q252:Q263), 0)</f>
        <v>0</v>
      </c>
      <c r="R264" s="66"/>
      <c r="S264" s="105"/>
      <c r="T264" s="105"/>
      <c r="U264" s="105"/>
      <c r="V264" s="105"/>
      <c r="W264" s="105"/>
      <c r="X264" s="105"/>
      <c r="Y264" s="105"/>
      <c r="Z264" s="105"/>
      <c r="AA264" s="105"/>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105"/>
      <c r="BE264" s="105"/>
      <c r="BF264" s="105"/>
      <c r="BG264" s="105"/>
      <c r="BH264" s="105"/>
      <c r="BI264" s="105"/>
      <c r="BJ264" s="105"/>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3"/>
      <c r="E265" s="34" t="s">
        <v>28</v>
      </c>
      <c r="F265" s="33"/>
      <c r="G265" s="176"/>
      <c r="H265" s="67">
        <f>IF(H$3&gt;A18remlife,A18value-SUM($G265:G265),IF(A18remlife="N/A","n/a",A18value/A18remlife))</f>
        <v>0</v>
      </c>
      <c r="I265" s="67">
        <f>IF(I$3&gt;A18remlife,A18value-SUM($G265:H265),IF(A18remlife="N/A","n/a",A18value/A18remlife))</f>
        <v>0</v>
      </c>
      <c r="J265" s="67">
        <f>IF(J$3&gt;A18remlife,A18value-SUM($G265:I265),IF(A18remlife="N/A","n/a",A18value/A18remlife))</f>
        <v>0</v>
      </c>
      <c r="K265" s="67">
        <f>IF(K$3&gt;A18remlife,A18value-SUM($G265:J265),IF(A18remlife="N/A","n/a",A18value/A18remlife))</f>
        <v>0</v>
      </c>
      <c r="L265" s="67">
        <f>IF(L$3&gt;A18remlife,A18value-SUM($G265:K265),IF(A18remlife="N/A","n/a",A18value/A18remlife))</f>
        <v>0</v>
      </c>
      <c r="M265" s="67">
        <f>IF(M$3&gt;A18remlife,A18value-SUM($G265:L265),IF(A18remlife="N/A","n/a",A18value/A18remlife))</f>
        <v>0</v>
      </c>
      <c r="N265" s="67">
        <f>IF(N$3&gt;A18remlife,A18value-SUM($G265:M265),IF(A18remlife="N/A","n/a",A18value/A18remlife))</f>
        <v>0</v>
      </c>
      <c r="O265" s="67">
        <f>IF(O$3&gt;A18remlife,A18value-SUM($G265:N265),IF(A18remlife="N/A","n/a",A18value/A18remlife))</f>
        <v>0</v>
      </c>
      <c r="P265" s="67">
        <f>IF(P$3&gt;A18remlife,A18value-SUM($G265:O265),IF(A18remlife="N/A","n/a",A18value/A18remlife))</f>
        <v>0</v>
      </c>
      <c r="Q265" s="67">
        <f>IF(Q$3&gt;A18remlife,A18value-SUM($G265:P265),IF(A18remlife="N/A","n/a",A18value/A18remlife))</f>
        <v>0</v>
      </c>
      <c r="R265" s="67"/>
      <c r="S265" s="103"/>
      <c r="T265" s="103"/>
      <c r="U265" s="103"/>
      <c r="V265" s="103"/>
      <c r="W265" s="103"/>
      <c r="X265" s="103"/>
      <c r="Y265" s="103"/>
      <c r="Z265" s="103"/>
      <c r="AA265" s="103"/>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655" t="s">
        <v>84</v>
      </c>
      <c r="F266" s="86">
        <v>0</v>
      </c>
      <c r="G266" s="123"/>
      <c r="H266" s="68"/>
      <c r="I266" s="68"/>
      <c r="J266" s="68"/>
      <c r="K266" s="68"/>
      <c r="L266" s="68"/>
      <c r="M266" s="165"/>
      <c r="N266" s="113"/>
      <c r="O266" s="68"/>
      <c r="P266" s="68"/>
      <c r="Q266" s="68"/>
      <c r="R266" s="68"/>
      <c r="S266" s="103"/>
      <c r="T266" s="103"/>
      <c r="U266" s="103"/>
      <c r="V266" s="103"/>
      <c r="W266" s="103"/>
      <c r="X266" s="103"/>
      <c r="Y266" s="103"/>
      <c r="Z266" s="103"/>
      <c r="AA266" s="103"/>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656"/>
      <c r="F267" s="86">
        <v>1</v>
      </c>
      <c r="G267" s="123"/>
      <c r="H267" s="147"/>
      <c r="I267" s="68">
        <f>IF(A18stdlife="n/a","n/a",IF(I$3&gt;(A18stdlife+$F267),(Input!$H$160*(1+vanilla1)^0.5)-SUM($H267:H267),(Input!$H$160*(1+vanilla1)^0.5)/A18stdlife))</f>
        <v>0</v>
      </c>
      <c r="J267" s="68">
        <f>IF(A18stdlife="n/a","n/a",IF(J$3&gt;(A18stdlife+$F267),(Input!$H$160*(1+vanilla1)^0.5)-SUM($H267:I267),(Input!$H$160*(1+vanilla1)^0.5)/A18stdlife))</f>
        <v>0</v>
      </c>
      <c r="K267" s="68">
        <f>IF(A18stdlife="n/a","n/a",IF(K$3&gt;(A18stdlife+$F267),(Input!$H$160*(1+vanilla1)^0.5)-SUM($H267:J267),(Input!$H$160*(1+vanilla1)^0.5)/A18stdlife))</f>
        <v>0</v>
      </c>
      <c r="L267" s="68">
        <f>IF(A18stdlife="n/a","n/a",IF(L$3&gt;(A18stdlife+$F267),(Input!$H$160*(1+vanilla1)^0.5)-SUM($H267:K267),(Input!$H$160*(1+vanilla1)^0.5)/A18stdlife))</f>
        <v>0</v>
      </c>
      <c r="M267" s="68">
        <f>IF(A18stdlife="n/a","n/a",IF(M$3&gt;(A18stdlife+$F267),(Input!$H$160*(1+vanilla1)^0.5)-SUM($H267:L267),(Input!$H$160*(1+vanilla1)^0.5)/A18stdlife))</f>
        <v>0</v>
      </c>
      <c r="N267" s="68">
        <f>IF(A18stdlife="n/a","n/a",IF(N$3&gt;(A18stdlife+$F267),(Input!$H$160*(1+vanilla1)^0.5)-SUM($H267:M267),(Input!$H$160*(1+vanilla1)^0.5)/A18stdlife))</f>
        <v>0</v>
      </c>
      <c r="O267" s="68">
        <f>IF(A18stdlife="n/a","n/a",IF(O$3&gt;(A18stdlife+$F267),(Input!$H$160*(1+vanilla1)^0.5)-SUM($H267:N267),(Input!$H$160*(1+vanilla1)^0.5)/A18stdlife))</f>
        <v>0</v>
      </c>
      <c r="P267" s="68">
        <f>IF(A18stdlife="n/a","n/a",IF(P$3&gt;(A18stdlife+$F267),(Input!$H$160*(1+vanilla1)^0.5)-SUM($H267:O267),(Input!$H$160*(1+vanilla1)^0.5)/A18stdlife))</f>
        <v>0</v>
      </c>
      <c r="Q267" s="68">
        <f>IF(A18stdlife="n/a","n/a",IF(Q$3&gt;(A18stdlife+$F267),(Input!$H$160*(1+vanilla1)^0.5)-SUM($H267:P267),(Input!$H$160*(1+vanilla1)^0.5)/A18stdlife))</f>
        <v>0</v>
      </c>
      <c r="R267" s="68"/>
      <c r="S267" s="103"/>
      <c r="T267" s="103"/>
      <c r="U267" s="103"/>
      <c r="V267" s="103"/>
      <c r="W267" s="103"/>
      <c r="X267" s="103"/>
      <c r="Y267" s="103"/>
      <c r="Z267" s="103"/>
      <c r="AA267" s="103"/>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656"/>
      <c r="F268" s="86">
        <v>2</v>
      </c>
      <c r="G268" s="123"/>
      <c r="H268" s="148"/>
      <c r="I268" s="149"/>
      <c r="J268" s="68">
        <f>IF(A18stdlife="n/a","n/a",IF(J$3&gt;(A18stdlife+$F268),(Input!$I$160*(1+vanilla2)^0.5)-SUM($I268:I268),(Input!$I$160*(1+vanilla2)^0.5)/A18stdlife))</f>
        <v>0</v>
      </c>
      <c r="K268" s="68">
        <f>IF(A18stdlife="n/a","n/a",IF(K$3&gt;(A18stdlife+$F268),(Input!$I$160*(1+vanilla2)^0.5)-SUM($I268:J268),(Input!$I$160*(1+vanilla2)^0.5)/A18stdlife))</f>
        <v>0</v>
      </c>
      <c r="L268" s="68">
        <f>IF(A18stdlife="n/a","n/a",IF(L$3&gt;(A18stdlife+$F268),(Input!$I$160*(1+vanilla2)^0.5)-SUM($I268:K268),(Input!$I$160*(1+vanilla2)^0.5)/A18stdlife))</f>
        <v>0</v>
      </c>
      <c r="M268" s="68">
        <f>IF(A18stdlife="n/a","n/a",IF(M$3&gt;(A18stdlife+$F268),(Input!$I$160*(1+vanilla2)^0.5)-SUM($I268:L268),(Input!$I$160*(1+vanilla2)^0.5)/A18stdlife))</f>
        <v>0</v>
      </c>
      <c r="N268" s="68">
        <f>IF(A18stdlife="n/a","n/a",IF(N$3&gt;(A18stdlife+$F268),(Input!$I$160*(1+vanilla2)^0.5)-SUM($I268:M268),(Input!$I$160*(1+vanilla2)^0.5)/A18stdlife))</f>
        <v>0</v>
      </c>
      <c r="O268" s="68">
        <f>IF(A18stdlife="n/a","n/a",IF(O$3&gt;(A18stdlife+$F268),(Input!$I$160*(1+vanilla2)^0.5)-SUM($I268:N268),(Input!$I$160*(1+vanilla2)^0.5)/A18stdlife))</f>
        <v>0</v>
      </c>
      <c r="P268" s="68">
        <f>IF(A18stdlife="n/a","n/a",IF(P$3&gt;(A18stdlife+$F268),(Input!$I$160*(1+vanilla2)^0.5)-SUM($I268:O268),(Input!$I$160*(1+vanilla2)^0.5)/A18stdlife))</f>
        <v>0</v>
      </c>
      <c r="Q268" s="68">
        <f>IF(A18stdlife="n/a","n/a",IF(Q$3&gt;(A18stdlife+$F268),(Input!$I$160*(1+vanilla2)^0.5)-SUM($I268:P268),(Input!$I$160*(1+vanilla2)^0.5)/A18stdlife))</f>
        <v>0</v>
      </c>
      <c r="R268" s="68"/>
      <c r="S268" s="103"/>
      <c r="T268" s="103"/>
      <c r="U268" s="103"/>
      <c r="V268" s="103"/>
      <c r="W268" s="103"/>
      <c r="X268" s="103"/>
      <c r="Y268" s="103"/>
      <c r="Z268" s="103"/>
      <c r="AA268" s="103"/>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656"/>
      <c r="F269" s="86">
        <v>3</v>
      </c>
      <c r="G269" s="123"/>
      <c r="H269" s="148"/>
      <c r="I269" s="150"/>
      <c r="J269" s="149"/>
      <c r="K269" s="68">
        <f>IF(A18stdlife="n/a","n/a",IF(K$3&gt;(A18stdlife+$F269),(Input!$J$160*(1+vanilla3)^0.5)-SUM($J269:J269),(Input!$J$160*(1+vanilla3)^0.5)/A18stdlife))</f>
        <v>0</v>
      </c>
      <c r="L269" s="68">
        <f>IF(A18stdlife="n/a","n/a",IF(L$3&gt;(A18stdlife+$F269),(Input!$J$160*(1+vanilla3)^0.5)-SUM($J269:K269),(Input!$J$160*(1+vanilla3)^0.5)/A18stdlife))</f>
        <v>0</v>
      </c>
      <c r="M269" s="68">
        <f>IF(A18stdlife="n/a","n/a",IF(M$3&gt;(A18stdlife+$F269),(Input!$J$160*(1+vanilla3)^0.5)-SUM($J269:L269),(Input!$J$160*(1+vanilla3)^0.5)/A18stdlife))</f>
        <v>0</v>
      </c>
      <c r="N269" s="68">
        <f>IF(A18stdlife="n/a","n/a",IF(N$3&gt;(A18stdlife+$F269),(Input!$J$160*(1+vanilla3)^0.5)-SUM($J269:M269),(Input!$J$160*(1+vanilla3)^0.5)/A18stdlife))</f>
        <v>0</v>
      </c>
      <c r="O269" s="68">
        <f>IF(A18stdlife="n/a","n/a",IF(O$3&gt;(A18stdlife+$F269),(Input!$J$160*(1+vanilla3)^0.5)-SUM($J269:N269),(Input!$J$160*(1+vanilla3)^0.5)/A18stdlife))</f>
        <v>0</v>
      </c>
      <c r="P269" s="68">
        <f>IF(A18stdlife="n/a","n/a",IF(P$3&gt;(A18stdlife+$F269),(Input!$J$160*(1+vanilla3)^0.5)-SUM($J269:O269),(Input!$J$160*(1+vanilla3)^0.5)/A18stdlife))</f>
        <v>0</v>
      </c>
      <c r="Q269" s="68">
        <f>IF(A18stdlife="n/a","n/a",IF(Q$3&gt;(A18stdlife+$F269),(Input!$J$160*(1+vanilla3)^0.5)-SUM($J269:P269),(Input!$J$160*(1+vanilla3)^0.5)/A18stdlife))</f>
        <v>0</v>
      </c>
      <c r="R269" s="68"/>
      <c r="S269" s="103"/>
      <c r="T269" s="103"/>
      <c r="U269" s="103"/>
      <c r="V269" s="103"/>
      <c r="W269" s="103"/>
      <c r="X269" s="103"/>
      <c r="Y269" s="103"/>
      <c r="Z269" s="103"/>
      <c r="AA269" s="103"/>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656"/>
      <c r="F270" s="86">
        <v>4</v>
      </c>
      <c r="G270" s="123"/>
      <c r="H270" s="148"/>
      <c r="I270" s="150"/>
      <c r="J270" s="150"/>
      <c r="K270" s="149"/>
      <c r="L270" s="68">
        <f>IF(A18stdlife="n/a","n/a",IF(L$3&gt;(A18stdlife+$F270),(Input!$K$160*(1+vanilla4)^0.5)-SUM($K270:K270),(Input!$K$160*(1+vanilla4)^0.5)/A18stdlife))</f>
        <v>0</v>
      </c>
      <c r="M270" s="68">
        <f>IF(A18stdlife="n/a","n/a",IF(M$3&gt;(A18stdlife+$F270),(Input!$K$160*(1+vanilla4)^0.5)-SUM($K270:L270),(Input!$K$160*(1+vanilla4)^0.5)/A18stdlife))</f>
        <v>0</v>
      </c>
      <c r="N270" s="68">
        <f>IF(A18stdlife="n/a","n/a",IF(N$3&gt;(A18stdlife+$F270),(Input!$K$160*(1+vanilla4)^0.5)-SUM($K270:M270),(Input!$K$160*(1+vanilla4)^0.5)/A18stdlife))</f>
        <v>0</v>
      </c>
      <c r="O270" s="68">
        <f>IF(A18stdlife="n/a","n/a",IF(O$3&gt;(A18stdlife+$F270),(Input!$K$160*(1+vanilla4)^0.5)-SUM($K270:N270),(Input!$K$160*(1+vanilla4)^0.5)/A18stdlife))</f>
        <v>0</v>
      </c>
      <c r="P270" s="68">
        <f>IF(A18stdlife="n/a","n/a",IF(P$3&gt;(A18stdlife+$F270),(Input!$K$160*(1+vanilla4)^0.5)-SUM($K270:O270),(Input!$K$160*(1+vanilla4)^0.5)/A18stdlife))</f>
        <v>0</v>
      </c>
      <c r="Q270" s="68">
        <f>IF(A18stdlife="n/a","n/a",IF(Q$3&gt;(A18stdlife+$F270),(Input!$K$160*(1+vanilla4)^0.5)-SUM($K270:P270),(Input!$K$160*(1+vanilla4)^0.5)/A18stdlife))</f>
        <v>0</v>
      </c>
      <c r="R270" s="68"/>
      <c r="S270" s="103"/>
      <c r="T270" s="103"/>
      <c r="U270" s="103"/>
      <c r="V270" s="103"/>
      <c r="W270" s="103"/>
      <c r="X270" s="103"/>
      <c r="Y270" s="103"/>
      <c r="Z270" s="103"/>
      <c r="AA270" s="103"/>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103"/>
      <c r="BE270" s="103"/>
      <c r="BF270" s="103"/>
      <c r="BG270" s="103"/>
      <c r="BH270" s="103"/>
      <c r="BI270" s="103"/>
      <c r="BJ270" s="103"/>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656"/>
      <c r="F271" s="86">
        <v>5</v>
      </c>
      <c r="G271" s="27"/>
      <c r="H271" s="148"/>
      <c r="I271" s="150"/>
      <c r="J271" s="150"/>
      <c r="K271" s="150"/>
      <c r="L271" s="149"/>
      <c r="M271" s="68">
        <f>IF(A18stdlife="n/a","n/a",IF(M$3&gt;(A18stdlife+$F271),(Input!$L$160*(1+vanilla5)^0.5)-SUM($L271:L271),(Input!$L$160*(1+vanilla5)^0.5)/A18stdlife))</f>
        <v>0</v>
      </c>
      <c r="N271" s="68">
        <f>IF(A18stdlife="n/a","n/a",IF(N$3&gt;(A18stdlife+$F271),(Input!$L$160*(1+vanilla5)^0.5)-SUM($L271:M271),(Input!$L$160*(1+vanilla5)^0.5)/A18stdlife))</f>
        <v>0</v>
      </c>
      <c r="O271" s="68">
        <f>IF(A18stdlife="n/a","n/a",IF(O$3&gt;(A18stdlife+$F271),(Input!$L$160*(1+vanilla5)^0.5)-SUM($L271:N271),(Input!$L$160*(1+vanilla5)^0.5)/A18stdlife))</f>
        <v>0</v>
      </c>
      <c r="P271" s="68">
        <f>IF(A18stdlife="n/a","n/a",IF(P$3&gt;(A18stdlife+$F271),(Input!$L$160*(1+vanilla5)^0.5)-SUM($L271:O271),(Input!$L$160*(1+vanilla5)^0.5)/A18stdlife))</f>
        <v>0</v>
      </c>
      <c r="Q271" s="68">
        <f>IF(A18stdlife="n/a","n/a",IF(Q$3&gt;(A18stdlife+$F271),(Input!$L$160*(1+vanilla5)^0.5)-SUM($L271:P271),(Input!$L$160*(1+vanilla5)^0.5)/A18stdlife))</f>
        <v>0</v>
      </c>
      <c r="R271" s="68"/>
      <c r="S271" s="103"/>
      <c r="T271" s="103"/>
      <c r="U271" s="103"/>
      <c r="V271" s="103"/>
      <c r="W271" s="103"/>
      <c r="X271" s="103"/>
      <c r="Y271" s="103"/>
      <c r="Z271" s="103"/>
      <c r="AA271" s="103"/>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656"/>
      <c r="F272" s="86">
        <v>6</v>
      </c>
      <c r="G272" s="27"/>
      <c r="H272" s="148"/>
      <c r="I272" s="150"/>
      <c r="J272" s="150"/>
      <c r="K272" s="150"/>
      <c r="L272" s="150"/>
      <c r="M272" s="149"/>
      <c r="N272" s="68">
        <f>IF(A18stdlife="n/a","n/a",IF(N$3&gt;(A18stdlife+$F272),(Input!$M$160*(1+vanilla6)^0.5)-SUM($M272:M272),(Input!$M$160*(1+vanilla6)^0.5)/A18stdlife))</f>
        <v>0</v>
      </c>
      <c r="O272" s="68">
        <f>IF(A18stdlife="n/a","n/a",IF(O$3&gt;(A18stdlife+$F272),(Input!$M$160*(1+vanilla6)^0.5)-SUM($M272:N272),(Input!$M$160*(1+vanilla6)^0.5)/A18stdlife))</f>
        <v>0</v>
      </c>
      <c r="P272" s="68">
        <f>IF(A18stdlife="n/a","n/a",IF(P$3&gt;(A18stdlife+$F272),(Input!$M$160*(1+vanilla6)^0.5)-SUM($M272:O272),(Input!$M$160*(1+vanilla6)^0.5)/A18stdlife))</f>
        <v>0</v>
      </c>
      <c r="Q272" s="68">
        <f>IF(A18stdlife="n/a","n/a",IF(Q$3&gt;(A18stdlife+$F272),(Input!$M$160*(1+vanilla6)^0.5)-SUM($M272:P272),(Input!$M$160*(1+vanilla6)^0.5)/A18stdlife))</f>
        <v>0</v>
      </c>
      <c r="R272" s="68"/>
      <c r="S272" s="103"/>
      <c r="T272" s="103"/>
      <c r="U272" s="103"/>
      <c r="V272" s="103"/>
      <c r="W272" s="103"/>
      <c r="X272" s="103"/>
      <c r="Y272" s="103"/>
      <c r="Z272" s="103"/>
      <c r="AA272" s="103"/>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656"/>
      <c r="F273" s="86">
        <v>7</v>
      </c>
      <c r="G273" s="27"/>
      <c r="H273" s="148"/>
      <c r="I273" s="150"/>
      <c r="J273" s="150"/>
      <c r="K273" s="150"/>
      <c r="L273" s="150"/>
      <c r="M273" s="150"/>
      <c r="N273" s="149"/>
      <c r="O273" s="68">
        <f>IF(A18stdlife="n/a","n/a",IF(O$3&gt;(A18stdlife+$F273),(Input!$N$160*(1+vanilla7)^0.5)-SUM($N273:N273),(Input!$N$160*(1+vanilla7)^0.5)/A18stdlife))</f>
        <v>0</v>
      </c>
      <c r="P273" s="68">
        <f>IF(A18stdlife="n/a","n/a",IF(P$3&gt;(A18stdlife+$F273),(Input!$N$160*(1+vanilla7)^0.5)-SUM($N273:O273),(Input!$N$160*(1+vanilla7)^0.5)/A18stdlife))</f>
        <v>0</v>
      </c>
      <c r="Q273" s="68">
        <f>IF(A18stdlife="n/a","n/a",IF(Q$3&gt;(A18stdlife+$F273),(Input!$N$160*(1+vanilla7)^0.5)-SUM($N273:P273),(Input!$N$160*(1+vanilla7)^0.5)/A18stdlife))</f>
        <v>0</v>
      </c>
      <c r="R273" s="68"/>
      <c r="S273" s="103"/>
      <c r="T273" s="103"/>
      <c r="U273" s="103"/>
      <c r="V273" s="103"/>
      <c r="W273" s="103"/>
      <c r="X273" s="103"/>
      <c r="Y273" s="103"/>
      <c r="Z273" s="103"/>
      <c r="AA273" s="103"/>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656"/>
      <c r="F274" s="86">
        <v>8</v>
      </c>
      <c r="G274" s="27"/>
      <c r="H274" s="148"/>
      <c r="I274" s="150"/>
      <c r="J274" s="150"/>
      <c r="K274" s="150"/>
      <c r="L274" s="150"/>
      <c r="M274" s="150"/>
      <c r="N274" s="150"/>
      <c r="O274" s="149"/>
      <c r="P274" s="68">
        <f>IF(A18stdlife="n/a","n/a",IF(P$3&gt;(A18stdlife+$F274),(Input!$O$160*(1+vanilla8)^0.5)-SUM($O274:O274),(Input!$O$160*(1+vanilla8)^0.5)/A18stdlife))</f>
        <v>0</v>
      </c>
      <c r="Q274" s="68">
        <f>IF(A18stdlife="n/a","n/a",IF(Q$3&gt;(A18stdlife+$F274),(Input!$O$160*(1+vanilla8)^0.5)-SUM($O274:P274),(Input!$O$160*(1+vanilla8)^0.5)/A18stdlife))</f>
        <v>0</v>
      </c>
      <c r="R274" s="68"/>
      <c r="S274" s="103"/>
      <c r="T274" s="103"/>
      <c r="U274" s="103"/>
      <c r="V274" s="103"/>
      <c r="W274" s="103"/>
      <c r="X274" s="103"/>
      <c r="Y274" s="103"/>
      <c r="Z274" s="103"/>
      <c r="AA274" s="103"/>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656"/>
      <c r="F275" s="86">
        <v>9</v>
      </c>
      <c r="G275" s="27"/>
      <c r="H275" s="148"/>
      <c r="I275" s="150"/>
      <c r="J275" s="150"/>
      <c r="K275" s="150"/>
      <c r="L275" s="150"/>
      <c r="M275" s="150"/>
      <c r="N275" s="150"/>
      <c r="O275" s="150"/>
      <c r="P275" s="149"/>
      <c r="Q275" s="68">
        <f>IF(A18stdlife="n/a","n/a",IF(Q$3&gt;(A18stdlife+$F275),(Input!$P$160*(1+vanilla9)^0.5)-SUM($P275:P275),(Input!$P$160*(1+vanilla9)^0.5)/A18stdlife))</f>
        <v>0</v>
      </c>
      <c r="R275" s="68"/>
      <c r="S275" s="103"/>
      <c r="T275" s="103"/>
      <c r="U275" s="103"/>
      <c r="V275" s="103"/>
      <c r="W275" s="103"/>
      <c r="X275" s="103"/>
      <c r="Y275" s="103"/>
      <c r="Z275" s="103"/>
      <c r="AA275" s="103"/>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656"/>
      <c r="F276" s="87">
        <v>10</v>
      </c>
      <c r="G276" s="27"/>
      <c r="H276" s="148"/>
      <c r="I276" s="150"/>
      <c r="J276" s="150"/>
      <c r="K276" s="150"/>
      <c r="L276" s="150"/>
      <c r="M276" s="150"/>
      <c r="N276" s="150"/>
      <c r="O276" s="150"/>
      <c r="P276" s="150"/>
      <c r="Q276" s="149"/>
      <c r="R276" s="68"/>
      <c r="S276" s="103"/>
      <c r="T276" s="103"/>
      <c r="U276" s="103"/>
      <c r="V276" s="103"/>
      <c r="W276" s="103"/>
      <c r="X276" s="103"/>
      <c r="Y276" s="103"/>
      <c r="Z276" s="103"/>
      <c r="AA276" s="103"/>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3"/>
      <c r="H277" s="167">
        <f>-SUM(H265:H276)</f>
        <v>0</v>
      </c>
      <c r="I277" s="167">
        <f>-SUM(I265:I276)</f>
        <v>0</v>
      </c>
      <c r="J277" s="167">
        <f>-SUM(J265:J276)</f>
        <v>0</v>
      </c>
      <c r="K277" s="167">
        <f>-SUM(K265:K276)</f>
        <v>0</v>
      </c>
      <c r="L277" s="167">
        <f>-SUM(L265:L276)</f>
        <v>0</v>
      </c>
      <c r="M277" s="167">
        <f>IF(Input!M173&gt;0, -SUM(M265:M276), 0)</f>
        <v>0</v>
      </c>
      <c r="N277" s="167">
        <f>IF(Input!N173&gt;0, -SUM(N265:N276), 0)</f>
        <v>0</v>
      </c>
      <c r="O277" s="167">
        <f>IF(Input!O173&gt;0, -SUM(O265:O276), 0)</f>
        <v>0</v>
      </c>
      <c r="P277" s="167">
        <f>IF(Input!P173&gt;0, -SUM(P265:P276), 0)</f>
        <v>0</v>
      </c>
      <c r="Q277" s="167">
        <f>IF(Input!Q173&gt;0, -SUM(Q265:Q276), 0)</f>
        <v>0</v>
      </c>
      <c r="R277" s="167"/>
      <c r="S277" s="105"/>
      <c r="T277" s="105"/>
      <c r="U277" s="105"/>
      <c r="V277" s="105"/>
      <c r="W277" s="105"/>
      <c r="X277" s="105"/>
      <c r="Y277" s="105"/>
      <c r="Z277" s="105"/>
      <c r="AA277" s="105"/>
      <c r="AB277" s="232"/>
      <c r="AC277" s="232"/>
      <c r="AD277" s="232"/>
      <c r="AE277" s="232"/>
      <c r="AF277" s="232"/>
      <c r="AG277" s="232"/>
      <c r="AH277" s="232"/>
      <c r="AI277" s="232"/>
      <c r="AJ277" s="232"/>
      <c r="AK277" s="232"/>
      <c r="AL277" s="232"/>
      <c r="AM277" s="232"/>
      <c r="AN277" s="232"/>
      <c r="AO277" s="232"/>
      <c r="AP277" s="232"/>
      <c r="AQ277" s="232"/>
      <c r="AR277" s="232"/>
      <c r="AS277" s="232"/>
      <c r="AT277" s="232"/>
      <c r="AU277" s="232"/>
      <c r="AV277" s="232"/>
      <c r="AW277" s="232"/>
      <c r="AX277" s="232"/>
      <c r="AY277" s="232"/>
      <c r="AZ277" s="232"/>
      <c r="BA277" s="232"/>
      <c r="BB277" s="232"/>
      <c r="BC277" s="232"/>
      <c r="BD277" s="105"/>
      <c r="BE277" s="105"/>
      <c r="BF277" s="105"/>
      <c r="BG277" s="105"/>
      <c r="BH277" s="105"/>
      <c r="BI277" s="105"/>
      <c r="BJ277" s="105"/>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3"/>
      <c r="E278" s="34" t="s">
        <v>28</v>
      </c>
      <c r="F278" s="33"/>
      <c r="G278" s="176"/>
      <c r="H278" s="67">
        <f>IF(H$3&gt;A19remlife,A19value-SUM($G278:G278),IF(A19remlife="N/A","n/a",A19value/A19remlife))</f>
        <v>0</v>
      </c>
      <c r="I278" s="67">
        <f>IF(I$3&gt;A19remlife,A19value-SUM($G278:H278),IF(A19remlife="N/A","n/a",A19value/A19remlife))</f>
        <v>0</v>
      </c>
      <c r="J278" s="67">
        <f>IF(J$3&gt;A19remlife,A19value-SUM($G278:I278),IF(A19remlife="N/A","n/a",A19value/A19remlife))</f>
        <v>0</v>
      </c>
      <c r="K278" s="67">
        <f>IF(K$3&gt;A19remlife,A19value-SUM($G278:J278),IF(A19remlife="N/A","n/a",A19value/A19remlife))</f>
        <v>0</v>
      </c>
      <c r="L278" s="67">
        <f>IF(L$3&gt;A19remlife,A19value-SUM($G278:K278),IF(A19remlife="N/A","n/a",A19value/A19remlife))</f>
        <v>0</v>
      </c>
      <c r="M278" s="67">
        <f>IF(M$3&gt;A19remlife,A19value-SUM($G278:L278),IF(A19remlife="N/A","n/a",A19value/A19remlife))</f>
        <v>0</v>
      </c>
      <c r="N278" s="67">
        <f>IF(N$3&gt;A19remlife,A19value-SUM($G278:M278),IF(A19remlife="N/A","n/a",A19value/A19remlife))</f>
        <v>0</v>
      </c>
      <c r="O278" s="67">
        <f>IF(O$3&gt;A19remlife,A19value-SUM($G278:N278),IF(A19remlife="N/A","n/a",A19value/A19remlife))</f>
        <v>0</v>
      </c>
      <c r="P278" s="67">
        <f>IF(P$3&gt;A19remlife,A19value-SUM($G278:O278),IF(A19remlife="N/A","n/a",A19value/A19remlife))</f>
        <v>0</v>
      </c>
      <c r="Q278" s="67">
        <f>IF(Q$3&gt;A19remlife,A19value-SUM($G278:P278),IF(A19remlife="N/A","n/a",A19value/A19remlife))</f>
        <v>0</v>
      </c>
      <c r="R278" s="67"/>
      <c r="S278" s="103"/>
      <c r="T278" s="103"/>
      <c r="U278" s="103"/>
      <c r="V278" s="103"/>
      <c r="W278" s="103"/>
      <c r="X278" s="103"/>
      <c r="Y278" s="103"/>
      <c r="Z278" s="103"/>
      <c r="AA278" s="103"/>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655" t="s">
        <v>84</v>
      </c>
      <c r="F279" s="86">
        <v>0</v>
      </c>
      <c r="G279" s="123"/>
      <c r="H279" s="68"/>
      <c r="I279" s="68"/>
      <c r="J279" s="68"/>
      <c r="K279" s="68"/>
      <c r="L279" s="68"/>
      <c r="M279" s="165"/>
      <c r="N279" s="113"/>
      <c r="O279" s="68"/>
      <c r="P279" s="68"/>
      <c r="Q279" s="68"/>
      <c r="R279" s="68"/>
      <c r="S279" s="103"/>
      <c r="T279" s="103"/>
      <c r="U279" s="103"/>
      <c r="V279" s="103"/>
      <c r="W279" s="103"/>
      <c r="X279" s="103"/>
      <c r="Y279" s="103"/>
      <c r="Z279" s="103"/>
      <c r="AA279" s="103"/>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656"/>
      <c r="F280" s="86">
        <v>1</v>
      </c>
      <c r="G280" s="123"/>
      <c r="H280" s="147"/>
      <c r="I280" s="68">
        <f>IF(A19stdlife="n/a","n/a",IF(I$3&gt;(A19stdlife+$F280),(Input!$H$161*(1+vanilla1)^0.5)-SUM($H280:H280),(Input!$H$161*(1+vanilla1)^0.5)/A19stdlife))</f>
        <v>0</v>
      </c>
      <c r="J280" s="68">
        <f>IF(A19stdlife="n/a","n/a",IF(J$3&gt;(A19stdlife+$F280),(Input!$H$161*(1+vanilla1)^0.5)-SUM($H280:I280),(Input!$H$161*(1+vanilla1)^0.5)/A19stdlife))</f>
        <v>0</v>
      </c>
      <c r="K280" s="68">
        <f>IF(A19stdlife="n/a","n/a",IF(K$3&gt;(A19stdlife+$F280),(Input!$H$161*(1+vanilla1)^0.5)-SUM($H280:J280),(Input!$H$161*(1+vanilla1)^0.5)/A19stdlife))</f>
        <v>0</v>
      </c>
      <c r="L280" s="68">
        <f>IF(A19stdlife="n/a","n/a",IF(L$3&gt;(A19stdlife+$F280),(Input!$H$161*(1+vanilla1)^0.5)-SUM($H280:K280),(Input!$H$161*(1+vanilla1)^0.5)/A19stdlife))</f>
        <v>0</v>
      </c>
      <c r="M280" s="68">
        <f>IF(A19stdlife="n/a","n/a",IF(M$3&gt;(A19stdlife+$F280),(Input!$H$161*(1+vanilla1)^0.5)-SUM($H280:L280),(Input!$H$161*(1+vanilla1)^0.5)/A19stdlife))</f>
        <v>0</v>
      </c>
      <c r="N280" s="68">
        <f>IF(A19stdlife="n/a","n/a",IF(N$3&gt;(A19stdlife+$F280),(Input!$H$161*(1+vanilla1)^0.5)-SUM($H280:M280),(Input!$H$161*(1+vanilla1)^0.5)/A19stdlife))</f>
        <v>0</v>
      </c>
      <c r="O280" s="68">
        <f>IF(A19stdlife="n/a","n/a",IF(O$3&gt;(A19stdlife+$F280),(Input!$H$161*(1+vanilla1)^0.5)-SUM($H280:N280),(Input!$H$161*(1+vanilla1)^0.5)/A19stdlife))</f>
        <v>0</v>
      </c>
      <c r="P280" s="68">
        <f>IF(A19stdlife="n/a","n/a",IF(P$3&gt;(A19stdlife+$F280),(Input!$H$161*(1+vanilla1)^0.5)-SUM($H280:O280),(Input!$H$161*(1+vanilla1)^0.5)/A19stdlife))</f>
        <v>0</v>
      </c>
      <c r="Q280" s="68">
        <f>IF(A19stdlife="n/a","n/a",IF(Q$3&gt;(A19stdlife+$F280),(Input!$H$161*(1+vanilla1)^0.5)-SUM($H280:P280),(Input!$H$161*(1+vanilla1)^0.5)/A19stdlife))</f>
        <v>0</v>
      </c>
      <c r="R280" s="68"/>
      <c r="S280" s="103"/>
      <c r="T280" s="103"/>
      <c r="U280" s="103"/>
      <c r="V280" s="103"/>
      <c r="W280" s="103"/>
      <c r="X280" s="103"/>
      <c r="Y280" s="103"/>
      <c r="Z280" s="103"/>
      <c r="AA280" s="103"/>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656"/>
      <c r="F281" s="86">
        <v>2</v>
      </c>
      <c r="G281" s="123"/>
      <c r="H281" s="148"/>
      <c r="I281" s="149"/>
      <c r="J281" s="68">
        <f>IF(A19stdlife="n/a","n/a",IF(J$3&gt;(A19stdlife+$F281),(Input!$I$161*(1+vanilla2)^0.5)-SUM($I281:I281),(Input!$I$161*(1+vanilla2)^0.5)/A19stdlife))</f>
        <v>0</v>
      </c>
      <c r="K281" s="68">
        <f>IF(A19stdlife="n/a","n/a",IF(K$3&gt;(A19stdlife+$F281),(Input!$I$161*(1+vanilla2)^0.5)-SUM($I281:J281),(Input!$I$161*(1+vanilla2)^0.5)/A19stdlife))</f>
        <v>0</v>
      </c>
      <c r="L281" s="68">
        <f>IF(A19stdlife="n/a","n/a",IF(L$3&gt;(A19stdlife+$F281),(Input!$I$161*(1+vanilla2)^0.5)-SUM($I281:K281),(Input!$I$161*(1+vanilla2)^0.5)/A19stdlife))</f>
        <v>0</v>
      </c>
      <c r="M281" s="68">
        <f>IF(A19stdlife="n/a","n/a",IF(M$3&gt;(A19stdlife+$F281),(Input!$I$161*(1+vanilla2)^0.5)-SUM($I281:L281),(Input!$I$161*(1+vanilla2)^0.5)/A19stdlife))</f>
        <v>0</v>
      </c>
      <c r="N281" s="68">
        <f>IF(A19stdlife="n/a","n/a",IF(N$3&gt;(A19stdlife+$F281),(Input!$I$161*(1+vanilla2)^0.5)-SUM($I281:M281),(Input!$I$161*(1+vanilla2)^0.5)/A19stdlife))</f>
        <v>0</v>
      </c>
      <c r="O281" s="68">
        <f>IF(A19stdlife="n/a","n/a",IF(O$3&gt;(A19stdlife+$F281),(Input!$I$161*(1+vanilla2)^0.5)-SUM($I281:N281),(Input!$I$161*(1+vanilla2)^0.5)/A19stdlife))</f>
        <v>0</v>
      </c>
      <c r="P281" s="68">
        <f>IF(A19stdlife="n/a","n/a",IF(P$3&gt;(A19stdlife+$F281),(Input!$I$161*(1+vanilla2)^0.5)-SUM($I281:O281),(Input!$I$161*(1+vanilla2)^0.5)/A19stdlife))</f>
        <v>0</v>
      </c>
      <c r="Q281" s="68">
        <f>IF(A19stdlife="n/a","n/a",IF(Q$3&gt;(A19stdlife+$F281),(Input!$I$161*(1+vanilla2)^0.5)-SUM($I281:P281),(Input!$I$161*(1+vanilla2)^0.5)/A19stdlife))</f>
        <v>0</v>
      </c>
      <c r="R281" s="68"/>
      <c r="S281" s="103"/>
      <c r="T281" s="103"/>
      <c r="U281" s="103"/>
      <c r="V281" s="103"/>
      <c r="W281" s="103"/>
      <c r="X281" s="103"/>
      <c r="Y281" s="103"/>
      <c r="Z281" s="103"/>
      <c r="AA281" s="103"/>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656"/>
      <c r="F282" s="86">
        <v>3</v>
      </c>
      <c r="G282" s="123"/>
      <c r="H282" s="148"/>
      <c r="I282" s="150"/>
      <c r="J282" s="149"/>
      <c r="K282" s="68">
        <f>IF(A19stdlife="n/a","n/a",IF(K$3&gt;(A19stdlife+$F282),(Input!$J$161*(1+vanilla3)^0.5)-SUM($J282:J282),(Input!$J$161*(1+vanilla3)^0.5)/A19stdlife))</f>
        <v>0</v>
      </c>
      <c r="L282" s="68">
        <f>IF(A19stdlife="n/a","n/a",IF(L$3&gt;(A19stdlife+$F282),(Input!$J$161*(1+vanilla3)^0.5)-SUM($J282:K282),(Input!$J$161*(1+vanilla3)^0.5)/A19stdlife))</f>
        <v>0</v>
      </c>
      <c r="M282" s="68">
        <f>IF(A19stdlife="n/a","n/a",IF(M$3&gt;(A19stdlife+$F282),(Input!$J$161*(1+vanilla3)^0.5)-SUM($J282:L282),(Input!$J$161*(1+vanilla3)^0.5)/A19stdlife))</f>
        <v>0</v>
      </c>
      <c r="N282" s="68">
        <f>IF(A19stdlife="n/a","n/a",IF(N$3&gt;(A19stdlife+$F282),(Input!$J$161*(1+vanilla3)^0.5)-SUM($J282:M282),(Input!$J$161*(1+vanilla3)^0.5)/A19stdlife))</f>
        <v>0</v>
      </c>
      <c r="O282" s="68">
        <f>IF(A19stdlife="n/a","n/a",IF(O$3&gt;(A19stdlife+$F282),(Input!$J$161*(1+vanilla3)^0.5)-SUM($J282:N282),(Input!$J$161*(1+vanilla3)^0.5)/A19stdlife))</f>
        <v>0</v>
      </c>
      <c r="P282" s="68">
        <f>IF(A19stdlife="n/a","n/a",IF(P$3&gt;(A19stdlife+$F282),(Input!$J$161*(1+vanilla3)^0.5)-SUM($J282:O282),(Input!$J$161*(1+vanilla3)^0.5)/A19stdlife))</f>
        <v>0</v>
      </c>
      <c r="Q282" s="68">
        <f>IF(A19stdlife="n/a","n/a",IF(Q$3&gt;(A19stdlife+$F282),(Input!$J$161*(1+vanilla3)^0.5)-SUM($J282:P282),(Input!$J$161*(1+vanilla3)^0.5)/A19stdlife))</f>
        <v>0</v>
      </c>
      <c r="R282" s="68"/>
      <c r="S282" s="103"/>
      <c r="T282" s="103"/>
      <c r="U282" s="103"/>
      <c r="V282" s="103"/>
      <c r="W282" s="103"/>
      <c r="X282" s="103"/>
      <c r="Y282" s="103"/>
      <c r="Z282" s="103"/>
      <c r="AA282" s="103"/>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656"/>
      <c r="F283" s="86">
        <v>4</v>
      </c>
      <c r="G283" s="123"/>
      <c r="H283" s="148"/>
      <c r="I283" s="150"/>
      <c r="J283" s="150"/>
      <c r="K283" s="149"/>
      <c r="L283" s="68">
        <f>IF(A19stdlife="n/a","n/a",IF(L$3&gt;(A19stdlife+$F283),(Input!$K$161*(1+vanilla4)^0.5)-SUM($K283:K283),(Input!$K$161*(1+vanilla4)^0.5)/A19stdlife))</f>
        <v>0</v>
      </c>
      <c r="M283" s="68">
        <f>IF(A19stdlife="n/a","n/a",IF(M$3&gt;(A19stdlife+$F283),(Input!$K$161*(1+vanilla4)^0.5)-SUM($K283:L283),(Input!$K$161*(1+vanilla4)^0.5)/A19stdlife))</f>
        <v>0</v>
      </c>
      <c r="N283" s="68">
        <f>IF(A19stdlife="n/a","n/a",IF(N$3&gt;(A19stdlife+$F283),(Input!$K$161*(1+vanilla4)^0.5)-SUM($K283:M283),(Input!$K$161*(1+vanilla4)^0.5)/A19stdlife))</f>
        <v>0</v>
      </c>
      <c r="O283" s="68">
        <f>IF(A19stdlife="n/a","n/a",IF(O$3&gt;(A19stdlife+$F283),(Input!$K$161*(1+vanilla4)^0.5)-SUM($K283:N283),(Input!$K$161*(1+vanilla4)^0.5)/A19stdlife))</f>
        <v>0</v>
      </c>
      <c r="P283" s="68">
        <f>IF(A19stdlife="n/a","n/a",IF(P$3&gt;(A19stdlife+$F283),(Input!$K$161*(1+vanilla4)^0.5)-SUM($K283:O283),(Input!$K$161*(1+vanilla4)^0.5)/A19stdlife))</f>
        <v>0</v>
      </c>
      <c r="Q283" s="68">
        <f>IF(A19stdlife="n/a","n/a",IF(Q$3&gt;(A19stdlife+$F283),(Input!$K$161*(1+vanilla4)^0.5)-SUM($K283:P283),(Input!$K$161*(1+vanilla4)^0.5)/A19stdlife))</f>
        <v>0</v>
      </c>
      <c r="R283" s="68"/>
      <c r="S283" s="103"/>
      <c r="T283" s="103"/>
      <c r="U283" s="103"/>
      <c r="V283" s="103"/>
      <c r="W283" s="103"/>
      <c r="X283" s="103"/>
      <c r="Y283" s="103"/>
      <c r="Z283" s="103"/>
      <c r="AA283" s="103"/>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103"/>
      <c r="BE283" s="103"/>
      <c r="BF283" s="103"/>
      <c r="BG283" s="103"/>
      <c r="BH283" s="103"/>
      <c r="BI283" s="103"/>
      <c r="BJ283" s="103"/>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656"/>
      <c r="F284" s="86">
        <v>5</v>
      </c>
      <c r="G284" s="27"/>
      <c r="H284" s="148"/>
      <c r="I284" s="150"/>
      <c r="J284" s="150"/>
      <c r="K284" s="150"/>
      <c r="L284" s="149"/>
      <c r="M284" s="68">
        <f>IF(A19stdlife="n/a","n/a",IF(M$3&gt;(A19stdlife+$F284),(Input!$L$161*(1+vanilla5)^0.5)-SUM($L284:L284),(Input!$L$161*(1+vanilla5)^0.5)/A19stdlife))</f>
        <v>0</v>
      </c>
      <c r="N284" s="68">
        <f>IF(A19stdlife="n/a","n/a",IF(N$3&gt;(A19stdlife+$F284),(Input!$L$161*(1+vanilla5)^0.5)-SUM($L284:M284),(Input!$L$161*(1+vanilla5)^0.5)/A19stdlife))</f>
        <v>0</v>
      </c>
      <c r="O284" s="68">
        <f>IF(A19stdlife="n/a","n/a",IF(O$3&gt;(A19stdlife+$F284),(Input!$L$161*(1+vanilla5)^0.5)-SUM($L284:N284),(Input!$L$161*(1+vanilla5)^0.5)/A19stdlife))</f>
        <v>0</v>
      </c>
      <c r="P284" s="68">
        <f>IF(A19stdlife="n/a","n/a",IF(P$3&gt;(A19stdlife+$F284),(Input!$L$161*(1+vanilla5)^0.5)-SUM($L284:O284),(Input!$L$161*(1+vanilla5)^0.5)/A19stdlife))</f>
        <v>0</v>
      </c>
      <c r="Q284" s="68">
        <f>IF(A19stdlife="n/a","n/a",IF(Q$3&gt;(A19stdlife+$F284),(Input!$L$161*(1+vanilla5)^0.5)-SUM($L284:P284),(Input!$L$161*(1+vanilla5)^0.5)/A19stdlife))</f>
        <v>0</v>
      </c>
      <c r="R284" s="68"/>
      <c r="S284" s="103"/>
      <c r="T284" s="103"/>
      <c r="U284" s="103"/>
      <c r="V284" s="103"/>
      <c r="W284" s="103"/>
      <c r="X284" s="103"/>
      <c r="Y284" s="103"/>
      <c r="Z284" s="103"/>
      <c r="AA284" s="103"/>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656"/>
      <c r="F285" s="86">
        <v>6</v>
      </c>
      <c r="G285" s="27"/>
      <c r="H285" s="148"/>
      <c r="I285" s="150"/>
      <c r="J285" s="150"/>
      <c r="K285" s="150"/>
      <c r="L285" s="150"/>
      <c r="M285" s="149"/>
      <c r="N285" s="68">
        <f>IF(A19stdlife="n/a","n/a",IF(N$3&gt;(A19stdlife+$F285),(Input!$M$161*(1+vanilla6)^0.5)-SUM($M285:M285),(Input!$M$161*(1+vanilla6)^0.5)/A19stdlife))</f>
        <v>0</v>
      </c>
      <c r="O285" s="68">
        <f>IF(A19stdlife="n/a","n/a",IF(O$3&gt;(A19stdlife+$F285),(Input!$M$161*(1+vanilla6)^0.5)-SUM($M285:N285),(Input!$M$161*(1+vanilla6)^0.5)/A19stdlife))</f>
        <v>0</v>
      </c>
      <c r="P285" s="68">
        <f>IF(A19stdlife="n/a","n/a",IF(P$3&gt;(A19stdlife+$F285),(Input!$M$161*(1+vanilla6)^0.5)-SUM($M285:O285),(Input!$M$161*(1+vanilla6)^0.5)/A19stdlife))</f>
        <v>0</v>
      </c>
      <c r="Q285" s="68">
        <f>IF(A19stdlife="n/a","n/a",IF(Q$3&gt;(A19stdlife+$F285),(Input!$M$161*(1+vanilla6)^0.5)-SUM($M285:P285),(Input!$M$161*(1+vanilla6)^0.5)/A19stdlife))</f>
        <v>0</v>
      </c>
      <c r="R285" s="68"/>
      <c r="S285" s="103"/>
      <c r="T285" s="103"/>
      <c r="U285" s="103"/>
      <c r="V285" s="103"/>
      <c r="W285" s="103"/>
      <c r="X285" s="103"/>
      <c r="Y285" s="103"/>
      <c r="Z285" s="103"/>
      <c r="AA285" s="103"/>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656"/>
      <c r="F286" s="86">
        <v>7</v>
      </c>
      <c r="G286" s="27"/>
      <c r="H286" s="148"/>
      <c r="I286" s="150"/>
      <c r="J286" s="150"/>
      <c r="K286" s="150"/>
      <c r="L286" s="150"/>
      <c r="M286" s="150"/>
      <c r="N286" s="149"/>
      <c r="O286" s="68">
        <f>IF(A19stdlife="n/a","n/a",IF(O$3&gt;(A19stdlife+$F286),(Input!$N$161*(1+vanilla7)^0.5)-SUM($N286:N286),(Input!$N$161*(1+vanilla7)^0.5)/A19stdlife))</f>
        <v>0</v>
      </c>
      <c r="P286" s="68">
        <f>IF(A19stdlife="n/a","n/a",IF(P$3&gt;(A19stdlife+$F286),(Input!$N$161*(1+vanilla7)^0.5)-SUM($N286:O286),(Input!$N$161*(1+vanilla7)^0.5)/A19stdlife))</f>
        <v>0</v>
      </c>
      <c r="Q286" s="68">
        <f>IF(A19stdlife="n/a","n/a",IF(Q$3&gt;(A19stdlife+$F286),(Input!$N$161*(1+vanilla7)^0.5)-SUM($N286:P286),(Input!$N$161*(1+vanilla7)^0.5)/A19stdlife))</f>
        <v>0</v>
      </c>
      <c r="R286" s="68"/>
      <c r="S286" s="103"/>
      <c r="T286" s="103"/>
      <c r="U286" s="103"/>
      <c r="V286" s="103"/>
      <c r="W286" s="103"/>
      <c r="X286" s="103"/>
      <c r="Y286" s="103"/>
      <c r="Z286" s="103"/>
      <c r="AA286" s="103"/>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656"/>
      <c r="F287" s="86">
        <v>8</v>
      </c>
      <c r="G287" s="27"/>
      <c r="H287" s="148"/>
      <c r="I287" s="150"/>
      <c r="J287" s="150"/>
      <c r="K287" s="150"/>
      <c r="L287" s="150"/>
      <c r="M287" s="150"/>
      <c r="N287" s="150"/>
      <c r="O287" s="149"/>
      <c r="P287" s="68">
        <f>IF(A19stdlife="n/a","n/a",IF(P$3&gt;(A19stdlife+$F287),(Input!$O$161*(1+vanilla8)^0.5)-SUM($O287:O287),(Input!$O$161*(1+vanilla8)^0.5)/A19stdlife))</f>
        <v>0</v>
      </c>
      <c r="Q287" s="68">
        <f>IF(A19stdlife="n/a","n/a",IF(Q$3&gt;(A19stdlife+$F287),(Input!$O$161*(1+vanilla8)^0.5)-SUM($O287:P287),(Input!$O$161*(1+vanilla8)^0.5)/A19stdlife))</f>
        <v>0</v>
      </c>
      <c r="R287" s="68"/>
      <c r="S287" s="103"/>
      <c r="T287" s="103"/>
      <c r="U287" s="103"/>
      <c r="V287" s="103"/>
      <c r="W287" s="103"/>
      <c r="X287" s="103"/>
      <c r="Y287" s="103"/>
      <c r="Z287" s="103"/>
      <c r="AA287" s="103"/>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656"/>
      <c r="F288" s="86">
        <v>9</v>
      </c>
      <c r="G288" s="27"/>
      <c r="H288" s="148"/>
      <c r="I288" s="150"/>
      <c r="J288" s="150"/>
      <c r="K288" s="150"/>
      <c r="L288" s="150"/>
      <c r="M288" s="150"/>
      <c r="N288" s="150"/>
      <c r="O288" s="150"/>
      <c r="P288" s="149"/>
      <c r="Q288" s="68">
        <f>IF(A19stdlife="n/a","n/a",IF(Q$3&gt;(A19stdlife+$F288),(Input!$P$161*(1+vanilla9)^0.5)-SUM($P288:P288),(Input!$P$161*(1+vanilla9)^0.5)/A19stdlife))</f>
        <v>0</v>
      </c>
      <c r="R288" s="68"/>
      <c r="S288" s="103"/>
      <c r="T288" s="103"/>
      <c r="U288" s="103"/>
      <c r="V288" s="103"/>
      <c r="W288" s="103"/>
      <c r="X288" s="103"/>
      <c r="Y288" s="103"/>
      <c r="Z288" s="103"/>
      <c r="AA288" s="103"/>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656"/>
      <c r="F289" s="87">
        <v>10</v>
      </c>
      <c r="G289" s="27"/>
      <c r="H289" s="148"/>
      <c r="I289" s="150"/>
      <c r="J289" s="150"/>
      <c r="K289" s="150"/>
      <c r="L289" s="150"/>
      <c r="M289" s="150"/>
      <c r="N289" s="150"/>
      <c r="O289" s="150"/>
      <c r="P289" s="150"/>
      <c r="Q289" s="149"/>
      <c r="R289" s="68"/>
      <c r="S289" s="103"/>
      <c r="T289" s="103"/>
      <c r="U289" s="103"/>
      <c r="V289" s="103"/>
      <c r="W289" s="103"/>
      <c r="X289" s="103"/>
      <c r="Y289" s="103"/>
      <c r="Z289" s="103"/>
      <c r="AA289" s="103"/>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103"/>
      <c r="BE289" s="103"/>
      <c r="BF289" s="103"/>
      <c r="BG289" s="103"/>
      <c r="BH289" s="103"/>
      <c r="BI289" s="103"/>
      <c r="BJ289" s="103"/>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3"/>
      <c r="H290" s="167">
        <f>-SUM(H278:H289)</f>
        <v>0</v>
      </c>
      <c r="I290" s="167">
        <f>-SUM(I278:I289)</f>
        <v>0</v>
      </c>
      <c r="J290" s="167">
        <f>-SUM(J278:J289)</f>
        <v>0</v>
      </c>
      <c r="K290" s="167">
        <f>-SUM(K278:K289)</f>
        <v>0</v>
      </c>
      <c r="L290" s="167">
        <f>-SUM(L278:L289)</f>
        <v>0</v>
      </c>
      <c r="M290" s="167">
        <f>IF(Input!M173&gt;0, -SUM(M278:M289), 0)</f>
        <v>0</v>
      </c>
      <c r="N290" s="167">
        <f>IF(Input!N173&gt;0, -SUM(N278:N289), 0)</f>
        <v>0</v>
      </c>
      <c r="O290" s="167">
        <f>IF(Input!O173&gt;0, -SUM(O278:O289), 0)</f>
        <v>0</v>
      </c>
      <c r="P290" s="167">
        <f>IF(Input!P173&gt;0, -SUM(P278:P289), 0)</f>
        <v>0</v>
      </c>
      <c r="Q290" s="167">
        <f>IF(Input!Q173&gt;0, -SUM(Q278:Q289), 0)</f>
        <v>0</v>
      </c>
      <c r="R290" s="66"/>
      <c r="S290" s="105"/>
      <c r="T290" s="105"/>
      <c r="U290" s="105"/>
      <c r="V290" s="105"/>
      <c r="W290" s="105"/>
      <c r="X290" s="105"/>
      <c r="Y290" s="105"/>
      <c r="Z290" s="105"/>
      <c r="AA290" s="105"/>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105"/>
      <c r="BE290" s="105"/>
      <c r="BF290" s="105"/>
      <c r="BG290" s="105"/>
      <c r="BH290" s="105"/>
      <c r="BI290" s="105"/>
      <c r="BJ290" s="105"/>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3"/>
      <c r="E291" s="34" t="s">
        <v>28</v>
      </c>
      <c r="F291" s="33"/>
      <c r="G291" s="176"/>
      <c r="H291" s="67">
        <f>IF(H$3&gt;A20remlife,A20value-SUM($G291:G291),IF(A20remlife="N/A","n/a",A20value/A20remlife))</f>
        <v>0</v>
      </c>
      <c r="I291" s="67">
        <f>IF(I$3&gt;A20remlife,A20value-SUM($G291:H291),IF(A20remlife="N/A","n/a",A20value/A20remlife))</f>
        <v>0</v>
      </c>
      <c r="J291" s="67">
        <f>IF(J$3&gt;A20remlife,A20value-SUM($G291:I291),IF(A20remlife="N/A","n/a",A20value/A20remlife))</f>
        <v>0</v>
      </c>
      <c r="K291" s="67">
        <f>IF(K$3&gt;A20remlife,A20value-SUM($G291:J291),IF(A20remlife="N/A","n/a",A20value/A20remlife))</f>
        <v>0</v>
      </c>
      <c r="L291" s="67">
        <f>IF(L$3&gt;A20remlife,A20value-SUM($G291:K291),IF(A20remlife="N/A","n/a",A20value/A20remlife))</f>
        <v>0</v>
      </c>
      <c r="M291" s="67">
        <f>IF(M$3&gt;A20remlife,A20value-SUM($G291:L291),IF(A20remlife="N/A","n/a",A20value/A20remlife))</f>
        <v>0</v>
      </c>
      <c r="N291" s="67">
        <f>IF(N$3&gt;A20remlife,A20value-SUM($G291:M291),IF(A20remlife="N/A","n/a",A20value/A20remlife))</f>
        <v>0</v>
      </c>
      <c r="O291" s="67">
        <f>IF(O$3&gt;A20remlife,A20value-SUM($G291:N291),IF(A20remlife="N/A","n/a",A20value/A20remlife))</f>
        <v>0</v>
      </c>
      <c r="P291" s="67">
        <f>IF(P$3&gt;A20remlife,A20value-SUM($G291:O291),IF(A20remlife="N/A","n/a",A20value/A20remlife))</f>
        <v>0</v>
      </c>
      <c r="Q291" s="67">
        <f>IF(Q$3&gt;A20remlife,A20value-SUM($G291:P291),IF(A20remlife="N/A","n/a",A20value/A20remlife))</f>
        <v>0</v>
      </c>
      <c r="R291" s="67"/>
      <c r="S291" s="103"/>
      <c r="T291" s="103"/>
      <c r="U291" s="103"/>
      <c r="V291" s="103"/>
      <c r="W291" s="103"/>
      <c r="X291" s="103"/>
      <c r="Y291" s="103"/>
      <c r="Z291" s="103"/>
      <c r="AA291" s="103"/>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655" t="s">
        <v>84</v>
      </c>
      <c r="F292" s="86">
        <v>0</v>
      </c>
      <c r="G292" s="123"/>
      <c r="H292" s="68"/>
      <c r="I292" s="68"/>
      <c r="J292" s="68"/>
      <c r="K292" s="68"/>
      <c r="L292" s="68"/>
      <c r="M292" s="165"/>
      <c r="N292" s="113"/>
      <c r="O292" s="68"/>
      <c r="P292" s="68"/>
      <c r="Q292" s="68"/>
      <c r="R292" s="68"/>
      <c r="S292" s="103"/>
      <c r="T292" s="103"/>
      <c r="U292" s="103"/>
      <c r="V292" s="103"/>
      <c r="W292" s="103"/>
      <c r="X292" s="103"/>
      <c r="Y292" s="103"/>
      <c r="Z292" s="103"/>
      <c r="AA292" s="103"/>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656"/>
      <c r="F293" s="86">
        <v>1</v>
      </c>
      <c r="G293" s="123"/>
      <c r="H293" s="147"/>
      <c r="I293" s="68">
        <f>IF(A20stdlife="n/a","n/a",IF(I$3&gt;(A20stdlife+$F293),(Input!$H$162*(1+vanilla1)^0.5)-SUM($H293:H293),(Input!$H$162*(1+vanilla1)^0.5)/A20stdlife))</f>
        <v>0</v>
      </c>
      <c r="J293" s="68">
        <f>IF(A20stdlife="n/a","n/a",IF(J$3&gt;(A20stdlife+$F293),(Input!$H$162*(1+vanilla1)^0.5)-SUM($H293:I293),(Input!$H$162*(1+vanilla1)^0.5)/A20stdlife))</f>
        <v>0</v>
      </c>
      <c r="K293" s="68">
        <f>IF(A20stdlife="n/a","n/a",IF(K$3&gt;(A20stdlife+$F293),(Input!$H$162*(1+vanilla1)^0.5)-SUM($H293:J293),(Input!$H$162*(1+vanilla1)^0.5)/A20stdlife))</f>
        <v>0</v>
      </c>
      <c r="L293" s="68">
        <f>IF(A20stdlife="n/a","n/a",IF(L$3&gt;(A20stdlife+$F293),(Input!$H$162*(1+vanilla1)^0.5)-SUM($H293:K293),(Input!$H$162*(1+vanilla1)^0.5)/A20stdlife))</f>
        <v>0</v>
      </c>
      <c r="M293" s="68">
        <f>IF(A20stdlife="n/a","n/a",IF(M$3&gt;(A20stdlife+$F293),(Input!$H$162*(1+vanilla1)^0.5)-SUM($H293:L293),(Input!$H$162*(1+vanilla1)^0.5)/A20stdlife))</f>
        <v>0</v>
      </c>
      <c r="N293" s="68">
        <f>IF(A20stdlife="n/a","n/a",IF(N$3&gt;(A20stdlife+$F293),(Input!$H$162*(1+vanilla1)^0.5)-SUM($H293:M293),(Input!$H$162*(1+vanilla1)^0.5)/A20stdlife))</f>
        <v>0</v>
      </c>
      <c r="O293" s="68">
        <f>IF(A20stdlife="n/a","n/a",IF(O$3&gt;(A20stdlife+$F293),(Input!$H$162*(1+vanilla1)^0.5)-SUM($H293:N293),(Input!$H$162*(1+vanilla1)^0.5)/A20stdlife))</f>
        <v>0</v>
      </c>
      <c r="P293" s="68">
        <f>IF(A20stdlife="n/a","n/a",IF(P$3&gt;(A20stdlife+$F293),(Input!$H$162*(1+vanilla1)^0.5)-SUM($H293:O293),(Input!$H$162*(1+vanilla1)^0.5)/A20stdlife))</f>
        <v>0</v>
      </c>
      <c r="Q293" s="68">
        <f>IF(A20stdlife="n/a","n/a",IF(Q$3&gt;(A20stdlife+$F293),(Input!$H$162*(1+vanilla1)^0.5)-SUM($H293:P293),(Input!$H$162*(1+vanilla1)^0.5)/A20stdlife))</f>
        <v>0</v>
      </c>
      <c r="R293" s="68"/>
      <c r="S293" s="103"/>
      <c r="T293" s="103"/>
      <c r="U293" s="103"/>
      <c r="V293" s="103"/>
      <c r="W293" s="103"/>
      <c r="X293" s="103"/>
      <c r="Y293" s="103"/>
      <c r="Z293" s="103"/>
      <c r="AA293" s="103"/>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656"/>
      <c r="F294" s="86">
        <v>2</v>
      </c>
      <c r="G294" s="123"/>
      <c r="H294" s="148"/>
      <c r="I294" s="149"/>
      <c r="J294" s="68">
        <f>IF(A20stdlife="n/a","n/a",IF(J$3&gt;(A20stdlife+$F294),(Input!$I$162*(1+vanilla2)^0.5)-SUM($I294:I294),(Input!$I$162*(1+vanilla2)^0.5)/A20stdlife))</f>
        <v>0</v>
      </c>
      <c r="K294" s="68">
        <f>IF(A20stdlife="n/a","n/a",IF(K$3&gt;(A20stdlife+$F294),(Input!$I$162*(1+vanilla2)^0.5)-SUM($I294:J294),(Input!$I$162*(1+vanilla2)^0.5)/A20stdlife))</f>
        <v>0</v>
      </c>
      <c r="L294" s="68">
        <f>IF(A20stdlife="n/a","n/a",IF(L$3&gt;(A20stdlife+$F294),(Input!$I$162*(1+vanilla2)^0.5)-SUM($I294:K294),(Input!$I$162*(1+vanilla2)^0.5)/A20stdlife))</f>
        <v>0</v>
      </c>
      <c r="M294" s="68">
        <f>IF(A20stdlife="n/a","n/a",IF(M$3&gt;(A20stdlife+$F294),(Input!$I$162*(1+vanilla2)^0.5)-SUM($I294:L294),(Input!$I$162*(1+vanilla2)^0.5)/A20stdlife))</f>
        <v>0</v>
      </c>
      <c r="N294" s="68">
        <f>IF(A20stdlife="n/a","n/a",IF(N$3&gt;(A20stdlife+$F294),(Input!$I$162*(1+vanilla2)^0.5)-SUM($I294:M294),(Input!$I$162*(1+vanilla2)^0.5)/A20stdlife))</f>
        <v>0</v>
      </c>
      <c r="O294" s="68">
        <f>IF(A20stdlife="n/a","n/a",IF(O$3&gt;(A20stdlife+$F294),(Input!$I$162*(1+vanilla2)^0.5)-SUM($I294:N294),(Input!$I$162*(1+vanilla2)^0.5)/A20stdlife))</f>
        <v>0</v>
      </c>
      <c r="P294" s="68">
        <f>IF(A20stdlife="n/a","n/a",IF(P$3&gt;(A20stdlife+$F294),(Input!$I$162*(1+vanilla2)^0.5)-SUM($I294:O294),(Input!$I$162*(1+vanilla2)^0.5)/A20stdlife))</f>
        <v>0</v>
      </c>
      <c r="Q294" s="68">
        <f>IF(A20stdlife="n/a","n/a",IF(Q$3&gt;(A20stdlife+$F294),(Input!$I$162*(1+vanilla2)^0.5)-SUM($I294:P294),(Input!$I$162*(1+vanilla2)^0.5)/A20stdlife))</f>
        <v>0</v>
      </c>
      <c r="R294" s="68"/>
      <c r="S294" s="103"/>
      <c r="T294" s="103"/>
      <c r="U294" s="103"/>
      <c r="V294" s="103"/>
      <c r="W294" s="103"/>
      <c r="X294" s="103"/>
      <c r="Y294" s="103"/>
      <c r="Z294" s="103"/>
      <c r="AA294" s="103"/>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656"/>
      <c r="F295" s="86">
        <v>3</v>
      </c>
      <c r="G295" s="123"/>
      <c r="H295" s="148"/>
      <c r="I295" s="150"/>
      <c r="J295" s="149"/>
      <c r="K295" s="68">
        <f>IF(A20stdlife="n/a","n/a",IF(K$3&gt;(A20stdlife+$F295),(Input!$J$162*(1+vanilla3)^0.5)-SUM($J295:J295),(Input!$J$162*(1+vanilla3)^0.5)/A20stdlife))</f>
        <v>0</v>
      </c>
      <c r="L295" s="68">
        <f>IF(A20stdlife="n/a","n/a",IF(L$3&gt;(A20stdlife+$F295),(Input!$J$162*(1+vanilla3)^0.5)-SUM($J295:K295),(Input!$J$162*(1+vanilla3)^0.5)/A20stdlife))</f>
        <v>0</v>
      </c>
      <c r="M295" s="68">
        <f>IF(A20stdlife="n/a","n/a",IF(M$3&gt;(A20stdlife+$F295),(Input!$J$162*(1+vanilla3)^0.5)-SUM($J295:L295),(Input!$J$162*(1+vanilla3)^0.5)/A20stdlife))</f>
        <v>0</v>
      </c>
      <c r="N295" s="68">
        <f>IF(A20stdlife="n/a","n/a",IF(N$3&gt;(A20stdlife+$F295),(Input!$J$162*(1+vanilla3)^0.5)-SUM($J295:M295),(Input!$J$162*(1+vanilla3)^0.5)/A20stdlife))</f>
        <v>0</v>
      </c>
      <c r="O295" s="68">
        <f>IF(A20stdlife="n/a","n/a",IF(O$3&gt;(A20stdlife+$F295),(Input!$J$162*(1+vanilla3)^0.5)-SUM($J295:N295),(Input!$J$162*(1+vanilla3)^0.5)/A20stdlife))</f>
        <v>0</v>
      </c>
      <c r="P295" s="68">
        <f>IF(A20stdlife="n/a","n/a",IF(P$3&gt;(A20stdlife+$F295),(Input!$J$162*(1+vanilla3)^0.5)-SUM($J295:O295),(Input!$J$162*(1+vanilla3)^0.5)/A20stdlife))</f>
        <v>0</v>
      </c>
      <c r="Q295" s="68">
        <f>IF(A20stdlife="n/a","n/a",IF(Q$3&gt;(A20stdlife+$F295),(Input!$J$162*(1+vanilla3)^0.5)-SUM($J295:P295),(Input!$J$162*(1+vanilla3)^0.5)/A20stdlife))</f>
        <v>0</v>
      </c>
      <c r="R295" s="68"/>
      <c r="S295" s="103"/>
      <c r="T295" s="103"/>
      <c r="U295" s="103"/>
      <c r="V295" s="103"/>
      <c r="W295" s="103"/>
      <c r="X295" s="103"/>
      <c r="Y295" s="103"/>
      <c r="Z295" s="103"/>
      <c r="AA295" s="103"/>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656"/>
      <c r="F296" s="86">
        <v>4</v>
      </c>
      <c r="G296" s="123"/>
      <c r="H296" s="148"/>
      <c r="I296" s="150"/>
      <c r="J296" s="150"/>
      <c r="K296" s="149"/>
      <c r="L296" s="68">
        <f>IF(A20stdlife="n/a","n/a",IF(L$3&gt;(A20stdlife+$F296),(Input!$K$162*(1+vanilla4)^0.5)-SUM($K296:K296),(Input!$K$162*(1+vanilla4)^0.5)/A20stdlife))</f>
        <v>0</v>
      </c>
      <c r="M296" s="68">
        <f>IF(A20stdlife="n/a","n/a",IF(M$3&gt;(A20stdlife+$F296),(Input!$K$162*(1+vanilla4)^0.5)-SUM($K296:L296),(Input!$K$162*(1+vanilla4)^0.5)/A20stdlife))</f>
        <v>0</v>
      </c>
      <c r="N296" s="68">
        <f>IF(A20stdlife="n/a","n/a",IF(N$3&gt;(A20stdlife+$F296),(Input!$K$162*(1+vanilla4)^0.5)-SUM($K296:M296),(Input!$K$162*(1+vanilla4)^0.5)/A20stdlife))</f>
        <v>0</v>
      </c>
      <c r="O296" s="68">
        <f>IF(A20stdlife="n/a","n/a",IF(O$3&gt;(A20stdlife+$F296),(Input!$K$162*(1+vanilla4)^0.5)-SUM($K296:N296),(Input!$K$162*(1+vanilla4)^0.5)/A20stdlife))</f>
        <v>0</v>
      </c>
      <c r="P296" s="68">
        <f>IF(A20stdlife="n/a","n/a",IF(P$3&gt;(A20stdlife+$F296),(Input!$K$162*(1+vanilla4)^0.5)-SUM($K296:O296),(Input!$K$162*(1+vanilla4)^0.5)/A20stdlife))</f>
        <v>0</v>
      </c>
      <c r="Q296" s="68">
        <f>IF(A20stdlife="n/a","n/a",IF(Q$3&gt;(A20stdlife+$F296),(Input!$K$162*(1+vanilla4)^0.5)-SUM($K296:P296),(Input!$K$162*(1+vanilla4)^0.5)/A20stdlife))</f>
        <v>0</v>
      </c>
      <c r="R296" s="68"/>
      <c r="S296" s="103"/>
      <c r="T296" s="103"/>
      <c r="U296" s="103"/>
      <c r="V296" s="103"/>
      <c r="W296" s="103"/>
      <c r="X296" s="103"/>
      <c r="Y296" s="103"/>
      <c r="Z296" s="103"/>
      <c r="AA296" s="103"/>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103"/>
      <c r="BE296" s="103"/>
      <c r="BF296" s="103"/>
      <c r="BG296" s="103"/>
      <c r="BH296" s="103"/>
      <c r="BI296" s="103"/>
      <c r="BJ296" s="103"/>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656"/>
      <c r="F297" s="86">
        <v>5</v>
      </c>
      <c r="G297" s="27"/>
      <c r="H297" s="148"/>
      <c r="I297" s="150"/>
      <c r="J297" s="150"/>
      <c r="K297" s="150"/>
      <c r="L297" s="149"/>
      <c r="M297" s="68">
        <f>IF(A20stdlife="n/a","n/a",IF(M$3&gt;(A20stdlife+$F297),(Input!$L$162*(1+vanilla5)^0.5)-SUM($L297:L297),(Input!$L$162*(1+vanilla5)^0.5)/A20stdlife))</f>
        <v>0</v>
      </c>
      <c r="N297" s="68">
        <f>IF(A20stdlife="n/a","n/a",IF(N$3&gt;(A20stdlife+$F297),(Input!$L$162*(1+vanilla5)^0.5)-SUM($L297:M297),(Input!$L$162*(1+vanilla5)^0.5)/A20stdlife))</f>
        <v>0</v>
      </c>
      <c r="O297" s="68">
        <f>IF(A20stdlife="n/a","n/a",IF(O$3&gt;(A20stdlife+$F297),(Input!$L$162*(1+vanilla5)^0.5)-SUM($L297:N297),(Input!$L$162*(1+vanilla5)^0.5)/A20stdlife))</f>
        <v>0</v>
      </c>
      <c r="P297" s="68">
        <f>IF(A20stdlife="n/a","n/a",IF(P$3&gt;(A20stdlife+$F297),(Input!$L$162*(1+vanilla5)^0.5)-SUM($L297:O297),(Input!$L$162*(1+vanilla5)^0.5)/A20stdlife))</f>
        <v>0</v>
      </c>
      <c r="Q297" s="68">
        <f>IF(A20stdlife="n/a","n/a",IF(Q$3&gt;(A20stdlife+$F297),(Input!$L$162*(1+vanilla5)^0.5)-SUM($L297:P297),(Input!$L$162*(1+vanilla5)^0.5)/A20stdlife))</f>
        <v>0</v>
      </c>
      <c r="R297" s="68"/>
      <c r="S297" s="103"/>
      <c r="T297" s="103"/>
      <c r="U297" s="103"/>
      <c r="V297" s="103"/>
      <c r="W297" s="103"/>
      <c r="X297" s="103"/>
      <c r="Y297" s="103"/>
      <c r="Z297" s="103"/>
      <c r="AA297" s="103"/>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656"/>
      <c r="F298" s="86">
        <v>6</v>
      </c>
      <c r="G298" s="27"/>
      <c r="H298" s="148"/>
      <c r="I298" s="150"/>
      <c r="J298" s="150"/>
      <c r="K298" s="150"/>
      <c r="L298" s="150"/>
      <c r="M298" s="149"/>
      <c r="N298" s="68">
        <f>IF(A20stdlife="n/a","n/a",IF(N$3&gt;(A20stdlife+$F298),(Input!$M$162*(1+vanilla6)^0.5)-SUM($M298:M298),(Input!$M$162*(1+vanilla6)^0.5)/A20stdlife))</f>
        <v>0</v>
      </c>
      <c r="O298" s="68">
        <f>IF(A20stdlife="n/a","n/a",IF(O$3&gt;(A20stdlife+$F298),(Input!$M$162*(1+vanilla6)^0.5)-SUM($M298:N298),(Input!$M$162*(1+vanilla6)^0.5)/A20stdlife))</f>
        <v>0</v>
      </c>
      <c r="P298" s="68">
        <f>IF(A20stdlife="n/a","n/a",IF(P$3&gt;(A20stdlife+$F298),(Input!$M$162*(1+vanilla6)^0.5)-SUM($M298:O298),(Input!$M$162*(1+vanilla6)^0.5)/A20stdlife))</f>
        <v>0</v>
      </c>
      <c r="Q298" s="68">
        <f>IF(A20stdlife="n/a","n/a",IF(Q$3&gt;(A20stdlife+$F298),(Input!$M$162*(1+vanilla6)^0.5)-SUM($M298:P298),(Input!$M$162*(1+vanilla6)^0.5)/A20stdlife))</f>
        <v>0</v>
      </c>
      <c r="R298" s="68"/>
      <c r="S298" s="103"/>
      <c r="T298" s="103"/>
      <c r="U298" s="103"/>
      <c r="V298" s="103"/>
      <c r="W298" s="103"/>
      <c r="X298" s="103"/>
      <c r="Y298" s="103"/>
      <c r="Z298" s="103"/>
      <c r="AA298" s="103"/>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656"/>
      <c r="F299" s="86">
        <v>7</v>
      </c>
      <c r="G299" s="27"/>
      <c r="H299" s="148"/>
      <c r="I299" s="150"/>
      <c r="J299" s="150"/>
      <c r="K299" s="150"/>
      <c r="L299" s="150"/>
      <c r="M299" s="150"/>
      <c r="N299" s="149"/>
      <c r="O299" s="68">
        <f>IF(A20stdlife="n/a","n/a",IF(O$3&gt;(A20stdlife+$F299),(Input!N$162*(1+vanilla7)^0.5)-SUM($N299:N299),(Input!$N$162*(1+vanilla7)^0.5)/A20stdlife))</f>
        <v>0</v>
      </c>
      <c r="P299" s="68">
        <f>IF(A20stdlife="n/a","n/a",IF(P$3&gt;(A20stdlife+$F299),(Input!O$162*(1+vanilla7)^0.5)-SUM($N299:O299),(Input!$N$162*(1+vanilla7)^0.5)/A20stdlife))</f>
        <v>0</v>
      </c>
      <c r="Q299" s="68">
        <f>IF(A20stdlife="n/a","n/a",IF(Q$3&gt;(A20stdlife+$F299),(Input!P$162*(1+vanilla7)^0.5)-SUM($N299:P299),(Input!$N$162*(1+vanilla7)^0.5)/A20stdlife))</f>
        <v>0</v>
      </c>
      <c r="R299" s="68"/>
      <c r="S299" s="103"/>
      <c r="T299" s="103"/>
      <c r="U299" s="103"/>
      <c r="V299" s="103"/>
      <c r="W299" s="103"/>
      <c r="X299" s="103"/>
      <c r="Y299" s="103"/>
      <c r="Z299" s="103"/>
      <c r="AA299" s="103"/>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656"/>
      <c r="F300" s="86">
        <v>8</v>
      </c>
      <c r="G300" s="27"/>
      <c r="H300" s="148"/>
      <c r="I300" s="150"/>
      <c r="J300" s="150"/>
      <c r="K300" s="150"/>
      <c r="L300" s="150"/>
      <c r="M300" s="150"/>
      <c r="N300" s="150"/>
      <c r="O300" s="149"/>
      <c r="P300" s="68">
        <f>IF(A20stdlife="n/a","n/a",IF(P$3&gt;(A20stdlife+$F300),(Input!$O$162*(1+vanilla8)^0.5)-SUM($O300:O300),(Input!$O$162*(1+vanilla8)^0.5)/A20stdlife))</f>
        <v>0</v>
      </c>
      <c r="Q300" s="68">
        <f>IF(A20stdlife="n/a","n/a",IF(Q$3&gt;(A20stdlife+$F300),(Input!$O$162*(1+vanilla8)^0.5)-SUM($O300:P300),(Input!$O$162*(1+vanilla8)^0.5)/A20stdlife))</f>
        <v>0</v>
      </c>
      <c r="R300" s="68"/>
      <c r="S300" s="103"/>
      <c r="T300" s="103"/>
      <c r="U300" s="103"/>
      <c r="V300" s="103"/>
      <c r="W300" s="103"/>
      <c r="X300" s="103"/>
      <c r="Y300" s="103"/>
      <c r="Z300" s="103"/>
      <c r="AA300" s="103"/>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656"/>
      <c r="F301" s="86">
        <v>9</v>
      </c>
      <c r="G301" s="27"/>
      <c r="H301" s="148"/>
      <c r="I301" s="150"/>
      <c r="J301" s="150"/>
      <c r="K301" s="150"/>
      <c r="L301" s="150"/>
      <c r="M301" s="150"/>
      <c r="N301" s="150"/>
      <c r="O301" s="150"/>
      <c r="P301" s="149"/>
      <c r="Q301" s="68">
        <f>IF(A20stdlife="n/a","n/a",IF(Q$3&gt;(A20stdlife+$F301),(Input!$P$162*(1+vanilla9)^0.5)-SUM($P301:P301),(Input!$P$162*(1+vanilla9)^0.5)/A20stdlife))</f>
        <v>0</v>
      </c>
      <c r="R301" s="68"/>
      <c r="S301" s="103"/>
      <c r="T301" s="103"/>
      <c r="U301" s="103"/>
      <c r="V301" s="103"/>
      <c r="W301" s="103"/>
      <c r="X301" s="103"/>
      <c r="Y301" s="103"/>
      <c r="Z301" s="103"/>
      <c r="AA301" s="103"/>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656"/>
      <c r="F302" s="87">
        <v>10</v>
      </c>
      <c r="G302" s="27"/>
      <c r="H302" s="148"/>
      <c r="I302" s="150"/>
      <c r="J302" s="150"/>
      <c r="K302" s="150"/>
      <c r="L302" s="150"/>
      <c r="M302" s="150"/>
      <c r="N302" s="150"/>
      <c r="O302" s="150"/>
      <c r="P302" s="150"/>
      <c r="Q302" s="149"/>
      <c r="R302" s="68"/>
      <c r="S302" s="103"/>
      <c r="T302" s="103"/>
      <c r="U302" s="103"/>
      <c r="V302" s="103"/>
      <c r="W302" s="103"/>
      <c r="X302" s="103"/>
      <c r="Y302" s="103"/>
      <c r="Z302" s="103"/>
      <c r="AA302" s="103"/>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3"/>
      <c r="H303" s="167">
        <f>-SUM(H291:H302)</f>
        <v>0</v>
      </c>
      <c r="I303" s="167">
        <f>-SUM(I291:I302)</f>
        <v>0</v>
      </c>
      <c r="J303" s="167">
        <f>-SUM(J291:J302)</f>
        <v>0</v>
      </c>
      <c r="K303" s="167">
        <f>-SUM(K291:K302)</f>
        <v>0</v>
      </c>
      <c r="L303" s="167">
        <f>-SUM(L291:L302)</f>
        <v>0</v>
      </c>
      <c r="M303" s="167">
        <f>IF(Input!M173&gt;0, -SUM(M291:M302), 0)</f>
        <v>0</v>
      </c>
      <c r="N303" s="167">
        <f>IF(Input!N173&gt;0, -SUM(N291:N302), 0)</f>
        <v>0</v>
      </c>
      <c r="O303" s="167">
        <f>IF(Input!O173&gt;0, -SUM(O291:O302), 0)</f>
        <v>0</v>
      </c>
      <c r="P303" s="167">
        <f>IF(Input!P173&gt;0, -SUM(P291:P302), 0)</f>
        <v>0</v>
      </c>
      <c r="Q303" s="167">
        <f>IF(Input!Q173&gt;0, -SUM(Q291:Q302), 0)</f>
        <v>0</v>
      </c>
      <c r="R303" s="66"/>
      <c r="S303" s="105"/>
      <c r="T303" s="105"/>
      <c r="U303" s="105"/>
      <c r="V303" s="105"/>
      <c r="W303" s="105"/>
      <c r="X303" s="105"/>
      <c r="Y303" s="105"/>
      <c r="Z303" s="105"/>
      <c r="AA303" s="105"/>
      <c r="AB303" s="232"/>
      <c r="AC303" s="232"/>
      <c r="AD303" s="232"/>
      <c r="AE303" s="232"/>
      <c r="AF303" s="232"/>
      <c r="AG303" s="232"/>
      <c r="AH303" s="232"/>
      <c r="AI303" s="232"/>
      <c r="AJ303" s="232"/>
      <c r="AK303" s="232"/>
      <c r="AL303" s="232"/>
      <c r="AM303" s="232"/>
      <c r="AN303" s="232"/>
      <c r="AO303" s="232"/>
      <c r="AP303" s="232"/>
      <c r="AQ303" s="232"/>
      <c r="AR303" s="232"/>
      <c r="AS303" s="232"/>
      <c r="AT303" s="232"/>
      <c r="AU303" s="232"/>
      <c r="AV303" s="232"/>
      <c r="AW303" s="232"/>
      <c r="AX303" s="232"/>
      <c r="AY303" s="232"/>
      <c r="AZ303" s="232"/>
      <c r="BA303" s="232"/>
      <c r="BB303" s="232"/>
      <c r="BC303" s="232"/>
      <c r="BD303" s="105"/>
      <c r="BE303" s="105"/>
      <c r="BF303" s="105"/>
      <c r="BG303" s="105"/>
      <c r="BH303" s="105"/>
      <c r="BI303" s="105"/>
      <c r="BJ303" s="105"/>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3"/>
      <c r="E304" s="34" t="s">
        <v>28</v>
      </c>
      <c r="F304" s="33"/>
      <c r="G304" s="176"/>
      <c r="H304" s="67">
        <f>IF(H$3&gt;A21remlife,A21value-SUM($G304:G304),IF(A21remlife="N/A","n/a",A21value/A21remlife))</f>
        <v>0</v>
      </c>
      <c r="I304" s="67">
        <f>IF(I$3&gt;A21remlife,A21value-SUM($G304:H304),IF(A21remlife="N/A","n/a",A21value/A21remlife))</f>
        <v>0</v>
      </c>
      <c r="J304" s="67">
        <f>IF(J$3&gt;A21remlife,A21value-SUM($G304:I304),IF(A21remlife="N/A","n/a",A21value/A21remlife))</f>
        <v>0</v>
      </c>
      <c r="K304" s="67">
        <f>IF(K$3&gt;A21remlife,A21value-SUM($G304:J304),IF(A21remlife="N/A","n/a",A21value/A21remlife))</f>
        <v>0</v>
      </c>
      <c r="L304" s="67">
        <f>IF(L$3&gt;A21remlife,A21value-SUM($G304:K304),IF(A21remlife="N/A","n/a",A21value/A21remlife))</f>
        <v>0</v>
      </c>
      <c r="M304" s="67">
        <f>IF(M$3&gt;A21remlife,A21value-SUM($G304:L304),IF(A21remlife="N/A","n/a",A21value/A21remlife))</f>
        <v>0</v>
      </c>
      <c r="N304" s="67">
        <f>IF(N$3&gt;A21remlife,A21value-SUM($G304:M304),IF(A21remlife="N/A","n/a",A21value/A21remlife))</f>
        <v>0</v>
      </c>
      <c r="O304" s="67">
        <f>IF(O$3&gt;A21remlife,A21value-SUM($G304:N304),IF(A21remlife="N/A","n/a",A21value/A21remlife))</f>
        <v>0</v>
      </c>
      <c r="P304" s="67">
        <f>IF(P$3&gt;A21remlife,A21value-SUM($G304:O304),IF(A21remlife="N/A","n/a",A21value/A21remlife))</f>
        <v>0</v>
      </c>
      <c r="Q304" s="67">
        <f>IF(Q$3&gt;A21remlife,A21value-SUM($G304:P304),IF(A21remlife="N/A","n/a",A21value/A21remlife))</f>
        <v>0</v>
      </c>
      <c r="R304" s="67"/>
      <c r="S304" s="103"/>
      <c r="T304" s="103"/>
      <c r="U304" s="103"/>
      <c r="V304" s="103"/>
      <c r="W304" s="103"/>
      <c r="X304" s="103"/>
      <c r="Y304" s="103"/>
      <c r="Z304" s="103"/>
      <c r="AA304" s="103"/>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655" t="s">
        <v>84</v>
      </c>
      <c r="F305" s="86">
        <v>0</v>
      </c>
      <c r="G305" s="123"/>
      <c r="H305" s="68"/>
      <c r="I305" s="68"/>
      <c r="J305" s="68"/>
      <c r="K305" s="68"/>
      <c r="L305" s="68"/>
      <c r="M305" s="165"/>
      <c r="N305" s="113"/>
      <c r="O305" s="68"/>
      <c r="P305" s="68"/>
      <c r="Q305" s="68"/>
      <c r="R305" s="68"/>
      <c r="S305" s="103"/>
      <c r="T305" s="103"/>
      <c r="U305" s="103"/>
      <c r="V305" s="103"/>
      <c r="W305" s="103"/>
      <c r="X305" s="103"/>
      <c r="Y305" s="103"/>
      <c r="Z305" s="103"/>
      <c r="AA305" s="103"/>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656"/>
      <c r="F306" s="86">
        <v>1</v>
      </c>
      <c r="G306" s="123"/>
      <c r="H306" s="147"/>
      <c r="I306" s="68">
        <f>IF(A21stdlife="n/a","n/a",IF(I$3&gt;(A21stdlife+$F306),(Input!$H$163*(1+vanilla1)^0.5)-SUM($H306:H306),(Input!$H$163*(1+vanilla1)^0.5)/A21stdlife))</f>
        <v>0</v>
      </c>
      <c r="J306" s="68">
        <f>IF(A21stdlife="n/a","n/a",IF(J$3&gt;(A21stdlife+$F306),(Input!$H$163*(1+vanilla1)^0.5)-SUM($H306:I306),(Input!$H$163*(1+vanilla1)^0.5)/A21stdlife))</f>
        <v>0</v>
      </c>
      <c r="K306" s="68">
        <f>IF(A21stdlife="n/a","n/a",IF(K$3&gt;(A21stdlife+$F306),(Input!$H$163*(1+vanilla1)^0.5)-SUM($H306:J306),(Input!$H$163*(1+vanilla1)^0.5)/A21stdlife))</f>
        <v>0</v>
      </c>
      <c r="L306" s="68">
        <f>IF(A21stdlife="n/a","n/a",IF(L$3&gt;(A21stdlife+$F306),(Input!$H$163*(1+vanilla1)^0.5)-SUM($H306:K306),(Input!$H$163*(1+vanilla1)^0.5)/A21stdlife))</f>
        <v>0</v>
      </c>
      <c r="M306" s="68">
        <f>IF(A21stdlife="n/a","n/a",IF(M$3&gt;(A21stdlife+$F306),(Input!$H$163*(1+vanilla1)^0.5)-SUM($H306:L306),(Input!$H$163*(1+vanilla1)^0.5)/A21stdlife))</f>
        <v>0</v>
      </c>
      <c r="N306" s="68">
        <f>IF(A21stdlife="n/a","n/a",IF(N$3&gt;(A21stdlife+$F306),(Input!$H$163*(1+vanilla1)^0.5)-SUM($H306:M306),(Input!$H$163*(1+vanilla1)^0.5)/A21stdlife))</f>
        <v>0</v>
      </c>
      <c r="O306" s="68">
        <f>IF(A21stdlife="n/a","n/a",IF(O$3&gt;(A21stdlife+$F306),(Input!$H$163*(1+vanilla1)^0.5)-SUM($H306:N306),(Input!$H$163*(1+vanilla1)^0.5)/A21stdlife))</f>
        <v>0</v>
      </c>
      <c r="P306" s="68">
        <f>IF(A21stdlife="n/a","n/a",IF(P$3&gt;(A21stdlife+$F306),(Input!$H$163*(1+vanilla1)^0.5)-SUM($H306:O306),(Input!$H$163*(1+vanilla1)^0.5)/A21stdlife))</f>
        <v>0</v>
      </c>
      <c r="Q306" s="68">
        <f>IF(A21stdlife="n/a","n/a",IF(Q$3&gt;(A21stdlife+$F306),(Input!$H$163*(1+vanilla1)^0.5)-SUM($H306:P306),(Input!$H$163*(1+vanilla1)^0.5)/A21stdlife))</f>
        <v>0</v>
      </c>
      <c r="R306" s="68"/>
      <c r="S306" s="103"/>
      <c r="T306" s="103"/>
      <c r="U306" s="103"/>
      <c r="V306" s="103"/>
      <c r="W306" s="103"/>
      <c r="X306" s="103"/>
      <c r="Y306" s="103"/>
      <c r="Z306" s="103"/>
      <c r="AA306" s="103"/>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656"/>
      <c r="F307" s="86">
        <v>2</v>
      </c>
      <c r="G307" s="123"/>
      <c r="H307" s="148"/>
      <c r="I307" s="149"/>
      <c r="J307" s="68">
        <f>IF(A21stdlife="n/a","n/a",IF(J$3&gt;(A21stdlife+$F307),(Input!$I$163*(1+vanilla2)^0.5)-SUM($I307:I307),(Input!$I$163*(1+vanilla2)^0.5)/A21stdlife))</f>
        <v>0</v>
      </c>
      <c r="K307" s="68">
        <f>IF(A21stdlife="n/a","n/a",IF(K$3&gt;(A21stdlife+$F307),(Input!$I$163*(1+vanilla2)^0.5)-SUM($I307:J307),(Input!$I$163*(1+vanilla2)^0.5)/A21stdlife))</f>
        <v>0</v>
      </c>
      <c r="L307" s="68">
        <f>IF(A21stdlife="n/a","n/a",IF(L$3&gt;(A21stdlife+$F307),(Input!$I$163*(1+vanilla2)^0.5)-SUM($I307:K307),(Input!$I$163*(1+vanilla2)^0.5)/A21stdlife))</f>
        <v>0</v>
      </c>
      <c r="M307" s="68">
        <f>IF(A21stdlife="n/a","n/a",IF(M$3&gt;(A21stdlife+$F307),(Input!$I$163*(1+vanilla2)^0.5)-SUM($I307:L307),(Input!$I$163*(1+vanilla2)^0.5)/A21stdlife))</f>
        <v>0</v>
      </c>
      <c r="N307" s="68">
        <f>IF(A21stdlife="n/a","n/a",IF(N$3&gt;(A21stdlife+$F307),(Input!$I$163*(1+vanilla2)^0.5)-SUM($I307:M307),(Input!$I$163*(1+vanilla2)^0.5)/A21stdlife))</f>
        <v>0</v>
      </c>
      <c r="O307" s="68">
        <f>IF(A21stdlife="n/a","n/a",IF(O$3&gt;(A21stdlife+$F307),(Input!$I$163*(1+vanilla2)^0.5)-SUM($I307:N307),(Input!$I$163*(1+vanilla2)^0.5)/A21stdlife))</f>
        <v>0</v>
      </c>
      <c r="P307" s="68">
        <f>IF(A21stdlife="n/a","n/a",IF(P$3&gt;(A21stdlife+$F307),(Input!$I$163*(1+vanilla2)^0.5)-SUM($I307:O307),(Input!$I$163*(1+vanilla2)^0.5)/A21stdlife))</f>
        <v>0</v>
      </c>
      <c r="Q307" s="68">
        <f>IF(A21stdlife="n/a","n/a",IF(Q$3&gt;(A21stdlife+$F307),(Input!$I$163*(1+vanilla2)^0.5)-SUM($I307:P307),(Input!$I$163*(1+vanilla2)^0.5)/A21stdlife))</f>
        <v>0</v>
      </c>
      <c r="R307" s="68"/>
      <c r="S307" s="103"/>
      <c r="T307" s="103"/>
      <c r="U307" s="103"/>
      <c r="V307" s="103"/>
      <c r="W307" s="103"/>
      <c r="X307" s="103"/>
      <c r="Y307" s="103"/>
      <c r="Z307" s="103"/>
      <c r="AA307" s="103"/>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656"/>
      <c r="F308" s="86">
        <v>3</v>
      </c>
      <c r="G308" s="123"/>
      <c r="H308" s="148"/>
      <c r="I308" s="150"/>
      <c r="J308" s="149"/>
      <c r="K308" s="68">
        <f>IF(A21stdlife="n/a","n/a",IF(K$3&gt;(A21stdlife+$F308),(Input!$J$163*(1+vanilla3)^0.5)-SUM($J308:J308),(Input!$J$163*(1+vanilla3)^0.5)/A21stdlife))</f>
        <v>0</v>
      </c>
      <c r="L308" s="68">
        <f>IF(A21stdlife="n/a","n/a",IF(L$3&gt;(A21stdlife+$F308),(Input!$J$163*(1+vanilla3)^0.5)-SUM($J308:K308),(Input!$J$163*(1+vanilla3)^0.5)/A21stdlife))</f>
        <v>0</v>
      </c>
      <c r="M308" s="68">
        <f>IF(A21stdlife="n/a","n/a",IF(M$3&gt;(A21stdlife+$F308),(Input!$J$163*(1+vanilla3)^0.5)-SUM($J308:L308),(Input!$J$163*(1+vanilla3)^0.5)/A21stdlife))</f>
        <v>0</v>
      </c>
      <c r="N308" s="68">
        <f>IF(A21stdlife="n/a","n/a",IF(N$3&gt;(A21stdlife+$F308),(Input!$J$163*(1+vanilla3)^0.5)-SUM($J308:M308),(Input!$J$163*(1+vanilla3)^0.5)/A21stdlife))</f>
        <v>0</v>
      </c>
      <c r="O308" s="68">
        <f>IF(A21stdlife="n/a","n/a",IF(O$3&gt;(A21stdlife+$F308),(Input!$J$163*(1+vanilla3)^0.5)-SUM($J308:N308),(Input!$J$163*(1+vanilla3)^0.5)/A21stdlife))</f>
        <v>0</v>
      </c>
      <c r="P308" s="68">
        <f>IF(A21stdlife="n/a","n/a",IF(P$3&gt;(A21stdlife+$F308),(Input!$J$163*(1+vanilla3)^0.5)-SUM($J308:O308),(Input!$J$163*(1+vanilla3)^0.5)/A21stdlife))</f>
        <v>0</v>
      </c>
      <c r="Q308" s="68">
        <f>IF(A21stdlife="n/a","n/a",IF(Q$3&gt;(A21stdlife+$F308),(Input!$J$163*(1+vanilla3)^0.5)-SUM($J308:P308),(Input!$J$163*(1+vanilla3)^0.5)/A21stdlife))</f>
        <v>0</v>
      </c>
      <c r="R308" s="68"/>
      <c r="S308" s="103"/>
      <c r="T308" s="103"/>
      <c r="U308" s="103"/>
      <c r="V308" s="103"/>
      <c r="W308" s="103"/>
      <c r="X308" s="103"/>
      <c r="Y308" s="103"/>
      <c r="Z308" s="103"/>
      <c r="AA308" s="103"/>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656"/>
      <c r="F309" s="86">
        <v>4</v>
      </c>
      <c r="G309" s="123"/>
      <c r="H309" s="148"/>
      <c r="I309" s="150"/>
      <c r="J309" s="150"/>
      <c r="K309" s="149"/>
      <c r="L309" s="68">
        <f>IF(A21stdlife="n/a","n/a",IF(L$3&gt;(A21stdlife+$F309),(Input!$K$163*(1+vanilla4)^0.5)-SUM($K309:K309),(Input!$K$163*(1+vanilla4)^0.5)/A21stdlife))</f>
        <v>0</v>
      </c>
      <c r="M309" s="68">
        <f>IF(A21stdlife="n/a","n/a",IF(M$3&gt;(A21stdlife+$F309),(Input!$K$163*(1+vanilla4)^0.5)-SUM($K309:L309),(Input!$K$163*(1+vanilla4)^0.5)/A21stdlife))</f>
        <v>0</v>
      </c>
      <c r="N309" s="68">
        <f>IF(A21stdlife="n/a","n/a",IF(N$3&gt;(A21stdlife+$F309),(Input!$K$163*(1+vanilla4)^0.5)-SUM($K309:M309),(Input!$K$163*(1+vanilla4)^0.5)/A21stdlife))</f>
        <v>0</v>
      </c>
      <c r="O309" s="68">
        <f>IF(A21stdlife="n/a","n/a",IF(O$3&gt;(A21stdlife+$F309),(Input!$K$163*(1+vanilla4)^0.5)-SUM($K309:N309),(Input!$K$163*(1+vanilla4)^0.5)/A21stdlife))</f>
        <v>0</v>
      </c>
      <c r="P309" s="68">
        <f>IF(A21stdlife="n/a","n/a",IF(P$3&gt;(A21stdlife+$F309),(Input!$K$163*(1+vanilla4)^0.5)-SUM($K309:O309),(Input!$K$163*(1+vanilla4)^0.5)/A21stdlife))</f>
        <v>0</v>
      </c>
      <c r="Q309" s="68">
        <f>IF(A21stdlife="n/a","n/a",IF(Q$3&gt;(A21stdlife+$F309),(Input!$K$163*(1+vanilla4)^0.5)-SUM($K309:P309),(Input!$K$163*(1+vanilla4)^0.5)/A21stdlife))</f>
        <v>0</v>
      </c>
      <c r="R309" s="68"/>
      <c r="S309" s="103"/>
      <c r="T309" s="103"/>
      <c r="U309" s="103"/>
      <c r="V309" s="103"/>
      <c r="W309" s="103"/>
      <c r="X309" s="103"/>
      <c r="Y309" s="103"/>
      <c r="Z309" s="103"/>
      <c r="AA309" s="103"/>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103"/>
      <c r="BE309" s="103"/>
      <c r="BF309" s="103"/>
      <c r="BG309" s="103"/>
      <c r="BH309" s="103"/>
      <c r="BI309" s="103"/>
      <c r="BJ309" s="103"/>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656"/>
      <c r="F310" s="86">
        <v>5</v>
      </c>
      <c r="G310" s="27"/>
      <c r="H310" s="148"/>
      <c r="I310" s="150"/>
      <c r="J310" s="150"/>
      <c r="K310" s="150"/>
      <c r="L310" s="149"/>
      <c r="M310" s="68">
        <f>IF(A21stdlife="n/a","n/a",IF(M$3&gt;(A21stdlife+$F310),(Input!$L$163*(1+vanilla5)^0.5)-SUM($L310:L310),(Input!$L$163*(1+vanilla5)^0.5)/A21stdlife))</f>
        <v>0</v>
      </c>
      <c r="N310" s="68">
        <f>IF(A21stdlife="n/a","n/a",IF(N$3&gt;(A21stdlife+$F310),(Input!$L$163*(1+vanilla5)^0.5)-SUM($L310:M310),(Input!$L$163*(1+vanilla5)^0.5)/A21stdlife))</f>
        <v>0</v>
      </c>
      <c r="O310" s="68">
        <f>IF(A21stdlife="n/a","n/a",IF(O$3&gt;(A21stdlife+$F310),(Input!$L$163*(1+vanilla5)^0.5)-SUM($L310:N310),(Input!$L$163*(1+vanilla5)^0.5)/A21stdlife))</f>
        <v>0</v>
      </c>
      <c r="P310" s="68">
        <f>IF(A21stdlife="n/a","n/a",IF(P$3&gt;(A21stdlife+$F310),(Input!$L$163*(1+vanilla5)^0.5)-SUM($L310:O310),(Input!$L$163*(1+vanilla5)^0.5)/A21stdlife))</f>
        <v>0</v>
      </c>
      <c r="Q310" s="68">
        <f>IF(A21stdlife="n/a","n/a",IF(Q$3&gt;(A21stdlife+$F310),(Input!$L$163*(1+vanilla5)^0.5)-SUM($L310:P310),(Input!$L$163*(1+vanilla5)^0.5)/A21stdlife))</f>
        <v>0</v>
      </c>
      <c r="R310" s="68"/>
      <c r="S310" s="103"/>
      <c r="T310" s="103"/>
      <c r="U310" s="103"/>
      <c r="V310" s="103"/>
      <c r="W310" s="103"/>
      <c r="X310" s="103"/>
      <c r="Y310" s="103"/>
      <c r="Z310" s="103"/>
      <c r="AA310" s="103"/>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656"/>
      <c r="F311" s="86">
        <v>6</v>
      </c>
      <c r="G311" s="27"/>
      <c r="H311" s="148"/>
      <c r="I311" s="150"/>
      <c r="J311" s="150"/>
      <c r="K311" s="150"/>
      <c r="L311" s="150"/>
      <c r="M311" s="149"/>
      <c r="N311" s="68">
        <f>IF(A21stdlife="n/a","n/a",IF(N$3&gt;(A21stdlife+$F311),(Input!$M$163*(1+vanilla6)^0.5)-SUM($M311:M311),(Input!$M$163*(1+vanilla6)^0.5)/A21stdlife))</f>
        <v>0</v>
      </c>
      <c r="O311" s="68">
        <f>IF(A21stdlife="n/a","n/a",IF(O$3&gt;(A21stdlife+$F311),(Input!$M$163*(1+vanilla6)^0.5)-SUM($M311:N311),(Input!$M$163*(1+vanilla6)^0.5)/A21stdlife))</f>
        <v>0</v>
      </c>
      <c r="P311" s="68">
        <f>IF(A21stdlife="n/a","n/a",IF(P$3&gt;(A21stdlife+$F311),(Input!$M$163*(1+vanilla6)^0.5)-SUM($M311:O311),(Input!$M$163*(1+vanilla6)^0.5)/A21stdlife))</f>
        <v>0</v>
      </c>
      <c r="Q311" s="68">
        <f>IF(A21stdlife="n/a","n/a",IF(Q$3&gt;(A21stdlife+$F311),(Input!$M$163*(1+vanilla6)^0.5)-SUM($M311:P311),(Input!$M$163*(1+vanilla6)^0.5)/A21stdlife))</f>
        <v>0</v>
      </c>
      <c r="R311" s="68"/>
      <c r="S311" s="103"/>
      <c r="T311" s="103"/>
      <c r="U311" s="103"/>
      <c r="V311" s="103"/>
      <c r="W311" s="103"/>
      <c r="X311" s="103"/>
      <c r="Y311" s="103"/>
      <c r="Z311" s="103"/>
      <c r="AA311" s="103"/>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656"/>
      <c r="F312" s="86">
        <v>7</v>
      </c>
      <c r="G312" s="27"/>
      <c r="H312" s="148"/>
      <c r="I312" s="150"/>
      <c r="J312" s="150"/>
      <c r="K312" s="150"/>
      <c r="L312" s="150"/>
      <c r="M312" s="150"/>
      <c r="N312" s="149"/>
      <c r="O312" s="68">
        <f>IF(A21stdlife="n/a","n/a",IF(O$3&gt;(A21stdlife+$F312),(Input!N$163*(1+vanilla7)^0.5)-SUM($N312:N312),(Input!$N$163*(1+vanilla7)^0.5)/A21stdlife))</f>
        <v>0</v>
      </c>
      <c r="P312" s="68">
        <f>IF(A21stdlife="n/a","n/a",IF(P$3&gt;(A21stdlife+$F312),(Input!O$163*(1+vanilla7)^0.5)-SUM($N312:O312),(Input!$N$163*(1+vanilla7)^0.5)/A21stdlife))</f>
        <v>0</v>
      </c>
      <c r="Q312" s="68">
        <f>IF(A21stdlife="n/a","n/a",IF(Q$3&gt;(A21stdlife+$F312),(Input!P$163*(1+vanilla7)^0.5)-SUM($N312:P312),(Input!$N$163*(1+vanilla7)^0.5)/A21stdlife))</f>
        <v>0</v>
      </c>
      <c r="R312" s="68"/>
      <c r="S312" s="103"/>
      <c r="T312" s="103"/>
      <c r="U312" s="103"/>
      <c r="V312" s="103"/>
      <c r="W312" s="103"/>
      <c r="X312" s="103"/>
      <c r="Y312" s="103"/>
      <c r="Z312" s="103"/>
      <c r="AA312" s="103"/>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656"/>
      <c r="F313" s="86">
        <v>8</v>
      </c>
      <c r="G313" s="27"/>
      <c r="H313" s="148"/>
      <c r="I313" s="150"/>
      <c r="J313" s="150"/>
      <c r="K313" s="150"/>
      <c r="L313" s="150"/>
      <c r="M313" s="150"/>
      <c r="N313" s="150"/>
      <c r="O313" s="149"/>
      <c r="P313" s="68">
        <f>IF(A21stdlife="n/a","n/a",IF(P$3&gt;(A21stdlife+$F313),(Input!$O$163*(1+vanilla8)^0.5)-SUM($O313:O313),(Input!$O$163*(1+vanilla8)^0.5)/A21stdlife))</f>
        <v>0</v>
      </c>
      <c r="Q313" s="68">
        <f>IF(A21stdlife="n/a","n/a",IF(Q$3&gt;(A21stdlife+$F313),(Input!$O$163*(1+vanilla8)^0.5)-SUM($O313:P313),(Input!$O$163*(1+vanilla8)^0.5)/A21stdlife))</f>
        <v>0</v>
      </c>
      <c r="R313" s="68"/>
      <c r="S313" s="103"/>
      <c r="T313" s="103"/>
      <c r="U313" s="103"/>
      <c r="V313" s="103"/>
      <c r="W313" s="103"/>
      <c r="X313" s="103"/>
      <c r="Y313" s="103"/>
      <c r="Z313" s="103"/>
      <c r="AA313" s="103"/>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656"/>
      <c r="F314" s="86">
        <v>9</v>
      </c>
      <c r="G314" s="27"/>
      <c r="H314" s="148"/>
      <c r="I314" s="150"/>
      <c r="J314" s="150"/>
      <c r="K314" s="150"/>
      <c r="L314" s="150"/>
      <c r="M314" s="150"/>
      <c r="N314" s="150"/>
      <c r="O314" s="150"/>
      <c r="P314" s="149"/>
      <c r="Q314" s="68">
        <f>IF(A21stdlife="n/a","n/a",IF(Q$3&gt;(A21stdlife+$F314),(Input!$P$163*(1+vanilla9)^0.5)-SUM($P314:P314),(Input!$P$163*(1+vanilla9)^0.5)/A21stdlife))</f>
        <v>0</v>
      </c>
      <c r="R314" s="68"/>
      <c r="S314" s="103"/>
      <c r="T314" s="103"/>
      <c r="U314" s="103"/>
      <c r="V314" s="103"/>
      <c r="W314" s="103"/>
      <c r="X314" s="103"/>
      <c r="Y314" s="103"/>
      <c r="Z314" s="103"/>
      <c r="AA314" s="103"/>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656"/>
      <c r="F315" s="87">
        <v>10</v>
      </c>
      <c r="G315" s="27"/>
      <c r="H315" s="148"/>
      <c r="I315" s="150"/>
      <c r="J315" s="150"/>
      <c r="K315" s="150"/>
      <c r="L315" s="150"/>
      <c r="M315" s="150"/>
      <c r="N315" s="150"/>
      <c r="O315" s="150"/>
      <c r="P315" s="150"/>
      <c r="Q315" s="149"/>
      <c r="R315" s="68"/>
      <c r="S315" s="103"/>
      <c r="T315" s="103"/>
      <c r="U315" s="103"/>
      <c r="V315" s="103"/>
      <c r="W315" s="103"/>
      <c r="X315" s="103"/>
      <c r="Y315" s="103"/>
      <c r="Z315" s="103"/>
      <c r="AA315" s="103"/>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3"/>
      <c r="H316" s="167">
        <f>-SUM(H304:H315)</f>
        <v>0</v>
      </c>
      <c r="I316" s="167">
        <f>-SUM(I304:I315)</f>
        <v>0</v>
      </c>
      <c r="J316" s="167">
        <f>-SUM(J304:J315)</f>
        <v>0</v>
      </c>
      <c r="K316" s="167">
        <f>-SUM(K304:K315)</f>
        <v>0</v>
      </c>
      <c r="L316" s="167">
        <f>-SUM(L304:L315)</f>
        <v>0</v>
      </c>
      <c r="M316" s="167">
        <f>IF(Input!M173&gt;0, -SUM(M304:M315), 0)</f>
        <v>0</v>
      </c>
      <c r="N316" s="167">
        <f>IF(Input!N173&gt;0, -SUM(N304:N315), 0)</f>
        <v>0</v>
      </c>
      <c r="O316" s="167">
        <f>IF(Input!O173&gt;0, -SUM(O304:O315), 0)</f>
        <v>0</v>
      </c>
      <c r="P316" s="167">
        <f>IF(Input!P173&gt;0, -SUM(P304:P315), 0)</f>
        <v>0</v>
      </c>
      <c r="Q316" s="167">
        <f>IF(Input!Q173&gt;0, -SUM(Q304:Q315), 0)</f>
        <v>0</v>
      </c>
      <c r="R316" s="66"/>
      <c r="S316" s="105"/>
      <c r="T316" s="105"/>
      <c r="U316" s="105"/>
      <c r="V316" s="105"/>
      <c r="W316" s="105"/>
      <c r="X316" s="105"/>
      <c r="Y316" s="105"/>
      <c r="Z316" s="105"/>
      <c r="AA316" s="105"/>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105"/>
      <c r="BE316" s="105"/>
      <c r="BF316" s="105"/>
      <c r="BG316" s="105"/>
      <c r="BH316" s="105"/>
      <c r="BI316" s="105"/>
      <c r="BJ316" s="105"/>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3"/>
      <c r="E317" s="34" t="s">
        <v>28</v>
      </c>
      <c r="F317" s="33"/>
      <c r="G317" s="176"/>
      <c r="H317" s="67">
        <f>IF(H$3&gt;A22remlife,A22value-SUM($G317:G317),IF(A22remlife="N/A","n/a",A22value/A22remlife))</f>
        <v>0</v>
      </c>
      <c r="I317" s="67">
        <f>IF(I$3&gt;A22remlife,A22value-SUM($G317:H317),IF(A22remlife="N/A","n/a",A22value/A22remlife))</f>
        <v>0</v>
      </c>
      <c r="J317" s="67">
        <f>IF(J$3&gt;A22remlife,A22value-SUM($G317:I317),IF(A22remlife="N/A","n/a",A22value/A22remlife))</f>
        <v>0</v>
      </c>
      <c r="K317" s="67">
        <f>IF(K$3&gt;A22remlife,A22value-SUM($G317:J317),IF(A22remlife="N/A","n/a",A22value/A22remlife))</f>
        <v>0</v>
      </c>
      <c r="L317" s="67">
        <f>IF(L$3&gt;A22remlife,A22value-SUM($G317:K317),IF(A22remlife="N/A","n/a",A22value/A22remlife))</f>
        <v>0</v>
      </c>
      <c r="M317" s="67">
        <f>IF(M$3&gt;A22remlife,A22value-SUM($G317:L317),IF(A22remlife="N/A","n/a",A22value/A22remlife))</f>
        <v>0</v>
      </c>
      <c r="N317" s="67">
        <f>IF(N$3&gt;A22remlife,A22value-SUM($G317:M317),IF(A22remlife="N/A","n/a",A22value/A22remlife))</f>
        <v>0</v>
      </c>
      <c r="O317" s="67">
        <f>IF(O$3&gt;A22remlife,A22value-SUM($G317:N317),IF(A22remlife="N/A","n/a",A22value/A22remlife))</f>
        <v>0</v>
      </c>
      <c r="P317" s="67">
        <f>IF(P$3&gt;A22remlife,A22value-SUM($G317:O317),IF(A22remlife="N/A","n/a",A22value/A22remlife))</f>
        <v>0</v>
      </c>
      <c r="Q317" s="67">
        <f>IF(Q$3&gt;A22remlife,A22value-SUM($G317:P317),IF(A22remlife="N/A","n/a",A22value/A22remlife))</f>
        <v>0</v>
      </c>
      <c r="R317" s="67"/>
      <c r="S317" s="103"/>
      <c r="T317" s="103"/>
      <c r="U317" s="103"/>
      <c r="V317" s="103"/>
      <c r="W317" s="103"/>
      <c r="X317" s="103"/>
      <c r="Y317" s="103"/>
      <c r="Z317" s="103"/>
      <c r="AA317" s="103"/>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655" t="s">
        <v>84</v>
      </c>
      <c r="F318" s="86">
        <v>0</v>
      </c>
      <c r="G318" s="123"/>
      <c r="H318" s="68"/>
      <c r="I318" s="68"/>
      <c r="J318" s="68"/>
      <c r="K318" s="68"/>
      <c r="L318" s="68"/>
      <c r="M318" s="165"/>
      <c r="N318" s="113"/>
      <c r="O318" s="68"/>
      <c r="P318" s="68"/>
      <c r="Q318" s="68"/>
      <c r="R318" s="68"/>
      <c r="S318" s="103"/>
      <c r="T318" s="103"/>
      <c r="U318" s="103"/>
      <c r="V318" s="103"/>
      <c r="W318" s="103"/>
      <c r="X318" s="103"/>
      <c r="Y318" s="103"/>
      <c r="Z318" s="103"/>
      <c r="AA318" s="103"/>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656"/>
      <c r="F319" s="86">
        <v>1</v>
      </c>
      <c r="G319" s="123"/>
      <c r="H319" s="147"/>
      <c r="I319" s="68">
        <f>IF(A22stdlife="n/a","n/a",IF(I$3&gt;(A22stdlife+$F319),(Input!$H$164*(1+vanilla1)^0.5)-SUM($H319:H319),(Input!$H$164*(1+vanilla1)^0.5)/A22stdlife))</f>
        <v>0</v>
      </c>
      <c r="J319" s="68">
        <f>IF(A22stdlife="n/a","n/a",IF(J$3&gt;(A22stdlife+$F319),(Input!$H$164*(1+vanilla1)^0.5)-SUM($H319:I319),(Input!$H$164*(1+vanilla1)^0.5)/A22stdlife))</f>
        <v>0</v>
      </c>
      <c r="K319" s="68">
        <f>IF(A22stdlife="n/a","n/a",IF(K$3&gt;(A22stdlife+$F319),(Input!$H$164*(1+vanilla1)^0.5)-SUM($H319:J319),(Input!$H$164*(1+vanilla1)^0.5)/A22stdlife))</f>
        <v>0</v>
      </c>
      <c r="L319" s="68">
        <f>IF(A22stdlife="n/a","n/a",IF(L$3&gt;(A22stdlife+$F319),(Input!$H$164*(1+vanilla1)^0.5)-SUM($H319:K319),(Input!$H$164*(1+vanilla1)^0.5)/A22stdlife))</f>
        <v>0</v>
      </c>
      <c r="M319" s="68">
        <f>IF(A22stdlife="n/a","n/a",IF(M$3&gt;(A22stdlife+$F319),(Input!$H$164*(1+vanilla1)^0.5)-SUM($H319:L319),(Input!$H$164*(1+vanilla1)^0.5)/A22stdlife))</f>
        <v>0</v>
      </c>
      <c r="N319" s="68">
        <f>IF(A22stdlife="n/a","n/a",IF(N$3&gt;(A22stdlife+$F319),(Input!$H$164*(1+vanilla1)^0.5)-SUM($H319:M319),(Input!$H$164*(1+vanilla1)^0.5)/A22stdlife))</f>
        <v>0</v>
      </c>
      <c r="O319" s="68">
        <f>IF(A22stdlife="n/a","n/a",IF(O$3&gt;(A22stdlife+$F319),(Input!$H$164*(1+vanilla1)^0.5)-SUM($H319:N319),(Input!$H$164*(1+vanilla1)^0.5)/A22stdlife))</f>
        <v>0</v>
      </c>
      <c r="P319" s="68">
        <f>IF(A22stdlife="n/a","n/a",IF(P$3&gt;(A22stdlife+$F319),(Input!$H$164*(1+vanilla1)^0.5)-SUM($H319:O319),(Input!$H$164*(1+vanilla1)^0.5)/A22stdlife))</f>
        <v>0</v>
      </c>
      <c r="Q319" s="68">
        <f>IF(A22stdlife="n/a","n/a",IF(Q$3&gt;(A22stdlife+$F319),(Input!$H$164*(1+vanilla1)^0.5)-SUM($H319:P319),(Input!$H$164*(1+vanilla1)^0.5)/A22stdlife))</f>
        <v>0</v>
      </c>
      <c r="R319" s="68"/>
      <c r="S319" s="103"/>
      <c r="T319" s="103"/>
      <c r="U319" s="103"/>
      <c r="V319" s="103"/>
      <c r="W319" s="103"/>
      <c r="X319" s="103"/>
      <c r="Y319" s="103"/>
      <c r="Z319" s="103"/>
      <c r="AA319" s="103"/>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656"/>
      <c r="F320" s="86">
        <v>2</v>
      </c>
      <c r="G320" s="123"/>
      <c r="H320" s="148"/>
      <c r="I320" s="149"/>
      <c r="J320" s="68">
        <f>IF(A22stdlife="n/a","n/a",IF(J$3&gt;(A22stdlife+$F320),(Input!$I$164*(1+vanilla2)^0.5)-SUM($I320:I320),(Input!$I$164*(1+vanilla2)^0.5)/A22stdlife))</f>
        <v>0</v>
      </c>
      <c r="K320" s="68">
        <f>IF(A22stdlife="n/a","n/a",IF(K$3&gt;(A22stdlife+$F320),(Input!$I$164*(1+vanilla2)^0.5)-SUM($I320:J320),(Input!$I$164*(1+vanilla2)^0.5)/A22stdlife))</f>
        <v>0</v>
      </c>
      <c r="L320" s="68">
        <f>IF(A22stdlife="n/a","n/a",IF(L$3&gt;(A22stdlife+$F320),(Input!$I$164*(1+vanilla2)^0.5)-SUM($I320:K320),(Input!$I$164*(1+vanilla2)^0.5)/A22stdlife))</f>
        <v>0</v>
      </c>
      <c r="M320" s="68">
        <f>IF(A22stdlife="n/a","n/a",IF(M$3&gt;(A22stdlife+$F320),(Input!$I$164*(1+vanilla2)^0.5)-SUM($I320:L320),(Input!$I$164*(1+vanilla2)^0.5)/A22stdlife))</f>
        <v>0</v>
      </c>
      <c r="N320" s="68">
        <f>IF(A22stdlife="n/a","n/a",IF(N$3&gt;(A22stdlife+$F320),(Input!$I$164*(1+vanilla2)^0.5)-SUM($I320:M320),(Input!$I$164*(1+vanilla2)^0.5)/A22stdlife))</f>
        <v>0</v>
      </c>
      <c r="O320" s="68">
        <f>IF(A22stdlife="n/a","n/a",IF(O$3&gt;(A22stdlife+$F320),(Input!$I$164*(1+vanilla2)^0.5)-SUM($I320:N320),(Input!$I$164*(1+vanilla2)^0.5)/A22stdlife))</f>
        <v>0</v>
      </c>
      <c r="P320" s="68">
        <f>IF(A22stdlife="n/a","n/a",IF(P$3&gt;(A22stdlife+$F320),(Input!$I$164*(1+vanilla2)^0.5)-SUM($I320:O320),(Input!$I$164*(1+vanilla2)^0.5)/A22stdlife))</f>
        <v>0</v>
      </c>
      <c r="Q320" s="68">
        <f>IF(A22stdlife="n/a","n/a",IF(Q$3&gt;(A22stdlife+$F320),(Input!$I$164*(1+vanilla2)^0.5)-SUM($I320:P320),(Input!$I$164*(1+vanilla2)^0.5)/A22stdlife))</f>
        <v>0</v>
      </c>
      <c r="R320" s="68"/>
      <c r="S320" s="103"/>
      <c r="T320" s="103"/>
      <c r="U320" s="103"/>
      <c r="V320" s="103"/>
      <c r="W320" s="103"/>
      <c r="X320" s="103"/>
      <c r="Y320" s="103"/>
      <c r="Z320" s="103"/>
      <c r="AA320" s="103"/>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656"/>
      <c r="F321" s="86">
        <v>3</v>
      </c>
      <c r="G321" s="123"/>
      <c r="H321" s="148"/>
      <c r="I321" s="150"/>
      <c r="J321" s="149"/>
      <c r="K321" s="68">
        <f>IF(A22stdlife="n/a","n/a",IF(K$3&gt;(A22stdlife+$F321),(Input!$J$164*(1+vanilla3)^0.5)-SUM($J321:J321),(Input!$J$164*(1+vanilla3)^0.5)/A22stdlife))</f>
        <v>0</v>
      </c>
      <c r="L321" s="68">
        <f>IF(A22stdlife="n/a","n/a",IF(L$3&gt;(A22stdlife+$F321),(Input!$J$164*(1+vanilla3)^0.5)-SUM($J321:K321),(Input!$J$164*(1+vanilla3)^0.5)/A22stdlife))</f>
        <v>0</v>
      </c>
      <c r="M321" s="68">
        <f>IF(A22stdlife="n/a","n/a",IF(M$3&gt;(A22stdlife+$F321),(Input!$J$164*(1+vanilla3)^0.5)-SUM($J321:L321),(Input!$J$164*(1+vanilla3)^0.5)/A22stdlife))</f>
        <v>0</v>
      </c>
      <c r="N321" s="68">
        <f>IF(A22stdlife="n/a","n/a",IF(N$3&gt;(A22stdlife+$F321),(Input!$J$164*(1+vanilla3)^0.5)-SUM($J321:M321),(Input!$J$164*(1+vanilla3)^0.5)/A22stdlife))</f>
        <v>0</v>
      </c>
      <c r="O321" s="68">
        <f>IF(A22stdlife="n/a","n/a",IF(O$3&gt;(A22stdlife+$F321),(Input!$J$164*(1+vanilla3)^0.5)-SUM($J321:N321),(Input!$J$164*(1+vanilla3)^0.5)/A22stdlife))</f>
        <v>0</v>
      </c>
      <c r="P321" s="68">
        <f>IF(A22stdlife="n/a","n/a",IF(P$3&gt;(A22stdlife+$F321),(Input!$J$164*(1+vanilla3)^0.5)-SUM($J321:O321),(Input!$J$164*(1+vanilla3)^0.5)/A22stdlife))</f>
        <v>0</v>
      </c>
      <c r="Q321" s="68">
        <f>IF(A22stdlife="n/a","n/a",IF(Q$3&gt;(A22stdlife+$F321),(Input!$J$164*(1+vanilla3)^0.5)-SUM($J321:P321),(Input!$J$164*(1+vanilla3)^0.5)/A22stdlife))</f>
        <v>0</v>
      </c>
      <c r="R321" s="68"/>
      <c r="S321" s="103"/>
      <c r="T321" s="103"/>
      <c r="U321" s="103"/>
      <c r="V321" s="103"/>
      <c r="W321" s="103"/>
      <c r="X321" s="103"/>
      <c r="Y321" s="103"/>
      <c r="Z321" s="103"/>
      <c r="AA321" s="103"/>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656"/>
      <c r="F322" s="86">
        <v>4</v>
      </c>
      <c r="G322" s="123"/>
      <c r="H322" s="148"/>
      <c r="I322" s="150"/>
      <c r="J322" s="150"/>
      <c r="K322" s="149"/>
      <c r="L322" s="68">
        <f>IF(A22stdlife="n/a","n/a",IF(L$3&gt;(A22stdlife+$F322),(Input!$K$164*(1+vanilla4)^0.5)-SUM($K322:K322),(Input!$K$164*(1+vanilla4)^0.5)/A22stdlife))</f>
        <v>0</v>
      </c>
      <c r="M322" s="68">
        <f>IF(A22stdlife="n/a","n/a",IF(M$3&gt;(A22stdlife+$F322),(Input!$K$164*(1+vanilla4)^0.5)-SUM($K322:L322),(Input!$K$164*(1+vanilla4)^0.5)/A22stdlife))</f>
        <v>0</v>
      </c>
      <c r="N322" s="68">
        <f>IF(A22stdlife="n/a","n/a",IF(N$3&gt;(A22stdlife+$F322),(Input!$K$164*(1+vanilla4)^0.5)-SUM($K322:M322),(Input!$K$164*(1+vanilla4)^0.5)/A22stdlife))</f>
        <v>0</v>
      </c>
      <c r="O322" s="68">
        <f>IF(A22stdlife="n/a","n/a",IF(O$3&gt;(A22stdlife+$F322),(Input!$K$164*(1+vanilla4)^0.5)-SUM($K322:N322),(Input!$K$164*(1+vanilla4)^0.5)/A22stdlife))</f>
        <v>0</v>
      </c>
      <c r="P322" s="68">
        <f>IF(A22stdlife="n/a","n/a",IF(P$3&gt;(A22stdlife+$F322),(Input!$K$164*(1+vanilla4)^0.5)-SUM($K322:O322),(Input!$K$164*(1+vanilla4)^0.5)/A22stdlife))</f>
        <v>0</v>
      </c>
      <c r="Q322" s="68">
        <f>IF(A22stdlife="n/a","n/a",IF(Q$3&gt;(A22stdlife+$F322),(Input!$K$164*(1+vanilla4)^0.5)-SUM($K322:P322),(Input!$K$164*(1+vanilla4)^0.5)/A22stdlife))</f>
        <v>0</v>
      </c>
      <c r="R322" s="68"/>
      <c r="S322" s="103"/>
      <c r="T322" s="103"/>
      <c r="U322" s="103"/>
      <c r="V322" s="103"/>
      <c r="W322" s="103"/>
      <c r="X322" s="103"/>
      <c r="Y322" s="103"/>
      <c r="Z322" s="103"/>
      <c r="AA322" s="103"/>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103"/>
      <c r="BE322" s="103"/>
      <c r="BF322" s="103"/>
      <c r="BG322" s="103"/>
      <c r="BH322" s="103"/>
      <c r="BI322" s="103"/>
      <c r="BJ322" s="103"/>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656"/>
      <c r="F323" s="86">
        <v>5</v>
      </c>
      <c r="G323" s="27"/>
      <c r="H323" s="148"/>
      <c r="I323" s="150"/>
      <c r="J323" s="150"/>
      <c r="K323" s="150"/>
      <c r="L323" s="149"/>
      <c r="M323" s="68">
        <f>IF(A22stdlife="n/a","n/a",IF(M$3&gt;(A22stdlife+$F323),(Input!$L$164*(1+vanilla5)^0.5)-SUM($L323:L323),(Input!$L$164*(1+vanilla5)^0.5)/A22stdlife))</f>
        <v>0</v>
      </c>
      <c r="N323" s="68">
        <f>IF(A22stdlife="n/a","n/a",IF(N$3&gt;(A22stdlife+$F323),(Input!$L$164*(1+vanilla5)^0.5)-SUM($L323:M323),(Input!$L$164*(1+vanilla5)^0.5)/A22stdlife))</f>
        <v>0</v>
      </c>
      <c r="O323" s="68">
        <f>IF(A22stdlife="n/a","n/a",IF(O$3&gt;(A22stdlife+$F323),(Input!$L$164*(1+vanilla5)^0.5)-SUM($L323:N323),(Input!$L$164*(1+vanilla5)^0.5)/A22stdlife))</f>
        <v>0</v>
      </c>
      <c r="P323" s="68">
        <f>IF(A22stdlife="n/a","n/a",IF(P$3&gt;(A22stdlife+$F323),(Input!$L$164*(1+vanilla5)^0.5)-SUM($L323:O323),(Input!$L$164*(1+vanilla5)^0.5)/A22stdlife))</f>
        <v>0</v>
      </c>
      <c r="Q323" s="68">
        <f>IF(A22stdlife="n/a","n/a",IF(Q$3&gt;(A22stdlife+$F323),(Input!$L$164*(1+vanilla5)^0.5)-SUM($L323:P323),(Input!$L$164*(1+vanilla5)^0.5)/A22stdlife))</f>
        <v>0</v>
      </c>
      <c r="R323" s="68"/>
      <c r="S323" s="103"/>
      <c r="T323" s="103"/>
      <c r="U323" s="103"/>
      <c r="V323" s="103"/>
      <c r="W323" s="103"/>
      <c r="X323" s="103"/>
      <c r="Y323" s="103"/>
      <c r="Z323" s="103"/>
      <c r="AA323" s="103"/>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656"/>
      <c r="F324" s="86">
        <v>6</v>
      </c>
      <c r="G324" s="27"/>
      <c r="H324" s="148"/>
      <c r="I324" s="150"/>
      <c r="J324" s="150"/>
      <c r="K324" s="150"/>
      <c r="L324" s="150"/>
      <c r="M324" s="149"/>
      <c r="N324" s="68">
        <f>IF(A22stdlife="n/a","n/a",IF(N$3&gt;(A22stdlife+$F324),(Input!$M$164*(1+vanilla6)^0.5)-SUM($M324:M324),(Input!$M$164*(1+vanilla6)^0.5)/A22stdlife))</f>
        <v>0</v>
      </c>
      <c r="O324" s="68">
        <f>IF(A22stdlife="n/a","n/a",IF(O$3&gt;(A22stdlife+$F324),(Input!$M$164*(1+vanilla6)^0.5)-SUM($M324:N324),(Input!$M$164*(1+vanilla6)^0.5)/A22stdlife))</f>
        <v>0</v>
      </c>
      <c r="P324" s="68">
        <f>IF(A22stdlife="n/a","n/a",IF(P$3&gt;(A22stdlife+$F324),(Input!$M$164*(1+vanilla6)^0.5)-SUM($M324:O324),(Input!$M$164*(1+vanilla6)^0.5)/A22stdlife))</f>
        <v>0</v>
      </c>
      <c r="Q324" s="68">
        <f>IF(A22stdlife="n/a","n/a",IF(Q$3&gt;(A22stdlife+$F324),(Input!$M$164*(1+vanilla6)^0.5)-SUM($M324:P324),(Input!$M$164*(1+vanilla6)^0.5)/A22stdlife))</f>
        <v>0</v>
      </c>
      <c r="R324" s="68"/>
      <c r="S324" s="103"/>
      <c r="T324" s="103"/>
      <c r="U324" s="103"/>
      <c r="V324" s="103"/>
      <c r="W324" s="103"/>
      <c r="X324" s="103"/>
      <c r="Y324" s="103"/>
      <c r="Z324" s="103"/>
      <c r="AA324" s="103"/>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656"/>
      <c r="F325" s="86">
        <v>7</v>
      </c>
      <c r="G325" s="27"/>
      <c r="H325" s="148"/>
      <c r="I325" s="150"/>
      <c r="J325" s="150"/>
      <c r="K325" s="150"/>
      <c r="L325" s="150"/>
      <c r="M325" s="150"/>
      <c r="N325" s="149"/>
      <c r="O325" s="68">
        <f>IF(A22stdlife="n/a","n/a",IF(O$3&gt;(A22stdlife+$F325),(Input!N$164*(1+vanilla7)^0.5)-SUM($N325:N325),(Input!$N$164*(1+vanilla7)^0.5)/A22stdlife))</f>
        <v>0</v>
      </c>
      <c r="P325" s="68">
        <f>IF(A22stdlife="n/a","n/a",IF(P$3&gt;(A22stdlife+$F325),(Input!O$164*(1+vanilla7)^0.5)-SUM($N325:O325),(Input!$N$164*(1+vanilla7)^0.5)/A22stdlife))</f>
        <v>0</v>
      </c>
      <c r="Q325" s="68">
        <f>IF(A22stdlife="n/a","n/a",IF(Q$3&gt;(A22stdlife+$F325),(Input!P$164*(1+vanilla7)^0.5)-SUM($N325:P325),(Input!$N$164*(1+vanilla7)^0.5)/A22stdlife))</f>
        <v>0</v>
      </c>
      <c r="R325" s="68"/>
      <c r="S325" s="103"/>
      <c r="T325" s="103"/>
      <c r="U325" s="103"/>
      <c r="V325" s="103"/>
      <c r="W325" s="103"/>
      <c r="X325" s="103"/>
      <c r="Y325" s="103"/>
      <c r="Z325" s="103"/>
      <c r="AA325" s="103"/>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656"/>
      <c r="F326" s="86">
        <v>8</v>
      </c>
      <c r="G326" s="27"/>
      <c r="H326" s="148"/>
      <c r="I326" s="150"/>
      <c r="J326" s="150"/>
      <c r="K326" s="150"/>
      <c r="L326" s="150"/>
      <c r="M326" s="150"/>
      <c r="N326" s="150"/>
      <c r="O326" s="149"/>
      <c r="P326" s="68">
        <f>IF(A22stdlife="n/a","n/a",IF(P$3&gt;(A22stdlife+$F326),(Input!$O$164*(1+vanilla8)^0.5)-SUM($O326:O326),(Input!$O$164*(1+vanilla8)^0.5)/A22stdlife))</f>
        <v>0</v>
      </c>
      <c r="Q326" s="68">
        <f>IF(A22stdlife="n/a","n/a",IF(Q$3&gt;(A22stdlife+$F326),(Input!$O$164*(1+vanilla8)^0.5)-SUM($O326:P326),(Input!$O$164*(1+vanilla8)^0.5)/A22stdlife))</f>
        <v>0</v>
      </c>
      <c r="R326" s="68"/>
      <c r="S326" s="103"/>
      <c r="T326" s="103"/>
      <c r="U326" s="103"/>
      <c r="V326" s="103"/>
      <c r="W326" s="103"/>
      <c r="X326" s="103"/>
      <c r="Y326" s="103"/>
      <c r="Z326" s="103"/>
      <c r="AA326" s="103"/>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656"/>
      <c r="F327" s="86">
        <v>9</v>
      </c>
      <c r="G327" s="27"/>
      <c r="H327" s="148"/>
      <c r="I327" s="150"/>
      <c r="J327" s="150"/>
      <c r="K327" s="150"/>
      <c r="L327" s="150"/>
      <c r="M327" s="150"/>
      <c r="N327" s="150"/>
      <c r="O327" s="150"/>
      <c r="P327" s="149"/>
      <c r="Q327" s="68">
        <f>IF(A22stdlife="n/a","n/a",IF(Q$3&gt;(A22stdlife+$F327),(Input!$P$164*(1+vanilla9)^0.5)-SUM($P327:P327),(Input!$P$164*(1+vanilla9)^0.5)/A22stdlife))</f>
        <v>0</v>
      </c>
      <c r="R327" s="68"/>
      <c r="S327" s="103"/>
      <c r="T327" s="103"/>
      <c r="U327" s="103"/>
      <c r="V327" s="103"/>
      <c r="W327" s="103"/>
      <c r="X327" s="103"/>
      <c r="Y327" s="103"/>
      <c r="Z327" s="103"/>
      <c r="AA327" s="103"/>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656"/>
      <c r="F328" s="87">
        <v>10</v>
      </c>
      <c r="G328" s="27"/>
      <c r="H328" s="148"/>
      <c r="I328" s="150"/>
      <c r="J328" s="150"/>
      <c r="K328" s="150"/>
      <c r="L328" s="150"/>
      <c r="M328" s="150"/>
      <c r="N328" s="150"/>
      <c r="O328" s="150"/>
      <c r="P328" s="150"/>
      <c r="Q328" s="149"/>
      <c r="R328" s="68"/>
      <c r="S328" s="103"/>
      <c r="T328" s="103"/>
      <c r="U328" s="103"/>
      <c r="V328" s="103"/>
      <c r="W328" s="103"/>
      <c r="X328" s="103"/>
      <c r="Y328" s="103"/>
      <c r="Z328" s="103"/>
      <c r="AA328" s="103"/>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3"/>
      <c r="H329" s="167">
        <f>-SUM(H317:H328)</f>
        <v>0</v>
      </c>
      <c r="I329" s="167">
        <f>-SUM(I317:I328)</f>
        <v>0</v>
      </c>
      <c r="J329" s="167">
        <f>-SUM(J317:J328)</f>
        <v>0</v>
      </c>
      <c r="K329" s="167">
        <f>-SUM(K317:K328)</f>
        <v>0</v>
      </c>
      <c r="L329" s="167">
        <f>-SUM(L317:L328)</f>
        <v>0</v>
      </c>
      <c r="M329" s="167">
        <f>IF(Input!M173&gt;0, -SUM(M317:M328), 0)</f>
        <v>0</v>
      </c>
      <c r="N329" s="167">
        <f>IF(Input!N173&gt;0, -SUM(N317:N328), 0)</f>
        <v>0</v>
      </c>
      <c r="O329" s="167">
        <f>IF(Input!O173&gt;0, -SUM(O317:O328), 0)</f>
        <v>0</v>
      </c>
      <c r="P329" s="167">
        <f>IF(Input!P173&gt;0, -SUM(P317:P328), 0)</f>
        <v>0</v>
      </c>
      <c r="Q329" s="167">
        <f>IF(Input!Q173&gt;0, -SUM(Q317:Q328), 0)</f>
        <v>0</v>
      </c>
      <c r="R329" s="66"/>
      <c r="S329" s="105"/>
      <c r="T329" s="105"/>
      <c r="U329" s="105"/>
      <c r="V329" s="105"/>
      <c r="W329" s="105"/>
      <c r="X329" s="105"/>
      <c r="Y329" s="105"/>
      <c r="Z329" s="105"/>
      <c r="AA329" s="105"/>
      <c r="AB329" s="232"/>
      <c r="AC329" s="232"/>
      <c r="AD329" s="232"/>
      <c r="AE329" s="232"/>
      <c r="AF329" s="232"/>
      <c r="AG329" s="232"/>
      <c r="AH329" s="232"/>
      <c r="AI329" s="232"/>
      <c r="AJ329" s="232"/>
      <c r="AK329" s="232"/>
      <c r="AL329" s="232"/>
      <c r="AM329" s="232"/>
      <c r="AN329" s="232"/>
      <c r="AO329" s="232"/>
      <c r="AP329" s="232"/>
      <c r="AQ329" s="232"/>
      <c r="AR329" s="232"/>
      <c r="AS329" s="232"/>
      <c r="AT329" s="232"/>
      <c r="AU329" s="232"/>
      <c r="AV329" s="232"/>
      <c r="AW329" s="232"/>
      <c r="AX329" s="232"/>
      <c r="AY329" s="232"/>
      <c r="AZ329" s="232"/>
      <c r="BA329" s="232"/>
      <c r="BB329" s="232"/>
      <c r="BC329" s="232"/>
      <c r="BD329" s="105"/>
      <c r="BE329" s="105"/>
      <c r="BF329" s="105"/>
      <c r="BG329" s="105"/>
      <c r="BH329" s="105"/>
      <c r="BI329" s="105"/>
      <c r="BJ329" s="105"/>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3"/>
      <c r="E330" s="34" t="s">
        <v>28</v>
      </c>
      <c r="F330" s="33"/>
      <c r="G330" s="176"/>
      <c r="H330" s="67">
        <f>IF(H$3&gt;A23remlife,A23value-SUM($G330:G330),IF(A23remlife="N/A","n/a",A23value/A23remlife))</f>
        <v>0</v>
      </c>
      <c r="I330" s="67">
        <f>IF(I$3&gt;A23remlife,A23value-SUM($G330:H330),IF(A23remlife="N/A","n/a",A23value/A23remlife))</f>
        <v>0</v>
      </c>
      <c r="J330" s="67">
        <f>IF(J$3&gt;A23remlife,A23value-SUM($G330:I330),IF(A23remlife="N/A","n/a",A23value/A23remlife))</f>
        <v>0</v>
      </c>
      <c r="K330" s="67">
        <f>IF(K$3&gt;A23remlife,A23value-SUM($G330:J330),IF(A23remlife="N/A","n/a",A23value/A23remlife))</f>
        <v>0</v>
      </c>
      <c r="L330" s="67">
        <f>IF(L$3&gt;A23remlife,A23value-SUM($G330:K330),IF(A23remlife="N/A","n/a",A23value/A23remlife))</f>
        <v>0</v>
      </c>
      <c r="M330" s="67">
        <f>IF(M$3&gt;A23remlife,A23value-SUM($G330:L330),IF(A23remlife="N/A","n/a",A23value/A23remlife))</f>
        <v>0</v>
      </c>
      <c r="N330" s="67">
        <f>IF(N$3&gt;A23remlife,A23value-SUM($G330:M330),IF(A23remlife="N/A","n/a",A23value/A23remlife))</f>
        <v>0</v>
      </c>
      <c r="O330" s="67">
        <f>IF(O$3&gt;A23remlife,A23value-SUM($G330:N330),IF(A23remlife="N/A","n/a",A23value/A23remlife))</f>
        <v>0</v>
      </c>
      <c r="P330" s="67">
        <f>IF(P$3&gt;A23remlife,A23value-SUM($G330:O330),IF(A23remlife="N/A","n/a",A23value/A23remlife))</f>
        <v>0</v>
      </c>
      <c r="Q330" s="67">
        <f>IF(Q$3&gt;A23remlife,A23value-SUM($G330:P330),IF(A23remlife="N/A","n/a",A23value/A23remlife))</f>
        <v>0</v>
      </c>
      <c r="R330" s="67"/>
      <c r="S330" s="103"/>
      <c r="T330" s="103"/>
      <c r="U330" s="103"/>
      <c r="V330" s="103"/>
      <c r="W330" s="103"/>
      <c r="X330" s="103"/>
      <c r="Y330" s="103"/>
      <c r="Z330" s="103"/>
      <c r="AA330" s="103"/>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655" t="s">
        <v>84</v>
      </c>
      <c r="F331" s="86">
        <v>0</v>
      </c>
      <c r="G331" s="123"/>
      <c r="H331" s="68"/>
      <c r="I331" s="68"/>
      <c r="J331" s="68"/>
      <c r="K331" s="68"/>
      <c r="L331" s="68"/>
      <c r="M331" s="165"/>
      <c r="N331" s="113"/>
      <c r="O331" s="68"/>
      <c r="P331" s="68"/>
      <c r="Q331" s="68"/>
      <c r="R331" s="68"/>
      <c r="S331" s="103"/>
      <c r="T331" s="103"/>
      <c r="U331" s="103"/>
      <c r="V331" s="103"/>
      <c r="W331" s="103"/>
      <c r="X331" s="103"/>
      <c r="Y331" s="103"/>
      <c r="Z331" s="103"/>
      <c r="AA331" s="103"/>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656"/>
      <c r="F332" s="86">
        <v>1</v>
      </c>
      <c r="G332" s="123"/>
      <c r="H332" s="147"/>
      <c r="I332" s="68">
        <f>IF(A23stdlife="n/a","n/a",IF(I$3&gt;(A23stdlife+$F332),(Input!$H$165*(1+vanilla1)^0.5)-SUM($H332:H332),(Input!$H$165*(1+vanilla1)^0.5)/A23stdlife))</f>
        <v>0</v>
      </c>
      <c r="J332" s="68">
        <f>IF(A23stdlife="n/a","n/a",IF(J$3&gt;(A23stdlife+$F332),(Input!$H$165*(1+vanilla1)^0.5)-SUM($H332:I332),(Input!$H$165*(1+vanilla1)^0.5)/A23stdlife))</f>
        <v>0</v>
      </c>
      <c r="K332" s="68">
        <f>IF(A23stdlife="n/a","n/a",IF(K$3&gt;(A23stdlife+$F332),(Input!$H$165*(1+vanilla1)^0.5)-SUM($H332:J332),(Input!$H$165*(1+vanilla1)^0.5)/A23stdlife))</f>
        <v>0</v>
      </c>
      <c r="L332" s="68">
        <f>IF(A23stdlife="n/a","n/a",IF(L$3&gt;(A23stdlife+$F332),(Input!$H$165*(1+vanilla1)^0.5)-SUM($H332:K332),(Input!$H$165*(1+vanilla1)^0.5)/A23stdlife))</f>
        <v>0</v>
      </c>
      <c r="M332" s="68">
        <f>IF(A23stdlife="n/a","n/a",IF(M$3&gt;(A23stdlife+$F332),(Input!$H$165*(1+vanilla1)^0.5)-SUM($H332:L332),(Input!$H$165*(1+vanilla1)^0.5)/A23stdlife))</f>
        <v>0</v>
      </c>
      <c r="N332" s="68">
        <f>IF(A23stdlife="n/a","n/a",IF(N$3&gt;(A23stdlife+$F332),(Input!$H$165*(1+vanilla1)^0.5)-SUM($H332:M332),(Input!$H$165*(1+vanilla1)^0.5)/A23stdlife))</f>
        <v>0</v>
      </c>
      <c r="O332" s="68">
        <f>IF(A23stdlife="n/a","n/a",IF(O$3&gt;(A23stdlife+$F332),(Input!$H$165*(1+vanilla1)^0.5)-SUM($H332:N332),(Input!$H$165*(1+vanilla1)^0.5)/A23stdlife))</f>
        <v>0</v>
      </c>
      <c r="P332" s="68">
        <f>IF(A23stdlife="n/a","n/a",IF(P$3&gt;(A23stdlife+$F332),(Input!$H$165*(1+vanilla1)^0.5)-SUM($H332:O332),(Input!$H$165*(1+vanilla1)^0.5)/A23stdlife))</f>
        <v>0</v>
      </c>
      <c r="Q332" s="68">
        <f>IF(A23stdlife="n/a","n/a",IF(Q$3&gt;(A23stdlife+$F332),(Input!$H$165*(1+vanilla1)^0.5)-SUM($H332:P332),(Input!$H$165*(1+vanilla1)^0.5)/A23stdlife))</f>
        <v>0</v>
      </c>
      <c r="R332" s="68"/>
      <c r="S332" s="103"/>
      <c r="T332" s="103"/>
      <c r="U332" s="103"/>
      <c r="V332" s="103"/>
      <c r="W332" s="103"/>
      <c r="X332" s="103"/>
      <c r="Y332" s="103"/>
      <c r="Z332" s="103"/>
      <c r="AA332" s="103"/>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656"/>
      <c r="F333" s="86">
        <v>2</v>
      </c>
      <c r="G333" s="123"/>
      <c r="H333" s="148"/>
      <c r="I333" s="149"/>
      <c r="J333" s="68">
        <f>IF(A23stdlife="n/a","n/a",IF(J$3&gt;(A23stdlife+$F333),(Input!$I$165*(1+vanilla2)^0.5)-SUM($I333:I333),(Input!$I$165*(1+vanilla2)^0.5)/A23stdlife))</f>
        <v>0</v>
      </c>
      <c r="K333" s="68">
        <f>IF(A23stdlife="n/a","n/a",IF(K$3&gt;(A23stdlife+$F333),(Input!$I$165*(1+vanilla2)^0.5)-SUM($I333:J333),(Input!$I$165*(1+vanilla2)^0.5)/A23stdlife))</f>
        <v>0</v>
      </c>
      <c r="L333" s="68">
        <f>IF(A23stdlife="n/a","n/a",IF(L$3&gt;(A23stdlife+$F333),(Input!$I$165*(1+vanilla2)^0.5)-SUM($I333:K333),(Input!$I$165*(1+vanilla2)^0.5)/A23stdlife))</f>
        <v>0</v>
      </c>
      <c r="M333" s="68">
        <f>IF(A23stdlife="n/a","n/a",IF(M$3&gt;(A23stdlife+$F333),(Input!$I$165*(1+vanilla2)^0.5)-SUM($I333:L333),(Input!$I$165*(1+vanilla2)^0.5)/A23stdlife))</f>
        <v>0</v>
      </c>
      <c r="N333" s="68">
        <f>IF(A23stdlife="n/a","n/a",IF(N$3&gt;(A23stdlife+$F333),(Input!$I$165*(1+vanilla2)^0.5)-SUM($I333:M333),(Input!$I$165*(1+vanilla2)^0.5)/A23stdlife))</f>
        <v>0</v>
      </c>
      <c r="O333" s="68">
        <f>IF(A23stdlife="n/a","n/a",IF(O$3&gt;(A23stdlife+$F333),(Input!$I$165*(1+vanilla2)^0.5)-SUM($I333:N333),(Input!$I$165*(1+vanilla2)^0.5)/A23stdlife))</f>
        <v>0</v>
      </c>
      <c r="P333" s="68">
        <f>IF(A23stdlife="n/a","n/a",IF(P$3&gt;(A23stdlife+$F333),(Input!$I$165*(1+vanilla2)^0.5)-SUM($I333:O333),(Input!$I$165*(1+vanilla2)^0.5)/A23stdlife))</f>
        <v>0</v>
      </c>
      <c r="Q333" s="68">
        <f>IF(A23stdlife="n/a","n/a",IF(Q$3&gt;(A23stdlife+$F333),(Input!$I$165*(1+vanilla2)^0.5)-SUM($I333:P333),(Input!$I$165*(1+vanilla2)^0.5)/A23stdlife))</f>
        <v>0</v>
      </c>
      <c r="R333" s="68"/>
      <c r="S333" s="103"/>
      <c r="T333" s="103"/>
      <c r="U333" s="103"/>
      <c r="V333" s="103"/>
      <c r="W333" s="103"/>
      <c r="X333" s="103"/>
      <c r="Y333" s="103"/>
      <c r="Z333" s="103"/>
      <c r="AA333" s="103"/>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656"/>
      <c r="F334" s="86">
        <v>3</v>
      </c>
      <c r="G334" s="123"/>
      <c r="H334" s="148"/>
      <c r="I334" s="150"/>
      <c r="J334" s="149"/>
      <c r="K334" s="68">
        <f>IF(A23stdlife="n/a","n/a",IF(K$3&gt;(A23stdlife+$F334),(Input!$J$165*(1+vanilla3)^0.5)-SUM($J334:J334),(Input!$J$165*(1+vanilla3)^0.5)/A23stdlife))</f>
        <v>0</v>
      </c>
      <c r="L334" s="68">
        <f>IF(A23stdlife="n/a","n/a",IF(L$3&gt;(A23stdlife+$F334),(Input!$J$165*(1+vanilla3)^0.5)-SUM($J334:K334),(Input!$J$165*(1+vanilla3)^0.5)/A23stdlife))</f>
        <v>0</v>
      </c>
      <c r="M334" s="68">
        <f>IF(A23stdlife="n/a","n/a",IF(M$3&gt;(A23stdlife+$F334),(Input!$J$165*(1+vanilla3)^0.5)-SUM($J334:L334),(Input!$J$165*(1+vanilla3)^0.5)/A23stdlife))</f>
        <v>0</v>
      </c>
      <c r="N334" s="68">
        <f>IF(A23stdlife="n/a","n/a",IF(N$3&gt;(A23stdlife+$F334),(Input!$J$165*(1+vanilla3)^0.5)-SUM($J334:M334),(Input!$J$165*(1+vanilla3)^0.5)/A23stdlife))</f>
        <v>0</v>
      </c>
      <c r="O334" s="68">
        <f>IF(A23stdlife="n/a","n/a",IF(O$3&gt;(A23stdlife+$F334),(Input!$J$165*(1+vanilla3)^0.5)-SUM($J334:N334),(Input!$J$165*(1+vanilla3)^0.5)/A23stdlife))</f>
        <v>0</v>
      </c>
      <c r="P334" s="68">
        <f>IF(A23stdlife="n/a","n/a",IF(P$3&gt;(A23stdlife+$F334),(Input!$J$165*(1+vanilla3)^0.5)-SUM($J334:O334),(Input!$J$165*(1+vanilla3)^0.5)/A23stdlife))</f>
        <v>0</v>
      </c>
      <c r="Q334" s="68">
        <f>IF(A23stdlife="n/a","n/a",IF(Q$3&gt;(A23stdlife+$F334),(Input!$J$165*(1+vanilla3)^0.5)-SUM($J334:P334),(Input!$J$165*(1+vanilla3)^0.5)/A23stdlife))</f>
        <v>0</v>
      </c>
      <c r="R334" s="68"/>
      <c r="S334" s="103"/>
      <c r="T334" s="103"/>
      <c r="U334" s="103"/>
      <c r="V334" s="103"/>
      <c r="W334" s="103"/>
      <c r="X334" s="103"/>
      <c r="Y334" s="103"/>
      <c r="Z334" s="103"/>
      <c r="AA334" s="103"/>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656"/>
      <c r="F335" s="86">
        <v>4</v>
      </c>
      <c r="G335" s="123"/>
      <c r="H335" s="148"/>
      <c r="I335" s="150"/>
      <c r="J335" s="150"/>
      <c r="K335" s="149"/>
      <c r="L335" s="68">
        <f>IF(A23stdlife="n/a","n/a",IF(L$3&gt;(A23stdlife+$F335),(Input!$K$165*(1+vanilla4)^0.5)-SUM($K335:K335),(Input!$K$165*(1+vanilla4)^0.5)/A23stdlife))</f>
        <v>0</v>
      </c>
      <c r="M335" s="68">
        <f>IF(A23stdlife="n/a","n/a",IF(M$3&gt;(A23stdlife+$F335),(Input!$K$165*(1+vanilla4)^0.5)-SUM($K335:L335),(Input!$K$165*(1+vanilla4)^0.5)/A23stdlife))</f>
        <v>0</v>
      </c>
      <c r="N335" s="68">
        <f>IF(A23stdlife="n/a","n/a",IF(N$3&gt;(A23stdlife+$F335),(Input!$K$165*(1+vanilla4)^0.5)-SUM($K335:M335),(Input!$K$165*(1+vanilla4)^0.5)/A23stdlife))</f>
        <v>0</v>
      </c>
      <c r="O335" s="68">
        <f>IF(A23stdlife="n/a","n/a",IF(O$3&gt;(A23stdlife+$F335),(Input!$K$165*(1+vanilla4)^0.5)-SUM($K335:N335),(Input!$K$165*(1+vanilla4)^0.5)/A23stdlife))</f>
        <v>0</v>
      </c>
      <c r="P335" s="68">
        <f>IF(A23stdlife="n/a","n/a",IF(P$3&gt;(A23stdlife+$F335),(Input!$K$165*(1+vanilla4)^0.5)-SUM($K335:O335),(Input!$K$165*(1+vanilla4)^0.5)/A23stdlife))</f>
        <v>0</v>
      </c>
      <c r="Q335" s="68">
        <f>IF(A23stdlife="n/a","n/a",IF(Q$3&gt;(A23stdlife+$F335),(Input!$K$165*(1+vanilla4)^0.5)-SUM($K335:P335),(Input!$K$165*(1+vanilla4)^0.5)/A23stdlife))</f>
        <v>0</v>
      </c>
      <c r="R335" s="68"/>
      <c r="S335" s="103"/>
      <c r="T335" s="103"/>
      <c r="U335" s="103"/>
      <c r="V335" s="103"/>
      <c r="W335" s="103"/>
      <c r="X335" s="103"/>
      <c r="Y335" s="103"/>
      <c r="Z335" s="103"/>
      <c r="AA335" s="103"/>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103"/>
      <c r="BE335" s="103"/>
      <c r="BF335" s="103"/>
      <c r="BG335" s="103"/>
      <c r="BH335" s="103"/>
      <c r="BI335" s="103"/>
      <c r="BJ335" s="103"/>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656"/>
      <c r="F336" s="86">
        <v>5</v>
      </c>
      <c r="G336" s="27"/>
      <c r="H336" s="148"/>
      <c r="I336" s="150"/>
      <c r="J336" s="150"/>
      <c r="K336" s="150"/>
      <c r="L336" s="149"/>
      <c r="M336" s="68">
        <f>IF(A23stdlife="n/a","n/a",IF(M$3&gt;(A23stdlife+$F336),(Input!$L$165*(1+vanilla5)^0.5)-SUM($L336:L336),(Input!$L$165*(1+vanilla5)^0.5)/A23stdlife))</f>
        <v>0</v>
      </c>
      <c r="N336" s="68">
        <f>IF(A23stdlife="n/a","n/a",IF(N$3&gt;(A23stdlife+$F336),(Input!$L$165*(1+vanilla5)^0.5)-SUM($L336:M336),(Input!$L$165*(1+vanilla5)^0.5)/A23stdlife))</f>
        <v>0</v>
      </c>
      <c r="O336" s="68">
        <f>IF(A23stdlife="n/a","n/a",IF(O$3&gt;(A23stdlife+$F336),(Input!$L$165*(1+vanilla5)^0.5)-SUM($L336:N336),(Input!$L$165*(1+vanilla5)^0.5)/A23stdlife))</f>
        <v>0</v>
      </c>
      <c r="P336" s="68">
        <f>IF(A23stdlife="n/a","n/a",IF(P$3&gt;(A23stdlife+$F336),(Input!$L$165*(1+vanilla5)^0.5)-SUM($L336:O336),(Input!$L$165*(1+vanilla5)^0.5)/A23stdlife))</f>
        <v>0</v>
      </c>
      <c r="Q336" s="68">
        <f>IF(A23stdlife="n/a","n/a",IF(Q$3&gt;(A23stdlife+$F336),(Input!$L$165*(1+vanilla5)^0.5)-SUM($L336:P336),(Input!$L$165*(1+vanilla5)^0.5)/A23stdlife))</f>
        <v>0</v>
      </c>
      <c r="R336" s="68"/>
      <c r="S336" s="103"/>
      <c r="T336" s="103"/>
      <c r="U336" s="103"/>
      <c r="V336" s="103"/>
      <c r="W336" s="103"/>
      <c r="X336" s="103"/>
      <c r="Y336" s="103"/>
      <c r="Z336" s="103"/>
      <c r="AA336" s="103"/>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656"/>
      <c r="F337" s="86">
        <v>6</v>
      </c>
      <c r="G337" s="27"/>
      <c r="H337" s="148"/>
      <c r="I337" s="150"/>
      <c r="J337" s="150"/>
      <c r="K337" s="150"/>
      <c r="L337" s="150"/>
      <c r="M337" s="149"/>
      <c r="N337" s="68">
        <f>IF(A23stdlife="n/a","n/a",IF(N$3&gt;(A23stdlife+$F337),(Input!$M$165*(1+vanilla6)^0.5)-SUM($M337:M337),(Input!$M$165*(1+vanilla6)^0.5)/A23stdlife))</f>
        <v>0</v>
      </c>
      <c r="O337" s="68">
        <f>IF(A23stdlife="n/a","n/a",IF(O$3&gt;(A23stdlife+$F337),(Input!$M$165*(1+vanilla6)^0.5)-SUM($M337:N337),(Input!$M$165*(1+vanilla6)^0.5)/A23stdlife))</f>
        <v>0</v>
      </c>
      <c r="P337" s="68">
        <f>IF(A23stdlife="n/a","n/a",IF(P$3&gt;(A23stdlife+$F337),(Input!$M$165*(1+vanilla6)^0.5)-SUM($M337:O337),(Input!$M$165*(1+vanilla6)^0.5)/A23stdlife))</f>
        <v>0</v>
      </c>
      <c r="Q337" s="68">
        <f>IF(A23stdlife="n/a","n/a",IF(Q$3&gt;(A23stdlife+$F337),(Input!$M$165*(1+vanilla6)^0.5)-SUM($M337:P337),(Input!$M$165*(1+vanilla6)^0.5)/A23stdlife))</f>
        <v>0</v>
      </c>
      <c r="R337" s="68"/>
      <c r="S337" s="103"/>
      <c r="T337" s="103"/>
      <c r="U337" s="103"/>
      <c r="V337" s="103"/>
      <c r="W337" s="103"/>
      <c r="X337" s="103"/>
      <c r="Y337" s="103"/>
      <c r="Z337" s="103"/>
      <c r="AA337" s="103"/>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656"/>
      <c r="F338" s="86">
        <v>7</v>
      </c>
      <c r="G338" s="27"/>
      <c r="H338" s="148"/>
      <c r="I338" s="150"/>
      <c r="J338" s="150"/>
      <c r="K338" s="150"/>
      <c r="L338" s="150"/>
      <c r="M338" s="150"/>
      <c r="N338" s="149"/>
      <c r="O338" s="68">
        <f>IF(A23stdlife="n/a","n/a",IF(O$3&gt;(A23stdlife+$F338),(Input!N$165*(1+vanilla7)^0.5)-SUM($N338:N338),(Input!$N$165*(1+vanilla7)^0.5)/A23stdlife))</f>
        <v>0</v>
      </c>
      <c r="P338" s="68">
        <f>IF(A23stdlife="n/a","n/a",IF(P$3&gt;(A23stdlife+$F338),(Input!O$165*(1+vanilla7)^0.5)-SUM($N338:O338),(Input!$N$165*(1+vanilla7)^0.5)/A23stdlife))</f>
        <v>0</v>
      </c>
      <c r="Q338" s="68">
        <f>IF(A23stdlife="n/a","n/a",IF(Q$3&gt;(A23stdlife+$F338),(Input!P$165*(1+vanilla7)^0.5)-SUM($N338:P338),(Input!$N$165*(1+vanilla7)^0.5)/A23stdlife))</f>
        <v>0</v>
      </c>
      <c r="R338" s="68"/>
      <c r="S338" s="103"/>
      <c r="T338" s="103"/>
      <c r="U338" s="103"/>
      <c r="V338" s="103"/>
      <c r="W338" s="103"/>
      <c r="X338" s="103"/>
      <c r="Y338" s="103"/>
      <c r="Z338" s="103"/>
      <c r="AA338" s="103"/>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656"/>
      <c r="F339" s="86">
        <v>8</v>
      </c>
      <c r="G339" s="27"/>
      <c r="H339" s="148"/>
      <c r="I339" s="150"/>
      <c r="J339" s="150"/>
      <c r="K339" s="150"/>
      <c r="L339" s="150"/>
      <c r="M339" s="150"/>
      <c r="N339" s="150"/>
      <c r="O339" s="149"/>
      <c r="P339" s="68">
        <f>IF(A23stdlife="n/a","n/a",IF(P$3&gt;(A23stdlife+$F339),(Input!$O$165*(1+vanilla8)^0.5)-SUM($O339:O339),(Input!$O$165*(1+vanilla8)^0.5)/A23stdlife))</f>
        <v>0</v>
      </c>
      <c r="Q339" s="68">
        <f>IF(A23stdlife="n/a","n/a",IF(Q$3&gt;(A23stdlife+$F339),(Input!$O$165*(1+vanilla8)^0.5)-SUM($O339:P339),(Input!$O$165*(1+vanilla8)^0.5)/A23stdlife))</f>
        <v>0</v>
      </c>
      <c r="R339" s="68"/>
      <c r="S339" s="103"/>
      <c r="T339" s="103"/>
      <c r="U339" s="103"/>
      <c r="V339" s="103"/>
      <c r="W339" s="103"/>
      <c r="X339" s="103"/>
      <c r="Y339" s="103"/>
      <c r="Z339" s="103"/>
      <c r="AA339" s="103"/>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656"/>
      <c r="F340" s="86">
        <v>9</v>
      </c>
      <c r="G340" s="27"/>
      <c r="H340" s="148"/>
      <c r="I340" s="150"/>
      <c r="J340" s="150"/>
      <c r="K340" s="150"/>
      <c r="L340" s="150"/>
      <c r="M340" s="150"/>
      <c r="N340" s="150"/>
      <c r="O340" s="150"/>
      <c r="P340" s="149"/>
      <c r="Q340" s="68">
        <f>IF(A23stdlife="n/a","n/a",IF(Q$3&gt;(A23stdlife+$F340),(Input!$P$165*(1+vanilla9)^0.5)-SUM($P340:P340),(Input!$P$165*(1+vanilla9)^0.5)/A23stdlife))</f>
        <v>0</v>
      </c>
      <c r="R340" s="68"/>
      <c r="S340" s="103"/>
      <c r="T340" s="103"/>
      <c r="U340" s="103"/>
      <c r="V340" s="103"/>
      <c r="W340" s="103"/>
      <c r="X340" s="103"/>
      <c r="Y340" s="103"/>
      <c r="Z340" s="103"/>
      <c r="AA340" s="103"/>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656"/>
      <c r="F341" s="87">
        <v>10</v>
      </c>
      <c r="G341" s="27"/>
      <c r="H341" s="148"/>
      <c r="I341" s="150"/>
      <c r="J341" s="150"/>
      <c r="K341" s="150"/>
      <c r="L341" s="150"/>
      <c r="M341" s="150"/>
      <c r="N341" s="150"/>
      <c r="O341" s="150"/>
      <c r="P341" s="150"/>
      <c r="Q341" s="149"/>
      <c r="R341" s="68"/>
      <c r="S341" s="103"/>
      <c r="T341" s="103"/>
      <c r="U341" s="103"/>
      <c r="V341" s="103"/>
      <c r="W341" s="103"/>
      <c r="X341" s="103"/>
      <c r="Y341" s="103"/>
      <c r="Z341" s="103"/>
      <c r="AA341" s="103"/>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3"/>
      <c r="H342" s="167">
        <f>-SUM(H330:H341)</f>
        <v>0</v>
      </c>
      <c r="I342" s="167">
        <f>-SUM(I330:I341)</f>
        <v>0</v>
      </c>
      <c r="J342" s="167">
        <f>-SUM(J330:J341)</f>
        <v>0</v>
      </c>
      <c r="K342" s="167">
        <f>-SUM(K330:K341)</f>
        <v>0</v>
      </c>
      <c r="L342" s="167">
        <f>-SUM(L330:L341)</f>
        <v>0</v>
      </c>
      <c r="M342" s="167">
        <f>IF(Input!M173&gt;0, -SUM(M330:M341), 0)</f>
        <v>0</v>
      </c>
      <c r="N342" s="167">
        <f>IF(Input!N173&gt;0, -SUM(N330:N341), 0)</f>
        <v>0</v>
      </c>
      <c r="O342" s="167">
        <f>IF(Input!O173&gt;0, -SUM(O330:O341), 0)</f>
        <v>0</v>
      </c>
      <c r="P342" s="167">
        <f>IF(Input!P173&gt;0, -SUM(P330:P341), 0)</f>
        <v>0</v>
      </c>
      <c r="Q342" s="167">
        <f>IF(Input!Q173&gt;0, -SUM(Q330:Q341), 0)</f>
        <v>0</v>
      </c>
      <c r="R342" s="66"/>
      <c r="S342" s="105"/>
      <c r="T342" s="105"/>
      <c r="U342" s="105"/>
      <c r="V342" s="105"/>
      <c r="W342" s="105"/>
      <c r="X342" s="105"/>
      <c r="Y342" s="105"/>
      <c r="Z342" s="105"/>
      <c r="AA342" s="105"/>
      <c r="AB342" s="232"/>
      <c r="AC342" s="232"/>
      <c r="AD342" s="232"/>
      <c r="AE342" s="232"/>
      <c r="AF342" s="232"/>
      <c r="AG342" s="232"/>
      <c r="AH342" s="232"/>
      <c r="AI342" s="232"/>
      <c r="AJ342" s="232"/>
      <c r="AK342" s="232"/>
      <c r="AL342" s="232"/>
      <c r="AM342" s="232"/>
      <c r="AN342" s="232"/>
      <c r="AO342" s="232"/>
      <c r="AP342" s="232"/>
      <c r="AQ342" s="232"/>
      <c r="AR342" s="232"/>
      <c r="AS342" s="232"/>
      <c r="AT342" s="232"/>
      <c r="AU342" s="232"/>
      <c r="AV342" s="232"/>
      <c r="AW342" s="232"/>
      <c r="AX342" s="232"/>
      <c r="AY342" s="232"/>
      <c r="AZ342" s="232"/>
      <c r="BA342" s="232"/>
      <c r="BB342" s="232"/>
      <c r="BC342" s="232"/>
      <c r="BD342" s="105"/>
      <c r="BE342" s="105"/>
      <c r="BF342" s="105"/>
      <c r="BG342" s="105"/>
      <c r="BH342" s="105"/>
      <c r="BI342" s="105"/>
      <c r="BJ342" s="105"/>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3"/>
      <c r="E343" s="34" t="s">
        <v>28</v>
      </c>
      <c r="F343" s="33"/>
      <c r="G343" s="176"/>
      <c r="H343" s="67">
        <f>IF(H$3&gt;A24remlife,A24value-SUM($G343:G343),IF(A24remlife="N/A","n/a",A24value/A24remlife))</f>
        <v>0</v>
      </c>
      <c r="I343" s="67">
        <f>IF(I$3&gt;A24remlife,A24value-SUM($G343:H343),IF(A24remlife="N/A","n/a",A24value/A24remlife))</f>
        <v>0</v>
      </c>
      <c r="J343" s="67">
        <f>IF(J$3&gt;A24remlife,A24value-SUM($G343:I343),IF(A24remlife="N/A","n/a",A24value/A24remlife))</f>
        <v>0</v>
      </c>
      <c r="K343" s="67">
        <f>IF(K$3&gt;A24remlife,A24value-SUM($G343:J343),IF(A24remlife="N/A","n/a",A24value/A24remlife))</f>
        <v>0</v>
      </c>
      <c r="L343" s="67">
        <f>IF(L$3&gt;A24remlife,A24value-SUM($G343:K343),IF(A24remlife="N/A","n/a",A24value/A24remlife))</f>
        <v>0</v>
      </c>
      <c r="M343" s="67">
        <f>IF(M$3&gt;A24remlife,A24value-SUM($G343:L343),IF(A24remlife="N/A","n/a",A24value/A24remlife))</f>
        <v>0</v>
      </c>
      <c r="N343" s="67">
        <f>IF(N$3&gt;A24remlife,A24value-SUM($G343:M343),IF(A24remlife="N/A","n/a",A24value/A24remlife))</f>
        <v>0</v>
      </c>
      <c r="O343" s="67">
        <f>IF(O$3&gt;A24remlife,A24value-SUM($G343:N343),IF(A24remlife="N/A","n/a",A24value/A24remlife))</f>
        <v>0</v>
      </c>
      <c r="P343" s="67">
        <f>IF(P$3&gt;A24remlife,A24value-SUM($G343:O343),IF(A24remlife="N/A","n/a",A24value/A24remlife))</f>
        <v>0</v>
      </c>
      <c r="Q343" s="67">
        <f>IF(Q$3&gt;A24remlife,A24value-SUM($G343:P343),IF(A24remlife="N/A","n/a",A24value/A24remlife))</f>
        <v>0</v>
      </c>
      <c r="R343" s="67"/>
      <c r="S343" s="103"/>
      <c r="T343" s="103"/>
      <c r="U343" s="103"/>
      <c r="V343" s="103"/>
      <c r="W343" s="103"/>
      <c r="X343" s="103"/>
      <c r="Y343" s="103"/>
      <c r="Z343" s="103"/>
      <c r="AA343" s="103"/>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655" t="s">
        <v>84</v>
      </c>
      <c r="F344" s="86">
        <v>0</v>
      </c>
      <c r="G344" s="123"/>
      <c r="H344" s="68"/>
      <c r="I344" s="68"/>
      <c r="J344" s="68"/>
      <c r="K344" s="68"/>
      <c r="L344" s="68"/>
      <c r="M344" s="165"/>
      <c r="N344" s="113"/>
      <c r="O344" s="68"/>
      <c r="P344" s="68"/>
      <c r="Q344" s="68"/>
      <c r="R344" s="68"/>
      <c r="S344" s="103"/>
      <c r="T344" s="103"/>
      <c r="U344" s="103"/>
      <c r="V344" s="103"/>
      <c r="W344" s="103"/>
      <c r="X344" s="103"/>
      <c r="Y344" s="103"/>
      <c r="Z344" s="103"/>
      <c r="AA344" s="103"/>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656"/>
      <c r="F345" s="86">
        <v>1</v>
      </c>
      <c r="G345" s="123"/>
      <c r="H345" s="147"/>
      <c r="I345" s="68">
        <f>IF(A24stdlife="n/a","n/a",IF(I$3&gt;(A24stdlife+$F345),(Input!$H$166*(1+vanilla1)^0.5)-SUM($H345:H345),(Input!$H$166*(1+vanilla1)^0.5)/A24stdlife))</f>
        <v>0</v>
      </c>
      <c r="J345" s="68">
        <f>IF(A24stdlife="n/a","n/a",IF(J$3&gt;(A24stdlife+$F345),(Input!$H$166*(1+vanilla1)^0.5)-SUM($H345:I345),(Input!$H$166*(1+vanilla1)^0.5)/A24stdlife))</f>
        <v>0</v>
      </c>
      <c r="K345" s="68">
        <f>IF(A24stdlife="n/a","n/a",IF(K$3&gt;(A24stdlife+$F345),(Input!$H$166*(1+vanilla1)^0.5)-SUM($H345:J345),(Input!$H$166*(1+vanilla1)^0.5)/A24stdlife))</f>
        <v>0</v>
      </c>
      <c r="L345" s="68">
        <f>IF(A24stdlife="n/a","n/a",IF(L$3&gt;(A24stdlife+$F345),(Input!$H$166*(1+vanilla1)^0.5)-SUM($H345:K345),(Input!$H$166*(1+vanilla1)^0.5)/A24stdlife))</f>
        <v>0</v>
      </c>
      <c r="M345" s="68">
        <f>IF(A24stdlife="n/a","n/a",IF(M$3&gt;(A24stdlife+$F345),(Input!$H$166*(1+vanilla1)^0.5)-SUM($H345:L345),(Input!$H$166*(1+vanilla1)^0.5)/A24stdlife))</f>
        <v>0</v>
      </c>
      <c r="N345" s="68">
        <f>IF(A24stdlife="n/a","n/a",IF(N$3&gt;(A24stdlife+$F345),(Input!$H$166*(1+vanilla1)^0.5)-SUM($H345:M345),(Input!$H$166*(1+vanilla1)^0.5)/A24stdlife))</f>
        <v>0</v>
      </c>
      <c r="O345" s="68">
        <f>IF(A24stdlife="n/a","n/a",IF(O$3&gt;(A24stdlife+$F345),(Input!$H$166*(1+vanilla1)^0.5)-SUM($H345:N345),(Input!$H$166*(1+vanilla1)^0.5)/A24stdlife))</f>
        <v>0</v>
      </c>
      <c r="P345" s="68">
        <f>IF(A24stdlife="n/a","n/a",IF(P$3&gt;(A24stdlife+$F345),(Input!$H$166*(1+vanilla1)^0.5)-SUM($H345:O345),(Input!$H$166*(1+vanilla1)^0.5)/A24stdlife))</f>
        <v>0</v>
      </c>
      <c r="Q345" s="68">
        <f>IF(A24stdlife="n/a","n/a",IF(Q$3&gt;(A24stdlife+$F345),(Input!$H$166*(1+vanilla1)^0.5)-SUM($H345:P345),(Input!$H$166*(1+vanilla1)^0.5)/A24stdlife))</f>
        <v>0</v>
      </c>
      <c r="R345" s="68"/>
      <c r="S345" s="103"/>
      <c r="T345" s="103"/>
      <c r="U345" s="103"/>
      <c r="V345" s="103"/>
      <c r="W345" s="103"/>
      <c r="X345" s="103"/>
      <c r="Y345" s="103"/>
      <c r="Z345" s="103"/>
      <c r="AA345" s="103"/>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656"/>
      <c r="F346" s="86">
        <v>2</v>
      </c>
      <c r="G346" s="123"/>
      <c r="H346" s="148"/>
      <c r="I346" s="149"/>
      <c r="J346" s="68">
        <f>IF(A24stdlife="n/a","n/a",IF(J$3&gt;(A24stdlife+$F346),(Input!$I$166*(1+vanilla2)^0.5)-SUM($I346:I346),(Input!$I$166*(1+vanilla2)^0.5)/A24stdlife))</f>
        <v>0</v>
      </c>
      <c r="K346" s="68">
        <f>IF(A24stdlife="n/a","n/a",IF(K$3&gt;(A24stdlife+$F346),(Input!$I$166*(1+vanilla2)^0.5)-SUM($I346:J346),(Input!$I$166*(1+vanilla2)^0.5)/A24stdlife))</f>
        <v>0</v>
      </c>
      <c r="L346" s="68">
        <f>IF(A24stdlife="n/a","n/a",IF(L$3&gt;(A24stdlife+$F346),(Input!$I$166*(1+vanilla2)^0.5)-SUM($I346:K346),(Input!$I$166*(1+vanilla2)^0.5)/A24stdlife))</f>
        <v>0</v>
      </c>
      <c r="M346" s="68">
        <f>IF(A24stdlife="n/a","n/a",IF(M$3&gt;(A24stdlife+$F346),(Input!$I$166*(1+vanilla2)^0.5)-SUM($I346:L346),(Input!$I$166*(1+vanilla2)^0.5)/A24stdlife))</f>
        <v>0</v>
      </c>
      <c r="N346" s="68">
        <f>IF(A24stdlife="n/a","n/a",IF(N$3&gt;(A24stdlife+$F346),(Input!$I$166*(1+vanilla2)^0.5)-SUM($I346:M346),(Input!$I$166*(1+vanilla2)^0.5)/A24stdlife))</f>
        <v>0</v>
      </c>
      <c r="O346" s="68">
        <f>IF(A24stdlife="n/a","n/a",IF(O$3&gt;(A24stdlife+$F346),(Input!$I$166*(1+vanilla2)^0.5)-SUM($I346:N346),(Input!$I$166*(1+vanilla2)^0.5)/A24stdlife))</f>
        <v>0</v>
      </c>
      <c r="P346" s="68">
        <f>IF(A24stdlife="n/a","n/a",IF(P$3&gt;(A24stdlife+$F346),(Input!$I$166*(1+vanilla2)^0.5)-SUM($I346:O346),(Input!$I$166*(1+vanilla2)^0.5)/A24stdlife))</f>
        <v>0</v>
      </c>
      <c r="Q346" s="68">
        <f>IF(A24stdlife="n/a","n/a",IF(Q$3&gt;(A24stdlife+$F346),(Input!$I$166*(1+vanilla2)^0.5)-SUM($I346:P346),(Input!$I$166*(1+vanilla2)^0.5)/A24stdlife))</f>
        <v>0</v>
      </c>
      <c r="R346" s="68"/>
      <c r="S346" s="103"/>
      <c r="T346" s="103"/>
      <c r="U346" s="103"/>
      <c r="V346" s="103"/>
      <c r="W346" s="103"/>
      <c r="X346" s="103"/>
      <c r="Y346" s="103"/>
      <c r="Z346" s="103"/>
      <c r="AA346" s="103"/>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656"/>
      <c r="F347" s="86">
        <v>3</v>
      </c>
      <c r="G347" s="123"/>
      <c r="H347" s="148"/>
      <c r="I347" s="150"/>
      <c r="J347" s="149"/>
      <c r="K347" s="68">
        <f>IF(A24stdlife="n/a","n/a",IF(K$3&gt;(A24stdlife+$F347),(Input!$J$166*(1+vanilla3)^0.5)-SUM($J347:J347),(Input!$J$166*(1+vanilla3)^0.5)/A24stdlife))</f>
        <v>0</v>
      </c>
      <c r="L347" s="68">
        <f>IF(A24stdlife="n/a","n/a",IF(L$3&gt;(A24stdlife+$F347),(Input!$J$166*(1+vanilla3)^0.5)-SUM($J347:K347),(Input!$J$166*(1+vanilla3)^0.5)/A24stdlife))</f>
        <v>0</v>
      </c>
      <c r="M347" s="68">
        <f>IF(A24stdlife="n/a","n/a",IF(M$3&gt;(A24stdlife+$F347),(Input!$J$166*(1+vanilla3)^0.5)-SUM($J347:L347),(Input!$J$166*(1+vanilla3)^0.5)/A24stdlife))</f>
        <v>0</v>
      </c>
      <c r="N347" s="68">
        <f>IF(A24stdlife="n/a","n/a",IF(N$3&gt;(A24stdlife+$F347),(Input!$J$166*(1+vanilla3)^0.5)-SUM($J347:M347),(Input!$J$166*(1+vanilla3)^0.5)/A24stdlife))</f>
        <v>0</v>
      </c>
      <c r="O347" s="68">
        <f>IF(A24stdlife="n/a","n/a",IF(O$3&gt;(A24stdlife+$F347),(Input!$J$166*(1+vanilla3)^0.5)-SUM($J347:N347),(Input!$J$166*(1+vanilla3)^0.5)/A24stdlife))</f>
        <v>0</v>
      </c>
      <c r="P347" s="68">
        <f>IF(A24stdlife="n/a","n/a",IF(P$3&gt;(A24stdlife+$F347),(Input!$J$166*(1+vanilla3)^0.5)-SUM($J347:O347),(Input!$J$166*(1+vanilla3)^0.5)/A24stdlife))</f>
        <v>0</v>
      </c>
      <c r="Q347" s="68">
        <f>IF(A24stdlife="n/a","n/a",IF(Q$3&gt;(A24stdlife+$F347),(Input!$J$166*(1+vanilla3)^0.5)-SUM($J347:P347),(Input!$J$166*(1+vanilla3)^0.5)/A24stdlife))</f>
        <v>0</v>
      </c>
      <c r="R347" s="68"/>
      <c r="S347" s="103"/>
      <c r="T347" s="103"/>
      <c r="U347" s="103"/>
      <c r="V347" s="103"/>
      <c r="W347" s="103"/>
      <c r="X347" s="103"/>
      <c r="Y347" s="103"/>
      <c r="Z347" s="103"/>
      <c r="AA347" s="103"/>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656"/>
      <c r="F348" s="86">
        <v>4</v>
      </c>
      <c r="G348" s="123"/>
      <c r="H348" s="148"/>
      <c r="I348" s="150"/>
      <c r="J348" s="150"/>
      <c r="K348" s="149"/>
      <c r="L348" s="68">
        <f>IF(A24stdlife="n/a","n/a",IF(L$3&gt;(A24stdlife+$F348),(Input!$K$166*(1+vanilla4)^0.5)-SUM($K348:K348),(Input!$K$166*(1+vanilla4)^0.5)/A24stdlife))</f>
        <v>0</v>
      </c>
      <c r="M348" s="68">
        <f>IF(A24stdlife="n/a","n/a",IF(M$3&gt;(A24stdlife+$F348),(Input!$K$166*(1+vanilla4)^0.5)-SUM($K348:L348),(Input!$K$166*(1+vanilla4)^0.5)/A24stdlife))</f>
        <v>0</v>
      </c>
      <c r="N348" s="68">
        <f>IF(A24stdlife="n/a","n/a",IF(N$3&gt;(A24stdlife+$F348),(Input!$K$166*(1+vanilla4)^0.5)-SUM($K348:M348),(Input!$K$166*(1+vanilla4)^0.5)/A24stdlife))</f>
        <v>0</v>
      </c>
      <c r="O348" s="68">
        <f>IF(A24stdlife="n/a","n/a",IF(O$3&gt;(A24stdlife+$F348),(Input!$K$166*(1+vanilla4)^0.5)-SUM($K348:N348),(Input!$K$166*(1+vanilla4)^0.5)/A24stdlife))</f>
        <v>0</v>
      </c>
      <c r="P348" s="68">
        <f>IF(A24stdlife="n/a","n/a",IF(P$3&gt;(A24stdlife+$F348),(Input!$K$166*(1+vanilla4)^0.5)-SUM($K348:O348),(Input!$K$166*(1+vanilla4)^0.5)/A24stdlife))</f>
        <v>0</v>
      </c>
      <c r="Q348" s="68">
        <f>IF(A24stdlife="n/a","n/a",IF(Q$3&gt;(A24stdlife+$F348),(Input!$K$166*(1+vanilla4)^0.5)-SUM($K348:P348),(Input!$K$166*(1+vanilla4)^0.5)/A24stdlife))</f>
        <v>0</v>
      </c>
      <c r="R348" s="68"/>
      <c r="S348" s="103"/>
      <c r="T348" s="103"/>
      <c r="U348" s="103"/>
      <c r="V348" s="103"/>
      <c r="W348" s="103"/>
      <c r="X348" s="103"/>
      <c r="Y348" s="103"/>
      <c r="Z348" s="103"/>
      <c r="AA348" s="103"/>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103"/>
      <c r="BE348" s="103"/>
      <c r="BF348" s="103"/>
      <c r="BG348" s="103"/>
      <c r="BH348" s="103"/>
      <c r="BI348" s="103"/>
      <c r="BJ348" s="103"/>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656"/>
      <c r="F349" s="86">
        <v>5</v>
      </c>
      <c r="G349" s="27"/>
      <c r="H349" s="148"/>
      <c r="I349" s="150"/>
      <c r="J349" s="150"/>
      <c r="K349" s="150"/>
      <c r="L349" s="149"/>
      <c r="M349" s="68">
        <f>IF(A24stdlife="n/a","n/a",IF(M$3&gt;(A24stdlife+$F349),(Input!$L$166*(1+vanilla5)^0.5)-SUM($L349:L349),(Input!$L$166*(1+vanilla5)^0.5)/A24stdlife))</f>
        <v>0</v>
      </c>
      <c r="N349" s="68">
        <f>IF(A24stdlife="n/a","n/a",IF(N$3&gt;(A24stdlife+$F349),(Input!$L$166*(1+vanilla5)^0.5)-SUM($L349:M349),(Input!$L$166*(1+vanilla5)^0.5)/A24stdlife))</f>
        <v>0</v>
      </c>
      <c r="O349" s="68">
        <f>IF(A24stdlife="n/a","n/a",IF(O$3&gt;(A24stdlife+$F349),(Input!$L$166*(1+vanilla5)^0.5)-SUM($L349:N349),(Input!$L$166*(1+vanilla5)^0.5)/A24stdlife))</f>
        <v>0</v>
      </c>
      <c r="P349" s="68">
        <f>IF(A24stdlife="n/a","n/a",IF(P$3&gt;(A24stdlife+$F349),(Input!$L$166*(1+vanilla5)^0.5)-SUM($L349:O349),(Input!$L$166*(1+vanilla5)^0.5)/A24stdlife))</f>
        <v>0</v>
      </c>
      <c r="Q349" s="68">
        <f>IF(A24stdlife="n/a","n/a",IF(Q$3&gt;(A24stdlife+$F349),(Input!$L$166*(1+vanilla5)^0.5)-SUM($L349:P349),(Input!$L$166*(1+vanilla5)^0.5)/A24stdlife))</f>
        <v>0</v>
      </c>
      <c r="R349" s="68"/>
      <c r="S349" s="103"/>
      <c r="T349" s="103"/>
      <c r="U349" s="103"/>
      <c r="V349" s="103"/>
      <c r="W349" s="103"/>
      <c r="X349" s="103"/>
      <c r="Y349" s="103"/>
      <c r="Z349" s="103"/>
      <c r="AA349" s="103"/>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656"/>
      <c r="F350" s="86">
        <v>6</v>
      </c>
      <c r="G350" s="27"/>
      <c r="H350" s="148"/>
      <c r="I350" s="150"/>
      <c r="J350" s="150"/>
      <c r="K350" s="150"/>
      <c r="L350" s="150"/>
      <c r="M350" s="149"/>
      <c r="N350" s="68">
        <f>IF(A24stdlife="n/a","n/a",IF(N$3&gt;(A24stdlife+$F350),(Input!$M$166*(1+vanilla6)^0.5)-SUM($M350:M350),(Input!$M$166*(1+vanilla6)^0.5)/A24stdlife))</f>
        <v>0</v>
      </c>
      <c r="O350" s="68">
        <f>IF(A24stdlife="n/a","n/a",IF(O$3&gt;(A24stdlife+$F350),(Input!$M$166*(1+vanilla6)^0.5)-SUM($M350:N350),(Input!$M$166*(1+vanilla6)^0.5)/A24stdlife))</f>
        <v>0</v>
      </c>
      <c r="P350" s="68">
        <f>IF(A24stdlife="n/a","n/a",IF(P$3&gt;(A24stdlife+$F350),(Input!$M$166*(1+vanilla6)^0.5)-SUM($M350:O350),(Input!$M$166*(1+vanilla6)^0.5)/A24stdlife))</f>
        <v>0</v>
      </c>
      <c r="Q350" s="68">
        <f>IF(A24stdlife="n/a","n/a",IF(Q$3&gt;(A24stdlife+$F350),(Input!$M$166*(1+vanilla6)^0.5)-SUM($M350:P350),(Input!$M$166*(1+vanilla6)^0.5)/A24stdlife))</f>
        <v>0</v>
      </c>
      <c r="R350" s="68"/>
      <c r="S350" s="103"/>
      <c r="T350" s="103"/>
      <c r="U350" s="103"/>
      <c r="V350" s="103"/>
      <c r="W350" s="103"/>
      <c r="X350" s="103"/>
      <c r="Y350" s="103"/>
      <c r="Z350" s="103"/>
      <c r="AA350" s="103"/>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656"/>
      <c r="F351" s="86">
        <v>7</v>
      </c>
      <c r="G351" s="27"/>
      <c r="H351" s="148"/>
      <c r="I351" s="150"/>
      <c r="J351" s="150"/>
      <c r="K351" s="150"/>
      <c r="L351" s="150"/>
      <c r="M351" s="150"/>
      <c r="N351" s="149"/>
      <c r="O351" s="68">
        <f>IF(A24stdlife="n/a","n/a",IF(O$3&gt;(A24stdlife+$F351),(Input!N$166*(1+vanilla7)^0.5)-SUM($N351:N351),(Input!$N$166*(1+vanilla7)^0.5)/A24stdlife))</f>
        <v>0</v>
      </c>
      <c r="P351" s="68">
        <f>IF(A24stdlife="n/a","n/a",IF(P$3&gt;(A24stdlife+$F351),(Input!O$166*(1+vanilla7)^0.5)-SUM($N351:O351),(Input!$N$166*(1+vanilla7)^0.5)/A24stdlife))</f>
        <v>0</v>
      </c>
      <c r="Q351" s="68">
        <f>IF(A24stdlife="n/a","n/a",IF(Q$3&gt;(A24stdlife+$F351),(Input!P$166*(1+vanilla7)^0.5)-SUM($N351:P351),(Input!$N$166*(1+vanilla7)^0.5)/A24stdlife))</f>
        <v>0</v>
      </c>
      <c r="R351" s="68"/>
      <c r="S351" s="103"/>
      <c r="T351" s="103"/>
      <c r="U351" s="103"/>
      <c r="V351" s="103"/>
      <c r="W351" s="103"/>
      <c r="X351" s="103"/>
      <c r="Y351" s="103"/>
      <c r="Z351" s="103"/>
      <c r="AA351" s="103"/>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656"/>
      <c r="F352" s="86">
        <v>8</v>
      </c>
      <c r="G352" s="27"/>
      <c r="H352" s="148"/>
      <c r="I352" s="150"/>
      <c r="J352" s="150"/>
      <c r="K352" s="150"/>
      <c r="L352" s="150"/>
      <c r="M352" s="150"/>
      <c r="N352" s="150"/>
      <c r="O352" s="149"/>
      <c r="P352" s="68">
        <f>IF(A24stdlife="n/a","n/a",IF(P$3&gt;(A24stdlife+$F352),(Input!$O$166*(1+vanilla8)^0.5)-SUM($O352:O352),(Input!$O$166*(1+vanilla8)^0.5)/A24stdlife))</f>
        <v>0</v>
      </c>
      <c r="Q352" s="68">
        <f>IF(A24stdlife="n/a","n/a",IF(Q$3&gt;(A24stdlife+$F352),(Input!$O$166*(1+vanilla8)^0.5)-SUM($O352:P352),(Input!$O$166*(1+vanilla8)^0.5)/A24stdlife))</f>
        <v>0</v>
      </c>
      <c r="R352" s="68"/>
      <c r="S352" s="103"/>
      <c r="T352" s="103"/>
      <c r="U352" s="103"/>
      <c r="V352" s="103"/>
      <c r="W352" s="103"/>
      <c r="X352" s="103"/>
      <c r="Y352" s="103"/>
      <c r="Z352" s="103"/>
      <c r="AA352" s="103"/>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656"/>
      <c r="F353" s="86">
        <v>9</v>
      </c>
      <c r="G353" s="27"/>
      <c r="H353" s="148"/>
      <c r="I353" s="150"/>
      <c r="J353" s="150"/>
      <c r="K353" s="150"/>
      <c r="L353" s="150"/>
      <c r="M353" s="150"/>
      <c r="N353" s="150"/>
      <c r="O353" s="150"/>
      <c r="P353" s="149"/>
      <c r="Q353" s="68">
        <f>IF(A24stdlife="n/a","n/a",IF(Q$3&gt;(A24stdlife+$F353),(Input!$P$166*(1+vanilla9)^0.5)-SUM($P353:P353),(Input!$P$166*(1+vanilla9)^0.5)/A24stdlife))</f>
        <v>0</v>
      </c>
      <c r="R353" s="68"/>
      <c r="S353" s="103"/>
      <c r="T353" s="103"/>
      <c r="U353" s="103"/>
      <c r="V353" s="103"/>
      <c r="W353" s="103"/>
      <c r="X353" s="103"/>
      <c r="Y353" s="103"/>
      <c r="Z353" s="103"/>
      <c r="AA353" s="103"/>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656"/>
      <c r="F354" s="87">
        <v>10</v>
      </c>
      <c r="G354" s="27"/>
      <c r="H354" s="148"/>
      <c r="I354" s="150"/>
      <c r="J354" s="150"/>
      <c r="K354" s="150"/>
      <c r="L354" s="150"/>
      <c r="M354" s="150"/>
      <c r="N354" s="150"/>
      <c r="O354" s="150"/>
      <c r="P354" s="150"/>
      <c r="Q354" s="149"/>
      <c r="R354" s="68"/>
      <c r="S354" s="103"/>
      <c r="T354" s="103"/>
      <c r="U354" s="103"/>
      <c r="V354" s="103"/>
      <c r="W354" s="103"/>
      <c r="X354" s="103"/>
      <c r="Y354" s="103"/>
      <c r="Z354" s="103"/>
      <c r="AA354" s="103"/>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3"/>
      <c r="H355" s="167">
        <f>-SUM(H343:H354)</f>
        <v>0</v>
      </c>
      <c r="I355" s="167">
        <f>-SUM(I343:I354)</f>
        <v>0</v>
      </c>
      <c r="J355" s="167">
        <f>-SUM(J343:J354)</f>
        <v>0</v>
      </c>
      <c r="K355" s="167">
        <f>-SUM(K343:K354)</f>
        <v>0</v>
      </c>
      <c r="L355" s="167">
        <f>-SUM(L343:L354)</f>
        <v>0</v>
      </c>
      <c r="M355" s="167">
        <f>IF(Input!M173&gt;0, -SUM(M343:M354), 0)</f>
        <v>0</v>
      </c>
      <c r="N355" s="167">
        <f>IF(Input!N173&gt;0, -SUM(N343:N354), 0)</f>
        <v>0</v>
      </c>
      <c r="O355" s="167">
        <f>IF(Input!O173&gt;0, -SUM(O343:O354), 0)</f>
        <v>0</v>
      </c>
      <c r="P355" s="167">
        <f>IF(Input!P173&gt;0, -SUM(P343:P354), 0)</f>
        <v>0</v>
      </c>
      <c r="Q355" s="167">
        <f>IF(Input!Q173&gt;0, -SUM(Q343:Q354), 0)</f>
        <v>0</v>
      </c>
      <c r="R355" s="66"/>
      <c r="S355" s="105"/>
      <c r="T355" s="105"/>
      <c r="U355" s="105"/>
      <c r="V355" s="105"/>
      <c r="W355" s="105"/>
      <c r="X355" s="105"/>
      <c r="Y355" s="105"/>
      <c r="Z355" s="105"/>
      <c r="AA355" s="105"/>
      <c r="AB355" s="232"/>
      <c r="AC355" s="232"/>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232"/>
      <c r="BA355" s="232"/>
      <c r="BB355" s="232"/>
      <c r="BC355" s="232"/>
      <c r="BD355" s="105"/>
      <c r="BE355" s="105"/>
      <c r="BF355" s="105"/>
      <c r="BG355" s="105"/>
      <c r="BH355" s="105"/>
      <c r="BI355" s="105"/>
      <c r="BJ355" s="105"/>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3"/>
      <c r="E356" s="34" t="s">
        <v>28</v>
      </c>
      <c r="F356" s="33"/>
      <c r="G356" s="176"/>
      <c r="H356" s="67">
        <f>IF(H$3&gt;A25remlife,A25value-SUM($G356:G356),IF(A25remlife="N/A","n/a",A25value/A25remlife))</f>
        <v>0</v>
      </c>
      <c r="I356" s="67">
        <f>IF(I$3&gt;A25remlife,A25value-SUM($G356:H356),IF(A25remlife="N/A","n/a",A25value/A25remlife))</f>
        <v>0</v>
      </c>
      <c r="J356" s="67">
        <f>IF(J$3&gt;A25remlife,A25value-SUM($G356:I356),IF(A25remlife="N/A","n/a",A25value/A25remlife))</f>
        <v>0</v>
      </c>
      <c r="K356" s="67">
        <f>IF(K$3&gt;A25remlife,A25value-SUM($G356:J356),IF(A25remlife="N/A","n/a",A25value/A25remlife))</f>
        <v>0</v>
      </c>
      <c r="L356" s="67">
        <f>IF(L$3&gt;A25remlife,A25value-SUM($G356:K356),IF(A25remlife="N/A","n/a",A25value/A25remlife))</f>
        <v>0</v>
      </c>
      <c r="M356" s="67">
        <f>IF(M$3&gt;A25remlife,A25value-SUM($G356:L356),IF(A25remlife="N/A","n/a",A25value/A25remlife))</f>
        <v>0</v>
      </c>
      <c r="N356" s="67">
        <f>IF(N$3&gt;A25remlife,A25value-SUM($G356:M356),IF(A25remlife="N/A","n/a",A25value/A25remlife))</f>
        <v>0</v>
      </c>
      <c r="O356" s="67">
        <f>IF(O$3&gt;A25remlife,A25value-SUM($G356:N356),IF(A25remlife="N/A","n/a",A25value/A25remlife))</f>
        <v>0</v>
      </c>
      <c r="P356" s="67">
        <f>IF(P$3&gt;A25remlife,A25value-SUM($G356:O356),IF(A25remlife="N/A","n/a",A25value/A25remlife))</f>
        <v>0</v>
      </c>
      <c r="Q356" s="67">
        <f>IF(Q$3&gt;A25remlife,A25value-SUM($G356:P356),IF(A25remlife="N/A","n/a",A25value/A25remlife))</f>
        <v>0</v>
      </c>
      <c r="R356" s="67"/>
      <c r="S356" s="103"/>
      <c r="T356" s="103"/>
      <c r="U356" s="103"/>
      <c r="V356" s="103"/>
      <c r="W356" s="103"/>
      <c r="X356" s="103"/>
      <c r="Y356" s="103"/>
      <c r="Z356" s="103"/>
      <c r="AA356" s="103"/>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655" t="s">
        <v>84</v>
      </c>
      <c r="F357" s="86">
        <v>0</v>
      </c>
      <c r="G357" s="123"/>
      <c r="H357" s="68"/>
      <c r="I357" s="68"/>
      <c r="J357" s="68"/>
      <c r="K357" s="68"/>
      <c r="L357" s="68"/>
      <c r="M357" s="165"/>
      <c r="N357" s="113"/>
      <c r="O357" s="68"/>
      <c r="P357" s="68"/>
      <c r="Q357" s="68"/>
      <c r="R357" s="68"/>
      <c r="S357" s="103"/>
      <c r="T357" s="103"/>
      <c r="U357" s="103"/>
      <c r="V357" s="103"/>
      <c r="W357" s="103"/>
      <c r="X357" s="103"/>
      <c r="Y357" s="103"/>
      <c r="Z357" s="103"/>
      <c r="AA357" s="103"/>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656"/>
      <c r="F358" s="86">
        <v>1</v>
      </c>
      <c r="G358" s="123"/>
      <c r="H358" s="147"/>
      <c r="I358" s="68">
        <f>IF(A25stdlife="n/a","n/a",IF(I$3&gt;(A25stdlife+$F358),(Input!$H$167*(1+vanilla1)^0.5)-SUM($H358:H358),(Input!$H$167*(1+vanilla1)^0.5)/A25stdlife))</f>
        <v>0</v>
      </c>
      <c r="J358" s="68">
        <f>IF(A25stdlife="n/a","n/a",IF(J$3&gt;(A25stdlife+$F358),(Input!$H$167*(1+vanilla1)^0.5)-SUM($H358:I358),(Input!$H$167*(1+vanilla1)^0.5)/A25stdlife))</f>
        <v>0</v>
      </c>
      <c r="K358" s="68">
        <f>IF(A25stdlife="n/a","n/a",IF(K$3&gt;(A25stdlife+$F358),(Input!$H$167*(1+vanilla1)^0.5)-SUM($H358:J358),(Input!$H$167*(1+vanilla1)^0.5)/A25stdlife))</f>
        <v>0</v>
      </c>
      <c r="L358" s="68">
        <f>IF(A25stdlife="n/a","n/a",IF(L$3&gt;(A25stdlife+$F358),(Input!$H$167*(1+vanilla1)^0.5)-SUM($H358:K358),(Input!$H$167*(1+vanilla1)^0.5)/A25stdlife))</f>
        <v>0</v>
      </c>
      <c r="M358" s="68">
        <f>IF(A25stdlife="n/a","n/a",IF(M$3&gt;(A25stdlife+$F358),(Input!$H$167*(1+vanilla1)^0.5)-SUM($H358:L358),(Input!$H$167*(1+vanilla1)^0.5)/A25stdlife))</f>
        <v>0</v>
      </c>
      <c r="N358" s="68">
        <f>IF(A25stdlife="n/a","n/a",IF(N$3&gt;(A25stdlife+$F358),(Input!$H$167*(1+vanilla1)^0.5)-SUM($H358:M358),(Input!$H$167*(1+vanilla1)^0.5)/A25stdlife))</f>
        <v>0</v>
      </c>
      <c r="O358" s="68">
        <f>IF(A25stdlife="n/a","n/a",IF(O$3&gt;(A25stdlife+$F358),(Input!$H$167*(1+vanilla1)^0.5)-SUM($H358:N358),(Input!$H$167*(1+vanilla1)^0.5)/A25stdlife))</f>
        <v>0</v>
      </c>
      <c r="P358" s="68">
        <f>IF(A25stdlife="n/a","n/a",IF(P$3&gt;(A25stdlife+$F358),(Input!$H$167*(1+vanilla1)^0.5)-SUM($H358:O358),(Input!$H$167*(1+vanilla1)^0.5)/A25stdlife))</f>
        <v>0</v>
      </c>
      <c r="Q358" s="68">
        <f>IF(A25stdlife="n/a","n/a",IF(Q$3&gt;(A25stdlife+$F358),(Input!$H$167*(1+vanilla1)^0.5)-SUM($H358:P358),(Input!$H$167*(1+vanilla1)^0.5)/A25stdlife))</f>
        <v>0</v>
      </c>
      <c r="R358" s="68"/>
      <c r="S358" s="103"/>
      <c r="T358" s="103"/>
      <c r="U358" s="103"/>
      <c r="V358" s="103"/>
      <c r="W358" s="103"/>
      <c r="X358" s="103"/>
      <c r="Y358" s="103"/>
      <c r="Z358" s="103"/>
      <c r="AA358" s="103"/>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656"/>
      <c r="F359" s="86">
        <v>2</v>
      </c>
      <c r="G359" s="123"/>
      <c r="H359" s="148"/>
      <c r="I359" s="149"/>
      <c r="J359" s="68">
        <f>IF(A25stdlife="n/a","n/a",IF(J$3&gt;(A25stdlife+$F359),(Input!$I$167*(1+vanilla2)^0.5)-SUM($I359:I359),(Input!$I$167*(1+vanilla2)^0.5)/A25stdlife))</f>
        <v>0</v>
      </c>
      <c r="K359" s="68">
        <f>IF(A25stdlife="n/a","n/a",IF(K$3&gt;(A25stdlife+$F359),(Input!$I$167*(1+vanilla2)^0.5)-SUM($I359:J359),(Input!$I$167*(1+vanilla2)^0.5)/A25stdlife))</f>
        <v>0</v>
      </c>
      <c r="L359" s="68">
        <f>IF(A25stdlife="n/a","n/a",IF(L$3&gt;(A25stdlife+$F359),(Input!$I$167*(1+vanilla2)^0.5)-SUM($I359:K359),(Input!$I$167*(1+vanilla2)^0.5)/A25stdlife))</f>
        <v>0</v>
      </c>
      <c r="M359" s="68">
        <f>IF(A25stdlife="n/a","n/a",IF(M$3&gt;(A25stdlife+$F359),(Input!$I$167*(1+vanilla2)^0.5)-SUM($I359:L359),(Input!$I$167*(1+vanilla2)^0.5)/A25stdlife))</f>
        <v>0</v>
      </c>
      <c r="N359" s="68">
        <f>IF(A25stdlife="n/a","n/a",IF(N$3&gt;(A25stdlife+$F359),(Input!$I$167*(1+vanilla2)^0.5)-SUM($I359:M359),(Input!$I$167*(1+vanilla2)^0.5)/A25stdlife))</f>
        <v>0</v>
      </c>
      <c r="O359" s="68">
        <f>IF(A25stdlife="n/a","n/a",IF(O$3&gt;(A25stdlife+$F359),(Input!$I$167*(1+vanilla2)^0.5)-SUM($I359:N359),(Input!$I$167*(1+vanilla2)^0.5)/A25stdlife))</f>
        <v>0</v>
      </c>
      <c r="P359" s="68">
        <f>IF(A25stdlife="n/a","n/a",IF(P$3&gt;(A25stdlife+$F359),(Input!$I$167*(1+vanilla2)^0.5)-SUM($I359:O359),(Input!$I$167*(1+vanilla2)^0.5)/A25stdlife))</f>
        <v>0</v>
      </c>
      <c r="Q359" s="68">
        <f>IF(A25stdlife="n/a","n/a",IF(Q$3&gt;(A25stdlife+$F359),(Input!$I$167*(1+vanilla2)^0.5)-SUM($I359:P359),(Input!$I$167*(1+vanilla2)^0.5)/A25stdlife))</f>
        <v>0</v>
      </c>
      <c r="R359" s="68"/>
      <c r="S359" s="103"/>
      <c r="T359" s="103"/>
      <c r="U359" s="103"/>
      <c r="V359" s="103"/>
      <c r="W359" s="103"/>
      <c r="X359" s="103"/>
      <c r="Y359" s="103"/>
      <c r="Z359" s="103"/>
      <c r="AA359" s="103"/>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656"/>
      <c r="F360" s="86">
        <v>3</v>
      </c>
      <c r="G360" s="123"/>
      <c r="H360" s="148"/>
      <c r="I360" s="150"/>
      <c r="J360" s="149"/>
      <c r="K360" s="68">
        <f>IF(A25stdlife="n/a","n/a",IF(K$3&gt;(A25stdlife+$F360),(Input!$J$167*(1+vanilla3)^0.5)-SUM($J360:J360),(Input!$J$167*(1+vanilla3)^0.5)/A25stdlife))</f>
        <v>0</v>
      </c>
      <c r="L360" s="68">
        <f>IF(A25stdlife="n/a","n/a",IF(L$3&gt;(A25stdlife+$F360),(Input!$J$167*(1+vanilla3)^0.5)-SUM($J360:K360),(Input!$J$167*(1+vanilla3)^0.5)/A25stdlife))</f>
        <v>0</v>
      </c>
      <c r="M360" s="68">
        <f>IF(A25stdlife="n/a","n/a",IF(M$3&gt;(A25stdlife+$F360),(Input!$J$167*(1+vanilla3)^0.5)-SUM($J360:L360),(Input!$J$167*(1+vanilla3)^0.5)/A25stdlife))</f>
        <v>0</v>
      </c>
      <c r="N360" s="68">
        <f>IF(A25stdlife="n/a","n/a",IF(N$3&gt;(A25stdlife+$F360),(Input!$J$167*(1+vanilla3)^0.5)-SUM($J360:M360),(Input!$J$167*(1+vanilla3)^0.5)/A25stdlife))</f>
        <v>0</v>
      </c>
      <c r="O360" s="68">
        <f>IF(A25stdlife="n/a","n/a",IF(O$3&gt;(A25stdlife+$F360),(Input!$J$167*(1+vanilla3)^0.5)-SUM($J360:N360),(Input!$J$167*(1+vanilla3)^0.5)/A25stdlife))</f>
        <v>0</v>
      </c>
      <c r="P360" s="68">
        <f>IF(A25stdlife="n/a","n/a",IF(P$3&gt;(A25stdlife+$F360),(Input!$J$167*(1+vanilla3)^0.5)-SUM($J360:O360),(Input!$J$167*(1+vanilla3)^0.5)/A25stdlife))</f>
        <v>0</v>
      </c>
      <c r="Q360" s="68">
        <f>IF(A25stdlife="n/a","n/a",IF(Q$3&gt;(A25stdlife+$F360),(Input!$J$167*(1+vanilla3)^0.5)-SUM($J360:P360),(Input!$J$167*(1+vanilla3)^0.5)/A25stdlife))</f>
        <v>0</v>
      </c>
      <c r="R360" s="68"/>
      <c r="S360" s="103"/>
      <c r="T360" s="103"/>
      <c r="U360" s="103"/>
      <c r="V360" s="103"/>
      <c r="W360" s="103"/>
      <c r="X360" s="103"/>
      <c r="Y360" s="103"/>
      <c r="Z360" s="103"/>
      <c r="AA360" s="103"/>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656"/>
      <c r="F361" s="86">
        <v>4</v>
      </c>
      <c r="G361" s="123"/>
      <c r="H361" s="148"/>
      <c r="I361" s="150"/>
      <c r="J361" s="150"/>
      <c r="K361" s="149"/>
      <c r="L361" s="68">
        <f>IF(A25stdlife="n/a","n/a",IF(L$3&gt;(A25stdlife+$F361),(Input!$K$167*(1+vanilla4)^0.5)-SUM($K361:K361),(Input!$K$167*(1+vanilla4)^0.5)/A25stdlife))</f>
        <v>0</v>
      </c>
      <c r="M361" s="68">
        <f>IF(A25stdlife="n/a","n/a",IF(M$3&gt;(A25stdlife+$F361),(Input!$K$167*(1+vanilla4)^0.5)-SUM($K361:L361),(Input!$K$167*(1+vanilla4)^0.5)/A25stdlife))</f>
        <v>0</v>
      </c>
      <c r="N361" s="68">
        <f>IF(A25stdlife="n/a","n/a",IF(N$3&gt;(A25stdlife+$F361),(Input!$K$167*(1+vanilla4)^0.5)-SUM($K361:M361),(Input!$K$167*(1+vanilla4)^0.5)/A25stdlife))</f>
        <v>0</v>
      </c>
      <c r="O361" s="68">
        <f>IF(A25stdlife="n/a","n/a",IF(O$3&gt;(A25stdlife+$F361),(Input!$K$167*(1+vanilla4)^0.5)-SUM($K361:N361),(Input!$K$167*(1+vanilla4)^0.5)/A25stdlife))</f>
        <v>0</v>
      </c>
      <c r="P361" s="68">
        <f>IF(A25stdlife="n/a","n/a",IF(P$3&gt;(A25stdlife+$F361),(Input!$K$167*(1+vanilla4)^0.5)-SUM($K361:O361),(Input!$K$167*(1+vanilla4)^0.5)/A25stdlife))</f>
        <v>0</v>
      </c>
      <c r="Q361" s="68">
        <f>IF(A25stdlife="n/a","n/a",IF(Q$3&gt;(A25stdlife+$F361),(Input!$K$167*(1+vanilla4)^0.5)-SUM($K361:P361),(Input!$K$167*(1+vanilla4)^0.5)/A25stdlife))</f>
        <v>0</v>
      </c>
      <c r="R361" s="68"/>
      <c r="S361" s="103"/>
      <c r="T361" s="103"/>
      <c r="U361" s="103"/>
      <c r="V361" s="103"/>
      <c r="W361" s="103"/>
      <c r="X361" s="103"/>
      <c r="Y361" s="103"/>
      <c r="Z361" s="103"/>
      <c r="AA361" s="103"/>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103"/>
      <c r="BE361" s="103"/>
      <c r="BF361" s="103"/>
      <c r="BG361" s="103"/>
      <c r="BH361" s="103"/>
      <c r="BI361" s="103"/>
      <c r="BJ361" s="103"/>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656"/>
      <c r="F362" s="86">
        <v>5</v>
      </c>
      <c r="G362" s="27"/>
      <c r="H362" s="148"/>
      <c r="I362" s="150"/>
      <c r="J362" s="150"/>
      <c r="K362" s="150"/>
      <c r="L362" s="149"/>
      <c r="M362" s="68">
        <f>IF(A25stdlife="n/a","n/a",IF(M$3&gt;(A25stdlife+$F362),(Input!$L$167*(1+vanilla5)^0.5)-SUM($L362:L362),(Input!$L$167*(1+vanilla5)^0.5)/A25stdlife))</f>
        <v>0</v>
      </c>
      <c r="N362" s="68">
        <f>IF(A25stdlife="n/a","n/a",IF(N$3&gt;(A25stdlife+$F362),(Input!$L$167*(1+vanilla5)^0.5)-SUM($L362:M362),(Input!$L$167*(1+vanilla5)^0.5)/A25stdlife))</f>
        <v>0</v>
      </c>
      <c r="O362" s="68">
        <f>IF(A25stdlife="n/a","n/a",IF(O$3&gt;(A25stdlife+$F362),(Input!$L$167*(1+vanilla5)^0.5)-SUM($L362:N362),(Input!$L$167*(1+vanilla5)^0.5)/A25stdlife))</f>
        <v>0</v>
      </c>
      <c r="P362" s="68">
        <f>IF(A25stdlife="n/a","n/a",IF(P$3&gt;(A25stdlife+$F362),(Input!$L$167*(1+vanilla5)^0.5)-SUM($L362:O362),(Input!$L$167*(1+vanilla5)^0.5)/A25stdlife))</f>
        <v>0</v>
      </c>
      <c r="Q362" s="68">
        <f>IF(A25stdlife="n/a","n/a",IF(Q$3&gt;(A25stdlife+$F362),(Input!$L$167*(1+vanilla5)^0.5)-SUM($L362:P362),(Input!$L$167*(1+vanilla5)^0.5)/A25stdlife))</f>
        <v>0</v>
      </c>
      <c r="R362" s="68"/>
      <c r="S362" s="103"/>
      <c r="T362" s="103"/>
      <c r="U362" s="103"/>
      <c r="V362" s="103"/>
      <c r="W362" s="103"/>
      <c r="X362" s="103"/>
      <c r="Y362" s="103"/>
      <c r="Z362" s="103"/>
      <c r="AA362" s="103"/>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656"/>
      <c r="F363" s="86">
        <v>6</v>
      </c>
      <c r="G363" s="27"/>
      <c r="H363" s="148"/>
      <c r="I363" s="150"/>
      <c r="J363" s="150"/>
      <c r="K363" s="150"/>
      <c r="L363" s="150"/>
      <c r="M363" s="149"/>
      <c r="N363" s="68">
        <f>IF(A25stdlife="n/a","n/a",IF(N$3&gt;(A25stdlife+$F363),(Input!$M$167*(1+vanilla6)^0.5)-SUM($M363:M363),(Input!$M$167*(1+vanilla6)^0.5)/A25stdlife))</f>
        <v>0</v>
      </c>
      <c r="O363" s="68">
        <f>IF(A25stdlife="n/a","n/a",IF(O$3&gt;(A25stdlife+$F363),(Input!$M$167*(1+vanilla6)^0.5)-SUM($M363:N363),(Input!$M$167*(1+vanilla6)^0.5)/A25stdlife))</f>
        <v>0</v>
      </c>
      <c r="P363" s="68">
        <f>IF(A25stdlife="n/a","n/a",IF(P$3&gt;(A25stdlife+$F363),(Input!$M$167*(1+vanilla6)^0.5)-SUM($M363:O363),(Input!$M$167*(1+vanilla6)^0.5)/A25stdlife))</f>
        <v>0</v>
      </c>
      <c r="Q363" s="68">
        <f>IF(A25stdlife="n/a","n/a",IF(Q$3&gt;(A25stdlife+$F363),(Input!$M$167*(1+vanilla6)^0.5)-SUM($M363:P363),(Input!$M$167*(1+vanilla6)^0.5)/A25stdlife))</f>
        <v>0</v>
      </c>
      <c r="R363" s="68"/>
      <c r="S363" s="103"/>
      <c r="T363" s="103"/>
      <c r="U363" s="103"/>
      <c r="V363" s="103"/>
      <c r="W363" s="103"/>
      <c r="X363" s="103"/>
      <c r="Y363" s="103"/>
      <c r="Z363" s="103"/>
      <c r="AA363" s="103"/>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656"/>
      <c r="F364" s="86">
        <v>7</v>
      </c>
      <c r="G364" s="27"/>
      <c r="H364" s="148"/>
      <c r="I364" s="150"/>
      <c r="J364" s="150"/>
      <c r="K364" s="150"/>
      <c r="L364" s="150"/>
      <c r="M364" s="150"/>
      <c r="N364" s="149"/>
      <c r="O364" s="68">
        <f>IF(A25stdlife="n/a","n/a",IF(O$3&gt;(A25stdlife+$F364),(Input!N$167*(1+vanilla7)^0.5)-SUM($N364:N364),(Input!$N$167*(1+vanilla7)^0.5)/A25stdlife))</f>
        <v>0</v>
      </c>
      <c r="P364" s="68">
        <f>IF(A25stdlife="n/a","n/a",IF(P$3&gt;(A25stdlife+$F364),(Input!O$167*(1+vanilla7)^0.5)-SUM($N364:O364),(Input!$N$167*(1+vanilla7)^0.5)/A25stdlife))</f>
        <v>0</v>
      </c>
      <c r="Q364" s="68">
        <f>IF(A25stdlife="n/a","n/a",IF(Q$3&gt;(A25stdlife+$F364),(Input!P$167*(1+vanilla7)^0.5)-SUM($N364:P364),(Input!$N$167*(1+vanilla7)^0.5)/A25stdlife))</f>
        <v>0</v>
      </c>
      <c r="R364" s="68"/>
      <c r="S364" s="103"/>
      <c r="T364" s="103"/>
      <c r="U364" s="103"/>
      <c r="V364" s="103"/>
      <c r="W364" s="103"/>
      <c r="X364" s="103"/>
      <c r="Y364" s="103"/>
      <c r="Z364" s="103"/>
      <c r="AA364" s="103"/>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656"/>
      <c r="F365" s="86">
        <v>8</v>
      </c>
      <c r="G365" s="27"/>
      <c r="H365" s="148"/>
      <c r="I365" s="150"/>
      <c r="J365" s="150"/>
      <c r="K365" s="150"/>
      <c r="L365" s="150"/>
      <c r="M365" s="150"/>
      <c r="N365" s="150"/>
      <c r="O365" s="149"/>
      <c r="P365" s="68">
        <f>IF(A25stdlife="n/a","n/a",IF(P$3&gt;(A25stdlife+$F365),(Input!$O$167*(1+vanilla8)^0.5)-SUM($O365:O365),(Input!$O$167*(1+vanilla8)^0.5)/A25stdlife))</f>
        <v>0</v>
      </c>
      <c r="Q365" s="68">
        <f>IF(A25stdlife="n/a","n/a",IF(Q$3&gt;(A25stdlife+$F365),(Input!$O$167*(1+vanilla8)^0.5)-SUM($O365:P365),(Input!$O$167*(1+vanilla8)^0.5)/A25stdlife))</f>
        <v>0</v>
      </c>
      <c r="R365" s="68"/>
      <c r="S365" s="103"/>
      <c r="T365" s="103"/>
      <c r="U365" s="103"/>
      <c r="V365" s="103"/>
      <c r="W365" s="103"/>
      <c r="X365" s="103"/>
      <c r="Y365" s="103"/>
      <c r="Z365" s="103"/>
      <c r="AA365" s="103"/>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656"/>
      <c r="F366" s="86">
        <v>9</v>
      </c>
      <c r="G366" s="27"/>
      <c r="H366" s="148"/>
      <c r="I366" s="150"/>
      <c r="J366" s="150"/>
      <c r="K366" s="150"/>
      <c r="L366" s="150"/>
      <c r="M366" s="150"/>
      <c r="N366" s="150"/>
      <c r="O366" s="150"/>
      <c r="P366" s="149"/>
      <c r="Q366" s="68">
        <f>IF(A25stdlife="n/a","n/a",IF(Q$3&gt;(A25stdlife+$F366),(Input!$P$167*(1+vanilla9)^0.5)-SUM($P366:P366),(Input!$P$167*(1+vanilla9)^0.5)/A25stdlife))</f>
        <v>0</v>
      </c>
      <c r="R366" s="68"/>
      <c r="S366" s="103"/>
      <c r="T366" s="103"/>
      <c r="U366" s="103"/>
      <c r="V366" s="103"/>
      <c r="W366" s="103"/>
      <c r="X366" s="103"/>
      <c r="Y366" s="103"/>
      <c r="Z366" s="103"/>
      <c r="AA366" s="103"/>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656"/>
      <c r="F367" s="87">
        <v>10</v>
      </c>
      <c r="G367" s="27"/>
      <c r="H367" s="148"/>
      <c r="I367" s="150"/>
      <c r="J367" s="150"/>
      <c r="K367" s="150"/>
      <c r="L367" s="150"/>
      <c r="M367" s="150"/>
      <c r="N367" s="150"/>
      <c r="O367" s="150"/>
      <c r="P367" s="150"/>
      <c r="Q367" s="149"/>
      <c r="R367" s="68"/>
      <c r="S367" s="103"/>
      <c r="T367" s="103"/>
      <c r="U367" s="103"/>
      <c r="V367" s="103"/>
      <c r="W367" s="103"/>
      <c r="X367" s="103"/>
      <c r="Y367" s="103"/>
      <c r="Z367" s="103"/>
      <c r="AA367" s="103"/>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3"/>
      <c r="H368" s="167">
        <f>-SUM(H356:H367)</f>
        <v>0</v>
      </c>
      <c r="I368" s="167">
        <f>-SUM(I356:I367)</f>
        <v>0</v>
      </c>
      <c r="J368" s="167">
        <f>-SUM(J356:J367)</f>
        <v>0</v>
      </c>
      <c r="K368" s="167">
        <f>-SUM(K356:K367)</f>
        <v>0</v>
      </c>
      <c r="L368" s="167">
        <f>-SUM(L356:L367)</f>
        <v>0</v>
      </c>
      <c r="M368" s="167">
        <f>IF(Input!M173&gt;0, -SUM(M356:M367), 0)</f>
        <v>0</v>
      </c>
      <c r="N368" s="167">
        <f>IF(Input!N173&gt;0, -SUM(N356:N367), 0)</f>
        <v>0</v>
      </c>
      <c r="O368" s="167">
        <f>IF(Input!O173&gt;0, -SUM(O356:O367), 0)</f>
        <v>0</v>
      </c>
      <c r="P368" s="167">
        <f>IF(Input!P173&gt;0, -SUM(P356:P367), 0)</f>
        <v>0</v>
      </c>
      <c r="Q368" s="167">
        <f>IF(Input!Q173&gt;0, -SUM(Q356:Q367), 0)</f>
        <v>0</v>
      </c>
      <c r="R368" s="66"/>
      <c r="S368" s="105"/>
      <c r="T368" s="105"/>
      <c r="U368" s="105"/>
      <c r="V368" s="105"/>
      <c r="W368" s="105"/>
      <c r="X368" s="105"/>
      <c r="Y368" s="105"/>
      <c r="Z368" s="105"/>
      <c r="AA368" s="105"/>
      <c r="AB368" s="232"/>
      <c r="AC368" s="232"/>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2"/>
      <c r="BB368" s="232"/>
      <c r="BC368" s="232"/>
      <c r="BD368" s="105"/>
      <c r="BE368" s="105"/>
      <c r="BF368" s="105"/>
      <c r="BG368" s="105"/>
      <c r="BH368" s="105"/>
      <c r="BI368" s="105"/>
      <c r="BJ368" s="105"/>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3"/>
      <c r="E369" s="34" t="s">
        <v>28</v>
      </c>
      <c r="F369" s="33"/>
      <c r="G369" s="176"/>
      <c r="H369" s="67">
        <f>IF(H$3&gt;A26remlife,A26value-SUM($G369:G369),IF(A26remlife="N/A","n/a",A26value/A26remlife))</f>
        <v>0</v>
      </c>
      <c r="I369" s="67">
        <f>IF(I$3&gt;A26remlife,A26value-SUM($G369:H369),IF(A26remlife="N/A","n/a",A26value/A26remlife))</f>
        <v>0</v>
      </c>
      <c r="J369" s="67">
        <f>IF(J$3&gt;A26remlife,A26value-SUM($G369:I369),IF(A26remlife="N/A","n/a",A26value/A26remlife))</f>
        <v>0</v>
      </c>
      <c r="K369" s="67">
        <f>IF(K$3&gt;A26remlife,A26value-SUM($G369:J369),IF(A26remlife="N/A","n/a",A26value/A26remlife))</f>
        <v>0</v>
      </c>
      <c r="L369" s="67">
        <f>IF(L$3&gt;A26remlife,A26value-SUM($G369:K369),IF(A26remlife="N/A","n/a",A26value/A26remlife))</f>
        <v>0</v>
      </c>
      <c r="M369" s="67">
        <f>IF(M$3&gt;A26remlife,A26value-SUM($G369:L369),IF(A26remlife="N/A","n/a",A26value/A26remlife))</f>
        <v>0</v>
      </c>
      <c r="N369" s="67">
        <f>IF(N$3&gt;A26remlife,A26value-SUM($G369:M369),IF(A26remlife="N/A","n/a",A26value/A26remlife))</f>
        <v>0</v>
      </c>
      <c r="O369" s="67">
        <f>IF(O$3&gt;A26remlife,A26value-SUM($G369:N369),IF(A26remlife="N/A","n/a",A26value/A26remlife))</f>
        <v>0</v>
      </c>
      <c r="P369" s="67">
        <f>IF(P$3&gt;A26remlife,A26value-SUM($G369:O369),IF(A26remlife="N/A","n/a",A26value/A26remlife))</f>
        <v>0</v>
      </c>
      <c r="Q369" s="67">
        <f>IF(Q$3&gt;A26remlife,A26value-SUM($G369:P369),IF(A26remlife="N/A","n/a",A26value/A26remlife))</f>
        <v>0</v>
      </c>
      <c r="R369" s="67"/>
      <c r="S369" s="103"/>
      <c r="T369" s="103"/>
      <c r="U369" s="103"/>
      <c r="V369" s="103"/>
      <c r="W369" s="103"/>
      <c r="X369" s="103"/>
      <c r="Y369" s="103"/>
      <c r="Z369" s="103"/>
      <c r="AA369" s="103"/>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655" t="s">
        <v>84</v>
      </c>
      <c r="F370" s="86">
        <v>0</v>
      </c>
      <c r="G370" s="123"/>
      <c r="H370" s="68"/>
      <c r="I370" s="68"/>
      <c r="J370" s="68"/>
      <c r="K370" s="68"/>
      <c r="L370" s="68"/>
      <c r="M370" s="165"/>
      <c r="N370" s="113"/>
      <c r="O370" s="68"/>
      <c r="P370" s="68"/>
      <c r="Q370" s="68"/>
      <c r="R370" s="68"/>
      <c r="S370" s="103"/>
      <c r="T370" s="103"/>
      <c r="U370" s="103"/>
      <c r="V370" s="103"/>
      <c r="W370" s="103"/>
      <c r="X370" s="103"/>
      <c r="Y370" s="103"/>
      <c r="Z370" s="103"/>
      <c r="AA370" s="103"/>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656"/>
      <c r="F371" s="86">
        <v>1</v>
      </c>
      <c r="G371" s="123"/>
      <c r="H371" s="147"/>
      <c r="I371" s="68">
        <f>IF(A26stdlife="n/a","n/a",IF(I$3&gt;(A26stdlife+$F371),(Input!$H$168*(1+vanilla1)^0.5)-SUM($H371:H371),(Input!$H$168*(1+vanilla1)^0.5)/A26stdlife))</f>
        <v>0</v>
      </c>
      <c r="J371" s="68">
        <f>IF(A26stdlife="n/a","n/a",IF(J$3&gt;(A26stdlife+$F371),(Input!$H$168*(1+vanilla1)^0.5)-SUM($H371:I371),(Input!$H$168*(1+vanilla1)^0.5)/A26stdlife))</f>
        <v>0</v>
      </c>
      <c r="K371" s="68">
        <f>IF(A26stdlife="n/a","n/a",IF(K$3&gt;(A26stdlife+$F371),(Input!$H$168*(1+vanilla1)^0.5)-SUM($H371:J371),(Input!$H$168*(1+vanilla1)^0.5)/A26stdlife))</f>
        <v>0</v>
      </c>
      <c r="L371" s="68">
        <f>IF(A26stdlife="n/a","n/a",IF(L$3&gt;(A26stdlife+$F371),(Input!$H$168*(1+vanilla1)^0.5)-SUM($H371:K371),(Input!$H$168*(1+vanilla1)^0.5)/A26stdlife))</f>
        <v>0</v>
      </c>
      <c r="M371" s="68">
        <f>IF(A26stdlife="n/a","n/a",IF(M$3&gt;(A26stdlife+$F371),(Input!$H$168*(1+vanilla1)^0.5)-SUM($H371:L371),(Input!$H$168*(1+vanilla1)^0.5)/A26stdlife))</f>
        <v>0</v>
      </c>
      <c r="N371" s="68">
        <f>IF(A26stdlife="n/a","n/a",IF(N$3&gt;(A26stdlife+$F371),(Input!$H$168*(1+vanilla1)^0.5)-SUM($H371:M371),(Input!$H$168*(1+vanilla1)^0.5)/A26stdlife))</f>
        <v>0</v>
      </c>
      <c r="O371" s="68">
        <f>IF(A26stdlife="n/a","n/a",IF(O$3&gt;(A26stdlife+$F371),(Input!$H$168*(1+vanilla1)^0.5)-SUM($H371:N371),(Input!$H$168*(1+vanilla1)^0.5)/A26stdlife))</f>
        <v>0</v>
      </c>
      <c r="P371" s="68">
        <f>IF(A26stdlife="n/a","n/a",IF(P$3&gt;(A26stdlife+$F371),(Input!$H$168*(1+vanilla1)^0.5)-SUM($H371:O371),(Input!$H$168*(1+vanilla1)^0.5)/A26stdlife))</f>
        <v>0</v>
      </c>
      <c r="Q371" s="68">
        <f>IF(A26stdlife="n/a","n/a",IF(Q$3&gt;(A26stdlife+$F371),(Input!$H$168*(1+vanilla1)^0.5)-SUM($H371:P371),(Input!$H$168*(1+vanilla1)^0.5)/A26stdlife))</f>
        <v>0</v>
      </c>
      <c r="R371" s="68"/>
      <c r="S371" s="103"/>
      <c r="T371" s="103"/>
      <c r="U371" s="103"/>
      <c r="V371" s="103"/>
      <c r="W371" s="103"/>
      <c r="X371" s="103"/>
      <c r="Y371" s="103"/>
      <c r="Z371" s="103"/>
      <c r="AA371" s="103"/>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656"/>
      <c r="F372" s="86">
        <v>2</v>
      </c>
      <c r="G372" s="123"/>
      <c r="H372" s="148"/>
      <c r="I372" s="149"/>
      <c r="J372" s="68">
        <f>IF(A26stdlife="n/a","n/a",IF(J$3&gt;(A26stdlife+$F372),(Input!$I$168*(1+vanilla2)^0.5)-SUM($I372:I372),(Input!$I$168*(1+vanilla2)^0.5)/A26stdlife))</f>
        <v>0</v>
      </c>
      <c r="K372" s="68">
        <f>IF(A26stdlife="n/a","n/a",IF(K$3&gt;(A26stdlife+$F372),(Input!$I$168*(1+vanilla2)^0.5)-SUM($I372:J372),(Input!$I$168*(1+vanilla2)^0.5)/A26stdlife))</f>
        <v>0</v>
      </c>
      <c r="L372" s="68">
        <f>IF(A26stdlife="n/a","n/a",IF(L$3&gt;(A26stdlife+$F372),(Input!$I$168*(1+vanilla2)^0.5)-SUM($I372:K372),(Input!$I$168*(1+vanilla2)^0.5)/A26stdlife))</f>
        <v>0</v>
      </c>
      <c r="M372" s="68">
        <f>IF(A26stdlife="n/a","n/a",IF(M$3&gt;(A26stdlife+$F372),(Input!$I$168*(1+vanilla2)^0.5)-SUM($I372:L372),(Input!$I$168*(1+vanilla2)^0.5)/A26stdlife))</f>
        <v>0</v>
      </c>
      <c r="N372" s="68">
        <f>IF(A26stdlife="n/a","n/a",IF(N$3&gt;(A26stdlife+$F372),(Input!$I$168*(1+vanilla2)^0.5)-SUM($I372:M372),(Input!$I$168*(1+vanilla2)^0.5)/A26stdlife))</f>
        <v>0</v>
      </c>
      <c r="O372" s="68">
        <f>IF(A26stdlife="n/a","n/a",IF(O$3&gt;(A26stdlife+$F372),(Input!$I$168*(1+vanilla2)^0.5)-SUM($I372:N372),(Input!$I$168*(1+vanilla2)^0.5)/A26stdlife))</f>
        <v>0</v>
      </c>
      <c r="P372" s="68">
        <f>IF(A26stdlife="n/a","n/a",IF(P$3&gt;(A26stdlife+$F372),(Input!$I$168*(1+vanilla2)^0.5)-SUM($I372:O372),(Input!$I$168*(1+vanilla2)^0.5)/A26stdlife))</f>
        <v>0</v>
      </c>
      <c r="Q372" s="68">
        <f>IF(A26stdlife="n/a","n/a",IF(Q$3&gt;(A26stdlife+$F372),(Input!$I$168*(1+vanilla2)^0.5)-SUM($I372:P372),(Input!$I$168*(1+vanilla2)^0.5)/A26stdlife))</f>
        <v>0</v>
      </c>
      <c r="R372" s="68"/>
      <c r="S372" s="103"/>
      <c r="T372" s="103"/>
      <c r="U372" s="103"/>
      <c r="V372" s="103"/>
      <c r="W372" s="103"/>
      <c r="X372" s="103"/>
      <c r="Y372" s="103"/>
      <c r="Z372" s="103"/>
      <c r="AA372" s="103"/>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656"/>
      <c r="F373" s="86">
        <v>3</v>
      </c>
      <c r="G373" s="123"/>
      <c r="H373" s="148"/>
      <c r="I373" s="150"/>
      <c r="J373" s="149"/>
      <c r="K373" s="68">
        <f>IF(A26stdlife="n/a","n/a",IF(K$3&gt;(A26stdlife+$F373),(Input!$J$168*(1+vanilla3)^0.5)-SUM($J373:J373),(Input!$J$168*(1+vanilla3)^0.5)/A26stdlife))</f>
        <v>0</v>
      </c>
      <c r="L373" s="68">
        <f>IF(A26stdlife="n/a","n/a",IF(L$3&gt;(A26stdlife+$F373),(Input!$J$168*(1+vanilla3)^0.5)-SUM($J373:K373),(Input!$J$168*(1+vanilla3)^0.5)/A26stdlife))</f>
        <v>0</v>
      </c>
      <c r="M373" s="68">
        <f>IF(A26stdlife="n/a","n/a",IF(M$3&gt;(A26stdlife+$F373),(Input!$J$168*(1+vanilla3)^0.5)-SUM($J373:L373),(Input!$J$168*(1+vanilla3)^0.5)/A26stdlife))</f>
        <v>0</v>
      </c>
      <c r="N373" s="68">
        <f>IF(A26stdlife="n/a","n/a",IF(N$3&gt;(A26stdlife+$F373),(Input!$J$168*(1+vanilla3)^0.5)-SUM($J373:M373),(Input!$J$168*(1+vanilla3)^0.5)/A26stdlife))</f>
        <v>0</v>
      </c>
      <c r="O373" s="68">
        <f>IF(A26stdlife="n/a","n/a",IF(O$3&gt;(A26stdlife+$F373),(Input!$J$168*(1+vanilla3)^0.5)-SUM($J373:N373),(Input!$J$168*(1+vanilla3)^0.5)/A26stdlife))</f>
        <v>0</v>
      </c>
      <c r="P373" s="68">
        <f>IF(A26stdlife="n/a","n/a",IF(P$3&gt;(A26stdlife+$F373),(Input!$J$168*(1+vanilla3)^0.5)-SUM($J373:O373),(Input!$J$168*(1+vanilla3)^0.5)/A26stdlife))</f>
        <v>0</v>
      </c>
      <c r="Q373" s="68">
        <f>IF(A26stdlife="n/a","n/a",IF(Q$3&gt;(A26stdlife+$F373),(Input!$J$168*(1+vanilla3)^0.5)-SUM($J373:P373),(Input!$J$168*(1+vanilla3)^0.5)/A26stdlife))</f>
        <v>0</v>
      </c>
      <c r="R373" s="68"/>
      <c r="S373" s="103"/>
      <c r="T373" s="103"/>
      <c r="U373" s="103"/>
      <c r="V373" s="103"/>
      <c r="W373" s="103"/>
      <c r="X373" s="103"/>
      <c r="Y373" s="103"/>
      <c r="Z373" s="103"/>
      <c r="AA373" s="103"/>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656"/>
      <c r="F374" s="86">
        <v>4</v>
      </c>
      <c r="G374" s="123"/>
      <c r="H374" s="148"/>
      <c r="I374" s="150"/>
      <c r="J374" s="150"/>
      <c r="K374" s="149"/>
      <c r="L374" s="68">
        <f>IF(A26stdlife="n/a","n/a",IF(L$3&gt;(A26stdlife+$F374),(Input!$K$168*(1+vanilla4)^0.5)-SUM($K374:K374),(Input!$K$168*(1+vanilla4)^0.5)/A26stdlife))</f>
        <v>0</v>
      </c>
      <c r="M374" s="68">
        <f>IF(A26stdlife="n/a","n/a",IF(M$3&gt;(A26stdlife+$F374),(Input!$K$168*(1+vanilla4)^0.5)-SUM($K374:L374),(Input!$K$168*(1+vanilla4)^0.5)/A26stdlife))</f>
        <v>0</v>
      </c>
      <c r="N374" s="68">
        <f>IF(A26stdlife="n/a","n/a",IF(N$3&gt;(A26stdlife+$F374),(Input!$K$168*(1+vanilla4)^0.5)-SUM($K374:M374),(Input!$K$168*(1+vanilla4)^0.5)/A26stdlife))</f>
        <v>0</v>
      </c>
      <c r="O374" s="68">
        <f>IF(A26stdlife="n/a","n/a",IF(O$3&gt;(A26stdlife+$F374),(Input!$K$168*(1+vanilla4)^0.5)-SUM($K374:N374),(Input!$K$168*(1+vanilla4)^0.5)/A26stdlife))</f>
        <v>0</v>
      </c>
      <c r="P374" s="68">
        <f>IF(A26stdlife="n/a","n/a",IF(P$3&gt;(A26stdlife+$F374),(Input!$K$168*(1+vanilla4)^0.5)-SUM($K374:O374),(Input!$K$168*(1+vanilla4)^0.5)/A26stdlife))</f>
        <v>0</v>
      </c>
      <c r="Q374" s="68">
        <f>IF(A26stdlife="n/a","n/a",IF(Q$3&gt;(A26stdlife+$F374),(Input!$K$168*(1+vanilla4)^0.5)-SUM($K374:P374),(Input!$K$168*(1+vanilla4)^0.5)/A26stdlife))</f>
        <v>0</v>
      </c>
      <c r="R374" s="68"/>
      <c r="S374" s="103"/>
      <c r="T374" s="103"/>
      <c r="U374" s="103"/>
      <c r="V374" s="103"/>
      <c r="W374" s="103"/>
      <c r="X374" s="103"/>
      <c r="Y374" s="103"/>
      <c r="Z374" s="103"/>
      <c r="AA374" s="103"/>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103"/>
      <c r="BE374" s="103"/>
      <c r="BF374" s="103"/>
      <c r="BG374" s="103"/>
      <c r="BH374" s="103"/>
      <c r="BI374" s="103"/>
      <c r="BJ374" s="103"/>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656"/>
      <c r="F375" s="86">
        <v>5</v>
      </c>
      <c r="G375" s="27"/>
      <c r="H375" s="148"/>
      <c r="I375" s="150"/>
      <c r="J375" s="150"/>
      <c r="K375" s="150"/>
      <c r="L375" s="149"/>
      <c r="M375" s="68">
        <f>IF(A26stdlife="n/a","n/a",IF(M$3&gt;(A26stdlife+$F375),(Input!$L$168*(1+vanilla5)^0.5)-SUM($L375:L375),(Input!$L$168*(1+vanilla5)^0.5)/A26stdlife))</f>
        <v>0</v>
      </c>
      <c r="N375" s="68">
        <f>IF(A26stdlife="n/a","n/a",IF(N$3&gt;(A26stdlife+$F375),(Input!$L$168*(1+vanilla5)^0.5)-SUM($L375:M375),(Input!$L$168*(1+vanilla5)^0.5)/A26stdlife))</f>
        <v>0</v>
      </c>
      <c r="O375" s="68">
        <f>IF(A26stdlife="n/a","n/a",IF(O$3&gt;(A26stdlife+$F375),(Input!$L$168*(1+vanilla5)^0.5)-SUM($L375:N375),(Input!$L$168*(1+vanilla5)^0.5)/A26stdlife))</f>
        <v>0</v>
      </c>
      <c r="P375" s="68">
        <f>IF(A26stdlife="n/a","n/a",IF(P$3&gt;(A26stdlife+$F375),(Input!$L$168*(1+vanilla5)^0.5)-SUM($L375:O375),(Input!$L$168*(1+vanilla5)^0.5)/A26stdlife))</f>
        <v>0</v>
      </c>
      <c r="Q375" s="68">
        <f>IF(A26stdlife="n/a","n/a",IF(Q$3&gt;(A26stdlife+$F375),(Input!$L$168*(1+vanilla5)^0.5)-SUM($L375:P375),(Input!$L$168*(1+vanilla5)^0.5)/A26stdlife))</f>
        <v>0</v>
      </c>
      <c r="R375" s="68"/>
      <c r="S375" s="103"/>
      <c r="T375" s="103"/>
      <c r="U375" s="103"/>
      <c r="V375" s="103"/>
      <c r="W375" s="103"/>
      <c r="X375" s="103"/>
      <c r="Y375" s="103"/>
      <c r="Z375" s="103"/>
      <c r="AA375" s="103"/>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656"/>
      <c r="F376" s="86">
        <v>6</v>
      </c>
      <c r="G376" s="27"/>
      <c r="H376" s="148"/>
      <c r="I376" s="150"/>
      <c r="J376" s="150"/>
      <c r="K376" s="150"/>
      <c r="L376" s="150"/>
      <c r="M376" s="149"/>
      <c r="N376" s="68">
        <f>IF(A26stdlife="n/a","n/a",IF(N$3&gt;(A26stdlife+$F376),(Input!$M$168*(1+vanilla6)^0.5)-SUM($M376:M376),(Input!$M$168*(1+vanilla6)^0.5)/A26stdlife))</f>
        <v>0</v>
      </c>
      <c r="O376" s="68">
        <f>IF(A26stdlife="n/a","n/a",IF(O$3&gt;(A26stdlife+$F376),(Input!$M$168*(1+vanilla6)^0.5)-SUM($M376:N376),(Input!$M$168*(1+vanilla6)^0.5)/A26stdlife))</f>
        <v>0</v>
      </c>
      <c r="P376" s="68">
        <f>IF(A26stdlife="n/a","n/a",IF(P$3&gt;(A26stdlife+$F376),(Input!$M$168*(1+vanilla6)^0.5)-SUM($M376:O376),(Input!$M$168*(1+vanilla6)^0.5)/A26stdlife))</f>
        <v>0</v>
      </c>
      <c r="Q376" s="68">
        <f>IF(A26stdlife="n/a","n/a",IF(Q$3&gt;(A26stdlife+$F376),(Input!$M$168*(1+vanilla6)^0.5)-SUM($M376:P376),(Input!$M$168*(1+vanilla6)^0.5)/A26stdlife))</f>
        <v>0</v>
      </c>
      <c r="R376" s="68"/>
      <c r="S376" s="103"/>
      <c r="T376" s="103"/>
      <c r="U376" s="103"/>
      <c r="V376" s="103"/>
      <c r="W376" s="103"/>
      <c r="X376" s="103"/>
      <c r="Y376" s="103"/>
      <c r="Z376" s="103"/>
      <c r="AA376" s="103"/>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656"/>
      <c r="F377" s="86">
        <v>7</v>
      </c>
      <c r="G377" s="27"/>
      <c r="H377" s="148"/>
      <c r="I377" s="150"/>
      <c r="J377" s="150"/>
      <c r="K377" s="150"/>
      <c r="L377" s="150"/>
      <c r="M377" s="150"/>
      <c r="N377" s="149"/>
      <c r="O377" s="68">
        <f>IF(A26stdlife="n/a","n/a",IF(O$3&gt;(A26stdlife+$F377),(Input!N$168*(1+vanilla7)^0.5)-SUM($N377:N377),(Input!$N$168*(1+vanilla7)^0.5)/A26stdlife))</f>
        <v>0</v>
      </c>
      <c r="P377" s="68">
        <f>IF(A26stdlife="n/a","n/a",IF(P$3&gt;(A26stdlife+$F377),(Input!O$168*(1+vanilla7)^0.5)-SUM($N377:O377),(Input!$N$168*(1+vanilla7)^0.5)/A26stdlife))</f>
        <v>0</v>
      </c>
      <c r="Q377" s="68">
        <f>IF(A26stdlife="n/a","n/a",IF(Q$3&gt;(A26stdlife+$F377),(Input!P$168*(1+vanilla7)^0.5)-SUM($N377:P377),(Input!$N$168*(1+vanilla7)^0.5)/A26stdlife))</f>
        <v>0</v>
      </c>
      <c r="R377" s="68"/>
      <c r="S377" s="103"/>
      <c r="T377" s="103"/>
      <c r="U377" s="103"/>
      <c r="V377" s="103"/>
      <c r="W377" s="103"/>
      <c r="X377" s="103"/>
      <c r="Y377" s="103"/>
      <c r="Z377" s="103"/>
      <c r="AA377" s="103"/>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656"/>
      <c r="F378" s="86">
        <v>8</v>
      </c>
      <c r="G378" s="27"/>
      <c r="H378" s="148"/>
      <c r="I378" s="150"/>
      <c r="J378" s="150"/>
      <c r="K378" s="150"/>
      <c r="L378" s="150"/>
      <c r="M378" s="150"/>
      <c r="N378" s="150"/>
      <c r="O378" s="149"/>
      <c r="P378" s="68">
        <f>IF(A26stdlife="n/a","n/a",IF(P$3&gt;(A26stdlife+$F378),(Input!$O$168*(1+vanilla8)^0.5)-SUM($O378:O378),(Input!$O$168*(1+vanilla8)^0.5)/A26stdlife))</f>
        <v>0</v>
      </c>
      <c r="Q378" s="68">
        <f>IF(A26stdlife="n/a","n/a",IF(Q$3&gt;(A26stdlife+$F378),(Input!$O$168*(1+vanilla8)^0.5)-SUM($O378:P378),(Input!$O$168*(1+vanilla8)^0.5)/A26stdlife))</f>
        <v>0</v>
      </c>
      <c r="R378" s="68"/>
      <c r="S378" s="103"/>
      <c r="T378" s="103"/>
      <c r="U378" s="103"/>
      <c r="V378" s="103"/>
      <c r="W378" s="103"/>
      <c r="X378" s="103"/>
      <c r="Y378" s="103"/>
      <c r="Z378" s="103"/>
      <c r="AA378" s="103"/>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656"/>
      <c r="F379" s="86">
        <v>9</v>
      </c>
      <c r="G379" s="27"/>
      <c r="H379" s="148"/>
      <c r="I379" s="150"/>
      <c r="J379" s="150"/>
      <c r="K379" s="150"/>
      <c r="L379" s="150"/>
      <c r="M379" s="150"/>
      <c r="N379" s="150"/>
      <c r="O379" s="150"/>
      <c r="P379" s="149"/>
      <c r="Q379" s="68">
        <f>IF(A26stdlife="n/a","n/a",IF(Q$3&gt;(A26stdlife+$F379),(Input!$P$168*(1+vanilla9)^0.5)-SUM($P379:P379),(Input!$P$168*(1+vanilla9)^0.5)/A26stdlife))</f>
        <v>0</v>
      </c>
      <c r="R379" s="68"/>
      <c r="S379" s="103"/>
      <c r="T379" s="103"/>
      <c r="U379" s="103"/>
      <c r="V379" s="103"/>
      <c r="W379" s="103"/>
      <c r="X379" s="103"/>
      <c r="Y379" s="103"/>
      <c r="Z379" s="103"/>
      <c r="AA379" s="103"/>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656"/>
      <c r="F380" s="87">
        <v>10</v>
      </c>
      <c r="G380" s="27"/>
      <c r="H380" s="148"/>
      <c r="I380" s="150"/>
      <c r="J380" s="150"/>
      <c r="K380" s="150"/>
      <c r="L380" s="150"/>
      <c r="M380" s="150"/>
      <c r="N380" s="150"/>
      <c r="O380" s="150"/>
      <c r="P380" s="150"/>
      <c r="Q380" s="149"/>
      <c r="R380" s="68"/>
      <c r="S380" s="103"/>
      <c r="T380" s="103"/>
      <c r="U380" s="103"/>
      <c r="V380" s="103"/>
      <c r="W380" s="103"/>
      <c r="X380" s="103"/>
      <c r="Y380" s="103"/>
      <c r="Z380" s="103"/>
      <c r="AA380" s="103"/>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3"/>
      <c r="H381" s="167">
        <f>-SUM(H369:H380)</f>
        <v>0</v>
      </c>
      <c r="I381" s="167">
        <f>-SUM(I369:I380)</f>
        <v>0</v>
      </c>
      <c r="J381" s="167">
        <f>-SUM(J369:J380)</f>
        <v>0</v>
      </c>
      <c r="K381" s="167">
        <f>-SUM(K369:K380)</f>
        <v>0</v>
      </c>
      <c r="L381" s="167">
        <f>-SUM(L369:L380)</f>
        <v>0</v>
      </c>
      <c r="M381" s="167">
        <f>IF(Input!M173&gt;0, -SUM(M369:M380), 0)</f>
        <v>0</v>
      </c>
      <c r="N381" s="167">
        <f>IF(Input!N173&gt;0, -SUM(N369:N380), 0)</f>
        <v>0</v>
      </c>
      <c r="O381" s="167">
        <f>IF(Input!O173&gt;0, -SUM(O369:O380), 0)</f>
        <v>0</v>
      </c>
      <c r="P381" s="167">
        <f>IF(Input!P173&gt;0, -SUM(P369:P380), 0)</f>
        <v>0</v>
      </c>
      <c r="Q381" s="167">
        <f>IF(Input!Q173&gt;0, -SUM(Q369:Q380), 0)</f>
        <v>0</v>
      </c>
      <c r="R381" s="66"/>
      <c r="S381" s="105"/>
      <c r="T381" s="105"/>
      <c r="U381" s="105"/>
      <c r="V381" s="105"/>
      <c r="W381" s="105"/>
      <c r="X381" s="105"/>
      <c r="Y381" s="105"/>
      <c r="Z381" s="105"/>
      <c r="AA381" s="105"/>
      <c r="AB381" s="232"/>
      <c r="AC381" s="232"/>
      <c r="AD381" s="232"/>
      <c r="AE381" s="232"/>
      <c r="AF381" s="232"/>
      <c r="AG381" s="232"/>
      <c r="AH381" s="232"/>
      <c r="AI381" s="232"/>
      <c r="AJ381" s="232"/>
      <c r="AK381" s="232"/>
      <c r="AL381" s="232"/>
      <c r="AM381" s="232"/>
      <c r="AN381" s="232"/>
      <c r="AO381" s="232"/>
      <c r="AP381" s="232"/>
      <c r="AQ381" s="232"/>
      <c r="AR381" s="232"/>
      <c r="AS381" s="232"/>
      <c r="AT381" s="232"/>
      <c r="AU381" s="232"/>
      <c r="AV381" s="232"/>
      <c r="AW381" s="232"/>
      <c r="AX381" s="232"/>
      <c r="AY381" s="232"/>
      <c r="AZ381" s="232"/>
      <c r="BA381" s="232"/>
      <c r="BB381" s="232"/>
      <c r="BC381" s="232"/>
      <c r="BD381" s="105"/>
      <c r="BE381" s="105"/>
      <c r="BF381" s="105"/>
      <c r="BG381" s="105"/>
      <c r="BH381" s="105"/>
      <c r="BI381" s="105"/>
      <c r="BJ381" s="105"/>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3"/>
      <c r="E382" s="34" t="s">
        <v>28</v>
      </c>
      <c r="F382" s="33"/>
      <c r="G382" s="176"/>
      <c r="H382" s="67">
        <f>IF(H$3&gt;A27remlife,A27value-SUM($G382:G382),IF(A27remlife="N/A","n/a",A27value/A27remlife))</f>
        <v>0</v>
      </c>
      <c r="I382" s="67">
        <f>IF(I$3&gt;A27remlife,A27value-SUM($G382:H382),IF(A27remlife="N/A","n/a",A27value/A27remlife))</f>
        <v>0</v>
      </c>
      <c r="J382" s="67">
        <f>IF(J$3&gt;A27remlife,A27value-SUM($G382:I382),IF(A27remlife="N/A","n/a",A27value/A27remlife))</f>
        <v>0</v>
      </c>
      <c r="K382" s="67">
        <f>IF(K$3&gt;A27remlife,A27value-SUM($G382:J382),IF(A27remlife="N/A","n/a",A27value/A27remlife))</f>
        <v>0</v>
      </c>
      <c r="L382" s="67">
        <f>IF(L$3&gt;A27remlife,A27value-SUM($G382:K382),IF(A27remlife="N/A","n/a",A27value/A27remlife))</f>
        <v>0</v>
      </c>
      <c r="M382" s="67">
        <f>IF(M$3&gt;A27remlife,A27value-SUM($G382:L382),IF(A27remlife="N/A","n/a",A27value/A27remlife))</f>
        <v>0</v>
      </c>
      <c r="N382" s="67">
        <f>IF(N$3&gt;A27remlife,A27value-SUM($G382:M382),IF(A27remlife="N/A","n/a",A27value/A27remlife))</f>
        <v>0</v>
      </c>
      <c r="O382" s="67">
        <f>IF(O$3&gt;A27remlife,A27value-SUM($G382:N382),IF(A27remlife="N/A","n/a",A27value/A27remlife))</f>
        <v>0</v>
      </c>
      <c r="P382" s="67">
        <f>IF(P$3&gt;A27remlife,A27value-SUM($G382:O382),IF(A27remlife="N/A","n/a",A27value/A27remlife))</f>
        <v>0</v>
      </c>
      <c r="Q382" s="67">
        <f>IF(Q$3&gt;A27remlife,A27value-SUM($G382:P382),IF(A27remlife="N/A","n/a",A27value/A27remlife))</f>
        <v>0</v>
      </c>
      <c r="R382" s="67"/>
      <c r="S382" s="103"/>
      <c r="T382" s="103"/>
      <c r="U382" s="103"/>
      <c r="V382" s="103"/>
      <c r="W382" s="103"/>
      <c r="X382" s="103"/>
      <c r="Y382" s="103"/>
      <c r="Z382" s="103"/>
      <c r="AA382" s="103"/>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655" t="s">
        <v>84</v>
      </c>
      <c r="F383" s="86">
        <v>0</v>
      </c>
      <c r="G383" s="123"/>
      <c r="H383" s="68"/>
      <c r="I383" s="68"/>
      <c r="J383" s="68"/>
      <c r="K383" s="68"/>
      <c r="L383" s="68"/>
      <c r="M383" s="165"/>
      <c r="N383" s="113"/>
      <c r="O383" s="68"/>
      <c r="P383" s="68"/>
      <c r="Q383" s="68"/>
      <c r="R383" s="68"/>
      <c r="S383" s="103"/>
      <c r="T383" s="103"/>
      <c r="U383" s="103"/>
      <c r="V383" s="103"/>
      <c r="W383" s="103"/>
      <c r="X383" s="103"/>
      <c r="Y383" s="103"/>
      <c r="Z383" s="103"/>
      <c r="AA383" s="103"/>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656"/>
      <c r="F384" s="86">
        <v>1</v>
      </c>
      <c r="G384" s="123"/>
      <c r="H384" s="147"/>
      <c r="I384" s="68">
        <f>IF(A27stdlife="n/a","n/a",IF(I$3&gt;(A27stdlife+$F384),(Input!$H$169*(1+vanilla1)^0.5)-SUM($H384:H384),(Input!$H$169*(1+vanilla1)^0.5)/A27stdlife))</f>
        <v>0</v>
      </c>
      <c r="J384" s="68">
        <f>IF(A27stdlife="n/a","n/a",IF(J$3&gt;(A27stdlife+$F384),(Input!$H$169*(1+vanilla1)^0.5)-SUM($H384:I384),(Input!$H$169*(1+vanilla1)^0.5)/A27stdlife))</f>
        <v>0</v>
      </c>
      <c r="K384" s="68">
        <f>IF(A27stdlife="n/a","n/a",IF(K$3&gt;(A27stdlife+$F384),(Input!$H$169*(1+vanilla1)^0.5)-SUM($H384:J384),(Input!$H$169*(1+vanilla1)^0.5)/A27stdlife))</f>
        <v>0</v>
      </c>
      <c r="L384" s="68">
        <f>IF(A27stdlife="n/a","n/a",IF(L$3&gt;(A27stdlife+$F384),(Input!$H$169*(1+vanilla1)^0.5)-SUM($H384:K384),(Input!$H$169*(1+vanilla1)^0.5)/A27stdlife))</f>
        <v>0</v>
      </c>
      <c r="M384" s="68">
        <f>IF(A27stdlife="n/a","n/a",IF(M$3&gt;(A27stdlife+$F384),(Input!$H$169*(1+vanilla1)^0.5)-SUM($H384:L384),(Input!$H$169*(1+vanilla1)^0.5)/A27stdlife))</f>
        <v>0</v>
      </c>
      <c r="N384" s="68">
        <f>IF(A27stdlife="n/a","n/a",IF(N$3&gt;(A27stdlife+$F384),(Input!$H$169*(1+vanilla1)^0.5)-SUM($H384:M384),(Input!$H$169*(1+vanilla1)^0.5)/A27stdlife))</f>
        <v>0</v>
      </c>
      <c r="O384" s="68">
        <f>IF(A27stdlife="n/a","n/a",IF(O$3&gt;(A27stdlife+$F384),(Input!$H$169*(1+vanilla1)^0.5)-SUM($H384:N384),(Input!$H$169*(1+vanilla1)^0.5)/A27stdlife))</f>
        <v>0</v>
      </c>
      <c r="P384" s="68">
        <f>IF(A27stdlife="n/a","n/a",IF(P$3&gt;(A27stdlife+$F384),(Input!$H$169*(1+vanilla1)^0.5)-SUM($H384:O384),(Input!$H$169*(1+vanilla1)^0.5)/A27stdlife))</f>
        <v>0</v>
      </c>
      <c r="Q384" s="68">
        <f>IF(A27stdlife="n/a","n/a",IF(Q$3&gt;(A27stdlife+$F384),(Input!$H$169*(1+vanilla1)^0.5)-SUM($H384:P384),(Input!$H$169*(1+vanilla1)^0.5)/A27stdlife))</f>
        <v>0</v>
      </c>
      <c r="R384" s="68"/>
      <c r="S384" s="103"/>
      <c r="T384" s="103"/>
      <c r="U384" s="103"/>
      <c r="V384" s="103"/>
      <c r="W384" s="103"/>
      <c r="X384" s="103"/>
      <c r="Y384" s="103"/>
      <c r="Z384" s="103"/>
      <c r="AA384" s="103"/>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656"/>
      <c r="F385" s="86">
        <v>2</v>
      </c>
      <c r="G385" s="123"/>
      <c r="H385" s="148"/>
      <c r="I385" s="149"/>
      <c r="J385" s="68">
        <f>IF(A27stdlife="n/a","n/a",IF(J$3&gt;(A27stdlife+$F385),(Input!$I$169*(1+vanilla2)^0.5)-SUM($I385:I385),(Input!$I$169*(1+vanilla2)^0.5)/A27stdlife))</f>
        <v>0</v>
      </c>
      <c r="K385" s="68">
        <f>IF(A27stdlife="n/a","n/a",IF(K$3&gt;(A27stdlife+$F385),(Input!$I$169*(1+vanilla2)^0.5)-SUM($I385:J385),(Input!$I$169*(1+vanilla2)^0.5)/A27stdlife))</f>
        <v>0</v>
      </c>
      <c r="L385" s="68">
        <f>IF(A27stdlife="n/a","n/a",IF(L$3&gt;(A27stdlife+$F385),(Input!$I$169*(1+vanilla2)^0.5)-SUM($I385:K385),(Input!$I$169*(1+vanilla2)^0.5)/A27stdlife))</f>
        <v>0</v>
      </c>
      <c r="M385" s="68">
        <f>IF(A27stdlife="n/a","n/a",IF(M$3&gt;(A27stdlife+$F385),(Input!$I$169*(1+vanilla2)^0.5)-SUM($I385:L385),(Input!$I$169*(1+vanilla2)^0.5)/A27stdlife))</f>
        <v>0</v>
      </c>
      <c r="N385" s="68">
        <f>IF(A27stdlife="n/a","n/a",IF(N$3&gt;(A27stdlife+$F385),(Input!$I$169*(1+vanilla2)^0.5)-SUM($I385:M385),(Input!$I$169*(1+vanilla2)^0.5)/A27stdlife))</f>
        <v>0</v>
      </c>
      <c r="O385" s="68">
        <f>IF(A27stdlife="n/a","n/a",IF(O$3&gt;(A27stdlife+$F385),(Input!$I$169*(1+vanilla2)^0.5)-SUM($I385:N385),(Input!$I$169*(1+vanilla2)^0.5)/A27stdlife))</f>
        <v>0</v>
      </c>
      <c r="P385" s="68">
        <f>IF(A27stdlife="n/a","n/a",IF(P$3&gt;(A27stdlife+$F385),(Input!$I$169*(1+vanilla2)^0.5)-SUM($I385:O385),(Input!$I$169*(1+vanilla2)^0.5)/A27stdlife))</f>
        <v>0</v>
      </c>
      <c r="Q385" s="68">
        <f>IF(A27stdlife="n/a","n/a",IF(Q$3&gt;(A27stdlife+$F385),(Input!$I$169*(1+vanilla2)^0.5)-SUM($I385:P385),(Input!$I$169*(1+vanilla2)^0.5)/A27stdlife))</f>
        <v>0</v>
      </c>
      <c r="R385" s="68"/>
      <c r="S385" s="103"/>
      <c r="T385" s="103"/>
      <c r="U385" s="103"/>
      <c r="V385" s="103"/>
      <c r="W385" s="103"/>
      <c r="X385" s="103"/>
      <c r="Y385" s="103"/>
      <c r="Z385" s="103"/>
      <c r="AA385" s="103"/>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656"/>
      <c r="F386" s="86">
        <v>3</v>
      </c>
      <c r="G386" s="123"/>
      <c r="H386" s="148"/>
      <c r="I386" s="150"/>
      <c r="J386" s="149"/>
      <c r="K386" s="68">
        <f>IF(A27stdlife="n/a","n/a",IF(K$3&gt;(A27stdlife+$F386),(Input!$J$169*(1+vanilla3)^0.5)-SUM($J386:J386),(Input!$J$169*(1+vanilla3)^0.5)/A27stdlife))</f>
        <v>0</v>
      </c>
      <c r="L386" s="68">
        <f>IF(A27stdlife="n/a","n/a",IF(L$3&gt;(A27stdlife+$F386),(Input!$J$169*(1+vanilla3)^0.5)-SUM($J386:K386),(Input!$J$169*(1+vanilla3)^0.5)/A27stdlife))</f>
        <v>0</v>
      </c>
      <c r="M386" s="68">
        <f>IF(A27stdlife="n/a","n/a",IF(M$3&gt;(A27stdlife+$F386),(Input!$J$169*(1+vanilla3)^0.5)-SUM($J386:L386),(Input!$J$169*(1+vanilla3)^0.5)/A27stdlife))</f>
        <v>0</v>
      </c>
      <c r="N386" s="68">
        <f>IF(A27stdlife="n/a","n/a",IF(N$3&gt;(A27stdlife+$F386),(Input!$J$169*(1+vanilla3)^0.5)-SUM($J386:M386),(Input!$J$169*(1+vanilla3)^0.5)/A27stdlife))</f>
        <v>0</v>
      </c>
      <c r="O386" s="68">
        <f>IF(A27stdlife="n/a","n/a",IF(O$3&gt;(A27stdlife+$F386),(Input!$J$169*(1+vanilla3)^0.5)-SUM($J386:N386),(Input!$J$169*(1+vanilla3)^0.5)/A27stdlife))</f>
        <v>0</v>
      </c>
      <c r="P386" s="68">
        <f>IF(A27stdlife="n/a","n/a",IF(P$3&gt;(A27stdlife+$F386),(Input!$J$169*(1+vanilla3)^0.5)-SUM($J386:O386),(Input!$J$169*(1+vanilla3)^0.5)/A27stdlife))</f>
        <v>0</v>
      </c>
      <c r="Q386" s="68">
        <f>IF(A27stdlife="n/a","n/a",IF(Q$3&gt;(A27stdlife+$F386),(Input!$J$169*(1+vanilla3)^0.5)-SUM($J386:P386),(Input!$J$169*(1+vanilla3)^0.5)/A27stdlife))</f>
        <v>0</v>
      </c>
      <c r="R386" s="68"/>
      <c r="S386" s="103"/>
      <c r="T386" s="103"/>
      <c r="U386" s="103"/>
      <c r="V386" s="103"/>
      <c r="W386" s="103"/>
      <c r="X386" s="103"/>
      <c r="Y386" s="103"/>
      <c r="Z386" s="103"/>
      <c r="AA386" s="103"/>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656"/>
      <c r="F387" s="86">
        <v>4</v>
      </c>
      <c r="G387" s="123"/>
      <c r="H387" s="148"/>
      <c r="I387" s="150"/>
      <c r="J387" s="150"/>
      <c r="K387" s="149"/>
      <c r="L387" s="68">
        <f>IF(A27stdlife="n/a","n/a",IF(L$3&gt;(A27stdlife+$F387),(Input!$K$169*(1+vanilla4)^0.5)-SUM($K387:K387),(Input!$K$169*(1+vanilla4)^0.5)/A27stdlife))</f>
        <v>0</v>
      </c>
      <c r="M387" s="68">
        <f>IF(A27stdlife="n/a","n/a",IF(M$3&gt;(A27stdlife+$F387),(Input!$K$169*(1+vanilla4)^0.5)-SUM($K387:L387),(Input!$K$169*(1+vanilla4)^0.5)/A27stdlife))</f>
        <v>0</v>
      </c>
      <c r="N387" s="68">
        <f>IF(A27stdlife="n/a","n/a",IF(N$3&gt;(A27stdlife+$F387),(Input!$K$169*(1+vanilla4)^0.5)-SUM($K387:M387),(Input!$K$169*(1+vanilla4)^0.5)/A27stdlife))</f>
        <v>0</v>
      </c>
      <c r="O387" s="68">
        <f>IF(A27stdlife="n/a","n/a",IF(O$3&gt;(A27stdlife+$F387),(Input!$K$169*(1+vanilla4)^0.5)-SUM($K387:N387),(Input!$K$169*(1+vanilla4)^0.5)/A27stdlife))</f>
        <v>0</v>
      </c>
      <c r="P387" s="68">
        <f>IF(A27stdlife="n/a","n/a",IF(P$3&gt;(A27stdlife+$F387),(Input!$K$169*(1+vanilla4)^0.5)-SUM($K387:O387),(Input!$K$169*(1+vanilla4)^0.5)/A27stdlife))</f>
        <v>0</v>
      </c>
      <c r="Q387" s="68">
        <f>IF(A27stdlife="n/a","n/a",IF(Q$3&gt;(A27stdlife+$F387),(Input!$K$169*(1+vanilla4)^0.5)-SUM($K387:P387),(Input!$K$169*(1+vanilla4)^0.5)/A27stdlife))</f>
        <v>0</v>
      </c>
      <c r="R387" s="68"/>
      <c r="S387" s="103"/>
      <c r="T387" s="103"/>
      <c r="U387" s="103"/>
      <c r="V387" s="103"/>
      <c r="W387" s="103"/>
      <c r="X387" s="103"/>
      <c r="Y387" s="103"/>
      <c r="Z387" s="103"/>
      <c r="AA387" s="103"/>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103"/>
      <c r="BE387" s="103"/>
      <c r="BF387" s="103"/>
      <c r="BG387" s="103"/>
      <c r="BH387" s="103"/>
      <c r="BI387" s="103"/>
      <c r="BJ387" s="103"/>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656"/>
      <c r="F388" s="86">
        <v>5</v>
      </c>
      <c r="G388" s="27"/>
      <c r="H388" s="148"/>
      <c r="I388" s="150"/>
      <c r="J388" s="150"/>
      <c r="K388" s="150"/>
      <c r="L388" s="149"/>
      <c r="M388" s="68">
        <f>IF(A27stdlife="n/a","n/a",IF(M$3&gt;(A27stdlife+$F388),(Input!$L$169*(1+vanilla5)^0.5)-SUM($L388:L388),(Input!$L$169*(1+vanilla5)^0.5)/A27stdlife))</f>
        <v>0</v>
      </c>
      <c r="N388" s="68">
        <f>IF(A27stdlife="n/a","n/a",IF(N$3&gt;(A27stdlife+$F388),(Input!$L$169*(1+vanilla5)^0.5)-SUM($L388:M388),(Input!$L$169*(1+vanilla5)^0.5)/A27stdlife))</f>
        <v>0</v>
      </c>
      <c r="O388" s="68">
        <f>IF(A27stdlife="n/a","n/a",IF(O$3&gt;(A27stdlife+$F388),(Input!$L$169*(1+vanilla5)^0.5)-SUM($L388:N388),(Input!$L$169*(1+vanilla5)^0.5)/A27stdlife))</f>
        <v>0</v>
      </c>
      <c r="P388" s="68">
        <f>IF(A27stdlife="n/a","n/a",IF(P$3&gt;(A27stdlife+$F388),(Input!$L$169*(1+vanilla5)^0.5)-SUM($L388:O388),(Input!$L$169*(1+vanilla5)^0.5)/A27stdlife))</f>
        <v>0</v>
      </c>
      <c r="Q388" s="68">
        <f>IF(A27stdlife="n/a","n/a",IF(Q$3&gt;(A27stdlife+$F388),(Input!$L$169*(1+vanilla5)^0.5)-SUM($L388:P388),(Input!$L$169*(1+vanilla5)^0.5)/A27stdlife))</f>
        <v>0</v>
      </c>
      <c r="R388" s="68"/>
      <c r="S388" s="103"/>
      <c r="T388" s="103"/>
      <c r="U388" s="103"/>
      <c r="V388" s="103"/>
      <c r="W388" s="103"/>
      <c r="X388" s="103"/>
      <c r="Y388" s="103"/>
      <c r="Z388" s="103"/>
      <c r="AA388" s="103"/>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656"/>
      <c r="F389" s="86">
        <v>6</v>
      </c>
      <c r="G389" s="27"/>
      <c r="H389" s="148"/>
      <c r="I389" s="150"/>
      <c r="J389" s="150"/>
      <c r="K389" s="150"/>
      <c r="L389" s="150"/>
      <c r="M389" s="149"/>
      <c r="N389" s="68">
        <f>IF(A27stdlife="n/a","n/a",IF(N$3&gt;(A27stdlife+$F389),(Input!$M$169*(1+vanilla6)^0.5)-SUM($M389:M389),(Input!$M$169*(1+vanilla6)^0.5)/A27stdlife))</f>
        <v>0</v>
      </c>
      <c r="O389" s="68">
        <f>IF(A27stdlife="n/a","n/a",IF(O$3&gt;(A27stdlife+$F389),(Input!$M$169*(1+vanilla6)^0.5)-SUM($M389:N389),(Input!$M$169*(1+vanilla6)^0.5)/A27stdlife))</f>
        <v>0</v>
      </c>
      <c r="P389" s="68">
        <f>IF(A27stdlife="n/a","n/a",IF(P$3&gt;(A27stdlife+$F389),(Input!$M$169*(1+vanilla6)^0.5)-SUM($M389:O389),(Input!$M$169*(1+vanilla6)^0.5)/A27stdlife))</f>
        <v>0</v>
      </c>
      <c r="Q389" s="68">
        <f>IF(A27stdlife="n/a","n/a",IF(Q$3&gt;(A27stdlife+$F389),(Input!$M$169*(1+vanilla6)^0.5)-SUM($M389:P389),(Input!$M$169*(1+vanilla6)^0.5)/A27stdlife))</f>
        <v>0</v>
      </c>
      <c r="R389" s="68"/>
      <c r="S389" s="103"/>
      <c r="T389" s="103"/>
      <c r="U389" s="103"/>
      <c r="V389" s="103"/>
      <c r="W389" s="103"/>
      <c r="X389" s="103"/>
      <c r="Y389" s="103"/>
      <c r="Z389" s="103"/>
      <c r="AA389" s="103"/>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656"/>
      <c r="F390" s="86">
        <v>7</v>
      </c>
      <c r="G390" s="27"/>
      <c r="H390" s="148"/>
      <c r="I390" s="150"/>
      <c r="J390" s="150"/>
      <c r="K390" s="150"/>
      <c r="L390" s="150"/>
      <c r="M390" s="150"/>
      <c r="N390" s="149"/>
      <c r="O390" s="68">
        <f>IF(A27stdlife="n/a","n/a",IF(O$3&gt;(A27stdlife+$F390),(Input!N$169*(1+vanilla7)^0.5)-SUM($N390:N390),(Input!$N$169*(1+vanilla7)^0.5)/A27stdlife))</f>
        <v>0</v>
      </c>
      <c r="P390" s="68">
        <f>IF(A27stdlife="n/a","n/a",IF(P$3&gt;(A27stdlife+$F390),(Input!O$169*(1+vanilla7)^0.5)-SUM($N390:O390),(Input!$N$169*(1+vanilla7)^0.5)/A27stdlife))</f>
        <v>0</v>
      </c>
      <c r="Q390" s="68">
        <f>IF(A27stdlife="n/a","n/a",IF(Q$3&gt;(A27stdlife+$F390),(Input!P$169*(1+vanilla7)^0.5)-SUM($N390:P390),(Input!$N$169*(1+vanilla7)^0.5)/A27stdlife))</f>
        <v>0</v>
      </c>
      <c r="R390" s="68"/>
      <c r="S390" s="103"/>
      <c r="T390" s="103"/>
      <c r="U390" s="103"/>
      <c r="V390" s="103"/>
      <c r="W390" s="103"/>
      <c r="X390" s="103"/>
      <c r="Y390" s="103"/>
      <c r="Z390" s="103"/>
      <c r="AA390" s="103"/>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656"/>
      <c r="F391" s="86">
        <v>8</v>
      </c>
      <c r="G391" s="27"/>
      <c r="H391" s="148"/>
      <c r="I391" s="150"/>
      <c r="J391" s="150"/>
      <c r="K391" s="150"/>
      <c r="L391" s="150"/>
      <c r="M391" s="150"/>
      <c r="N391" s="150"/>
      <c r="O391" s="149"/>
      <c r="P391" s="68">
        <f>IF(A27stdlife="n/a","n/a",IF(P$3&gt;(A27stdlife+$F391),(Input!$O$169*(1+vanilla8)^0.5)-SUM($O391:O391),(Input!$O$169*(1+vanilla8)^0.5)/A27stdlife))</f>
        <v>0</v>
      </c>
      <c r="Q391" s="68">
        <f>IF(A27stdlife="n/a","n/a",IF(Q$3&gt;(A27stdlife+$F391),(Input!$O$169*(1+vanilla8)^0.5)-SUM($O391:P391),(Input!$O$169*(1+vanilla8)^0.5)/A27stdlife))</f>
        <v>0</v>
      </c>
      <c r="R391" s="68"/>
      <c r="S391" s="103"/>
      <c r="T391" s="103"/>
      <c r="U391" s="103"/>
      <c r="V391" s="103"/>
      <c r="W391" s="103"/>
      <c r="X391" s="103"/>
      <c r="Y391" s="103"/>
      <c r="Z391" s="103"/>
      <c r="AA391" s="103"/>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656"/>
      <c r="F392" s="86">
        <v>9</v>
      </c>
      <c r="G392" s="27"/>
      <c r="H392" s="148"/>
      <c r="I392" s="150"/>
      <c r="J392" s="150"/>
      <c r="K392" s="150"/>
      <c r="L392" s="150"/>
      <c r="M392" s="150"/>
      <c r="N392" s="150"/>
      <c r="O392" s="150"/>
      <c r="P392" s="149"/>
      <c r="Q392" s="68">
        <f>IF(A27stdlife="n/a","n/a",IF(Q$3&gt;(A27stdlife+$F392),(Input!$P$169*(1+vanilla9)^0.5)-SUM($P392:P392),(Input!$P$169*(1+vanilla9)^0.5)/A27stdlife))</f>
        <v>0</v>
      </c>
      <c r="R392" s="68"/>
      <c r="S392" s="103"/>
      <c r="T392" s="103"/>
      <c r="U392" s="103"/>
      <c r="V392" s="103"/>
      <c r="W392" s="103"/>
      <c r="X392" s="103"/>
      <c r="Y392" s="103"/>
      <c r="Z392" s="103"/>
      <c r="AA392" s="103"/>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656"/>
      <c r="F393" s="87">
        <v>10</v>
      </c>
      <c r="G393" s="27"/>
      <c r="H393" s="148"/>
      <c r="I393" s="150"/>
      <c r="J393" s="150"/>
      <c r="K393" s="150"/>
      <c r="L393" s="150"/>
      <c r="M393" s="150"/>
      <c r="N393" s="150"/>
      <c r="O393" s="150"/>
      <c r="P393" s="150"/>
      <c r="Q393" s="149"/>
      <c r="R393" s="68"/>
      <c r="S393" s="103"/>
      <c r="T393" s="103"/>
      <c r="U393" s="103"/>
      <c r="V393" s="103"/>
      <c r="W393" s="103"/>
      <c r="X393" s="103"/>
      <c r="Y393" s="103"/>
      <c r="Z393" s="103"/>
      <c r="AA393" s="103"/>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3"/>
      <c r="H394" s="167">
        <f>-SUM(H382:H393)</f>
        <v>0</v>
      </c>
      <c r="I394" s="167">
        <f>-SUM(I382:I393)</f>
        <v>0</v>
      </c>
      <c r="J394" s="167">
        <f>-SUM(J382:J393)</f>
        <v>0</v>
      </c>
      <c r="K394" s="167">
        <f>-SUM(K382:K393)</f>
        <v>0</v>
      </c>
      <c r="L394" s="167">
        <f>-SUM(L382:L393)</f>
        <v>0</v>
      </c>
      <c r="M394" s="167">
        <f>IF(Input!M173&gt;0, -SUM(M382:M393), 0)</f>
        <v>0</v>
      </c>
      <c r="N394" s="167">
        <f>IF(Input!N173&gt;0, -SUM(N382:N393), 0)</f>
        <v>0</v>
      </c>
      <c r="O394" s="167">
        <f>IF(Input!O173&gt;0, -SUM(O382:O393), 0)</f>
        <v>0</v>
      </c>
      <c r="P394" s="167">
        <f>IF(Input!P173&gt;0, -SUM(P382:P393), 0)</f>
        <v>0</v>
      </c>
      <c r="Q394" s="167">
        <f>IF(Input!Q173&gt;0, -SUM(Q382:Q393), 0)</f>
        <v>0</v>
      </c>
      <c r="R394" s="66"/>
      <c r="S394" s="105"/>
      <c r="T394" s="105"/>
      <c r="U394" s="105"/>
      <c r="V394" s="105"/>
      <c r="W394" s="105"/>
      <c r="X394" s="105"/>
      <c r="Y394" s="105"/>
      <c r="Z394" s="105"/>
      <c r="AA394" s="105"/>
      <c r="AB394" s="232"/>
      <c r="AC394" s="232"/>
      <c r="AD394" s="232"/>
      <c r="AE394" s="232"/>
      <c r="AF394" s="232"/>
      <c r="AG394" s="232"/>
      <c r="AH394" s="232"/>
      <c r="AI394" s="232"/>
      <c r="AJ394" s="232"/>
      <c r="AK394" s="232"/>
      <c r="AL394" s="232"/>
      <c r="AM394" s="232"/>
      <c r="AN394" s="232"/>
      <c r="AO394" s="232"/>
      <c r="AP394" s="232"/>
      <c r="AQ394" s="232"/>
      <c r="AR394" s="232"/>
      <c r="AS394" s="232"/>
      <c r="AT394" s="232"/>
      <c r="AU394" s="232"/>
      <c r="AV394" s="232"/>
      <c r="AW394" s="232"/>
      <c r="AX394" s="232"/>
      <c r="AY394" s="232"/>
      <c r="AZ394" s="232"/>
      <c r="BA394" s="232"/>
      <c r="BB394" s="232"/>
      <c r="BC394" s="232"/>
      <c r="BD394" s="105"/>
      <c r="BE394" s="105"/>
      <c r="BF394" s="105"/>
      <c r="BG394" s="105"/>
      <c r="BH394" s="105"/>
      <c r="BI394" s="105"/>
      <c r="BJ394" s="105"/>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3"/>
      <c r="E395" s="34" t="s">
        <v>28</v>
      </c>
      <c r="F395" s="33"/>
      <c r="G395" s="176"/>
      <c r="H395" s="67">
        <f>IF(H$3&gt;A28remlife,A28value-SUM($G395:G395),IF(A28remlife="N/A","n/a",A28value/A28remlife))</f>
        <v>0</v>
      </c>
      <c r="I395" s="67">
        <f>IF(I$3&gt;A28remlife,A28value-SUM($G395:H395),IF(A28remlife="N/A","n/a",A28value/A28remlife))</f>
        <v>0</v>
      </c>
      <c r="J395" s="67">
        <f>IF(J$3&gt;A28remlife,A28value-SUM($G395:I395),IF(A28remlife="N/A","n/a",A28value/A28remlife))</f>
        <v>0</v>
      </c>
      <c r="K395" s="67">
        <f>IF(K$3&gt;A28remlife,A28value-SUM($G395:J395),IF(A28remlife="N/A","n/a",A28value/A28remlife))</f>
        <v>0</v>
      </c>
      <c r="L395" s="67">
        <f>IF(L$3&gt;A28remlife,A28value-SUM($G395:K395),IF(A28remlife="N/A","n/a",A28value/A28remlife))</f>
        <v>0</v>
      </c>
      <c r="M395" s="67">
        <f>IF(M$3&gt;A28remlife,A28value-SUM($G395:L395),IF(A28remlife="N/A","n/a",A28value/A28remlife))</f>
        <v>0</v>
      </c>
      <c r="N395" s="67">
        <f>IF(N$3&gt;A28remlife,A28value-SUM($G395:M395),IF(A28remlife="N/A","n/a",A28value/A28remlife))</f>
        <v>0</v>
      </c>
      <c r="O395" s="67">
        <f>IF(O$3&gt;A28remlife,A28value-SUM($G395:N395),IF(A28remlife="N/A","n/a",A28value/A28remlife))</f>
        <v>0</v>
      </c>
      <c r="P395" s="67">
        <f>IF(P$3&gt;A28remlife,A28value-SUM($G395:O395),IF(A28remlife="N/A","n/a",A28value/A28remlife))</f>
        <v>0</v>
      </c>
      <c r="Q395" s="67">
        <f>IF(Q$3&gt;A28remlife,A28value-SUM($G395:P395),IF(A28remlife="N/A","n/a",A28value/A28remlife))</f>
        <v>0</v>
      </c>
      <c r="R395" s="67"/>
      <c r="S395" s="103"/>
      <c r="T395" s="103"/>
      <c r="U395" s="103"/>
      <c r="V395" s="103"/>
      <c r="W395" s="103"/>
      <c r="X395" s="103"/>
      <c r="Y395" s="103"/>
      <c r="Z395" s="103"/>
      <c r="AA395" s="103"/>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655" t="s">
        <v>84</v>
      </c>
      <c r="F396" s="86">
        <v>0</v>
      </c>
      <c r="G396" s="123"/>
      <c r="H396" s="68"/>
      <c r="I396" s="68"/>
      <c r="J396" s="68"/>
      <c r="K396" s="68"/>
      <c r="L396" s="68"/>
      <c r="M396" s="165"/>
      <c r="N396" s="113"/>
      <c r="O396" s="68"/>
      <c r="P396" s="68"/>
      <c r="Q396" s="68"/>
      <c r="R396" s="68"/>
      <c r="S396" s="103"/>
      <c r="T396" s="103"/>
      <c r="U396" s="103"/>
      <c r="V396" s="103"/>
      <c r="W396" s="103"/>
      <c r="X396" s="103"/>
      <c r="Y396" s="103"/>
      <c r="Z396" s="103"/>
      <c r="AA396" s="103"/>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656"/>
      <c r="F397" s="86">
        <v>1</v>
      </c>
      <c r="G397" s="123"/>
      <c r="H397" s="147"/>
      <c r="I397" s="68">
        <f>IF(A28stdlife="n/a","n/a",IF(I$3&gt;(A28stdlife+$F397),(Input!$H$170*(1+vanilla1)^0.5)-SUM($H397:H397),(Input!$H$170*(1+vanilla1)^0.5)/A28stdlife))</f>
        <v>0</v>
      </c>
      <c r="J397" s="68">
        <f>IF(A28stdlife="n/a","n/a",IF(J$3&gt;(A28stdlife+$F397),(Input!$H$170*(1+vanilla1)^0.5)-SUM($H397:I397),(Input!$H$170*(1+vanilla1)^0.5)/A28stdlife))</f>
        <v>0</v>
      </c>
      <c r="K397" s="68">
        <f>IF(A28stdlife="n/a","n/a",IF(K$3&gt;(A28stdlife+$F397),(Input!$H$170*(1+vanilla1)^0.5)-SUM($H397:J397),(Input!$H$170*(1+vanilla1)^0.5)/A28stdlife))</f>
        <v>0</v>
      </c>
      <c r="L397" s="68">
        <f>IF(A28stdlife="n/a","n/a",IF(L$3&gt;(A28stdlife+$F397),(Input!$H$170*(1+vanilla1)^0.5)-SUM($H397:K397),(Input!$H$170*(1+vanilla1)^0.5)/A28stdlife))</f>
        <v>0</v>
      </c>
      <c r="M397" s="68">
        <f>IF(A28stdlife="n/a","n/a",IF(M$3&gt;(A28stdlife+$F397),(Input!$H$170*(1+vanilla1)^0.5)-SUM($H397:L397),(Input!$H$170*(1+vanilla1)^0.5)/A28stdlife))</f>
        <v>0</v>
      </c>
      <c r="N397" s="68">
        <f>IF(A28stdlife="n/a","n/a",IF(N$3&gt;(A28stdlife+$F397),(Input!$H$170*(1+vanilla1)^0.5)-SUM($H397:M397),(Input!$H$170*(1+vanilla1)^0.5)/A28stdlife))</f>
        <v>0</v>
      </c>
      <c r="O397" s="68">
        <f>IF(A28stdlife="n/a","n/a",IF(O$3&gt;(A28stdlife+$F397),(Input!$H$170*(1+vanilla1)^0.5)-SUM($H397:N397),(Input!$H$170*(1+vanilla1)^0.5)/A28stdlife))</f>
        <v>0</v>
      </c>
      <c r="P397" s="68">
        <f>IF(A28stdlife="n/a","n/a",IF(P$3&gt;(A28stdlife+$F397),(Input!$H$170*(1+vanilla1)^0.5)-SUM($H397:O397),(Input!$H$170*(1+vanilla1)^0.5)/A28stdlife))</f>
        <v>0</v>
      </c>
      <c r="Q397" s="68">
        <f>IF(A28stdlife="n/a","n/a",IF(Q$3&gt;(A28stdlife+$F397),(Input!$H$170*(1+vanilla1)^0.5)-SUM($H397:P397),(Input!$H$170*(1+vanilla1)^0.5)/A28stdlife))</f>
        <v>0</v>
      </c>
      <c r="R397" s="68"/>
      <c r="S397" s="103"/>
      <c r="T397" s="103"/>
      <c r="U397" s="103"/>
      <c r="V397" s="103"/>
      <c r="W397" s="103"/>
      <c r="X397" s="103"/>
      <c r="Y397" s="103"/>
      <c r="Z397" s="103"/>
      <c r="AA397" s="103"/>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656"/>
      <c r="F398" s="86">
        <v>2</v>
      </c>
      <c r="G398" s="123"/>
      <c r="H398" s="148"/>
      <c r="I398" s="149"/>
      <c r="J398" s="68">
        <f>IF(A28stdlife="n/a","n/a",IF(J$3&gt;(A28stdlife+$F398),(Input!$I$170*(1+vanilla2)^0.5)-SUM($I398:I398),(Input!$I$170*(1+vanilla2)^0.5)/A28stdlife))</f>
        <v>0</v>
      </c>
      <c r="K398" s="68">
        <f>IF(A28stdlife="n/a","n/a",IF(K$3&gt;(A28stdlife+$F398),(Input!$I$170*(1+vanilla2)^0.5)-SUM($I398:J398),(Input!$I$170*(1+vanilla2)^0.5)/A28stdlife))</f>
        <v>0</v>
      </c>
      <c r="L398" s="68">
        <f>IF(A28stdlife="n/a","n/a",IF(L$3&gt;(A28stdlife+$F398),(Input!$I$170*(1+vanilla2)^0.5)-SUM($I398:K398),(Input!$I$170*(1+vanilla2)^0.5)/A28stdlife))</f>
        <v>0</v>
      </c>
      <c r="M398" s="68">
        <f>IF(A28stdlife="n/a","n/a",IF(M$3&gt;(A28stdlife+$F398),(Input!$I$170*(1+vanilla2)^0.5)-SUM($I398:L398),(Input!$I$170*(1+vanilla2)^0.5)/A28stdlife))</f>
        <v>0</v>
      </c>
      <c r="N398" s="68">
        <f>IF(A28stdlife="n/a","n/a",IF(N$3&gt;(A28stdlife+$F398),(Input!$I$170*(1+vanilla2)^0.5)-SUM($I398:M398),(Input!$I$170*(1+vanilla2)^0.5)/A28stdlife))</f>
        <v>0</v>
      </c>
      <c r="O398" s="68">
        <f>IF(A28stdlife="n/a","n/a",IF(O$3&gt;(A28stdlife+$F398),(Input!$I$170*(1+vanilla2)^0.5)-SUM($I398:N398),(Input!$I$170*(1+vanilla2)^0.5)/A28stdlife))</f>
        <v>0</v>
      </c>
      <c r="P398" s="68">
        <f>IF(A28stdlife="n/a","n/a",IF(P$3&gt;(A28stdlife+$F398),(Input!$I$170*(1+vanilla2)^0.5)-SUM($I398:O398),(Input!$I$170*(1+vanilla2)^0.5)/A28stdlife))</f>
        <v>0</v>
      </c>
      <c r="Q398" s="68">
        <f>IF(A28stdlife="n/a","n/a",IF(Q$3&gt;(A28stdlife+$F398),(Input!$I$170*(1+vanilla2)^0.5)-SUM($I398:P398),(Input!$I$170*(1+vanilla2)^0.5)/A28stdlife))</f>
        <v>0</v>
      </c>
      <c r="R398" s="68"/>
      <c r="S398" s="103"/>
      <c r="T398" s="103"/>
      <c r="U398" s="103"/>
      <c r="V398" s="103"/>
      <c r="W398" s="103"/>
      <c r="X398" s="103"/>
      <c r="Y398" s="103"/>
      <c r="Z398" s="103"/>
      <c r="AA398" s="103"/>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656"/>
      <c r="F399" s="86">
        <v>3</v>
      </c>
      <c r="G399" s="123"/>
      <c r="H399" s="148"/>
      <c r="I399" s="150"/>
      <c r="J399" s="149"/>
      <c r="K399" s="68">
        <f>IF(A28stdlife="n/a","n/a",IF(K$3&gt;(A28stdlife+$F399),(Input!$J$170*(1+vanilla3)^0.5)-SUM($J399:J399),(Input!$J$170*(1+vanilla3)^0.5)/A28stdlife))</f>
        <v>0</v>
      </c>
      <c r="L399" s="68">
        <f>IF(A28stdlife="n/a","n/a",IF(L$3&gt;(A28stdlife+$F399),(Input!$J$170*(1+vanilla3)^0.5)-SUM($J399:K399),(Input!$J$170*(1+vanilla3)^0.5)/A28stdlife))</f>
        <v>0</v>
      </c>
      <c r="M399" s="68">
        <f>IF(A28stdlife="n/a","n/a",IF(M$3&gt;(A28stdlife+$F399),(Input!$J$170*(1+vanilla3)^0.5)-SUM($J399:L399),(Input!$J$170*(1+vanilla3)^0.5)/A28stdlife))</f>
        <v>0</v>
      </c>
      <c r="N399" s="68">
        <f>IF(A28stdlife="n/a","n/a",IF(N$3&gt;(A28stdlife+$F399),(Input!$J$170*(1+vanilla3)^0.5)-SUM($J399:M399),(Input!$J$170*(1+vanilla3)^0.5)/A28stdlife))</f>
        <v>0</v>
      </c>
      <c r="O399" s="68">
        <f>IF(A28stdlife="n/a","n/a",IF(O$3&gt;(A28stdlife+$F399),(Input!$J$170*(1+vanilla3)^0.5)-SUM($J399:N399),(Input!$J$170*(1+vanilla3)^0.5)/A28stdlife))</f>
        <v>0</v>
      </c>
      <c r="P399" s="68">
        <f>IF(A28stdlife="n/a","n/a",IF(P$3&gt;(A28stdlife+$F399),(Input!$J$170*(1+vanilla3)^0.5)-SUM($J399:O399),(Input!$J$170*(1+vanilla3)^0.5)/A28stdlife))</f>
        <v>0</v>
      </c>
      <c r="Q399" s="68">
        <f>IF(A28stdlife="n/a","n/a",IF(Q$3&gt;(A28stdlife+$F399),(Input!$J$170*(1+vanilla3)^0.5)-SUM($J399:P399),(Input!$J$170*(1+vanilla3)^0.5)/A28stdlife))</f>
        <v>0</v>
      </c>
      <c r="R399" s="68"/>
      <c r="S399" s="103"/>
      <c r="T399" s="103"/>
      <c r="U399" s="103"/>
      <c r="V399" s="103"/>
      <c r="W399" s="103"/>
      <c r="X399" s="103"/>
      <c r="Y399" s="103"/>
      <c r="Z399" s="103"/>
      <c r="AA399" s="103"/>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656"/>
      <c r="F400" s="86">
        <v>4</v>
      </c>
      <c r="G400" s="123"/>
      <c r="H400" s="148"/>
      <c r="I400" s="150"/>
      <c r="J400" s="150"/>
      <c r="K400" s="149"/>
      <c r="L400" s="68">
        <f>IF(A28stdlife="n/a","n/a",IF(L$3&gt;(A28stdlife+$F400),(Input!$K$170*(1+vanilla4)^0.5)-SUM($K400:K400),(Input!$K$170*(1+vanilla4)^0.5)/A28stdlife))</f>
        <v>0</v>
      </c>
      <c r="M400" s="68">
        <f>IF(A28stdlife="n/a","n/a",IF(M$3&gt;(A28stdlife+$F400),(Input!$K$170*(1+vanilla4)^0.5)-SUM($K400:L400),(Input!$K$170*(1+vanilla4)^0.5)/A28stdlife))</f>
        <v>0</v>
      </c>
      <c r="N400" s="68">
        <f>IF(A28stdlife="n/a","n/a",IF(N$3&gt;(A28stdlife+$F400),(Input!$K$170*(1+vanilla4)^0.5)-SUM($K400:M400),(Input!$K$170*(1+vanilla4)^0.5)/A28stdlife))</f>
        <v>0</v>
      </c>
      <c r="O400" s="68">
        <f>IF(A28stdlife="n/a","n/a",IF(O$3&gt;(A28stdlife+$F400),(Input!$K$170*(1+vanilla4)^0.5)-SUM($K400:N400),(Input!$K$170*(1+vanilla4)^0.5)/A28stdlife))</f>
        <v>0</v>
      </c>
      <c r="P400" s="68">
        <f>IF(A28stdlife="n/a","n/a",IF(P$3&gt;(A28stdlife+$F400),(Input!$K$170*(1+vanilla4)^0.5)-SUM($K400:O400),(Input!$K$170*(1+vanilla4)^0.5)/A28stdlife))</f>
        <v>0</v>
      </c>
      <c r="Q400" s="68">
        <f>IF(A28stdlife="n/a","n/a",IF(Q$3&gt;(A28stdlife+$F400),(Input!$K$170*(1+vanilla4)^0.5)-SUM($K400:P400),(Input!$K$170*(1+vanilla4)^0.5)/A28stdlife))</f>
        <v>0</v>
      </c>
      <c r="R400" s="68"/>
      <c r="S400" s="103"/>
      <c r="T400" s="103"/>
      <c r="U400" s="103"/>
      <c r="V400" s="103"/>
      <c r="W400" s="103"/>
      <c r="X400" s="103"/>
      <c r="Y400" s="103"/>
      <c r="Z400" s="103"/>
      <c r="AA400" s="103"/>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103"/>
      <c r="BE400" s="103"/>
      <c r="BF400" s="103"/>
      <c r="BG400" s="103"/>
      <c r="BH400" s="103"/>
      <c r="BI400" s="103"/>
      <c r="BJ400" s="103"/>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656"/>
      <c r="F401" s="86">
        <v>5</v>
      </c>
      <c r="G401" s="27"/>
      <c r="H401" s="148"/>
      <c r="I401" s="150"/>
      <c r="J401" s="150"/>
      <c r="K401" s="150"/>
      <c r="L401" s="149"/>
      <c r="M401" s="68">
        <f>IF(A28stdlife="n/a","n/a",IF(M$3&gt;(A28stdlife+$F401),(Input!$L$170*(1+vanilla5)^0.5)-SUM($L401:L401),(Input!$L$170*(1+vanilla5)^0.5)/A28stdlife))</f>
        <v>0</v>
      </c>
      <c r="N401" s="68">
        <f>IF(A28stdlife="n/a","n/a",IF(N$3&gt;(A28stdlife+$F401),(Input!$L$170*(1+vanilla5)^0.5)-SUM($L401:M401),(Input!$L$170*(1+vanilla5)^0.5)/A28stdlife))</f>
        <v>0</v>
      </c>
      <c r="O401" s="68">
        <f>IF(A28stdlife="n/a","n/a",IF(O$3&gt;(A28stdlife+$F401),(Input!$L$170*(1+vanilla5)^0.5)-SUM($L401:N401),(Input!$L$170*(1+vanilla5)^0.5)/A28stdlife))</f>
        <v>0</v>
      </c>
      <c r="P401" s="68">
        <f>IF(A28stdlife="n/a","n/a",IF(P$3&gt;(A28stdlife+$F401),(Input!$L$170*(1+vanilla5)^0.5)-SUM($L401:O401),(Input!$L$170*(1+vanilla5)^0.5)/A28stdlife))</f>
        <v>0</v>
      </c>
      <c r="Q401" s="68">
        <f>IF(A28stdlife="n/a","n/a",IF(Q$3&gt;(A28stdlife+$F401),(Input!$L$170*(1+vanilla5)^0.5)-SUM($L401:P401),(Input!$L$170*(1+vanilla5)^0.5)/A28stdlife))</f>
        <v>0</v>
      </c>
      <c r="R401" s="68"/>
      <c r="S401" s="103"/>
      <c r="T401" s="103"/>
      <c r="U401" s="103"/>
      <c r="V401" s="103"/>
      <c r="W401" s="103"/>
      <c r="X401" s="103"/>
      <c r="Y401" s="103"/>
      <c r="Z401" s="103"/>
      <c r="AA401" s="103"/>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656"/>
      <c r="F402" s="86">
        <v>6</v>
      </c>
      <c r="G402" s="27"/>
      <c r="H402" s="148"/>
      <c r="I402" s="150"/>
      <c r="J402" s="150"/>
      <c r="K402" s="150"/>
      <c r="L402" s="150"/>
      <c r="M402" s="149"/>
      <c r="N402" s="68">
        <f>IF(A28stdlife="n/a","n/a",IF(N$3&gt;(A28stdlife+$F402),(Input!$M$170*(1+vanilla6)^0.5)-SUM($M402:M402),(Input!$M$170*(1+vanilla6)^0.5)/A28stdlife))</f>
        <v>0</v>
      </c>
      <c r="O402" s="68">
        <f>IF(A28stdlife="n/a","n/a",IF(O$3&gt;(A28stdlife+$F402),(Input!$M$170*(1+vanilla6)^0.5)-SUM($M402:N402),(Input!$M$170*(1+vanilla6)^0.5)/A28stdlife))</f>
        <v>0</v>
      </c>
      <c r="P402" s="68">
        <f>IF(A28stdlife="n/a","n/a",IF(P$3&gt;(A28stdlife+$F402),(Input!$M$170*(1+vanilla6)^0.5)-SUM($M402:O402),(Input!$M$170*(1+vanilla6)^0.5)/A28stdlife))</f>
        <v>0</v>
      </c>
      <c r="Q402" s="68">
        <f>IF(A28stdlife="n/a","n/a",IF(Q$3&gt;(A28stdlife+$F402),(Input!$M$170*(1+vanilla6)^0.5)-SUM($M402:P402),(Input!$M$170*(1+vanilla6)^0.5)/A28stdlife))</f>
        <v>0</v>
      </c>
      <c r="R402" s="68"/>
      <c r="S402" s="103"/>
      <c r="T402" s="103"/>
      <c r="U402" s="103"/>
      <c r="V402" s="103"/>
      <c r="W402" s="103"/>
      <c r="X402" s="103"/>
      <c r="Y402" s="103"/>
      <c r="Z402" s="103"/>
      <c r="AA402" s="103"/>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656"/>
      <c r="F403" s="86">
        <v>7</v>
      </c>
      <c r="G403" s="27"/>
      <c r="H403" s="148"/>
      <c r="I403" s="150"/>
      <c r="J403" s="150"/>
      <c r="K403" s="150"/>
      <c r="L403" s="150"/>
      <c r="M403" s="150"/>
      <c r="N403" s="149"/>
      <c r="O403" s="68">
        <f>IF(A28stdlife="n/a","n/a",IF(O$3&gt;(A28stdlife+$F403),(Input!N$170*(1+vanilla7)^0.5)-SUM($N403:N403),(Input!$N$170*(1+vanilla7)^0.5)/A28stdlife))</f>
        <v>0</v>
      </c>
      <c r="P403" s="68">
        <f>IF(A28stdlife="n/a","n/a",IF(P$3&gt;(A28stdlife+$F403),(Input!O$170*(1+vanilla7)^0.5)-SUM($N403:O403),(Input!$N$170*(1+vanilla7)^0.5)/A28stdlife))</f>
        <v>0</v>
      </c>
      <c r="Q403" s="68">
        <f>IF(A28stdlife="n/a","n/a",IF(Q$3&gt;(A28stdlife+$F403),(Input!P$170*(1+vanilla7)^0.5)-SUM($N403:P403),(Input!$N$170*(1+vanilla7)^0.5)/A28stdlife))</f>
        <v>0</v>
      </c>
      <c r="R403" s="68"/>
      <c r="S403" s="103"/>
      <c r="T403" s="103"/>
      <c r="U403" s="103"/>
      <c r="V403" s="103"/>
      <c r="W403" s="103"/>
      <c r="X403" s="103"/>
      <c r="Y403" s="103"/>
      <c r="Z403" s="103"/>
      <c r="AA403" s="103"/>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656"/>
      <c r="F404" s="86">
        <v>8</v>
      </c>
      <c r="G404" s="27"/>
      <c r="H404" s="148"/>
      <c r="I404" s="150"/>
      <c r="J404" s="150"/>
      <c r="K404" s="150"/>
      <c r="L404" s="150"/>
      <c r="M404" s="150"/>
      <c r="N404" s="150"/>
      <c r="O404" s="149"/>
      <c r="P404" s="68">
        <f>IF(A28stdlife="n/a","n/a",IF(P$3&gt;(A28stdlife+$F404),(Input!$O$170*(1+vanilla8)^0.5)-SUM($O404:O404),(Input!$O$170*(1+vanilla8)^0.5)/A28stdlife))</f>
        <v>0</v>
      </c>
      <c r="Q404" s="68">
        <f>IF(A28stdlife="n/a","n/a",IF(Q$3&gt;(A28stdlife+$F404),(Input!$O$170*(1+vanilla8)^0.5)-SUM($O404:P404),(Input!$O$170*(1+vanilla8)^0.5)/A28stdlife))</f>
        <v>0</v>
      </c>
      <c r="R404" s="68"/>
      <c r="S404" s="103"/>
      <c r="T404" s="103"/>
      <c r="U404" s="103"/>
      <c r="V404" s="103"/>
      <c r="W404" s="103"/>
      <c r="X404" s="103"/>
      <c r="Y404" s="103"/>
      <c r="Z404" s="103"/>
      <c r="AA404" s="103"/>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656"/>
      <c r="F405" s="86">
        <v>9</v>
      </c>
      <c r="G405" s="27"/>
      <c r="H405" s="148"/>
      <c r="I405" s="150"/>
      <c r="J405" s="150"/>
      <c r="K405" s="150"/>
      <c r="L405" s="150"/>
      <c r="M405" s="150"/>
      <c r="N405" s="150"/>
      <c r="O405" s="150"/>
      <c r="P405" s="149"/>
      <c r="Q405" s="68">
        <f>IF(A28stdlife="n/a","n/a",IF(Q$3&gt;(A28stdlife+$F405),(Input!$P$170*(1+vanilla9)^0.5)-SUM($P405:P405),(Input!$P$170*(1+vanilla9)^0.5)/A28stdlife))</f>
        <v>0</v>
      </c>
      <c r="R405" s="68"/>
      <c r="S405" s="103"/>
      <c r="T405" s="103"/>
      <c r="U405" s="103"/>
      <c r="V405" s="103"/>
      <c r="W405" s="103"/>
      <c r="X405" s="103"/>
      <c r="Y405" s="103"/>
      <c r="Z405" s="103"/>
      <c r="AA405" s="103"/>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656"/>
      <c r="F406" s="87">
        <v>10</v>
      </c>
      <c r="G406" s="27"/>
      <c r="H406" s="148"/>
      <c r="I406" s="150"/>
      <c r="J406" s="150"/>
      <c r="K406" s="150"/>
      <c r="L406" s="150"/>
      <c r="M406" s="150"/>
      <c r="N406" s="150"/>
      <c r="O406" s="150"/>
      <c r="P406" s="150"/>
      <c r="Q406" s="149"/>
      <c r="R406" s="68"/>
      <c r="S406" s="103"/>
      <c r="T406" s="103"/>
      <c r="U406" s="103"/>
      <c r="V406" s="103"/>
      <c r="W406" s="103"/>
      <c r="X406" s="103"/>
      <c r="Y406" s="103"/>
      <c r="Z406" s="103"/>
      <c r="AA406" s="103"/>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3"/>
      <c r="H407" s="167">
        <f>-SUM(H395:H406)</f>
        <v>0</v>
      </c>
      <c r="I407" s="167">
        <f>-SUM(I395:I406)</f>
        <v>0</v>
      </c>
      <c r="J407" s="167">
        <f>-SUM(J395:J406)</f>
        <v>0</v>
      </c>
      <c r="K407" s="167">
        <f>-SUM(K395:K406)</f>
        <v>0</v>
      </c>
      <c r="L407" s="167">
        <f>-SUM(L395:L406)</f>
        <v>0</v>
      </c>
      <c r="M407" s="167">
        <f>IF(Input!M173&gt;0, -SUM(M395:M406), 0)</f>
        <v>0</v>
      </c>
      <c r="N407" s="167">
        <f>IF(Input!N173&gt;0, -SUM(N395:N406), 0)</f>
        <v>0</v>
      </c>
      <c r="O407" s="167">
        <f>IF(Input!O173&gt;0, -SUM(O395:O406), 0)</f>
        <v>0</v>
      </c>
      <c r="P407" s="167">
        <f>IF(Input!P173&gt;0, -SUM(P395:P406), 0)</f>
        <v>0</v>
      </c>
      <c r="Q407" s="167">
        <f>IF(Input!Q173&gt;0, -SUM(Q395:Q406), 0)</f>
        <v>0</v>
      </c>
      <c r="R407" s="66"/>
      <c r="S407" s="105"/>
      <c r="T407" s="105"/>
      <c r="U407" s="105"/>
      <c r="V407" s="105"/>
      <c r="W407" s="105"/>
      <c r="X407" s="105"/>
      <c r="Y407" s="105"/>
      <c r="Z407" s="105"/>
      <c r="AA407" s="105"/>
      <c r="AB407" s="232"/>
      <c r="AC407" s="232"/>
      <c r="AD407" s="232"/>
      <c r="AE407" s="232"/>
      <c r="AF407" s="232"/>
      <c r="AG407" s="232"/>
      <c r="AH407" s="232"/>
      <c r="AI407" s="232"/>
      <c r="AJ407" s="232"/>
      <c r="AK407" s="232"/>
      <c r="AL407" s="232"/>
      <c r="AM407" s="232"/>
      <c r="AN407" s="232"/>
      <c r="AO407" s="232"/>
      <c r="AP407" s="232"/>
      <c r="AQ407" s="232"/>
      <c r="AR407" s="232"/>
      <c r="AS407" s="232"/>
      <c r="AT407" s="232"/>
      <c r="AU407" s="232"/>
      <c r="AV407" s="232"/>
      <c r="AW407" s="232"/>
      <c r="AX407" s="232"/>
      <c r="AY407" s="232"/>
      <c r="AZ407" s="232"/>
      <c r="BA407" s="232"/>
      <c r="BB407" s="232"/>
      <c r="BC407" s="232"/>
      <c r="BD407" s="105"/>
      <c r="BE407" s="105"/>
      <c r="BF407" s="105"/>
      <c r="BG407" s="105"/>
      <c r="BH407" s="105"/>
      <c r="BI407" s="105"/>
      <c r="BJ407" s="105"/>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3"/>
      <c r="E408" s="34" t="s">
        <v>28</v>
      </c>
      <c r="F408" s="33"/>
      <c r="G408" s="176"/>
      <c r="H408" s="67">
        <f>IF(H$3&gt;A29remlife,A29value-SUM($G408:G408),IF(A29remlife="N/A","n/a",A29value/A29remlife))</f>
        <v>0</v>
      </c>
      <c r="I408" s="67">
        <f>IF(I$3&gt;A29remlife,A29value-SUM($G408:H408),IF(A29remlife="N/A","n/a",A29value/A29remlife))</f>
        <v>0</v>
      </c>
      <c r="J408" s="67">
        <f>IF(J$3&gt;A29remlife,A29value-SUM($G408:I408),IF(A29remlife="N/A","n/a",A29value/A29remlife))</f>
        <v>0</v>
      </c>
      <c r="K408" s="67">
        <f>IF(K$3&gt;A29remlife,A29value-SUM($G408:J408),IF(A29remlife="N/A","n/a",A29value/A29remlife))</f>
        <v>0</v>
      </c>
      <c r="L408" s="67">
        <f>IF(L$3&gt;A29remlife,A29value-SUM($G408:K408),IF(A29remlife="N/A","n/a",A29value/A29remlife))</f>
        <v>0</v>
      </c>
      <c r="M408" s="67">
        <f>IF(M$3&gt;A29remlife,A29value-SUM($G408:L408),IF(A29remlife="N/A","n/a",A29value/A29remlife))</f>
        <v>0</v>
      </c>
      <c r="N408" s="67">
        <f>IF(N$3&gt;A29remlife,A29value-SUM($G408:M408),IF(A29remlife="N/A","n/a",A29value/A29remlife))</f>
        <v>0</v>
      </c>
      <c r="O408" s="67">
        <f>IF(O$3&gt;A29remlife,A29value-SUM($G408:N408),IF(A29remlife="N/A","n/a",A29value/A29remlife))</f>
        <v>0</v>
      </c>
      <c r="P408" s="67">
        <f>IF(P$3&gt;A29remlife,A29value-SUM($G408:O408),IF(A29remlife="N/A","n/a",A29value/A29remlife))</f>
        <v>0</v>
      </c>
      <c r="Q408" s="67">
        <f>IF(Q$3&gt;A29remlife,A29value-SUM($G408:P408),IF(A29remlife="N/A","n/a",A29value/A29remlife))</f>
        <v>0</v>
      </c>
      <c r="R408" s="67"/>
      <c r="S408" s="103"/>
      <c r="T408" s="103"/>
      <c r="U408" s="103"/>
      <c r="V408" s="103"/>
      <c r="W408" s="103"/>
      <c r="X408" s="103"/>
      <c r="Y408" s="103"/>
      <c r="Z408" s="103"/>
      <c r="AA408" s="103"/>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655" t="s">
        <v>84</v>
      </c>
      <c r="F409" s="86">
        <v>0</v>
      </c>
      <c r="G409" s="123"/>
      <c r="H409" s="68"/>
      <c r="I409" s="68"/>
      <c r="J409" s="68"/>
      <c r="K409" s="68"/>
      <c r="L409" s="68"/>
      <c r="M409" s="165"/>
      <c r="N409" s="113"/>
      <c r="O409" s="68"/>
      <c r="P409" s="68"/>
      <c r="Q409" s="68"/>
      <c r="R409" s="68"/>
      <c r="S409" s="103"/>
      <c r="T409" s="103"/>
      <c r="U409" s="103"/>
      <c r="V409" s="103"/>
      <c r="W409" s="103"/>
      <c r="X409" s="103"/>
      <c r="Y409" s="103"/>
      <c r="Z409" s="103"/>
      <c r="AA409" s="103"/>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656"/>
      <c r="F410" s="86">
        <v>1</v>
      </c>
      <c r="G410" s="123"/>
      <c r="H410" s="147"/>
      <c r="I410" s="68">
        <f>IF(A29stdlife="n/a","n/a",IF(I$3&gt;(A29stdlife+$F410),(Input!$H$171*(1+vanilla1)^0.5)-SUM($H410:H410),(Input!$H$171*(1+vanilla1)^0.5)/A29stdlife))</f>
        <v>0</v>
      </c>
      <c r="J410" s="68">
        <f>IF(A29stdlife="n/a","n/a",IF(J$3&gt;(A29stdlife+$F410),(Input!$H$171*(1+vanilla1)^0.5)-SUM($H410:I410),(Input!$H$171*(1+vanilla1)^0.5)/A29stdlife))</f>
        <v>0</v>
      </c>
      <c r="K410" s="68">
        <f>IF(A29stdlife="n/a","n/a",IF(K$3&gt;(A29stdlife+$F410),(Input!$H$171*(1+vanilla1)^0.5)-SUM($H410:J410),(Input!$H$171*(1+vanilla1)^0.5)/A29stdlife))</f>
        <v>0</v>
      </c>
      <c r="L410" s="68">
        <f>IF(A29stdlife="n/a","n/a",IF(L$3&gt;(A29stdlife+$F410),(Input!$H$171*(1+vanilla1)^0.5)-SUM($H410:K410),(Input!$H$171*(1+vanilla1)^0.5)/A29stdlife))</f>
        <v>0</v>
      </c>
      <c r="M410" s="68">
        <f>IF(A29stdlife="n/a","n/a",IF(M$3&gt;(A29stdlife+$F410),(Input!$H$171*(1+vanilla1)^0.5)-SUM($H410:L410),(Input!$H$171*(1+vanilla1)^0.5)/A29stdlife))</f>
        <v>0</v>
      </c>
      <c r="N410" s="68">
        <f>IF(A29stdlife="n/a","n/a",IF(N$3&gt;(A29stdlife+$F410),(Input!$H$171*(1+vanilla1)^0.5)-SUM($H410:M410),(Input!$H$171*(1+vanilla1)^0.5)/A29stdlife))</f>
        <v>0</v>
      </c>
      <c r="O410" s="68">
        <f>IF(A29stdlife="n/a","n/a",IF(O$3&gt;(A29stdlife+$F410),(Input!$H$171*(1+vanilla1)^0.5)-SUM($H410:N410),(Input!$H$171*(1+vanilla1)^0.5)/A29stdlife))</f>
        <v>0</v>
      </c>
      <c r="P410" s="68">
        <f>IF(A29stdlife="n/a","n/a",IF(P$3&gt;(A29stdlife+$F410),(Input!$H$171*(1+vanilla1)^0.5)-SUM($H410:O410),(Input!$H$171*(1+vanilla1)^0.5)/A29stdlife))</f>
        <v>0</v>
      </c>
      <c r="Q410" s="68">
        <f>IF(A29stdlife="n/a","n/a",IF(Q$3&gt;(A29stdlife+$F410),(Input!$H$171*(1+vanilla1)^0.5)-SUM($H410:P410),(Input!$H$171*(1+vanilla1)^0.5)/A29stdlife))</f>
        <v>0</v>
      </c>
      <c r="R410" s="68"/>
      <c r="S410" s="103"/>
      <c r="T410" s="103"/>
      <c r="U410" s="103"/>
      <c r="V410" s="103"/>
      <c r="W410" s="103"/>
      <c r="X410" s="103"/>
      <c r="Y410" s="103"/>
      <c r="Z410" s="103"/>
      <c r="AA410" s="103"/>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656"/>
      <c r="F411" s="86">
        <v>2</v>
      </c>
      <c r="G411" s="123"/>
      <c r="H411" s="148"/>
      <c r="I411" s="149"/>
      <c r="J411" s="68">
        <f>IF(A29stdlife="n/a","n/a",IF(J$3&gt;(A29stdlife+$F411),(Input!$I$171*(1+vanilla2)^0.5)-SUM($I411:I411),(Input!$I$171*(1+vanilla2)^0.5)/A29stdlife))</f>
        <v>0</v>
      </c>
      <c r="K411" s="68">
        <f>IF(A29stdlife="n/a","n/a",IF(K$3&gt;(A29stdlife+$F411),(Input!$I$171*(1+vanilla2)^0.5)-SUM($I411:J411),(Input!$I$171*(1+vanilla2)^0.5)/A29stdlife))</f>
        <v>0</v>
      </c>
      <c r="L411" s="68">
        <f>IF(A29stdlife="n/a","n/a",IF(L$3&gt;(A29stdlife+$F411),(Input!$I$171*(1+vanilla2)^0.5)-SUM($I411:K411),(Input!$I$171*(1+vanilla2)^0.5)/A29stdlife))</f>
        <v>0</v>
      </c>
      <c r="M411" s="68">
        <f>IF(A29stdlife="n/a","n/a",IF(M$3&gt;(A29stdlife+$F411),(Input!$I$171*(1+vanilla2)^0.5)-SUM($I411:L411),(Input!$I$171*(1+vanilla2)^0.5)/A29stdlife))</f>
        <v>0</v>
      </c>
      <c r="N411" s="68">
        <f>IF(A29stdlife="n/a","n/a",IF(N$3&gt;(A29stdlife+$F411),(Input!$I$171*(1+vanilla2)^0.5)-SUM($I411:M411),(Input!$I$171*(1+vanilla2)^0.5)/A29stdlife))</f>
        <v>0</v>
      </c>
      <c r="O411" s="68">
        <f>IF(A29stdlife="n/a","n/a",IF(O$3&gt;(A29stdlife+$F411),(Input!$I$171*(1+vanilla2)^0.5)-SUM($I411:N411),(Input!$I$171*(1+vanilla2)^0.5)/A29stdlife))</f>
        <v>0</v>
      </c>
      <c r="P411" s="68">
        <f>IF(A29stdlife="n/a","n/a",IF(P$3&gt;(A29stdlife+$F411),(Input!$I$171*(1+vanilla2)^0.5)-SUM($I411:O411),(Input!$I$171*(1+vanilla2)^0.5)/A29stdlife))</f>
        <v>0</v>
      </c>
      <c r="Q411" s="68">
        <f>IF(A29stdlife="n/a","n/a",IF(Q$3&gt;(A29stdlife+$F411),(Input!$I$171*(1+vanilla2)^0.5)-SUM($I411:P411),(Input!$I$171*(1+vanilla2)^0.5)/A29stdlife))</f>
        <v>0</v>
      </c>
      <c r="R411" s="68"/>
      <c r="S411" s="103"/>
      <c r="T411" s="103"/>
      <c r="U411" s="103"/>
      <c r="V411" s="103"/>
      <c r="W411" s="103"/>
      <c r="X411" s="103"/>
      <c r="Y411" s="103"/>
      <c r="Z411" s="103"/>
      <c r="AA411" s="103"/>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656"/>
      <c r="F412" s="86">
        <v>3</v>
      </c>
      <c r="G412" s="123"/>
      <c r="H412" s="148"/>
      <c r="I412" s="150"/>
      <c r="J412" s="149"/>
      <c r="K412" s="68">
        <f>IF(A29stdlife="n/a","n/a",IF(K$3&gt;(A29stdlife+$F412),(Input!$J$171*(1+vanilla3)^0.5)-SUM($J412:J412),(Input!$J$171*(1+vanilla3)^0.5)/A29stdlife))</f>
        <v>0</v>
      </c>
      <c r="L412" s="68">
        <f>IF(A29stdlife="n/a","n/a",IF(L$3&gt;(A29stdlife+$F412),(Input!$J$171*(1+vanilla3)^0.5)-SUM($J412:K412),(Input!$J$171*(1+vanilla3)^0.5)/A29stdlife))</f>
        <v>0</v>
      </c>
      <c r="M412" s="68">
        <f>IF(A29stdlife="n/a","n/a",IF(M$3&gt;(A29stdlife+$F412),(Input!$J$171*(1+vanilla3)^0.5)-SUM($J412:L412),(Input!$J$171*(1+vanilla3)^0.5)/A29stdlife))</f>
        <v>0</v>
      </c>
      <c r="N412" s="68">
        <f>IF(A29stdlife="n/a","n/a",IF(N$3&gt;(A29stdlife+$F412),(Input!$J$171*(1+vanilla3)^0.5)-SUM($J412:M412),(Input!$J$171*(1+vanilla3)^0.5)/A29stdlife))</f>
        <v>0</v>
      </c>
      <c r="O412" s="68">
        <f>IF(A29stdlife="n/a","n/a",IF(O$3&gt;(A29stdlife+$F412),(Input!$J$171*(1+vanilla3)^0.5)-SUM($J412:N412),(Input!$J$171*(1+vanilla3)^0.5)/A29stdlife))</f>
        <v>0</v>
      </c>
      <c r="P412" s="68">
        <f>IF(A29stdlife="n/a","n/a",IF(P$3&gt;(A29stdlife+$F412),(Input!$J$171*(1+vanilla3)^0.5)-SUM($J412:O412),(Input!$J$171*(1+vanilla3)^0.5)/A29stdlife))</f>
        <v>0</v>
      </c>
      <c r="Q412" s="68">
        <f>IF(A29stdlife="n/a","n/a",IF(Q$3&gt;(A29stdlife+$F412),(Input!$J$171*(1+vanilla3)^0.5)-SUM($J412:P412),(Input!$J$171*(1+vanilla3)^0.5)/A29stdlife))</f>
        <v>0</v>
      </c>
      <c r="R412" s="68"/>
      <c r="S412" s="103"/>
      <c r="T412" s="103"/>
      <c r="U412" s="103"/>
      <c r="V412" s="103"/>
      <c r="W412" s="103"/>
      <c r="X412" s="103"/>
      <c r="Y412" s="103"/>
      <c r="Z412" s="103"/>
      <c r="AA412" s="103"/>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656"/>
      <c r="F413" s="86">
        <v>4</v>
      </c>
      <c r="G413" s="123"/>
      <c r="H413" s="148"/>
      <c r="I413" s="150"/>
      <c r="J413" s="150"/>
      <c r="K413" s="149"/>
      <c r="L413" s="68">
        <f>IF(A29stdlife="n/a","n/a",IF(L$3&gt;(A29stdlife+$F413),(Input!$K$171*(1+vanilla4)^0.5)-SUM($K413:K413),(Input!$K$171*(1+vanilla4)^0.5)/A29stdlife))</f>
        <v>0</v>
      </c>
      <c r="M413" s="68">
        <f>IF(A29stdlife="n/a","n/a",IF(M$3&gt;(A29stdlife+$F413),(Input!$K$171*(1+vanilla4)^0.5)-SUM($K413:L413),(Input!$K$171*(1+vanilla4)^0.5)/A29stdlife))</f>
        <v>0</v>
      </c>
      <c r="N413" s="68">
        <f>IF(A29stdlife="n/a","n/a",IF(N$3&gt;(A29stdlife+$F413),(Input!$K$171*(1+vanilla4)^0.5)-SUM($K413:M413),(Input!$K$171*(1+vanilla4)^0.5)/A29stdlife))</f>
        <v>0</v>
      </c>
      <c r="O413" s="68">
        <f>IF(A29stdlife="n/a","n/a",IF(O$3&gt;(A29stdlife+$F413),(Input!$K$171*(1+vanilla4)^0.5)-SUM($K413:N413),(Input!$K$171*(1+vanilla4)^0.5)/A29stdlife))</f>
        <v>0</v>
      </c>
      <c r="P413" s="68">
        <f>IF(A29stdlife="n/a","n/a",IF(P$3&gt;(A29stdlife+$F413),(Input!$K$171*(1+vanilla4)^0.5)-SUM($K413:O413),(Input!$K$171*(1+vanilla4)^0.5)/A29stdlife))</f>
        <v>0</v>
      </c>
      <c r="Q413" s="68">
        <f>IF(A29stdlife="n/a","n/a",IF(Q$3&gt;(A29stdlife+$F413),(Input!$K$171*(1+vanilla4)^0.5)-SUM($K413:P413),(Input!$K$171*(1+vanilla4)^0.5)/A29stdlife))</f>
        <v>0</v>
      </c>
      <c r="R413" s="68"/>
      <c r="S413" s="103"/>
      <c r="T413" s="103"/>
      <c r="U413" s="103"/>
      <c r="V413" s="103"/>
      <c r="W413" s="103"/>
      <c r="X413" s="103"/>
      <c r="Y413" s="103"/>
      <c r="Z413" s="103"/>
      <c r="AA413" s="103"/>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103"/>
      <c r="BE413" s="103"/>
      <c r="BF413" s="103"/>
      <c r="BG413" s="103"/>
      <c r="BH413" s="103"/>
      <c r="BI413" s="103"/>
      <c r="BJ413" s="103"/>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656"/>
      <c r="F414" s="86">
        <v>5</v>
      </c>
      <c r="G414" s="27"/>
      <c r="H414" s="148"/>
      <c r="I414" s="150"/>
      <c r="J414" s="150"/>
      <c r="K414" s="150"/>
      <c r="L414" s="149"/>
      <c r="M414" s="68">
        <f>IF(A29stdlife="n/a","n/a",IF(M$3&gt;(A29stdlife+$F414),(Input!$L$171*(1+vanilla5)^0.5)-SUM($L414:L414),(Input!$L$171*(1+vanilla5)^0.5)/A29stdlife))</f>
        <v>0</v>
      </c>
      <c r="N414" s="68">
        <f>IF(A29stdlife="n/a","n/a",IF(N$3&gt;(A29stdlife+$F414),(Input!$L$171*(1+vanilla5)^0.5)-SUM($L414:M414),(Input!$L$171*(1+vanilla5)^0.5)/A29stdlife))</f>
        <v>0</v>
      </c>
      <c r="O414" s="68">
        <f>IF(A29stdlife="n/a","n/a",IF(O$3&gt;(A29stdlife+$F414),(Input!$L$171*(1+vanilla5)^0.5)-SUM($L414:N414),(Input!$L$171*(1+vanilla5)^0.5)/A29stdlife))</f>
        <v>0</v>
      </c>
      <c r="P414" s="68">
        <f>IF(A29stdlife="n/a","n/a",IF(P$3&gt;(A29stdlife+$F414),(Input!$L$171*(1+vanilla5)^0.5)-SUM($L414:O414),(Input!$L$171*(1+vanilla5)^0.5)/A29stdlife))</f>
        <v>0</v>
      </c>
      <c r="Q414" s="68">
        <f>IF(A29stdlife="n/a","n/a",IF(Q$3&gt;(A29stdlife+$F414),(Input!$L$171*(1+vanilla5)^0.5)-SUM($L414:P414),(Input!$L$171*(1+vanilla5)^0.5)/A29stdlife))</f>
        <v>0</v>
      </c>
      <c r="R414" s="68"/>
      <c r="S414" s="103"/>
      <c r="T414" s="103"/>
      <c r="U414" s="103"/>
      <c r="V414" s="103"/>
      <c r="W414" s="103"/>
      <c r="X414" s="103"/>
      <c r="Y414" s="103"/>
      <c r="Z414" s="103"/>
      <c r="AA414" s="103"/>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656"/>
      <c r="F415" s="86">
        <v>6</v>
      </c>
      <c r="G415" s="27"/>
      <c r="H415" s="148"/>
      <c r="I415" s="150"/>
      <c r="J415" s="150"/>
      <c r="K415" s="150"/>
      <c r="L415" s="150"/>
      <c r="M415" s="149"/>
      <c r="N415" s="68">
        <f>IF(A29stdlife="n/a","n/a",IF(N$3&gt;(A29stdlife+$F415),(Input!$M$171*(1+vanilla6)^0.5)-SUM($M415:M415),(Input!$M$171*(1+vanilla6)^0.5)/A29stdlife))</f>
        <v>0</v>
      </c>
      <c r="O415" s="68">
        <f>IF(A29stdlife="n/a","n/a",IF(O$3&gt;(A29stdlife+$F415),(Input!$M$171*(1+vanilla6)^0.5)-SUM($M415:N415),(Input!$M$171*(1+vanilla6)^0.5)/A29stdlife))</f>
        <v>0</v>
      </c>
      <c r="P415" s="68">
        <f>IF(A29stdlife="n/a","n/a",IF(P$3&gt;(A29stdlife+$F415),(Input!$M$171*(1+vanilla6)^0.5)-SUM($M415:O415),(Input!$M$171*(1+vanilla6)^0.5)/A29stdlife))</f>
        <v>0</v>
      </c>
      <c r="Q415" s="68">
        <f>IF(A29stdlife="n/a","n/a",IF(Q$3&gt;(A29stdlife+$F415),(Input!$M$171*(1+vanilla6)^0.5)-SUM($M415:P415),(Input!$M$171*(1+vanilla6)^0.5)/A29stdlife))</f>
        <v>0</v>
      </c>
      <c r="R415" s="68"/>
      <c r="S415" s="103"/>
      <c r="T415" s="103"/>
      <c r="U415" s="103"/>
      <c r="V415" s="103"/>
      <c r="W415" s="103"/>
      <c r="X415" s="103"/>
      <c r="Y415" s="103"/>
      <c r="Z415" s="103"/>
      <c r="AA415" s="103"/>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656"/>
      <c r="F416" s="86">
        <v>7</v>
      </c>
      <c r="G416" s="27"/>
      <c r="H416" s="148"/>
      <c r="I416" s="150"/>
      <c r="J416" s="150"/>
      <c r="K416" s="150"/>
      <c r="L416" s="150"/>
      <c r="M416" s="150"/>
      <c r="N416" s="149"/>
      <c r="O416" s="68">
        <f>IF(A29stdlife="n/a","n/a",IF(O$3&gt;(A29stdlife+$F416),(Input!N$171*(1+vanilla7)^0.5)-SUM($N416:N416),(Input!$N$171*(1+vanilla7)^0.5)/A29stdlife))</f>
        <v>0</v>
      </c>
      <c r="P416" s="68">
        <f>IF(A29stdlife="n/a","n/a",IF(P$3&gt;(A29stdlife+$F416),(Input!O$171*(1+vanilla7)^0.5)-SUM($N416:O416),(Input!$N$171*(1+vanilla7)^0.5)/A29stdlife))</f>
        <v>0</v>
      </c>
      <c r="Q416" s="68">
        <f>IF(A29stdlife="n/a","n/a",IF(Q$3&gt;(A29stdlife+$F416),(Input!P$171*(1+vanilla7)^0.5)-SUM($N416:P416),(Input!$N$171*(1+vanilla7)^0.5)/A29stdlife))</f>
        <v>0</v>
      </c>
      <c r="R416" s="68"/>
      <c r="S416" s="103"/>
      <c r="T416" s="103"/>
      <c r="U416" s="103"/>
      <c r="V416" s="103"/>
      <c r="W416" s="103"/>
      <c r="X416" s="103"/>
      <c r="Y416" s="103"/>
      <c r="Z416" s="103"/>
      <c r="AA416" s="103"/>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656"/>
      <c r="F417" s="86">
        <v>8</v>
      </c>
      <c r="G417" s="27"/>
      <c r="H417" s="148"/>
      <c r="I417" s="150"/>
      <c r="J417" s="150"/>
      <c r="K417" s="150"/>
      <c r="L417" s="150"/>
      <c r="M417" s="150"/>
      <c r="N417" s="150"/>
      <c r="O417" s="149"/>
      <c r="P417" s="68">
        <f>IF(A29stdlife="n/a","n/a",IF(P$3&gt;(A29stdlife+$F417),(Input!$O$171*(1+vanilla8)^0.5)-SUM($O417:O417),(Input!$O$171*(1+vanilla8)^0.5)/A29stdlife))</f>
        <v>0</v>
      </c>
      <c r="Q417" s="68">
        <f>IF(A29stdlife="n/a","n/a",IF(Q$3&gt;(A29stdlife+$F417),(Input!$O$171*(1+vanilla8)^0.5)-SUM($O417:P417),(Input!$O$171*(1+vanilla8)^0.5)/A29stdlife))</f>
        <v>0</v>
      </c>
      <c r="R417" s="68"/>
      <c r="S417" s="103"/>
      <c r="T417" s="103"/>
      <c r="U417" s="103"/>
      <c r="V417" s="103"/>
      <c r="W417" s="103"/>
      <c r="X417" s="103"/>
      <c r="Y417" s="103"/>
      <c r="Z417" s="103"/>
      <c r="AA417" s="103"/>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656"/>
      <c r="F418" s="86">
        <v>9</v>
      </c>
      <c r="G418" s="27"/>
      <c r="H418" s="148"/>
      <c r="I418" s="150"/>
      <c r="J418" s="150"/>
      <c r="K418" s="150"/>
      <c r="L418" s="150"/>
      <c r="M418" s="150"/>
      <c r="N418" s="150"/>
      <c r="O418" s="150"/>
      <c r="P418" s="149"/>
      <c r="Q418" s="68">
        <f>IF(A29stdlife="n/a","n/a",IF(Q$3&gt;(A29stdlife+$F418),(Input!$P$171*(1+vanilla9)^0.5)-SUM($P418:P418),(Input!$P$171*(1+vanilla9)^0.5)/A29stdlife))</f>
        <v>0</v>
      </c>
      <c r="R418" s="68"/>
      <c r="S418" s="103"/>
      <c r="T418" s="103"/>
      <c r="U418" s="103"/>
      <c r="V418" s="103"/>
      <c r="W418" s="103"/>
      <c r="X418" s="103"/>
      <c r="Y418" s="103"/>
      <c r="Z418" s="103"/>
      <c r="AA418" s="103"/>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656"/>
      <c r="F419" s="87">
        <v>10</v>
      </c>
      <c r="G419" s="27"/>
      <c r="H419" s="148"/>
      <c r="I419" s="150"/>
      <c r="J419" s="150"/>
      <c r="K419" s="150"/>
      <c r="L419" s="150"/>
      <c r="M419" s="150"/>
      <c r="N419" s="150"/>
      <c r="O419" s="150"/>
      <c r="P419" s="150"/>
      <c r="Q419" s="149"/>
      <c r="R419" s="68"/>
      <c r="S419" s="103"/>
      <c r="T419" s="103"/>
      <c r="U419" s="103"/>
      <c r="V419" s="103"/>
      <c r="W419" s="103"/>
      <c r="X419" s="103"/>
      <c r="Y419" s="103"/>
      <c r="Z419" s="103"/>
      <c r="AA419" s="103"/>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3"/>
      <c r="H420" s="167">
        <f>-SUM(H408:H419)</f>
        <v>0</v>
      </c>
      <c r="I420" s="167">
        <f>-SUM(I408:I419)</f>
        <v>0</v>
      </c>
      <c r="J420" s="167">
        <f>-SUM(J408:J419)</f>
        <v>0</v>
      </c>
      <c r="K420" s="167">
        <f>-SUM(K408:K419)</f>
        <v>0</v>
      </c>
      <c r="L420" s="167">
        <f>-SUM(L408:L419)</f>
        <v>0</v>
      </c>
      <c r="M420" s="167">
        <f>IF(Input!M173&gt;0, -SUM(M408:M419), 0)</f>
        <v>0</v>
      </c>
      <c r="N420" s="167">
        <f>IF(Input!N173&gt;0, -SUM(N408:N419), 0)</f>
        <v>0</v>
      </c>
      <c r="O420" s="167">
        <f>IF(Input!O173&gt;0, -SUM(O408:O419), 0)</f>
        <v>0</v>
      </c>
      <c r="P420" s="167">
        <f>IF(Input!P173&gt;0, -SUM(P408:P419), 0)</f>
        <v>0</v>
      </c>
      <c r="Q420" s="167">
        <f>IF(Input!Q173&gt;0, -SUM(Q408:Q419), 0)</f>
        <v>0</v>
      </c>
      <c r="R420" s="66"/>
      <c r="S420" s="105"/>
      <c r="T420" s="105"/>
      <c r="U420" s="105"/>
      <c r="V420" s="105"/>
      <c r="W420" s="105"/>
      <c r="X420" s="105"/>
      <c r="Y420" s="105"/>
      <c r="Z420" s="105"/>
      <c r="AA420" s="105"/>
      <c r="AB420" s="232"/>
      <c r="AC420" s="232"/>
      <c r="AD420" s="232"/>
      <c r="AE420" s="232"/>
      <c r="AF420" s="232"/>
      <c r="AG420" s="232"/>
      <c r="AH420" s="232"/>
      <c r="AI420" s="232"/>
      <c r="AJ420" s="232"/>
      <c r="AK420" s="232"/>
      <c r="AL420" s="232"/>
      <c r="AM420" s="232"/>
      <c r="AN420" s="232"/>
      <c r="AO420" s="232"/>
      <c r="AP420" s="232"/>
      <c r="AQ420" s="232"/>
      <c r="AR420" s="232"/>
      <c r="AS420" s="232"/>
      <c r="AT420" s="232"/>
      <c r="AU420" s="232"/>
      <c r="AV420" s="232"/>
      <c r="AW420" s="232"/>
      <c r="AX420" s="232"/>
      <c r="AY420" s="232"/>
      <c r="AZ420" s="232"/>
      <c r="BA420" s="232"/>
      <c r="BB420" s="232"/>
      <c r="BC420" s="232"/>
      <c r="BD420" s="105"/>
      <c r="BE420" s="105"/>
      <c r="BF420" s="105"/>
      <c r="BG420" s="105"/>
      <c r="BH420" s="105"/>
      <c r="BI420" s="105"/>
      <c r="BJ420" s="105"/>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3"/>
      <c r="E421" s="34" t="s">
        <v>28</v>
      </c>
      <c r="F421" s="33"/>
      <c r="G421" s="176"/>
      <c r="H421" s="67">
        <f>IF(H$3&gt;A30remlife,A30value-SUM($G421:G421),IF(A30remlife="N/A","n/a",A30value/A30remlife))</f>
        <v>0</v>
      </c>
      <c r="I421" s="67">
        <f>IF(I$3&gt;A30remlife,A30value-SUM($G421:H421),IF(A30remlife="N/A","n/a",A30value/A30remlife))</f>
        <v>0</v>
      </c>
      <c r="J421" s="67">
        <f>IF(J$3&gt;A30remlife,A30value-SUM($G421:I421),IF(A30remlife="N/A","n/a",A30value/A30remlife))</f>
        <v>0</v>
      </c>
      <c r="K421" s="67">
        <f>IF(K$3&gt;A30remlife,A30value-SUM($G421:J421),IF(A30remlife="N/A","n/a",A30value/A30remlife))</f>
        <v>0</v>
      </c>
      <c r="L421" s="67">
        <f>IF(L$3&gt;A30remlife,A30value-SUM($G421:K421),IF(A30remlife="N/A","n/a",A30value/A30remlife))</f>
        <v>0</v>
      </c>
      <c r="M421" s="67">
        <f>IF(M$3&gt;A30remlife,A30value-SUM($G421:L421),IF(A30remlife="N/A","n/a",A30value/A30remlife))</f>
        <v>0</v>
      </c>
      <c r="N421" s="67">
        <f>IF(N$3&gt;A30remlife,A30value-SUM($G421:M421),IF(A30remlife="N/A","n/a",A30value/A30remlife))</f>
        <v>0</v>
      </c>
      <c r="O421" s="67">
        <f>IF(O$3&gt;A30remlife,A30value-SUM($G421:N421),IF(A30remlife="N/A","n/a",A30value/A30remlife))</f>
        <v>0</v>
      </c>
      <c r="P421" s="67">
        <f>IF(P$3&gt;A30remlife,A30value-SUM($G421:O421),IF(A30remlife="N/A","n/a",A30value/A30remlife))</f>
        <v>0</v>
      </c>
      <c r="Q421" s="67">
        <f>IF(Q$3&gt;A30remlife,A30value-SUM($G421:P421),IF(A30remlife="N/A","n/a",A30value/A30remlife))</f>
        <v>0</v>
      </c>
      <c r="R421" s="67"/>
      <c r="S421" s="103"/>
      <c r="T421" s="103"/>
      <c r="U421" s="103"/>
      <c r="V421" s="103"/>
      <c r="W421" s="103"/>
      <c r="X421" s="103"/>
      <c r="Y421" s="103"/>
      <c r="Z421" s="103"/>
      <c r="AA421" s="103"/>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655" t="s">
        <v>84</v>
      </c>
      <c r="F422" s="86">
        <v>0</v>
      </c>
      <c r="G422" s="123"/>
      <c r="H422" s="68"/>
      <c r="I422" s="68"/>
      <c r="J422" s="68"/>
      <c r="K422" s="68"/>
      <c r="L422" s="68"/>
      <c r="M422" s="165"/>
      <c r="N422" s="113"/>
      <c r="O422" s="68"/>
      <c r="P422" s="68"/>
      <c r="Q422" s="68"/>
      <c r="R422" s="68"/>
      <c r="S422" s="103"/>
      <c r="T422" s="103"/>
      <c r="U422" s="103"/>
      <c r="V422" s="103"/>
      <c r="W422" s="103"/>
      <c r="X422" s="103"/>
      <c r="Y422" s="103"/>
      <c r="Z422" s="103"/>
      <c r="AA422" s="103"/>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656"/>
      <c r="F423" s="86">
        <v>1</v>
      </c>
      <c r="G423" s="123"/>
      <c r="H423" s="147"/>
      <c r="I423" s="68">
        <f>IF(A30stdlife="n/a","n/a",IF(I$3&gt;(A30stdlife+$F423),(Input!$H$172*(1+vanilla1)^0.5)-SUM($H423:H423),(Input!$H$172*(1+vanilla1)^0.5)/A30stdlife))</f>
        <v>0</v>
      </c>
      <c r="J423" s="68">
        <f>IF(A30stdlife="n/a","n/a",IF(J$3&gt;(A30stdlife+$F423),(Input!$H$172*(1+vanilla1)^0.5)-SUM($H423:I423),(Input!$H$172*(1+vanilla1)^0.5)/A30stdlife))</f>
        <v>0</v>
      </c>
      <c r="K423" s="68">
        <f>IF(A30stdlife="n/a","n/a",IF(K$3&gt;(A30stdlife+$F423),(Input!$H$172*(1+vanilla1)^0.5)-SUM($H423:J423),(Input!$H$172*(1+vanilla1)^0.5)/A30stdlife))</f>
        <v>0</v>
      </c>
      <c r="L423" s="68">
        <f>IF(A30stdlife="n/a","n/a",IF(L$3&gt;(A30stdlife+$F423),(Input!$H$172*(1+vanilla1)^0.5)-SUM($H423:K423),(Input!$H$172*(1+vanilla1)^0.5)/A30stdlife))</f>
        <v>0</v>
      </c>
      <c r="M423" s="68">
        <f>IF(A30stdlife="n/a","n/a",IF(M$3&gt;(A30stdlife+$F423),(Input!$H$172*(1+vanilla1)^0.5)-SUM($H423:L423),(Input!$H$172*(1+vanilla1)^0.5)/A30stdlife))</f>
        <v>0</v>
      </c>
      <c r="N423" s="68">
        <f>IF(A30stdlife="n/a","n/a",IF(N$3&gt;(A30stdlife+$F423),(Input!$H$172*(1+vanilla1)^0.5)-SUM($H423:M423),(Input!$H$172*(1+vanilla1)^0.5)/A30stdlife))</f>
        <v>0</v>
      </c>
      <c r="O423" s="68">
        <f>IF(A30stdlife="n/a","n/a",IF(O$3&gt;(A30stdlife+$F423),(Input!$H$172*(1+vanilla1)^0.5)-SUM($H423:N423),(Input!$H$172*(1+vanilla1)^0.5)/A30stdlife))</f>
        <v>0</v>
      </c>
      <c r="P423" s="68">
        <f>IF(A30stdlife="n/a","n/a",IF(P$3&gt;(A30stdlife+$F423),(Input!$H$172*(1+vanilla1)^0.5)-SUM($H423:O423),(Input!$H$172*(1+vanilla1)^0.5)/A30stdlife))</f>
        <v>0</v>
      </c>
      <c r="Q423" s="68">
        <f>IF(A30stdlife="n/a","n/a",IF(Q$3&gt;(A30stdlife+$F423),(Input!$H$172*(1+vanilla1)^0.5)-SUM($H423:P423),(Input!$H$172*(1+vanilla1)^0.5)/A30stdlife))</f>
        <v>0</v>
      </c>
      <c r="R423" s="68"/>
      <c r="S423" s="103"/>
      <c r="T423" s="103"/>
      <c r="U423" s="103"/>
      <c r="V423" s="103"/>
      <c r="W423" s="103"/>
      <c r="X423" s="103"/>
      <c r="Y423" s="103"/>
      <c r="Z423" s="103"/>
      <c r="AA423" s="103"/>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656"/>
      <c r="F424" s="86">
        <v>2</v>
      </c>
      <c r="G424" s="123"/>
      <c r="H424" s="148"/>
      <c r="I424" s="149"/>
      <c r="J424" s="68">
        <f>IF(A30stdlife="n/a","n/a",IF(J$3&gt;(A30stdlife+$F424),(Input!$I$172*(1+vanilla2)^0.5)-SUM($I424:I424),(Input!$I$172*(1+vanilla2)^0.5)/A30stdlife))</f>
        <v>0</v>
      </c>
      <c r="K424" s="68">
        <f>IF(A30stdlife="n/a","n/a",IF(K$3&gt;(A30stdlife+$F424),(Input!$I$172*(1+vanilla2)^0.5)-SUM($I424:J424),(Input!$I$172*(1+vanilla2)^0.5)/A30stdlife))</f>
        <v>0</v>
      </c>
      <c r="L424" s="68">
        <f>IF(A30stdlife="n/a","n/a",IF(L$3&gt;(A30stdlife+$F424),(Input!$I$172*(1+vanilla2)^0.5)-SUM($I424:K424),(Input!$I$172*(1+vanilla2)^0.5)/A30stdlife))</f>
        <v>0</v>
      </c>
      <c r="M424" s="68">
        <f>IF(A30stdlife="n/a","n/a",IF(M$3&gt;(A30stdlife+$F424),(Input!$I$172*(1+vanilla2)^0.5)-SUM($I424:L424),(Input!$I$172*(1+vanilla2)^0.5)/A30stdlife))</f>
        <v>0</v>
      </c>
      <c r="N424" s="68">
        <f>IF(A30stdlife="n/a","n/a",IF(N$3&gt;(A30stdlife+$F424),(Input!$I$172*(1+vanilla2)^0.5)-SUM($I424:M424),(Input!$I$172*(1+vanilla2)^0.5)/A30stdlife))</f>
        <v>0</v>
      </c>
      <c r="O424" s="68">
        <f>IF(A30stdlife="n/a","n/a",IF(O$3&gt;(A30stdlife+$F424),(Input!$I$172*(1+vanilla2)^0.5)-SUM($I424:N424),(Input!$I$172*(1+vanilla2)^0.5)/A30stdlife))</f>
        <v>0</v>
      </c>
      <c r="P424" s="68">
        <f>IF(A30stdlife="n/a","n/a",IF(P$3&gt;(A30stdlife+$F424),(Input!$I$172*(1+vanilla2)^0.5)-SUM($I424:O424),(Input!$I$172*(1+vanilla2)^0.5)/A30stdlife))</f>
        <v>0</v>
      </c>
      <c r="Q424" s="68">
        <f>IF(A30stdlife="n/a","n/a",IF(Q$3&gt;(A30stdlife+$F424),(Input!$I$172*(1+vanilla2)^0.5)-SUM($I424:P424),(Input!$I$172*(1+vanilla2)^0.5)/A30stdlife))</f>
        <v>0</v>
      </c>
      <c r="R424" s="68"/>
      <c r="S424" s="103"/>
      <c r="T424" s="103"/>
      <c r="U424" s="103"/>
      <c r="V424" s="103"/>
      <c r="W424" s="103"/>
      <c r="X424" s="103"/>
      <c r="Y424" s="103"/>
      <c r="Z424" s="103"/>
      <c r="AA424" s="103"/>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656"/>
      <c r="F425" s="86">
        <v>3</v>
      </c>
      <c r="G425" s="123"/>
      <c r="H425" s="148"/>
      <c r="I425" s="150"/>
      <c r="J425" s="149"/>
      <c r="K425" s="68">
        <f>IF(A30stdlife="n/a","n/a",IF(K$3&gt;(A30stdlife+$F425),(Input!$J$172*(1+vanilla3)^0.5)-SUM($J425:J425),(Input!$J$172*(1+vanilla3)^0.5)/A30stdlife))</f>
        <v>0</v>
      </c>
      <c r="L425" s="68">
        <f>IF(A30stdlife="n/a","n/a",IF(L$3&gt;(A30stdlife+$F425),(Input!$J$172*(1+vanilla3)^0.5)-SUM($J425:K425),(Input!$J$172*(1+vanilla3)^0.5)/A30stdlife))</f>
        <v>0</v>
      </c>
      <c r="M425" s="68">
        <f>IF(A30stdlife="n/a","n/a",IF(M$3&gt;(A30stdlife+$F425),(Input!$J$172*(1+vanilla3)^0.5)-SUM($J425:L425),(Input!$J$172*(1+vanilla3)^0.5)/A30stdlife))</f>
        <v>0</v>
      </c>
      <c r="N425" s="68">
        <f>IF(A30stdlife="n/a","n/a",IF(N$3&gt;(A30stdlife+$F425),(Input!$J$172*(1+vanilla3)^0.5)-SUM($J425:M425),(Input!$J$172*(1+vanilla3)^0.5)/A30stdlife))</f>
        <v>0</v>
      </c>
      <c r="O425" s="68">
        <f>IF(A30stdlife="n/a","n/a",IF(O$3&gt;(A30stdlife+$F425),(Input!$J$172*(1+vanilla3)^0.5)-SUM($J425:N425),(Input!$J$172*(1+vanilla3)^0.5)/A30stdlife))</f>
        <v>0</v>
      </c>
      <c r="P425" s="68">
        <f>IF(A30stdlife="n/a","n/a",IF(P$3&gt;(A30stdlife+$F425),(Input!$J$172*(1+vanilla3)^0.5)-SUM($J425:O425),(Input!$J$172*(1+vanilla3)^0.5)/A30stdlife))</f>
        <v>0</v>
      </c>
      <c r="Q425" s="68">
        <f>IF(A30stdlife="n/a","n/a",IF(Q$3&gt;(A30stdlife+$F425),(Input!$J$172*(1+vanilla3)^0.5)-SUM($J425:P425),(Input!$J$172*(1+vanilla3)^0.5)/A30stdlife))</f>
        <v>0</v>
      </c>
      <c r="R425" s="68"/>
      <c r="S425" s="103"/>
      <c r="T425" s="103"/>
      <c r="U425" s="103"/>
      <c r="V425" s="103"/>
      <c r="W425" s="103"/>
      <c r="X425" s="103"/>
      <c r="Y425" s="103"/>
      <c r="Z425" s="103"/>
      <c r="AA425" s="103"/>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656"/>
      <c r="F426" s="86">
        <v>4</v>
      </c>
      <c r="G426" s="123"/>
      <c r="H426" s="148"/>
      <c r="I426" s="150"/>
      <c r="J426" s="150"/>
      <c r="K426" s="149"/>
      <c r="L426" s="68">
        <f>IF(A30stdlife="n/a","n/a",IF(L$3&gt;(A30stdlife+$F426),(Input!$K$172*(1+vanilla4)^0.5)-SUM($K426:K426),(Input!$K$172*(1+vanilla4)^0.5)/A30stdlife))</f>
        <v>0</v>
      </c>
      <c r="M426" s="68">
        <f>IF(A30stdlife="n/a","n/a",IF(M$3&gt;(A30stdlife+$F426),(Input!$K$172*(1+vanilla4)^0.5)-SUM($K426:L426),(Input!$K$172*(1+vanilla4)^0.5)/A30stdlife))</f>
        <v>0</v>
      </c>
      <c r="N426" s="68">
        <f>IF(A30stdlife="n/a","n/a",IF(N$3&gt;(A30stdlife+$F426),(Input!$K$172*(1+vanilla4)^0.5)-SUM($K426:M426),(Input!$K$172*(1+vanilla4)^0.5)/A30stdlife))</f>
        <v>0</v>
      </c>
      <c r="O426" s="68">
        <f>IF(A30stdlife="n/a","n/a",IF(O$3&gt;(A30stdlife+$F426),(Input!$K$172*(1+vanilla4)^0.5)-SUM($K426:N426),(Input!$K$172*(1+vanilla4)^0.5)/A30stdlife))</f>
        <v>0</v>
      </c>
      <c r="P426" s="68">
        <f>IF(A30stdlife="n/a","n/a",IF(P$3&gt;(A30stdlife+$F426),(Input!$K$172*(1+vanilla4)^0.5)-SUM($K426:O426),(Input!$K$172*(1+vanilla4)^0.5)/A30stdlife))</f>
        <v>0</v>
      </c>
      <c r="Q426" s="68">
        <f>IF(A30stdlife="n/a","n/a",IF(Q$3&gt;(A30stdlife+$F426),(Input!$K$172*(1+vanilla4)^0.5)-SUM($K426:P426),(Input!$K$172*(1+vanilla4)^0.5)/A30stdlife))</f>
        <v>0</v>
      </c>
      <c r="R426" s="68"/>
      <c r="S426" s="103"/>
      <c r="T426" s="103"/>
      <c r="U426" s="103"/>
      <c r="V426" s="103"/>
      <c r="W426" s="103"/>
      <c r="X426" s="103"/>
      <c r="Y426" s="103"/>
      <c r="Z426" s="103"/>
      <c r="AA426" s="103"/>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103"/>
      <c r="BE426" s="103"/>
      <c r="BF426" s="103"/>
      <c r="BG426" s="103"/>
      <c r="BH426" s="103"/>
      <c r="BI426" s="103"/>
      <c r="BJ426" s="103"/>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656"/>
      <c r="F427" s="86">
        <v>5</v>
      </c>
      <c r="G427" s="27"/>
      <c r="H427" s="148"/>
      <c r="I427" s="150"/>
      <c r="J427" s="150"/>
      <c r="K427" s="150"/>
      <c r="L427" s="149"/>
      <c r="M427" s="68">
        <f>IF(A30stdlife="n/a","n/a",IF(M$3&gt;(A30stdlife+$F427),(Input!$L$172*(1+vanilla5)^0.5)-SUM($L427:L427),(Input!$L$172*(1+vanilla5)^0.5)/A30stdlife))</f>
        <v>0</v>
      </c>
      <c r="N427" s="68">
        <f>IF(A30stdlife="n/a","n/a",IF(N$3&gt;(A30stdlife+$F427),(Input!$L$172*(1+vanilla5)^0.5)-SUM($L427:M427),(Input!$L$172*(1+vanilla5)^0.5)/A30stdlife))</f>
        <v>0</v>
      </c>
      <c r="O427" s="68">
        <f>IF(A30stdlife="n/a","n/a",IF(O$3&gt;(A30stdlife+$F427),(Input!$L$172*(1+vanilla5)^0.5)-SUM($L427:N427),(Input!$L$172*(1+vanilla5)^0.5)/A30stdlife))</f>
        <v>0</v>
      </c>
      <c r="P427" s="68">
        <f>IF(A30stdlife="n/a","n/a",IF(P$3&gt;(A30stdlife+$F427),(Input!$L$172*(1+vanilla5)^0.5)-SUM($L427:O427),(Input!$L$172*(1+vanilla5)^0.5)/A30stdlife))</f>
        <v>0</v>
      </c>
      <c r="Q427" s="68">
        <f>IF(A30stdlife="n/a","n/a",IF(Q$3&gt;(A30stdlife+$F427),(Input!$L$172*(1+vanilla5)^0.5)-SUM($L427:P427),(Input!$L$172*(1+vanilla5)^0.5)/A30stdlife))</f>
        <v>0</v>
      </c>
      <c r="R427" s="68"/>
      <c r="S427" s="103"/>
      <c r="T427" s="103"/>
      <c r="U427" s="103"/>
      <c r="V427" s="103"/>
      <c r="W427" s="103"/>
      <c r="X427" s="103"/>
      <c r="Y427" s="103"/>
      <c r="Z427" s="103"/>
      <c r="AA427" s="103"/>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656"/>
      <c r="F428" s="86">
        <v>6</v>
      </c>
      <c r="G428" s="27"/>
      <c r="H428" s="148"/>
      <c r="I428" s="150"/>
      <c r="J428" s="150"/>
      <c r="K428" s="150"/>
      <c r="L428" s="150"/>
      <c r="M428" s="149"/>
      <c r="N428" s="68">
        <f>IF(A30stdlife="n/a","n/a",IF(N$3&gt;(A30stdlife+$F428),(Input!$M$172*(1+vanilla6)^0.5)-SUM($M428:M428),(Input!$M$172*(1+vanilla6)^0.5)/A30stdlife))</f>
        <v>0</v>
      </c>
      <c r="O428" s="68">
        <f>IF(A30stdlife="n/a","n/a",IF(O$3&gt;(A30stdlife+$F428),(Input!$M$172*(1+vanilla6)^0.5)-SUM($M428:N428),(Input!$M$172*(1+vanilla6)^0.5)/A30stdlife))</f>
        <v>0</v>
      </c>
      <c r="P428" s="68">
        <f>IF(A30stdlife="n/a","n/a",IF(P$3&gt;(A30stdlife+$F428),(Input!$M$172*(1+vanilla6)^0.5)-SUM($M428:O428),(Input!$M$172*(1+vanilla6)^0.5)/A30stdlife))</f>
        <v>0</v>
      </c>
      <c r="Q428" s="68">
        <f>IF(A30stdlife="n/a","n/a",IF(Q$3&gt;(A30stdlife+$F428),(Input!$M$172*(1+vanilla6)^0.5)-SUM($M428:P428),(Input!$M$172*(1+vanilla6)^0.5)/A30stdlife))</f>
        <v>0</v>
      </c>
      <c r="R428" s="68"/>
      <c r="S428" s="103"/>
      <c r="T428" s="103"/>
      <c r="U428" s="103"/>
      <c r="V428" s="103"/>
      <c r="W428" s="103"/>
      <c r="X428" s="103"/>
      <c r="Y428" s="103"/>
      <c r="Z428" s="103"/>
      <c r="AA428" s="103"/>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656"/>
      <c r="F429" s="86">
        <v>7</v>
      </c>
      <c r="G429" s="27"/>
      <c r="H429" s="148"/>
      <c r="I429" s="150"/>
      <c r="J429" s="150"/>
      <c r="K429" s="150"/>
      <c r="L429" s="150"/>
      <c r="M429" s="150"/>
      <c r="N429" s="149"/>
      <c r="O429" s="68">
        <f>IF(A30stdlife="n/a","n/a",IF(O$3&gt;(A30stdlife+$F429),(Input!N$172*(1+vanilla7)^0.5)-SUM($N429:N429),(Input!$N$172*(1+vanilla7)^0.5)/A30stdlife))</f>
        <v>0</v>
      </c>
      <c r="P429" s="68">
        <f>IF(A30stdlife="n/a","n/a",IF(P$3&gt;(A30stdlife+$F429),(Input!O$172*(1+vanilla7)^0.5)-SUM($N429:O429),(Input!$N$172*(1+vanilla7)^0.5)/A30stdlife))</f>
        <v>0</v>
      </c>
      <c r="Q429" s="68">
        <f>IF(A30stdlife="n/a","n/a",IF(Q$3&gt;(A30stdlife+$F429),(Input!P$172*(1+vanilla7)^0.5)-SUM($N429:P429),(Input!$N$172*(1+vanilla7)^0.5)/A30stdlife))</f>
        <v>0</v>
      </c>
      <c r="R429" s="68"/>
      <c r="S429" s="103"/>
      <c r="T429" s="103"/>
      <c r="U429" s="103"/>
      <c r="V429" s="103"/>
      <c r="W429" s="103"/>
      <c r="X429" s="103"/>
      <c r="Y429" s="103"/>
      <c r="Z429" s="103"/>
      <c r="AA429" s="103"/>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656"/>
      <c r="F430" s="86">
        <v>8</v>
      </c>
      <c r="G430" s="27"/>
      <c r="H430" s="148"/>
      <c r="I430" s="150"/>
      <c r="J430" s="150"/>
      <c r="K430" s="150"/>
      <c r="L430" s="150"/>
      <c r="M430" s="150"/>
      <c r="N430" s="150"/>
      <c r="O430" s="149"/>
      <c r="P430" s="68">
        <f>IF(A30stdlife="n/a","n/a",IF(P$3&gt;(A30stdlife+$F430),(Input!$O$172*(1+vanilla8)^0.5)-SUM($O430:O430),(Input!$O$172*(1+vanilla8)^0.5)/A30stdlife))</f>
        <v>0</v>
      </c>
      <c r="Q430" s="68">
        <f>IF(A30stdlife="n/a","n/a",IF(Q$3&gt;(A30stdlife+$F430),(Input!$O$172*(1+vanilla8)^0.5)-SUM($O430:P430),(Input!$O$172*(1+vanilla8)^0.5)/A30stdlife))</f>
        <v>0</v>
      </c>
      <c r="R430" s="68"/>
      <c r="S430" s="103"/>
      <c r="T430" s="103"/>
      <c r="U430" s="103"/>
      <c r="V430" s="103"/>
      <c r="W430" s="103"/>
      <c r="X430" s="103"/>
      <c r="Y430" s="103"/>
      <c r="Z430" s="103"/>
      <c r="AA430" s="103"/>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656"/>
      <c r="F431" s="86">
        <v>9</v>
      </c>
      <c r="G431" s="27"/>
      <c r="H431" s="148"/>
      <c r="I431" s="150"/>
      <c r="J431" s="150"/>
      <c r="K431" s="150"/>
      <c r="L431" s="150"/>
      <c r="M431" s="150"/>
      <c r="N431" s="150"/>
      <c r="O431" s="150"/>
      <c r="P431" s="149"/>
      <c r="Q431" s="68">
        <f>IF(A30stdlife="n/a","n/a",IF(Q$3&gt;(A30stdlife+$F431),(Input!$P$172*(1+vanilla9)^0.5)-SUM($P431:P431),(Input!$P$172*(1+vanilla9)^0.5)/A30stdlife))</f>
        <v>0</v>
      </c>
      <c r="R431" s="68"/>
      <c r="S431" s="103"/>
      <c r="T431" s="103"/>
      <c r="U431" s="103"/>
      <c r="V431" s="103"/>
      <c r="W431" s="103"/>
      <c r="X431" s="103"/>
      <c r="Y431" s="103"/>
      <c r="Z431" s="103"/>
      <c r="AA431" s="103"/>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656"/>
      <c r="F432" s="87">
        <v>10</v>
      </c>
      <c r="G432" s="27"/>
      <c r="H432" s="148"/>
      <c r="I432" s="150"/>
      <c r="J432" s="150"/>
      <c r="K432" s="150"/>
      <c r="L432" s="150"/>
      <c r="M432" s="150"/>
      <c r="N432" s="150"/>
      <c r="O432" s="150"/>
      <c r="P432" s="150"/>
      <c r="Q432" s="149"/>
      <c r="R432" s="68"/>
      <c r="S432" s="103"/>
      <c r="T432" s="103"/>
      <c r="U432" s="103"/>
      <c r="V432" s="103"/>
      <c r="W432" s="103"/>
      <c r="X432" s="103"/>
      <c r="Y432" s="103"/>
      <c r="Z432" s="103"/>
      <c r="AA432" s="103"/>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3"/>
      <c r="H433" s="167">
        <f>-SUM(H421:H432)</f>
        <v>0</v>
      </c>
      <c r="I433" s="167">
        <f>-SUM(I421:I432)</f>
        <v>0</v>
      </c>
      <c r="J433" s="167">
        <f>-SUM(J421:J432)</f>
        <v>0</v>
      </c>
      <c r="K433" s="167">
        <f>-SUM(K421:K432)</f>
        <v>0</v>
      </c>
      <c r="L433" s="167">
        <f>-SUM(L421:L432)</f>
        <v>0</v>
      </c>
      <c r="M433" s="167">
        <f>IF(Input!M173&gt;0, -SUM(M421:M432), 0)</f>
        <v>0</v>
      </c>
      <c r="N433" s="167">
        <f>IF(Input!N173&gt;0, -SUM(N421:N432), 0)</f>
        <v>0</v>
      </c>
      <c r="O433" s="167">
        <f>IF(Input!O173&gt;0, -SUM(O421:O432), 0)</f>
        <v>0</v>
      </c>
      <c r="P433" s="167">
        <f>IF(Input!P173&gt;0, -SUM(P421:P432), 0)</f>
        <v>0</v>
      </c>
      <c r="Q433" s="167">
        <f>IF(Input!Q173&gt;0, -SUM(Q421:Q432), 0)</f>
        <v>0</v>
      </c>
      <c r="R433" s="66"/>
      <c r="S433" s="105"/>
      <c r="T433" s="105"/>
      <c r="U433" s="105"/>
      <c r="V433" s="105"/>
      <c r="W433" s="105"/>
      <c r="X433" s="105"/>
      <c r="Y433" s="105"/>
      <c r="Z433" s="105"/>
      <c r="AA433" s="105"/>
      <c r="AB433" s="232"/>
      <c r="AC433" s="232"/>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105"/>
      <c r="BE433" s="105"/>
      <c r="BF433" s="105"/>
      <c r="BG433" s="105"/>
      <c r="BH433" s="105"/>
      <c r="BI433" s="105"/>
      <c r="BJ433" s="105"/>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8"/>
      <c r="I434" s="118"/>
      <c r="J434" s="118"/>
      <c r="K434" s="118"/>
      <c r="L434" s="118"/>
      <c r="M434" s="118"/>
      <c r="N434" s="31"/>
      <c r="O434" s="31"/>
      <c r="P434" s="31"/>
      <c r="Q434" s="31"/>
      <c r="R434" s="31"/>
      <c r="S434" s="106"/>
      <c r="T434" s="106"/>
      <c r="U434" s="106"/>
      <c r="V434" s="106"/>
      <c r="W434" s="106"/>
      <c r="X434" s="106"/>
      <c r="Y434" s="106"/>
      <c r="Z434" s="106"/>
      <c r="AA434" s="106"/>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106"/>
      <c r="BE434" s="106"/>
      <c r="BF434" s="106"/>
      <c r="BG434" s="106"/>
      <c r="BH434" s="106"/>
      <c r="BI434" s="106"/>
      <c r="BJ434" s="106"/>
      <c r="BK434" s="12"/>
      <c r="BL434" s="12"/>
    </row>
    <row r="435" spans="1:256">
      <c r="A435" s="73"/>
      <c r="B435" s="73"/>
      <c r="C435" s="80" t="s">
        <v>31</v>
      </c>
      <c r="D435" s="73"/>
      <c r="E435" s="73"/>
      <c r="F435" s="73"/>
      <c r="G435" s="83"/>
      <c r="H435" s="119"/>
      <c r="I435" s="119"/>
      <c r="J435" s="119"/>
      <c r="K435" s="119"/>
      <c r="L435" s="119"/>
      <c r="M435" s="119"/>
      <c r="N435" s="84"/>
      <c r="O435" s="84"/>
      <c r="P435" s="84"/>
      <c r="Q435" s="84"/>
      <c r="R435" s="84"/>
      <c r="S435" s="84"/>
      <c r="T435" s="106"/>
      <c r="U435" s="106"/>
      <c r="V435" s="106"/>
      <c r="W435" s="106"/>
      <c r="X435" s="106"/>
      <c r="Y435" s="106"/>
      <c r="Z435" s="106"/>
      <c r="AA435" s="106"/>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106"/>
      <c r="BE435" s="106"/>
      <c r="BF435" s="106"/>
      <c r="BG435" s="106"/>
      <c r="BH435" s="106"/>
      <c r="BI435" s="106"/>
      <c r="BJ435" s="106"/>
      <c r="BK435" s="12"/>
      <c r="BL435" s="12"/>
    </row>
    <row r="436" spans="1:256">
      <c r="A436" s="9"/>
      <c r="B436" s="12"/>
      <c r="C436" s="17"/>
      <c r="D436" s="12"/>
      <c r="E436" s="12"/>
      <c r="F436" s="12"/>
      <c r="G436" s="115"/>
      <c r="H436" s="120"/>
      <c r="I436" s="120"/>
      <c r="J436" s="120"/>
      <c r="K436" s="120"/>
      <c r="L436" s="120"/>
      <c r="M436" s="120"/>
      <c r="N436" s="106"/>
      <c r="O436" s="106"/>
      <c r="P436" s="106"/>
      <c r="Q436" s="106"/>
      <c r="R436" s="106"/>
      <c r="S436" s="106"/>
      <c r="T436" s="106"/>
      <c r="U436" s="106"/>
      <c r="V436" s="106"/>
      <c r="W436" s="106"/>
      <c r="X436" s="106"/>
      <c r="Y436" s="106"/>
      <c r="Z436" s="106"/>
      <c r="AA436" s="106"/>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106"/>
      <c r="BE436" s="106"/>
      <c r="BF436" s="106"/>
      <c r="BG436" s="106"/>
      <c r="BH436" s="106"/>
      <c r="BI436" s="106"/>
      <c r="BJ436" s="106"/>
      <c r="BK436" s="12"/>
      <c r="BL436" s="12"/>
    </row>
    <row r="437" spans="1:256">
      <c r="A437" s="9"/>
      <c r="B437" s="9"/>
      <c r="C437" s="46" t="s">
        <v>44</v>
      </c>
      <c r="D437" s="9"/>
      <c r="E437" s="9"/>
      <c r="F437" s="9"/>
      <c r="G437" s="200">
        <f>SUM(G438:G467)</f>
        <v>1031.2739539814918</v>
      </c>
      <c r="H437" s="116">
        <f>SUM(H438:H467)</f>
        <v>1117.3996727138085</v>
      </c>
      <c r="I437" s="116">
        <f t="shared" ref="I437:R437" si="4">SUM(I438:I467)</f>
        <v>1201.6246070730906</v>
      </c>
      <c r="J437" s="116">
        <f t="shared" si="4"/>
        <v>1295.6505711598247</v>
      </c>
      <c r="K437" s="116">
        <f t="shared" si="4"/>
        <v>1403.3225804905117</v>
      </c>
      <c r="L437" s="116">
        <f t="shared" si="4"/>
        <v>1460.5763177928691</v>
      </c>
      <c r="M437" s="116">
        <f>SUM(M438:M467)</f>
        <v>1526.0833329169232</v>
      </c>
      <c r="N437" s="116">
        <f t="shared" si="4"/>
        <v>0</v>
      </c>
      <c r="O437" s="116">
        <f t="shared" si="4"/>
        <v>0</v>
      </c>
      <c r="P437" s="116">
        <f t="shared" si="4"/>
        <v>0</v>
      </c>
      <c r="Q437" s="116">
        <f t="shared" si="4"/>
        <v>0</v>
      </c>
      <c r="R437" s="116">
        <f t="shared" si="4"/>
        <v>0</v>
      </c>
      <c r="S437" s="99"/>
      <c r="T437" s="99"/>
      <c r="U437" s="99"/>
      <c r="V437" s="99"/>
      <c r="W437" s="99"/>
      <c r="X437" s="99"/>
      <c r="Y437" s="99"/>
      <c r="Z437" s="99"/>
      <c r="AA437" s="9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99"/>
      <c r="BE437" s="99"/>
      <c r="BF437" s="99"/>
      <c r="BG437" s="99"/>
      <c r="BH437" s="99"/>
      <c r="BI437" s="99"/>
      <c r="BJ437" s="99"/>
      <c r="BK437" s="12"/>
      <c r="BL437" s="12"/>
    </row>
    <row r="438" spans="1:256" hidden="1" outlineLevel="1">
      <c r="A438" s="9"/>
      <c r="B438" s="9"/>
      <c r="C438" s="9"/>
      <c r="D438" s="129" t="str">
        <f>Asset1</f>
        <v>Mains &amp; Services</v>
      </c>
      <c r="E438" s="9"/>
      <c r="F438" s="9"/>
      <c r="G438" s="193">
        <f>Input!J7</f>
        <v>900.50001706204387</v>
      </c>
      <c r="H438" s="111">
        <f t="shared" ref="H438:H457" si="5">G438+G470+G502+G534+G566+G598</f>
        <v>984.62925518401221</v>
      </c>
      <c r="I438" s="111">
        <f t="shared" ref="I438:M447" si="6">H438+H470+H502</f>
        <v>1068.226354147841</v>
      </c>
      <c r="J438" s="111">
        <f t="shared" si="6"/>
        <v>1161.3006461545751</v>
      </c>
      <c r="K438" s="111">
        <f t="shared" si="6"/>
        <v>1263.0794043456658</v>
      </c>
      <c r="L438" s="111">
        <f t="shared" si="6"/>
        <v>1327.4318591245271</v>
      </c>
      <c r="M438" s="111">
        <f t="shared" si="6"/>
        <v>1387.3845672944487</v>
      </c>
      <c r="N438" s="111">
        <f>IF(Input!M$173&gt;0, M438+M470+M502, 0)</f>
        <v>0</v>
      </c>
      <c r="O438" s="111">
        <f>IF(Input!N$173&gt;0, N438+N470+N502, 0)</f>
        <v>0</v>
      </c>
      <c r="P438" s="111">
        <f>IF(Input!O$173&gt;0, O438+O470+O502, 0)</f>
        <v>0</v>
      </c>
      <c r="Q438" s="111">
        <f>IF(Input!P$173&gt;0, P438+P470+P502, 0)</f>
        <v>0</v>
      </c>
      <c r="R438" s="111">
        <f>IF(Input!Q$173&gt;0, Q438+Q470+Q502, 0)</f>
        <v>0</v>
      </c>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9"/>
      <c r="BE438" s="9"/>
      <c r="BF438" s="9"/>
      <c r="BG438" s="9"/>
      <c r="BH438" s="9"/>
      <c r="BI438" s="9"/>
      <c r="BJ438" s="9"/>
      <c r="BK438" s="9"/>
      <c r="BL438" s="9"/>
    </row>
    <row r="439" spans="1:256" hidden="1" outlineLevel="1">
      <c r="A439" s="9"/>
      <c r="B439" s="9"/>
      <c r="C439" s="46"/>
      <c r="D439" s="129" t="str">
        <f>Asset2</f>
        <v>Meters</v>
      </c>
      <c r="E439" s="9"/>
      <c r="F439" s="9"/>
      <c r="G439" s="193">
        <f>Input!J8</f>
        <v>95.661049759540234</v>
      </c>
      <c r="H439" s="111">
        <f t="shared" si="5"/>
        <v>95.687545878253815</v>
      </c>
      <c r="I439" s="111">
        <f t="shared" si="6"/>
        <v>94.242714088692651</v>
      </c>
      <c r="J439" s="111">
        <f t="shared" si="6"/>
        <v>94.149827282548657</v>
      </c>
      <c r="K439" s="111">
        <f t="shared" si="6"/>
        <v>92.068737061377874</v>
      </c>
      <c r="L439" s="111">
        <f t="shared" si="6"/>
        <v>89.868668013366431</v>
      </c>
      <c r="M439" s="111">
        <f t="shared" si="6"/>
        <v>90.100570090969654</v>
      </c>
      <c r="N439" s="111">
        <f>IF(Input!M$173&gt;0, M439+M471+M503, 0)</f>
        <v>0</v>
      </c>
      <c r="O439" s="111">
        <f>IF(Input!N$173&gt;0, N439+N471+N503, 0)</f>
        <v>0</v>
      </c>
      <c r="P439" s="111">
        <f>IF(Input!O$173&gt;0, O439+O471+O503, 0)</f>
        <v>0</v>
      </c>
      <c r="Q439" s="111">
        <f>IF(Input!P$173&gt;0, P439+P471+P503, 0)</f>
        <v>0</v>
      </c>
      <c r="R439" s="111">
        <f>IF(Input!Q$173&gt;0, Q439+Q471+Q503, 0)</f>
        <v>0</v>
      </c>
      <c r="S439" s="100"/>
      <c r="T439" s="100"/>
      <c r="U439" s="100"/>
      <c r="V439" s="100"/>
      <c r="W439" s="100"/>
      <c r="X439" s="100"/>
      <c r="Y439" s="100"/>
      <c r="Z439" s="100"/>
      <c r="AA439" s="100"/>
      <c r="AB439" s="227"/>
      <c r="AC439" s="227"/>
      <c r="AD439" s="227"/>
      <c r="AE439" s="227"/>
      <c r="AF439" s="227"/>
      <c r="AG439" s="227"/>
      <c r="AH439" s="227"/>
      <c r="AI439" s="227"/>
      <c r="AJ439" s="227"/>
      <c r="AK439" s="227"/>
      <c r="AL439" s="227"/>
      <c r="AM439" s="227"/>
      <c r="AN439" s="227"/>
      <c r="AO439" s="227"/>
      <c r="AP439" s="227"/>
      <c r="AQ439" s="227"/>
      <c r="AR439" s="227"/>
      <c r="AS439" s="227"/>
      <c r="AT439" s="227"/>
      <c r="AU439" s="227"/>
      <c r="AV439" s="227"/>
      <c r="AW439" s="227"/>
      <c r="AX439" s="227"/>
      <c r="AY439" s="227"/>
      <c r="AZ439" s="227"/>
      <c r="BA439" s="227"/>
      <c r="BB439" s="227"/>
      <c r="BC439" s="227"/>
      <c r="BD439" s="100"/>
      <c r="BE439" s="100"/>
      <c r="BF439" s="100"/>
      <c r="BG439" s="100"/>
      <c r="BH439" s="100"/>
      <c r="BI439" s="100"/>
      <c r="BJ439" s="100"/>
      <c r="BK439" s="12"/>
      <c r="BL439" s="12"/>
    </row>
    <row r="440" spans="1:256" hidden="1" outlineLevel="1">
      <c r="A440" s="9"/>
      <c r="B440" s="9"/>
      <c r="C440" s="46"/>
      <c r="D440" s="129" t="str">
        <f>Asset3</f>
        <v>Buildings</v>
      </c>
      <c r="E440" s="9"/>
      <c r="F440" s="9"/>
      <c r="G440" s="193">
        <f>Input!J9</f>
        <v>8.9848295371829057</v>
      </c>
      <c r="H440" s="111">
        <f t="shared" si="5"/>
        <v>8.8422120278575456</v>
      </c>
      <c r="I440" s="111">
        <f t="shared" si="6"/>
        <v>7.805088650403226</v>
      </c>
      <c r="J440" s="111">
        <f t="shared" si="6"/>
        <v>7.5349868571657064</v>
      </c>
      <c r="K440" s="111">
        <f t="shared" si="6"/>
        <v>7.259967953411012</v>
      </c>
      <c r="L440" s="111">
        <f t="shared" si="6"/>
        <v>6.9134867636967163</v>
      </c>
      <c r="M440" s="111">
        <f t="shared" si="6"/>
        <v>6.5415457751568304</v>
      </c>
      <c r="N440" s="111">
        <f>IF(Input!M$173&gt;0, M440+M472+M504, 0)</f>
        <v>0</v>
      </c>
      <c r="O440" s="111">
        <f>IF(Input!N$173&gt;0, N440+N472+N504, 0)</f>
        <v>0</v>
      </c>
      <c r="P440" s="111">
        <f>IF(Input!O$173&gt;0, O440+O472+O504, 0)</f>
        <v>0</v>
      </c>
      <c r="Q440" s="111">
        <f>IF(Input!P$173&gt;0, P440+P472+P504, 0)</f>
        <v>0</v>
      </c>
      <c r="R440" s="111">
        <f>IF(Input!Q$173&gt;0, Q440+Q472+Q504, 0)</f>
        <v>0</v>
      </c>
      <c r="S440" s="100"/>
      <c r="T440" s="100"/>
      <c r="U440" s="100"/>
      <c r="V440" s="100"/>
      <c r="W440" s="100"/>
      <c r="X440" s="100"/>
      <c r="Y440" s="100"/>
      <c r="Z440" s="100"/>
      <c r="AA440" s="100"/>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100"/>
      <c r="BE440" s="100"/>
      <c r="BF440" s="100"/>
      <c r="BG440" s="100"/>
      <c r="BH440" s="100"/>
      <c r="BI440" s="100"/>
      <c r="BJ440" s="100"/>
      <c r="BK440" s="12"/>
      <c r="BL440" s="12"/>
    </row>
    <row r="441" spans="1:256" hidden="1" outlineLevel="1">
      <c r="A441" s="9"/>
      <c r="B441" s="9"/>
      <c r="C441" s="46"/>
      <c r="D441" s="129" t="str">
        <f>Asset4</f>
        <v>SCADA</v>
      </c>
      <c r="E441" s="9"/>
      <c r="F441" s="9"/>
      <c r="G441" s="193">
        <f>Input!J10</f>
        <v>0.66089700582914723</v>
      </c>
      <c r="H441" s="111">
        <f t="shared" si="5"/>
        <v>0.93883147174174819</v>
      </c>
      <c r="I441" s="111">
        <f t="shared" si="6"/>
        <v>0.99222792552436878</v>
      </c>
      <c r="J441" s="111">
        <f t="shared" si="6"/>
        <v>1.2828971151752147</v>
      </c>
      <c r="K441" s="111">
        <f t="shared" si="6"/>
        <v>1.5763548405072363</v>
      </c>
      <c r="L441" s="111">
        <f t="shared" si="6"/>
        <v>1.6650351982816827</v>
      </c>
      <c r="M441" s="111">
        <f t="shared" si="6"/>
        <v>2.0103223104250527</v>
      </c>
      <c r="N441" s="111">
        <f>IF(Input!M$173&gt;0, M441+M473+M505, 0)</f>
        <v>0</v>
      </c>
      <c r="O441" s="111">
        <f>IF(Input!N$173&gt;0, N441+N473+N505, 0)</f>
        <v>0</v>
      </c>
      <c r="P441" s="111">
        <f>IF(Input!O$173&gt;0, O441+O473+O505, 0)</f>
        <v>0</v>
      </c>
      <c r="Q441" s="111">
        <f>IF(Input!P$173&gt;0, P441+P473+P505, 0)</f>
        <v>0</v>
      </c>
      <c r="R441" s="111">
        <f>IF(Input!Q$173&gt;0, Q441+Q473+Q505, 0)</f>
        <v>0</v>
      </c>
      <c r="S441" s="100"/>
      <c r="T441" s="100"/>
      <c r="U441" s="100"/>
      <c r="V441" s="100"/>
      <c r="W441" s="100"/>
      <c r="X441" s="100"/>
      <c r="Y441" s="100"/>
      <c r="Z441" s="100"/>
      <c r="AA441" s="100"/>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100"/>
      <c r="BE441" s="100"/>
      <c r="BF441" s="100"/>
      <c r="BG441" s="100"/>
      <c r="BH441" s="100"/>
      <c r="BI441" s="100"/>
      <c r="BJ441" s="100"/>
      <c r="BK441" s="12"/>
      <c r="BL441" s="12"/>
    </row>
    <row r="442" spans="1:256" hidden="1" outlineLevel="1">
      <c r="A442" s="9"/>
      <c r="B442" s="9"/>
      <c r="C442" s="46"/>
      <c r="D442" s="129" t="str">
        <f>Asset5</f>
        <v>Computer Equipment</v>
      </c>
      <c r="E442" s="9"/>
      <c r="F442" s="9"/>
      <c r="G442" s="193">
        <f>Input!J11</f>
        <v>0.66919548358124392</v>
      </c>
      <c r="H442" s="111">
        <f t="shared" si="5"/>
        <v>0.82976042804924943</v>
      </c>
      <c r="I442" s="111">
        <f t="shared" si="6"/>
        <v>1.5066956379290009</v>
      </c>
      <c r="J442" s="111">
        <f t="shared" si="6"/>
        <v>0.75346120243820813</v>
      </c>
      <c r="K442" s="111">
        <f t="shared" si="6"/>
        <v>9.2840003514441953</v>
      </c>
      <c r="L442" s="111">
        <f t="shared" si="6"/>
        <v>6.0571790057247421</v>
      </c>
      <c r="M442" s="111">
        <f t="shared" si="6"/>
        <v>11.150009531571982</v>
      </c>
      <c r="N442" s="111">
        <f>IF(Input!M$173&gt;0, M442+M474+M506, 0)</f>
        <v>0</v>
      </c>
      <c r="O442" s="111">
        <f>IF(Input!N$173&gt;0, N442+N474+N506, 0)</f>
        <v>0</v>
      </c>
      <c r="P442" s="111">
        <f>IF(Input!O$173&gt;0, O442+O474+O506, 0)</f>
        <v>0</v>
      </c>
      <c r="Q442" s="111">
        <f>IF(Input!P$173&gt;0, P442+P474+P506, 0)</f>
        <v>0</v>
      </c>
      <c r="R442" s="111">
        <f>IF(Input!Q$173&gt;0, Q442+Q474+Q506, 0)</f>
        <v>0</v>
      </c>
      <c r="S442" s="100"/>
      <c r="T442" s="100"/>
      <c r="U442" s="100"/>
      <c r="V442" s="100"/>
      <c r="W442" s="100"/>
      <c r="X442" s="100"/>
      <c r="Y442" s="100"/>
      <c r="Z442" s="100"/>
      <c r="AA442" s="100"/>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100"/>
      <c r="BE442" s="100"/>
      <c r="BF442" s="100"/>
      <c r="BG442" s="100"/>
      <c r="BH442" s="100"/>
      <c r="BI442" s="100"/>
      <c r="BJ442" s="100"/>
      <c r="BK442" s="12"/>
      <c r="BL442" s="12"/>
    </row>
    <row r="443" spans="1:256" hidden="1" outlineLevel="1">
      <c r="A443" s="9"/>
      <c r="B443" s="9"/>
      <c r="C443" s="46"/>
      <c r="D443" s="129" t="str">
        <f>Asset6</f>
        <v>Other Assets</v>
      </c>
      <c r="E443" s="9"/>
      <c r="F443" s="9"/>
      <c r="G443" s="193">
        <f>Input!J12</f>
        <v>24.7979651333143</v>
      </c>
      <c r="H443" s="111">
        <f t="shared" si="5"/>
        <v>26.472067723893975</v>
      </c>
      <c r="I443" s="111">
        <f t="shared" si="6"/>
        <v>28.851526622700682</v>
      </c>
      <c r="J443" s="111">
        <f t="shared" si="6"/>
        <v>30.628752547921842</v>
      </c>
      <c r="K443" s="111">
        <f t="shared" si="6"/>
        <v>30.054115938105664</v>
      </c>
      <c r="L443" s="111">
        <f t="shared" si="6"/>
        <v>28.640089687272393</v>
      </c>
      <c r="M443" s="111">
        <f t="shared" si="6"/>
        <v>28.896317914350561</v>
      </c>
      <c r="N443" s="111">
        <f>IF(Input!M$173&gt;0, M443+M475+M507, 0)</f>
        <v>0</v>
      </c>
      <c r="O443" s="111">
        <f>IF(Input!N$173&gt;0, N443+N475+N507, 0)</f>
        <v>0</v>
      </c>
      <c r="P443" s="111">
        <f>IF(Input!O$173&gt;0, O443+O475+O507, 0)</f>
        <v>0</v>
      </c>
      <c r="Q443" s="111">
        <f>IF(Input!P$173&gt;0, P443+P475+P507, 0)</f>
        <v>0</v>
      </c>
      <c r="R443" s="111">
        <f>IF(Input!Q$173&gt;0, Q443+Q475+Q507, 0)</f>
        <v>0</v>
      </c>
      <c r="S443" s="100"/>
      <c r="T443" s="100"/>
      <c r="U443" s="100"/>
      <c r="V443" s="100"/>
      <c r="W443" s="100"/>
      <c r="X443" s="100"/>
      <c r="Y443" s="100"/>
      <c r="Z443" s="100"/>
      <c r="AA443" s="100"/>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100"/>
      <c r="BE443" s="100"/>
      <c r="BF443" s="100"/>
      <c r="BG443" s="100"/>
      <c r="BH443" s="100"/>
      <c r="BI443" s="100"/>
      <c r="BJ443" s="100"/>
      <c r="BK443" s="12"/>
      <c r="BL443" s="12"/>
    </row>
    <row r="444" spans="1:256" hidden="1" outlineLevel="1">
      <c r="A444" s="9"/>
      <c r="B444" s="9"/>
      <c r="C444" s="46"/>
      <c r="D444" s="129" t="str">
        <f>Asset7</f>
        <v>Equity Raising Costs</v>
      </c>
      <c r="E444" s="9"/>
      <c r="F444" s="9"/>
      <c r="G444" s="193">
        <f>Input!J13</f>
        <v>0</v>
      </c>
      <c r="H444" s="111">
        <f t="shared" si="5"/>
        <v>0</v>
      </c>
      <c r="I444" s="111">
        <f t="shared" si="6"/>
        <v>0</v>
      </c>
      <c r="J444" s="111">
        <f t="shared" si="6"/>
        <v>0</v>
      </c>
      <c r="K444" s="111">
        <f t="shared" si="6"/>
        <v>0</v>
      </c>
      <c r="L444" s="111">
        <f t="shared" si="6"/>
        <v>0</v>
      </c>
      <c r="M444" s="111">
        <f t="shared" si="6"/>
        <v>0</v>
      </c>
      <c r="N444" s="111">
        <f>IF(Input!M$173&gt;0, M444+M476+M508, 0)</f>
        <v>0</v>
      </c>
      <c r="O444" s="111">
        <f>IF(Input!N$173&gt;0, N444+N476+N508, 0)</f>
        <v>0</v>
      </c>
      <c r="P444" s="111">
        <f>IF(Input!O$173&gt;0, O444+O476+O508, 0)</f>
        <v>0</v>
      </c>
      <c r="Q444" s="111">
        <f>IF(Input!P$173&gt;0, P444+P476+P508, 0)</f>
        <v>0</v>
      </c>
      <c r="R444" s="111">
        <f>IF(Input!Q$173&gt;0, Q444+Q476+Q508, 0)</f>
        <v>0</v>
      </c>
      <c r="S444" s="100"/>
      <c r="T444" s="100"/>
      <c r="U444" s="100"/>
      <c r="V444" s="100"/>
      <c r="W444" s="100"/>
      <c r="X444" s="100"/>
      <c r="Y444" s="100"/>
      <c r="Z444" s="100"/>
      <c r="AA444" s="100"/>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100"/>
      <c r="BE444" s="100"/>
      <c r="BF444" s="100"/>
      <c r="BG444" s="100"/>
      <c r="BH444" s="100"/>
      <c r="BI444" s="100"/>
      <c r="BJ444" s="100"/>
      <c r="BK444" s="12"/>
      <c r="BL444" s="12"/>
    </row>
    <row r="445" spans="1:256" hidden="1" outlineLevel="1">
      <c r="A445" s="9"/>
      <c r="B445" s="9"/>
      <c r="C445" s="46"/>
      <c r="D445" s="129" t="str">
        <f>Asset8</f>
        <v>Land</v>
      </c>
      <c r="E445" s="9"/>
      <c r="F445" s="9"/>
      <c r="G445" s="193">
        <f>Input!J14</f>
        <v>0</v>
      </c>
      <c r="H445" s="111">
        <f t="shared" si="5"/>
        <v>0</v>
      </c>
      <c r="I445" s="111">
        <f t="shared" si="6"/>
        <v>0</v>
      </c>
      <c r="J445" s="111">
        <f t="shared" si="6"/>
        <v>0</v>
      </c>
      <c r="K445" s="111">
        <f t="shared" si="6"/>
        <v>0</v>
      </c>
      <c r="L445" s="111">
        <f t="shared" si="6"/>
        <v>0</v>
      </c>
      <c r="M445" s="111">
        <f t="shared" si="6"/>
        <v>0</v>
      </c>
      <c r="N445" s="111">
        <f>IF(Input!M$173&gt;0, M445+M477+M509, 0)</f>
        <v>0</v>
      </c>
      <c r="O445" s="111">
        <f>IF(Input!N$173&gt;0, N445+N477+N509, 0)</f>
        <v>0</v>
      </c>
      <c r="P445" s="111">
        <f>IF(Input!O$173&gt;0, O445+O477+O509, 0)</f>
        <v>0</v>
      </c>
      <c r="Q445" s="111">
        <f>IF(Input!P$173&gt;0, P445+P477+P509, 0)</f>
        <v>0</v>
      </c>
      <c r="R445" s="111">
        <f>IF(Input!Q$173&gt;0, Q445+Q477+Q509, 0)</f>
        <v>0</v>
      </c>
      <c r="S445" s="100"/>
      <c r="T445" s="100"/>
      <c r="U445" s="100"/>
      <c r="V445" s="100"/>
      <c r="W445" s="100"/>
      <c r="X445" s="100"/>
      <c r="Y445" s="100"/>
      <c r="Z445" s="100"/>
      <c r="AA445" s="100"/>
      <c r="AB445" s="227"/>
      <c r="AC445" s="227"/>
      <c r="AD445" s="227"/>
      <c r="AE445" s="227"/>
      <c r="AF445" s="227"/>
      <c r="AG445" s="227"/>
      <c r="AH445" s="227"/>
      <c r="AI445" s="227"/>
      <c r="AJ445" s="227"/>
      <c r="AK445" s="227"/>
      <c r="AL445" s="227"/>
      <c r="AM445" s="227"/>
      <c r="AN445" s="227"/>
      <c r="AO445" s="227"/>
      <c r="AP445" s="227"/>
      <c r="AQ445" s="227"/>
      <c r="AR445" s="227"/>
      <c r="AS445" s="227"/>
      <c r="AT445" s="227"/>
      <c r="AU445" s="227"/>
      <c r="AV445" s="227"/>
      <c r="AW445" s="227"/>
      <c r="AX445" s="227"/>
      <c r="AY445" s="227"/>
      <c r="AZ445" s="227"/>
      <c r="BA445" s="227"/>
      <c r="BB445" s="227"/>
      <c r="BC445" s="227"/>
      <c r="BD445" s="100"/>
      <c r="BE445" s="100"/>
      <c r="BF445" s="100"/>
      <c r="BG445" s="100"/>
      <c r="BH445" s="100"/>
      <c r="BI445" s="100"/>
      <c r="BJ445" s="100"/>
      <c r="BK445" s="12"/>
      <c r="BL445" s="12"/>
    </row>
    <row r="446" spans="1:256" hidden="1" outlineLevel="1">
      <c r="A446" s="9"/>
      <c r="B446" s="9"/>
      <c r="C446" s="46"/>
      <c r="D446" s="129">
        <f>Asset9</f>
        <v>0</v>
      </c>
      <c r="E446" s="9"/>
      <c r="F446" s="9"/>
      <c r="G446" s="193">
        <f>Input!J15</f>
        <v>0</v>
      </c>
      <c r="H446" s="111">
        <f t="shared" si="5"/>
        <v>0</v>
      </c>
      <c r="I446" s="111">
        <f t="shared" si="6"/>
        <v>0</v>
      </c>
      <c r="J446" s="111">
        <f t="shared" si="6"/>
        <v>0</v>
      </c>
      <c r="K446" s="111">
        <f t="shared" si="6"/>
        <v>0</v>
      </c>
      <c r="L446" s="111">
        <f t="shared" si="6"/>
        <v>0</v>
      </c>
      <c r="M446" s="111">
        <f t="shared" si="6"/>
        <v>0</v>
      </c>
      <c r="N446" s="111">
        <f>IF(Input!M$173&gt;0, M446+M478+M510, 0)</f>
        <v>0</v>
      </c>
      <c r="O446" s="111">
        <f>IF(Input!N$173&gt;0, N446+N478+N510, 0)</f>
        <v>0</v>
      </c>
      <c r="P446" s="111">
        <f>IF(Input!O$173&gt;0, O446+O478+O510, 0)</f>
        <v>0</v>
      </c>
      <c r="Q446" s="111">
        <f>IF(Input!P$173&gt;0, P446+P478+P510, 0)</f>
        <v>0</v>
      </c>
      <c r="R446" s="111">
        <f>IF(Input!Q$173&gt;0, Q446+Q478+Q510, 0)</f>
        <v>0</v>
      </c>
      <c r="S446" s="100"/>
      <c r="T446" s="100"/>
      <c r="U446" s="100"/>
      <c r="V446" s="100"/>
      <c r="W446" s="100"/>
      <c r="X446" s="100"/>
      <c r="Y446" s="100"/>
      <c r="Z446" s="100"/>
      <c r="AA446" s="100"/>
      <c r="AB446" s="227"/>
      <c r="AC446" s="227"/>
      <c r="AD446" s="227"/>
      <c r="AE446" s="227"/>
      <c r="AF446" s="227"/>
      <c r="AG446" s="227"/>
      <c r="AH446" s="227"/>
      <c r="AI446" s="227"/>
      <c r="AJ446" s="227"/>
      <c r="AK446" s="227"/>
      <c r="AL446" s="227"/>
      <c r="AM446" s="227"/>
      <c r="AN446" s="227"/>
      <c r="AO446" s="227"/>
      <c r="AP446" s="227"/>
      <c r="AQ446" s="227"/>
      <c r="AR446" s="227"/>
      <c r="AS446" s="227"/>
      <c r="AT446" s="227"/>
      <c r="AU446" s="227"/>
      <c r="AV446" s="227"/>
      <c r="AW446" s="227"/>
      <c r="AX446" s="227"/>
      <c r="AY446" s="227"/>
      <c r="AZ446" s="227"/>
      <c r="BA446" s="227"/>
      <c r="BB446" s="227"/>
      <c r="BC446" s="227"/>
      <c r="BD446" s="100"/>
      <c r="BE446" s="100"/>
      <c r="BF446" s="100"/>
      <c r="BG446" s="100"/>
      <c r="BH446" s="100"/>
      <c r="BI446" s="100"/>
      <c r="BJ446" s="100"/>
      <c r="BK446" s="12"/>
      <c r="BL446" s="12"/>
    </row>
    <row r="447" spans="1:256" hidden="1" outlineLevel="1">
      <c r="A447" s="9"/>
      <c r="B447" s="9"/>
      <c r="C447" s="46"/>
      <c r="D447" s="129">
        <f>Asset10</f>
        <v>0</v>
      </c>
      <c r="E447" s="9"/>
      <c r="F447" s="9"/>
      <c r="G447" s="193">
        <f>Input!J16</f>
        <v>0</v>
      </c>
      <c r="H447" s="111">
        <f t="shared" si="5"/>
        <v>0</v>
      </c>
      <c r="I447" s="111">
        <f t="shared" si="6"/>
        <v>0</v>
      </c>
      <c r="J447" s="111">
        <f t="shared" si="6"/>
        <v>0</v>
      </c>
      <c r="K447" s="111">
        <f t="shared" si="6"/>
        <v>0</v>
      </c>
      <c r="L447" s="111">
        <f t="shared" si="6"/>
        <v>0</v>
      </c>
      <c r="M447" s="111">
        <f t="shared" si="6"/>
        <v>0</v>
      </c>
      <c r="N447" s="111">
        <f>IF(Input!M$173&gt;0, M447+M479+M511, 0)</f>
        <v>0</v>
      </c>
      <c r="O447" s="111">
        <f>IF(Input!N$173&gt;0, N447+N479+N511, 0)</f>
        <v>0</v>
      </c>
      <c r="P447" s="111">
        <f>IF(Input!O$173&gt;0, O447+O479+O511, 0)</f>
        <v>0</v>
      </c>
      <c r="Q447" s="111">
        <f>IF(Input!P$173&gt;0, P447+P479+P511, 0)</f>
        <v>0</v>
      </c>
      <c r="R447" s="111">
        <f>IF(Input!Q$173&gt;0, Q447+Q479+Q511, 0)</f>
        <v>0</v>
      </c>
      <c r="S447" s="100"/>
      <c r="T447" s="100"/>
      <c r="U447" s="100"/>
      <c r="V447" s="100"/>
      <c r="W447" s="100"/>
      <c r="X447" s="100"/>
      <c r="Y447" s="100"/>
      <c r="Z447" s="100"/>
      <c r="AA447" s="100"/>
      <c r="AB447" s="227"/>
      <c r="AC447" s="227"/>
      <c r="AD447" s="227"/>
      <c r="AE447" s="227"/>
      <c r="AF447" s="227"/>
      <c r="AG447" s="227"/>
      <c r="AH447" s="227"/>
      <c r="AI447" s="227"/>
      <c r="AJ447" s="227"/>
      <c r="AK447" s="227"/>
      <c r="AL447" s="227"/>
      <c r="AM447" s="227"/>
      <c r="AN447" s="227"/>
      <c r="AO447" s="227"/>
      <c r="AP447" s="227"/>
      <c r="AQ447" s="227"/>
      <c r="AR447" s="227"/>
      <c r="AS447" s="227"/>
      <c r="AT447" s="227"/>
      <c r="AU447" s="227"/>
      <c r="AV447" s="227"/>
      <c r="AW447" s="227"/>
      <c r="AX447" s="227"/>
      <c r="AY447" s="227"/>
      <c r="AZ447" s="227"/>
      <c r="BA447" s="227"/>
      <c r="BB447" s="227"/>
      <c r="BC447" s="227"/>
      <c r="BD447" s="100"/>
      <c r="BE447" s="100"/>
      <c r="BF447" s="100"/>
      <c r="BG447" s="100"/>
      <c r="BH447" s="100"/>
      <c r="BI447" s="100"/>
      <c r="BJ447" s="100"/>
      <c r="BK447" s="12"/>
      <c r="BL447" s="12"/>
    </row>
    <row r="448" spans="1:256" hidden="1" outlineLevel="1">
      <c r="A448" s="9"/>
      <c r="B448" s="9"/>
      <c r="C448" s="46"/>
      <c r="D448" s="129">
        <f>Asset11</f>
        <v>0</v>
      </c>
      <c r="E448" s="9"/>
      <c r="F448" s="9"/>
      <c r="G448" s="193">
        <f>Input!J17</f>
        <v>0</v>
      </c>
      <c r="H448" s="111">
        <f t="shared" si="5"/>
        <v>0</v>
      </c>
      <c r="I448" s="111">
        <f t="shared" ref="I448:M457" si="7">H448+H480+H512</f>
        <v>0</v>
      </c>
      <c r="J448" s="111">
        <f t="shared" si="7"/>
        <v>0</v>
      </c>
      <c r="K448" s="111">
        <f t="shared" si="7"/>
        <v>0</v>
      </c>
      <c r="L448" s="111">
        <f t="shared" si="7"/>
        <v>0</v>
      </c>
      <c r="M448" s="111">
        <f t="shared" si="7"/>
        <v>0</v>
      </c>
      <c r="N448" s="111">
        <f>IF(Input!M$173&gt;0, M448+M480+M512, 0)</f>
        <v>0</v>
      </c>
      <c r="O448" s="111">
        <f>IF(Input!N$173&gt;0, N448+N480+N512, 0)</f>
        <v>0</v>
      </c>
      <c r="P448" s="111">
        <f>IF(Input!O$173&gt;0, O448+O480+O512, 0)</f>
        <v>0</v>
      </c>
      <c r="Q448" s="111">
        <f>IF(Input!P$173&gt;0, P448+P480+P512, 0)</f>
        <v>0</v>
      </c>
      <c r="R448" s="111">
        <f>IF(Input!Q$173&gt;0, Q448+Q480+Q512, 0)</f>
        <v>0</v>
      </c>
      <c r="S448" s="100"/>
      <c r="T448" s="100"/>
      <c r="U448" s="100"/>
      <c r="V448" s="100"/>
      <c r="W448" s="100"/>
      <c r="X448" s="100"/>
      <c r="Y448" s="100"/>
      <c r="Z448" s="100"/>
      <c r="AA448" s="100"/>
      <c r="AB448" s="227"/>
      <c r="AC448" s="227"/>
      <c r="AD448" s="227"/>
      <c r="AE448" s="227"/>
      <c r="AF448" s="227"/>
      <c r="AG448" s="227"/>
      <c r="AH448" s="227"/>
      <c r="AI448" s="227"/>
      <c r="AJ448" s="227"/>
      <c r="AK448" s="227"/>
      <c r="AL448" s="227"/>
      <c r="AM448" s="227"/>
      <c r="AN448" s="227"/>
      <c r="AO448" s="227"/>
      <c r="AP448" s="227"/>
      <c r="AQ448" s="227"/>
      <c r="AR448" s="227"/>
      <c r="AS448" s="227"/>
      <c r="AT448" s="227"/>
      <c r="AU448" s="227"/>
      <c r="AV448" s="227"/>
      <c r="AW448" s="227"/>
      <c r="AX448" s="227"/>
      <c r="AY448" s="227"/>
      <c r="AZ448" s="227"/>
      <c r="BA448" s="227"/>
      <c r="BB448" s="227"/>
      <c r="BC448" s="227"/>
      <c r="BD448" s="100"/>
      <c r="BE448" s="100"/>
      <c r="BF448" s="100"/>
      <c r="BG448" s="100"/>
      <c r="BH448" s="100"/>
      <c r="BI448" s="100"/>
      <c r="BJ448" s="100"/>
      <c r="BK448" s="12"/>
      <c r="BL448" s="12"/>
    </row>
    <row r="449" spans="1:64" hidden="1" outlineLevel="1">
      <c r="A449" s="9"/>
      <c r="B449" s="9"/>
      <c r="C449" s="46"/>
      <c r="D449" s="129">
        <f>Asset12</f>
        <v>0</v>
      </c>
      <c r="E449" s="9"/>
      <c r="F449" s="9"/>
      <c r="G449" s="193">
        <f>Input!J18</f>
        <v>0</v>
      </c>
      <c r="H449" s="111">
        <f t="shared" si="5"/>
        <v>0</v>
      </c>
      <c r="I449" s="111">
        <f t="shared" si="7"/>
        <v>0</v>
      </c>
      <c r="J449" s="111">
        <f t="shared" si="7"/>
        <v>0</v>
      </c>
      <c r="K449" s="111">
        <f t="shared" si="7"/>
        <v>0</v>
      </c>
      <c r="L449" s="111">
        <f t="shared" si="7"/>
        <v>0</v>
      </c>
      <c r="M449" s="111">
        <f t="shared" si="7"/>
        <v>0</v>
      </c>
      <c r="N449" s="111">
        <f>IF(Input!M$173&gt;0, M449+M481+M513, 0)</f>
        <v>0</v>
      </c>
      <c r="O449" s="111">
        <f>IF(Input!N$173&gt;0, N449+N481+N513, 0)</f>
        <v>0</v>
      </c>
      <c r="P449" s="111">
        <f>IF(Input!O$173&gt;0, O449+O481+O513, 0)</f>
        <v>0</v>
      </c>
      <c r="Q449" s="111">
        <f>IF(Input!P$173&gt;0, P449+P481+P513, 0)</f>
        <v>0</v>
      </c>
      <c r="R449" s="111">
        <f>IF(Input!Q$173&gt;0, Q449+Q481+Q513, 0)</f>
        <v>0</v>
      </c>
      <c r="S449" s="100"/>
      <c r="T449" s="100"/>
      <c r="U449" s="100"/>
      <c r="V449" s="100"/>
      <c r="W449" s="100"/>
      <c r="X449" s="100"/>
      <c r="Y449" s="100"/>
      <c r="Z449" s="100"/>
      <c r="AA449" s="100"/>
      <c r="AB449" s="227"/>
      <c r="AC449" s="227"/>
      <c r="AD449" s="227"/>
      <c r="AE449" s="227"/>
      <c r="AF449" s="227"/>
      <c r="AG449" s="227"/>
      <c r="AH449" s="227"/>
      <c r="AI449" s="227"/>
      <c r="AJ449" s="227"/>
      <c r="AK449" s="227"/>
      <c r="AL449" s="227"/>
      <c r="AM449" s="227"/>
      <c r="AN449" s="227"/>
      <c r="AO449" s="227"/>
      <c r="AP449" s="227"/>
      <c r="AQ449" s="227"/>
      <c r="AR449" s="227"/>
      <c r="AS449" s="227"/>
      <c r="AT449" s="227"/>
      <c r="AU449" s="227"/>
      <c r="AV449" s="227"/>
      <c r="AW449" s="227"/>
      <c r="AX449" s="227"/>
      <c r="AY449" s="227"/>
      <c r="AZ449" s="227"/>
      <c r="BA449" s="227"/>
      <c r="BB449" s="227"/>
      <c r="BC449" s="227"/>
      <c r="BD449" s="100"/>
      <c r="BE449" s="100"/>
      <c r="BF449" s="100"/>
      <c r="BG449" s="100"/>
      <c r="BH449" s="100"/>
      <c r="BI449" s="100"/>
      <c r="BJ449" s="100"/>
      <c r="BK449" s="12"/>
      <c r="BL449" s="12"/>
    </row>
    <row r="450" spans="1:64" hidden="1" outlineLevel="1">
      <c r="A450" s="9"/>
      <c r="B450" s="9"/>
      <c r="C450" s="46"/>
      <c r="D450" s="129">
        <f>Asset13</f>
        <v>0</v>
      </c>
      <c r="E450" s="9"/>
      <c r="F450" s="9"/>
      <c r="G450" s="193">
        <f>Input!J19</f>
        <v>0</v>
      </c>
      <c r="H450" s="111">
        <f t="shared" si="5"/>
        <v>0</v>
      </c>
      <c r="I450" s="111">
        <f t="shared" si="7"/>
        <v>0</v>
      </c>
      <c r="J450" s="111">
        <f t="shared" si="7"/>
        <v>0</v>
      </c>
      <c r="K450" s="111">
        <f t="shared" si="7"/>
        <v>0</v>
      </c>
      <c r="L450" s="111">
        <f t="shared" si="7"/>
        <v>0</v>
      </c>
      <c r="M450" s="111">
        <f t="shared" si="7"/>
        <v>0</v>
      </c>
      <c r="N450" s="111">
        <f>IF(Input!M$173&gt;0, M450+M482+M514, 0)</f>
        <v>0</v>
      </c>
      <c r="O450" s="111">
        <f>IF(Input!N$173&gt;0, N450+N482+N514, 0)</f>
        <v>0</v>
      </c>
      <c r="P450" s="111">
        <f>IF(Input!O$173&gt;0, O450+O482+O514, 0)</f>
        <v>0</v>
      </c>
      <c r="Q450" s="111">
        <f>IF(Input!P$173&gt;0, P450+P482+P514, 0)</f>
        <v>0</v>
      </c>
      <c r="R450" s="111">
        <f>IF(Input!Q$173&gt;0, Q450+Q482+Q514, 0)</f>
        <v>0</v>
      </c>
      <c r="S450" s="100"/>
      <c r="T450" s="100"/>
      <c r="U450" s="100"/>
      <c r="V450" s="100"/>
      <c r="W450" s="100"/>
      <c r="X450" s="100"/>
      <c r="Y450" s="100"/>
      <c r="Z450" s="100"/>
      <c r="AA450" s="100"/>
      <c r="AB450" s="227"/>
      <c r="AC450" s="227"/>
      <c r="AD450" s="227"/>
      <c r="AE450" s="227"/>
      <c r="AF450" s="227"/>
      <c r="AG450" s="227"/>
      <c r="AH450" s="227"/>
      <c r="AI450" s="227"/>
      <c r="AJ450" s="227"/>
      <c r="AK450" s="227"/>
      <c r="AL450" s="227"/>
      <c r="AM450" s="227"/>
      <c r="AN450" s="227"/>
      <c r="AO450" s="227"/>
      <c r="AP450" s="227"/>
      <c r="AQ450" s="227"/>
      <c r="AR450" s="227"/>
      <c r="AS450" s="227"/>
      <c r="AT450" s="227"/>
      <c r="AU450" s="227"/>
      <c r="AV450" s="227"/>
      <c r="AW450" s="227"/>
      <c r="AX450" s="227"/>
      <c r="AY450" s="227"/>
      <c r="AZ450" s="227"/>
      <c r="BA450" s="227"/>
      <c r="BB450" s="227"/>
      <c r="BC450" s="227"/>
      <c r="BD450" s="100"/>
      <c r="BE450" s="100"/>
      <c r="BF450" s="100"/>
      <c r="BG450" s="100"/>
      <c r="BH450" s="100"/>
      <c r="BI450" s="100"/>
      <c r="BJ450" s="100"/>
      <c r="BK450" s="12"/>
      <c r="BL450" s="12"/>
    </row>
    <row r="451" spans="1:64" hidden="1" outlineLevel="1">
      <c r="A451" s="9"/>
      <c r="B451" s="9"/>
      <c r="C451" s="46"/>
      <c r="D451" s="129">
        <f>Asset14</f>
        <v>0</v>
      </c>
      <c r="E451" s="9"/>
      <c r="F451" s="9"/>
      <c r="G451" s="193">
        <f>Input!J20</f>
        <v>0</v>
      </c>
      <c r="H451" s="111">
        <f t="shared" si="5"/>
        <v>0</v>
      </c>
      <c r="I451" s="111">
        <f t="shared" si="7"/>
        <v>0</v>
      </c>
      <c r="J451" s="111">
        <f t="shared" si="7"/>
        <v>0</v>
      </c>
      <c r="K451" s="111">
        <f t="shared" si="7"/>
        <v>0</v>
      </c>
      <c r="L451" s="111">
        <f t="shared" si="7"/>
        <v>0</v>
      </c>
      <c r="M451" s="111">
        <f t="shared" si="7"/>
        <v>0</v>
      </c>
      <c r="N451" s="111">
        <f>IF(Input!M$173&gt;0, M451+M483+M515, 0)</f>
        <v>0</v>
      </c>
      <c r="O451" s="111">
        <f>IF(Input!N$173&gt;0, N451+N483+N515, 0)</f>
        <v>0</v>
      </c>
      <c r="P451" s="111">
        <f>IF(Input!O$173&gt;0, O451+O483+O515, 0)</f>
        <v>0</v>
      </c>
      <c r="Q451" s="111">
        <f>IF(Input!P$173&gt;0, P451+P483+P515, 0)</f>
        <v>0</v>
      </c>
      <c r="R451" s="111">
        <f>IF(Input!Q$173&gt;0, Q451+Q483+Q515, 0)</f>
        <v>0</v>
      </c>
      <c r="S451" s="100"/>
      <c r="T451" s="100"/>
      <c r="U451" s="100"/>
      <c r="V451" s="100"/>
      <c r="W451" s="100"/>
      <c r="X451" s="100"/>
      <c r="Y451" s="100"/>
      <c r="Z451" s="100"/>
      <c r="AA451" s="100"/>
      <c r="AB451" s="227"/>
      <c r="AC451" s="227"/>
      <c r="AD451" s="227"/>
      <c r="AE451" s="227"/>
      <c r="AF451" s="227"/>
      <c r="AG451" s="227"/>
      <c r="AH451" s="227"/>
      <c r="AI451" s="227"/>
      <c r="AJ451" s="227"/>
      <c r="AK451" s="227"/>
      <c r="AL451" s="227"/>
      <c r="AM451" s="227"/>
      <c r="AN451" s="227"/>
      <c r="AO451" s="227"/>
      <c r="AP451" s="227"/>
      <c r="AQ451" s="227"/>
      <c r="AR451" s="227"/>
      <c r="AS451" s="227"/>
      <c r="AT451" s="227"/>
      <c r="AU451" s="227"/>
      <c r="AV451" s="227"/>
      <c r="AW451" s="227"/>
      <c r="AX451" s="227"/>
      <c r="AY451" s="227"/>
      <c r="AZ451" s="227"/>
      <c r="BA451" s="227"/>
      <c r="BB451" s="227"/>
      <c r="BC451" s="227"/>
      <c r="BD451" s="100"/>
      <c r="BE451" s="100"/>
      <c r="BF451" s="100"/>
      <c r="BG451" s="100"/>
      <c r="BH451" s="100"/>
      <c r="BI451" s="100"/>
      <c r="BJ451" s="100"/>
      <c r="BK451" s="12"/>
      <c r="BL451" s="12"/>
    </row>
    <row r="452" spans="1:64" hidden="1" outlineLevel="1">
      <c r="A452" s="9"/>
      <c r="B452" s="9"/>
      <c r="C452" s="46"/>
      <c r="D452" s="129">
        <f>Asset15</f>
        <v>0</v>
      </c>
      <c r="E452" s="9"/>
      <c r="F452" s="9"/>
      <c r="G452" s="193">
        <f>Input!J21</f>
        <v>0</v>
      </c>
      <c r="H452" s="111">
        <f t="shared" si="5"/>
        <v>0</v>
      </c>
      <c r="I452" s="111">
        <f t="shared" si="7"/>
        <v>0</v>
      </c>
      <c r="J452" s="111">
        <f t="shared" si="7"/>
        <v>0</v>
      </c>
      <c r="K452" s="111">
        <f t="shared" si="7"/>
        <v>0</v>
      </c>
      <c r="L452" s="111">
        <f t="shared" si="7"/>
        <v>0</v>
      </c>
      <c r="M452" s="111">
        <f t="shared" si="7"/>
        <v>0</v>
      </c>
      <c r="N452" s="111">
        <f>IF(Input!M$173&gt;0, M452+M484+M516, 0)</f>
        <v>0</v>
      </c>
      <c r="O452" s="111">
        <f>IF(Input!N$173&gt;0, N452+N484+N516, 0)</f>
        <v>0</v>
      </c>
      <c r="P452" s="111">
        <f>IF(Input!O$173&gt;0, O452+O484+O516, 0)</f>
        <v>0</v>
      </c>
      <c r="Q452" s="111">
        <f>IF(Input!P$173&gt;0, P452+P484+P516, 0)</f>
        <v>0</v>
      </c>
      <c r="R452" s="111">
        <f>IF(Input!Q$173&gt;0, Q452+Q484+Q516, 0)</f>
        <v>0</v>
      </c>
      <c r="S452" s="100"/>
      <c r="T452" s="100"/>
      <c r="U452" s="100"/>
      <c r="V452" s="100"/>
      <c r="W452" s="100"/>
      <c r="X452" s="100"/>
      <c r="Y452" s="100"/>
      <c r="Z452" s="100"/>
      <c r="AA452" s="100"/>
      <c r="AB452" s="227"/>
      <c r="AC452" s="227"/>
      <c r="AD452" s="227"/>
      <c r="AE452" s="227"/>
      <c r="AF452" s="227"/>
      <c r="AG452" s="227"/>
      <c r="AH452" s="227"/>
      <c r="AI452" s="227"/>
      <c r="AJ452" s="227"/>
      <c r="AK452" s="227"/>
      <c r="AL452" s="227"/>
      <c r="AM452" s="227"/>
      <c r="AN452" s="227"/>
      <c r="AO452" s="227"/>
      <c r="AP452" s="227"/>
      <c r="AQ452" s="227"/>
      <c r="AR452" s="227"/>
      <c r="AS452" s="227"/>
      <c r="AT452" s="227"/>
      <c r="AU452" s="227"/>
      <c r="AV452" s="227"/>
      <c r="AW452" s="227"/>
      <c r="AX452" s="227"/>
      <c r="AY452" s="227"/>
      <c r="AZ452" s="227"/>
      <c r="BA452" s="227"/>
      <c r="BB452" s="227"/>
      <c r="BC452" s="227"/>
      <c r="BD452" s="100"/>
      <c r="BE452" s="100"/>
      <c r="BF452" s="100"/>
      <c r="BG452" s="100"/>
      <c r="BH452" s="100"/>
      <c r="BI452" s="100"/>
      <c r="BJ452" s="100"/>
      <c r="BK452" s="12"/>
      <c r="BL452" s="12"/>
    </row>
    <row r="453" spans="1:64" hidden="1" outlineLevel="1">
      <c r="A453" s="9"/>
      <c r="B453" s="9"/>
      <c r="C453" s="46"/>
      <c r="D453" s="129">
        <f>Asset16</f>
        <v>0</v>
      </c>
      <c r="E453" s="9"/>
      <c r="F453" s="9"/>
      <c r="G453" s="193">
        <f>Input!J22</f>
        <v>0</v>
      </c>
      <c r="H453" s="111">
        <f t="shared" si="5"/>
        <v>0</v>
      </c>
      <c r="I453" s="111">
        <f t="shared" si="7"/>
        <v>0</v>
      </c>
      <c r="J453" s="111">
        <f t="shared" si="7"/>
        <v>0</v>
      </c>
      <c r="K453" s="111">
        <f t="shared" si="7"/>
        <v>0</v>
      </c>
      <c r="L453" s="111">
        <f t="shared" si="7"/>
        <v>0</v>
      </c>
      <c r="M453" s="111">
        <f t="shared" si="7"/>
        <v>0</v>
      </c>
      <c r="N453" s="111">
        <f>IF(Input!M$173&gt;0, M453+M485+M517, 0)</f>
        <v>0</v>
      </c>
      <c r="O453" s="111">
        <f>IF(Input!N$173&gt;0, N453+N485+N517, 0)</f>
        <v>0</v>
      </c>
      <c r="P453" s="111">
        <f>IF(Input!O$173&gt;0, O453+O485+O517, 0)</f>
        <v>0</v>
      </c>
      <c r="Q453" s="111">
        <f>IF(Input!P$173&gt;0, P453+P485+P517, 0)</f>
        <v>0</v>
      </c>
      <c r="R453" s="111">
        <f>IF(Input!Q$173&gt;0, Q453+Q485+Q517, 0)</f>
        <v>0</v>
      </c>
      <c r="S453" s="100"/>
      <c r="T453" s="100"/>
      <c r="U453" s="100"/>
      <c r="V453" s="100"/>
      <c r="W453" s="100"/>
      <c r="X453" s="100"/>
      <c r="Y453" s="100"/>
      <c r="Z453" s="100"/>
      <c r="AA453" s="100"/>
      <c r="AB453" s="227"/>
      <c r="AC453" s="227"/>
      <c r="AD453" s="227"/>
      <c r="AE453" s="227"/>
      <c r="AF453" s="227"/>
      <c r="AG453" s="227"/>
      <c r="AH453" s="227"/>
      <c r="AI453" s="227"/>
      <c r="AJ453" s="227"/>
      <c r="AK453" s="227"/>
      <c r="AL453" s="227"/>
      <c r="AM453" s="227"/>
      <c r="AN453" s="227"/>
      <c r="AO453" s="227"/>
      <c r="AP453" s="227"/>
      <c r="AQ453" s="227"/>
      <c r="AR453" s="227"/>
      <c r="AS453" s="227"/>
      <c r="AT453" s="227"/>
      <c r="AU453" s="227"/>
      <c r="AV453" s="227"/>
      <c r="AW453" s="227"/>
      <c r="AX453" s="227"/>
      <c r="AY453" s="227"/>
      <c r="AZ453" s="227"/>
      <c r="BA453" s="227"/>
      <c r="BB453" s="227"/>
      <c r="BC453" s="227"/>
      <c r="BD453" s="100"/>
      <c r="BE453" s="100"/>
      <c r="BF453" s="100"/>
      <c r="BG453" s="100"/>
      <c r="BH453" s="100"/>
      <c r="BI453" s="100"/>
      <c r="BJ453" s="100"/>
      <c r="BK453" s="12"/>
      <c r="BL453" s="12"/>
    </row>
    <row r="454" spans="1:64" hidden="1" outlineLevel="1">
      <c r="A454" s="9"/>
      <c r="B454" s="9"/>
      <c r="C454" s="46"/>
      <c r="D454" s="129">
        <f>Asset17</f>
        <v>0</v>
      </c>
      <c r="E454" s="9"/>
      <c r="F454" s="9"/>
      <c r="G454" s="193">
        <f>Input!J23</f>
        <v>0</v>
      </c>
      <c r="H454" s="111">
        <f t="shared" si="5"/>
        <v>0</v>
      </c>
      <c r="I454" s="111">
        <f t="shared" si="7"/>
        <v>0</v>
      </c>
      <c r="J454" s="111">
        <f t="shared" si="7"/>
        <v>0</v>
      </c>
      <c r="K454" s="111">
        <f t="shared" si="7"/>
        <v>0</v>
      </c>
      <c r="L454" s="111">
        <f t="shared" si="7"/>
        <v>0</v>
      </c>
      <c r="M454" s="111">
        <f t="shared" si="7"/>
        <v>0</v>
      </c>
      <c r="N454" s="111">
        <f>IF(Input!M$173&gt;0, M454+M486+M518, 0)</f>
        <v>0</v>
      </c>
      <c r="O454" s="111">
        <f>IF(Input!N$173&gt;0, N454+N486+N518, 0)</f>
        <v>0</v>
      </c>
      <c r="P454" s="111">
        <f>IF(Input!O$173&gt;0, O454+O486+O518, 0)</f>
        <v>0</v>
      </c>
      <c r="Q454" s="111">
        <f>IF(Input!P$173&gt;0, P454+P486+P518, 0)</f>
        <v>0</v>
      </c>
      <c r="R454" s="111">
        <f>IF(Input!Q$173&gt;0, Q454+Q486+Q518, 0)</f>
        <v>0</v>
      </c>
      <c r="S454" s="100"/>
      <c r="T454" s="100"/>
      <c r="U454" s="100"/>
      <c r="V454" s="100"/>
      <c r="W454" s="100"/>
      <c r="X454" s="100"/>
      <c r="Y454" s="100"/>
      <c r="Z454" s="100"/>
      <c r="AA454" s="100"/>
      <c r="AB454" s="227"/>
      <c r="AC454" s="227"/>
      <c r="AD454" s="227"/>
      <c r="AE454" s="227"/>
      <c r="AF454" s="227"/>
      <c r="AG454" s="227"/>
      <c r="AH454" s="227"/>
      <c r="AI454" s="227"/>
      <c r="AJ454" s="227"/>
      <c r="AK454" s="227"/>
      <c r="AL454" s="227"/>
      <c r="AM454" s="227"/>
      <c r="AN454" s="227"/>
      <c r="AO454" s="227"/>
      <c r="AP454" s="227"/>
      <c r="AQ454" s="227"/>
      <c r="AR454" s="227"/>
      <c r="AS454" s="227"/>
      <c r="AT454" s="227"/>
      <c r="AU454" s="227"/>
      <c r="AV454" s="227"/>
      <c r="AW454" s="227"/>
      <c r="AX454" s="227"/>
      <c r="AY454" s="227"/>
      <c r="AZ454" s="227"/>
      <c r="BA454" s="227"/>
      <c r="BB454" s="227"/>
      <c r="BC454" s="227"/>
      <c r="BD454" s="100"/>
      <c r="BE454" s="100"/>
      <c r="BF454" s="100"/>
      <c r="BG454" s="100"/>
      <c r="BH454" s="100"/>
      <c r="BI454" s="100"/>
      <c r="BJ454" s="100"/>
      <c r="BK454" s="12"/>
      <c r="BL454" s="12"/>
    </row>
    <row r="455" spans="1:64" hidden="1" outlineLevel="1">
      <c r="A455" s="9"/>
      <c r="B455" s="9"/>
      <c r="C455" s="46"/>
      <c r="D455" s="129">
        <f>Asset18</f>
        <v>0</v>
      </c>
      <c r="E455" s="9"/>
      <c r="F455" s="9"/>
      <c r="G455" s="193">
        <f>Input!J24</f>
        <v>0</v>
      </c>
      <c r="H455" s="111">
        <f t="shared" si="5"/>
        <v>0</v>
      </c>
      <c r="I455" s="111">
        <f t="shared" si="7"/>
        <v>0</v>
      </c>
      <c r="J455" s="111">
        <f t="shared" si="7"/>
        <v>0</v>
      </c>
      <c r="K455" s="111">
        <f t="shared" si="7"/>
        <v>0</v>
      </c>
      <c r="L455" s="111">
        <f t="shared" si="7"/>
        <v>0</v>
      </c>
      <c r="M455" s="111">
        <f t="shared" si="7"/>
        <v>0</v>
      </c>
      <c r="N455" s="111">
        <f>IF(Input!M$173&gt;0, M455+M487+M519, 0)</f>
        <v>0</v>
      </c>
      <c r="O455" s="111">
        <f>IF(Input!N$173&gt;0, N455+N487+N519, 0)</f>
        <v>0</v>
      </c>
      <c r="P455" s="111">
        <f>IF(Input!O$173&gt;0, O455+O487+O519, 0)</f>
        <v>0</v>
      </c>
      <c r="Q455" s="111">
        <f>IF(Input!P$173&gt;0, P455+P487+P519, 0)</f>
        <v>0</v>
      </c>
      <c r="R455" s="111">
        <f>IF(Input!Q$173&gt;0, Q455+Q487+Q519, 0)</f>
        <v>0</v>
      </c>
      <c r="S455" s="100"/>
      <c r="T455" s="100"/>
      <c r="U455" s="100"/>
      <c r="V455" s="100"/>
      <c r="W455" s="100"/>
      <c r="X455" s="100"/>
      <c r="Y455" s="100"/>
      <c r="Z455" s="100"/>
      <c r="AA455" s="100"/>
      <c r="AB455" s="227"/>
      <c r="AC455" s="227"/>
      <c r="AD455" s="227"/>
      <c r="AE455" s="227"/>
      <c r="AF455" s="227"/>
      <c r="AG455" s="227"/>
      <c r="AH455" s="227"/>
      <c r="AI455" s="227"/>
      <c r="AJ455" s="227"/>
      <c r="AK455" s="227"/>
      <c r="AL455" s="227"/>
      <c r="AM455" s="227"/>
      <c r="AN455" s="227"/>
      <c r="AO455" s="227"/>
      <c r="AP455" s="227"/>
      <c r="AQ455" s="227"/>
      <c r="AR455" s="227"/>
      <c r="AS455" s="227"/>
      <c r="AT455" s="227"/>
      <c r="AU455" s="227"/>
      <c r="AV455" s="227"/>
      <c r="AW455" s="227"/>
      <c r="AX455" s="227"/>
      <c r="AY455" s="227"/>
      <c r="AZ455" s="227"/>
      <c r="BA455" s="227"/>
      <c r="BB455" s="227"/>
      <c r="BC455" s="227"/>
      <c r="BD455" s="100"/>
      <c r="BE455" s="100"/>
      <c r="BF455" s="100"/>
      <c r="BG455" s="100"/>
      <c r="BH455" s="100"/>
      <c r="BI455" s="100"/>
      <c r="BJ455" s="100"/>
      <c r="BK455" s="12"/>
      <c r="BL455" s="12"/>
    </row>
    <row r="456" spans="1:64" hidden="1" outlineLevel="1">
      <c r="A456" s="9"/>
      <c r="B456" s="9"/>
      <c r="C456" s="46"/>
      <c r="D456" s="129">
        <f>Asset19</f>
        <v>0</v>
      </c>
      <c r="E456" s="9"/>
      <c r="F456" s="9"/>
      <c r="G456" s="193">
        <f>Input!J25</f>
        <v>0</v>
      </c>
      <c r="H456" s="111">
        <f t="shared" si="5"/>
        <v>0</v>
      </c>
      <c r="I456" s="111">
        <f t="shared" si="7"/>
        <v>0</v>
      </c>
      <c r="J456" s="111">
        <f t="shared" si="7"/>
        <v>0</v>
      </c>
      <c r="K456" s="111">
        <f t="shared" si="7"/>
        <v>0</v>
      </c>
      <c r="L456" s="111">
        <f t="shared" si="7"/>
        <v>0</v>
      </c>
      <c r="M456" s="111">
        <f t="shared" si="7"/>
        <v>0</v>
      </c>
      <c r="N456" s="111">
        <f>IF(Input!M$173&gt;0, M456+M488+M520, 0)</f>
        <v>0</v>
      </c>
      <c r="O456" s="111">
        <f>IF(Input!N$173&gt;0, N456+N488+N520, 0)</f>
        <v>0</v>
      </c>
      <c r="P456" s="111">
        <f>IF(Input!O$173&gt;0, O456+O488+O520, 0)</f>
        <v>0</v>
      </c>
      <c r="Q456" s="111">
        <f>IF(Input!P$173&gt;0, P456+P488+P520, 0)</f>
        <v>0</v>
      </c>
      <c r="R456" s="111">
        <f>IF(Input!Q$173&gt;0, Q456+Q488+Q520, 0)</f>
        <v>0</v>
      </c>
      <c r="S456" s="100"/>
      <c r="T456" s="100"/>
      <c r="U456" s="100"/>
      <c r="V456" s="100"/>
      <c r="W456" s="100"/>
      <c r="X456" s="100"/>
      <c r="Y456" s="100"/>
      <c r="Z456" s="100"/>
      <c r="AA456" s="100"/>
      <c r="AB456" s="227"/>
      <c r="AC456" s="227"/>
      <c r="AD456" s="227"/>
      <c r="AE456" s="227"/>
      <c r="AF456" s="227"/>
      <c r="AG456" s="227"/>
      <c r="AH456" s="227"/>
      <c r="AI456" s="227"/>
      <c r="AJ456" s="227"/>
      <c r="AK456" s="227"/>
      <c r="AL456" s="227"/>
      <c r="AM456" s="227"/>
      <c r="AN456" s="227"/>
      <c r="AO456" s="227"/>
      <c r="AP456" s="227"/>
      <c r="AQ456" s="227"/>
      <c r="AR456" s="227"/>
      <c r="AS456" s="227"/>
      <c r="AT456" s="227"/>
      <c r="AU456" s="227"/>
      <c r="AV456" s="227"/>
      <c r="AW456" s="227"/>
      <c r="AX456" s="227"/>
      <c r="AY456" s="227"/>
      <c r="AZ456" s="227"/>
      <c r="BA456" s="227"/>
      <c r="BB456" s="227"/>
      <c r="BC456" s="227"/>
      <c r="BD456" s="100"/>
      <c r="BE456" s="100"/>
      <c r="BF456" s="100"/>
      <c r="BG456" s="100"/>
      <c r="BH456" s="100"/>
      <c r="BI456" s="100"/>
      <c r="BJ456" s="100"/>
      <c r="BK456" s="12"/>
      <c r="BL456" s="12"/>
    </row>
    <row r="457" spans="1:64" hidden="1" outlineLevel="1">
      <c r="A457" s="9"/>
      <c r="B457" s="9"/>
      <c r="C457" s="46"/>
      <c r="D457" s="129">
        <f>Asset20</f>
        <v>0</v>
      </c>
      <c r="E457" s="9"/>
      <c r="F457" s="9"/>
      <c r="G457" s="193">
        <f>Input!J26</f>
        <v>0</v>
      </c>
      <c r="H457" s="111">
        <f t="shared" si="5"/>
        <v>0</v>
      </c>
      <c r="I457" s="111">
        <f t="shared" si="7"/>
        <v>0</v>
      </c>
      <c r="J457" s="111">
        <f t="shared" si="7"/>
        <v>0</v>
      </c>
      <c r="K457" s="111">
        <f t="shared" si="7"/>
        <v>0</v>
      </c>
      <c r="L457" s="111">
        <f t="shared" si="7"/>
        <v>0</v>
      </c>
      <c r="M457" s="111">
        <f t="shared" si="7"/>
        <v>0</v>
      </c>
      <c r="N457" s="111">
        <f>IF(Input!M$173&gt;0, M457+M489+M521, 0)</f>
        <v>0</v>
      </c>
      <c r="O457" s="111">
        <f>IF(Input!N$173&gt;0, N457+N489+N521, 0)</f>
        <v>0</v>
      </c>
      <c r="P457" s="111">
        <f>IF(Input!O$173&gt;0, O457+O489+O521, 0)</f>
        <v>0</v>
      </c>
      <c r="Q457" s="111">
        <f>IF(Input!P$173&gt;0, P457+P489+P521, 0)</f>
        <v>0</v>
      </c>
      <c r="R457" s="111">
        <f>IF(Input!Q$173&gt;0, Q457+Q489+Q521, 0)</f>
        <v>0</v>
      </c>
      <c r="S457" s="100"/>
      <c r="T457" s="100"/>
      <c r="U457" s="100"/>
      <c r="V457" s="100"/>
      <c r="W457" s="100"/>
      <c r="X457" s="100"/>
      <c r="Y457" s="100"/>
      <c r="Z457" s="100"/>
      <c r="AA457" s="100"/>
      <c r="AB457" s="227"/>
      <c r="AC457" s="227"/>
      <c r="AD457" s="227"/>
      <c r="AE457" s="227"/>
      <c r="AF457" s="227"/>
      <c r="AG457" s="227"/>
      <c r="AH457" s="227"/>
      <c r="AI457" s="227"/>
      <c r="AJ457" s="227"/>
      <c r="AK457" s="227"/>
      <c r="AL457" s="227"/>
      <c r="AM457" s="227"/>
      <c r="AN457" s="227"/>
      <c r="AO457" s="227"/>
      <c r="AP457" s="227"/>
      <c r="AQ457" s="227"/>
      <c r="AR457" s="227"/>
      <c r="AS457" s="227"/>
      <c r="AT457" s="227"/>
      <c r="AU457" s="227"/>
      <c r="AV457" s="227"/>
      <c r="AW457" s="227"/>
      <c r="AX457" s="227"/>
      <c r="AY457" s="227"/>
      <c r="AZ457" s="227"/>
      <c r="BA457" s="227"/>
      <c r="BB457" s="227"/>
      <c r="BC457" s="227"/>
      <c r="BD457" s="100"/>
      <c r="BE457" s="100"/>
      <c r="BF457" s="100"/>
      <c r="BG457" s="100"/>
      <c r="BH457" s="100"/>
      <c r="BI457" s="100"/>
      <c r="BJ457" s="100"/>
      <c r="BK457" s="12"/>
      <c r="BL457" s="12"/>
    </row>
    <row r="458" spans="1:64" hidden="1" outlineLevel="1">
      <c r="A458" s="9"/>
      <c r="B458" s="9"/>
      <c r="C458" s="46"/>
      <c r="D458" s="129">
        <f>Asset21</f>
        <v>0</v>
      </c>
      <c r="E458" s="9"/>
      <c r="F458" s="9"/>
      <c r="G458" s="193">
        <f>Input!J27</f>
        <v>0</v>
      </c>
      <c r="H458" s="111">
        <f t="shared" ref="H458:H467" si="8">G458+G490+G522+G554+G586+G618</f>
        <v>0</v>
      </c>
      <c r="I458" s="111">
        <f t="shared" ref="I458:M465" si="9">H458+H490+H522</f>
        <v>0</v>
      </c>
      <c r="J458" s="111">
        <f t="shared" si="9"/>
        <v>0</v>
      </c>
      <c r="K458" s="111">
        <f t="shared" si="9"/>
        <v>0</v>
      </c>
      <c r="L458" s="111">
        <f t="shared" si="9"/>
        <v>0</v>
      </c>
      <c r="M458" s="111">
        <f t="shared" si="9"/>
        <v>0</v>
      </c>
      <c r="N458" s="111">
        <f>IF(Input!M$173&gt;0, M458+M490+M522, 0)</f>
        <v>0</v>
      </c>
      <c r="O458" s="111">
        <f>IF(Input!N$173&gt;0, N458+N490+N522, 0)</f>
        <v>0</v>
      </c>
      <c r="P458" s="111">
        <f>IF(Input!O$173&gt;0, O458+O490+O522, 0)</f>
        <v>0</v>
      </c>
      <c r="Q458" s="111">
        <f>IF(Input!P$173&gt;0, P458+P490+P522, 0)</f>
        <v>0</v>
      </c>
      <c r="R458" s="111">
        <f>IF(Input!Q$173&gt;0, Q458+Q490+Q522, 0)</f>
        <v>0</v>
      </c>
      <c r="S458" s="100"/>
      <c r="T458" s="100"/>
      <c r="U458" s="100"/>
      <c r="V458" s="100"/>
      <c r="W458" s="100"/>
      <c r="X458" s="100"/>
      <c r="Y458" s="100"/>
      <c r="Z458" s="100"/>
      <c r="AA458" s="100"/>
      <c r="AB458" s="227"/>
      <c r="AC458" s="227"/>
      <c r="AD458" s="227"/>
      <c r="AE458" s="227"/>
      <c r="AF458" s="227"/>
      <c r="AG458" s="227"/>
      <c r="AH458" s="227"/>
      <c r="AI458" s="227"/>
      <c r="AJ458" s="227"/>
      <c r="AK458" s="227"/>
      <c r="AL458" s="227"/>
      <c r="AM458" s="227"/>
      <c r="AN458" s="227"/>
      <c r="AO458" s="227"/>
      <c r="AP458" s="227"/>
      <c r="AQ458" s="227"/>
      <c r="AR458" s="227"/>
      <c r="AS458" s="227"/>
      <c r="AT458" s="227"/>
      <c r="AU458" s="227"/>
      <c r="AV458" s="227"/>
      <c r="AW458" s="227"/>
      <c r="AX458" s="227"/>
      <c r="AY458" s="227"/>
      <c r="AZ458" s="227"/>
      <c r="BA458" s="227"/>
      <c r="BB458" s="227"/>
      <c r="BC458" s="227"/>
      <c r="BD458" s="100"/>
      <c r="BE458" s="100"/>
      <c r="BF458" s="100"/>
      <c r="BG458" s="100"/>
      <c r="BH458" s="100"/>
      <c r="BI458" s="100"/>
      <c r="BJ458" s="100"/>
      <c r="BK458" s="12"/>
      <c r="BL458" s="12"/>
    </row>
    <row r="459" spans="1:64" hidden="1" outlineLevel="1">
      <c r="A459" s="9"/>
      <c r="B459" s="9"/>
      <c r="C459" s="46"/>
      <c r="D459" s="129">
        <f>Asset22</f>
        <v>0</v>
      </c>
      <c r="E459" s="9"/>
      <c r="F459" s="9"/>
      <c r="G459" s="193">
        <f>Input!J28</f>
        <v>0</v>
      </c>
      <c r="H459" s="111">
        <f t="shared" si="8"/>
        <v>0</v>
      </c>
      <c r="I459" s="111">
        <f t="shared" si="9"/>
        <v>0</v>
      </c>
      <c r="J459" s="111">
        <f t="shared" si="9"/>
        <v>0</v>
      </c>
      <c r="K459" s="111">
        <f t="shared" si="9"/>
        <v>0</v>
      </c>
      <c r="L459" s="111">
        <f t="shared" si="9"/>
        <v>0</v>
      </c>
      <c r="M459" s="111">
        <f t="shared" si="9"/>
        <v>0</v>
      </c>
      <c r="N459" s="111">
        <f>IF(Input!M$173&gt;0, M459+M491+M523, 0)</f>
        <v>0</v>
      </c>
      <c r="O459" s="111">
        <f>IF(Input!N$173&gt;0, N459+N491+N523, 0)</f>
        <v>0</v>
      </c>
      <c r="P459" s="111">
        <f>IF(Input!O$173&gt;0, O459+O491+O523, 0)</f>
        <v>0</v>
      </c>
      <c r="Q459" s="111">
        <f>IF(Input!P$173&gt;0, P459+P491+P523, 0)</f>
        <v>0</v>
      </c>
      <c r="R459" s="111">
        <f>IF(Input!Q$173&gt;0, Q459+Q491+Q523, 0)</f>
        <v>0</v>
      </c>
      <c r="S459" s="100"/>
      <c r="T459" s="100"/>
      <c r="U459" s="100"/>
      <c r="V459" s="100"/>
      <c r="W459" s="100"/>
      <c r="X459" s="100"/>
      <c r="Y459" s="100"/>
      <c r="Z459" s="100"/>
      <c r="AA459" s="100"/>
      <c r="AB459" s="227"/>
      <c r="AC459" s="227"/>
      <c r="AD459" s="227"/>
      <c r="AE459" s="227"/>
      <c r="AF459" s="227"/>
      <c r="AG459" s="227"/>
      <c r="AH459" s="227"/>
      <c r="AI459" s="227"/>
      <c r="AJ459" s="227"/>
      <c r="AK459" s="227"/>
      <c r="AL459" s="227"/>
      <c r="AM459" s="227"/>
      <c r="AN459" s="227"/>
      <c r="AO459" s="227"/>
      <c r="AP459" s="227"/>
      <c r="AQ459" s="227"/>
      <c r="AR459" s="227"/>
      <c r="AS459" s="227"/>
      <c r="AT459" s="227"/>
      <c r="AU459" s="227"/>
      <c r="AV459" s="227"/>
      <c r="AW459" s="227"/>
      <c r="AX459" s="227"/>
      <c r="AY459" s="227"/>
      <c r="AZ459" s="227"/>
      <c r="BA459" s="227"/>
      <c r="BB459" s="227"/>
      <c r="BC459" s="227"/>
      <c r="BD459" s="100"/>
      <c r="BE459" s="100"/>
      <c r="BF459" s="100"/>
      <c r="BG459" s="100"/>
      <c r="BH459" s="100"/>
      <c r="BI459" s="100"/>
      <c r="BJ459" s="100"/>
      <c r="BK459" s="12"/>
      <c r="BL459" s="12"/>
    </row>
    <row r="460" spans="1:64" hidden="1" outlineLevel="1">
      <c r="A460" s="9"/>
      <c r="B460" s="9"/>
      <c r="C460" s="46"/>
      <c r="D460" s="129">
        <f>Asset23</f>
        <v>0</v>
      </c>
      <c r="E460" s="9"/>
      <c r="F460" s="9"/>
      <c r="G460" s="193">
        <f>Input!J29</f>
        <v>0</v>
      </c>
      <c r="H460" s="111">
        <f t="shared" si="8"/>
        <v>0</v>
      </c>
      <c r="I460" s="111">
        <f t="shared" si="9"/>
        <v>0</v>
      </c>
      <c r="J460" s="111">
        <f t="shared" si="9"/>
        <v>0</v>
      </c>
      <c r="K460" s="111">
        <f t="shared" si="9"/>
        <v>0</v>
      </c>
      <c r="L460" s="111">
        <f t="shared" si="9"/>
        <v>0</v>
      </c>
      <c r="M460" s="111">
        <f t="shared" si="9"/>
        <v>0</v>
      </c>
      <c r="N460" s="111">
        <f>IF(Input!M$173&gt;0, M460+M492+M524, 0)</f>
        <v>0</v>
      </c>
      <c r="O460" s="111">
        <f>IF(Input!N$173&gt;0, N460+N492+N524, 0)</f>
        <v>0</v>
      </c>
      <c r="P460" s="111">
        <f>IF(Input!O$173&gt;0, O460+O492+O524, 0)</f>
        <v>0</v>
      </c>
      <c r="Q460" s="111">
        <f>IF(Input!P$173&gt;0, P460+P492+P524, 0)</f>
        <v>0</v>
      </c>
      <c r="R460" s="111">
        <f>IF(Input!Q$173&gt;0, Q460+Q492+Q524, 0)</f>
        <v>0</v>
      </c>
      <c r="S460" s="100"/>
      <c r="T460" s="100"/>
      <c r="U460" s="100"/>
      <c r="V460" s="100"/>
      <c r="W460" s="100"/>
      <c r="X460" s="100"/>
      <c r="Y460" s="100"/>
      <c r="Z460" s="100"/>
      <c r="AA460" s="100"/>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100"/>
      <c r="BE460" s="100"/>
      <c r="BF460" s="100"/>
      <c r="BG460" s="100"/>
      <c r="BH460" s="100"/>
      <c r="BI460" s="100"/>
      <c r="BJ460" s="100"/>
      <c r="BK460" s="12"/>
      <c r="BL460" s="12"/>
    </row>
    <row r="461" spans="1:64" hidden="1" outlineLevel="1">
      <c r="A461" s="9"/>
      <c r="B461" s="9"/>
      <c r="C461" s="46"/>
      <c r="D461" s="129">
        <f>Asset24</f>
        <v>0</v>
      </c>
      <c r="E461" s="9"/>
      <c r="F461" s="9"/>
      <c r="G461" s="193">
        <f>Input!J30</f>
        <v>0</v>
      </c>
      <c r="H461" s="111">
        <f t="shared" si="8"/>
        <v>0</v>
      </c>
      <c r="I461" s="111">
        <f t="shared" si="9"/>
        <v>0</v>
      </c>
      <c r="J461" s="111">
        <f t="shared" si="9"/>
        <v>0</v>
      </c>
      <c r="K461" s="111">
        <f t="shared" si="9"/>
        <v>0</v>
      </c>
      <c r="L461" s="111">
        <f t="shared" si="9"/>
        <v>0</v>
      </c>
      <c r="M461" s="111">
        <f t="shared" si="9"/>
        <v>0</v>
      </c>
      <c r="N461" s="111">
        <f>IF(Input!M$173&gt;0, M461+M493+M525, 0)</f>
        <v>0</v>
      </c>
      <c r="O461" s="111">
        <f>IF(Input!N$173&gt;0, N461+N493+N525, 0)</f>
        <v>0</v>
      </c>
      <c r="P461" s="111">
        <f>IF(Input!O$173&gt;0, O461+O493+O525, 0)</f>
        <v>0</v>
      </c>
      <c r="Q461" s="111">
        <f>IF(Input!P$173&gt;0, P461+P493+P525, 0)</f>
        <v>0</v>
      </c>
      <c r="R461" s="111">
        <f>IF(Input!Q$173&gt;0, Q461+Q493+Q525, 0)</f>
        <v>0</v>
      </c>
      <c r="S461" s="100"/>
      <c r="T461" s="100"/>
      <c r="U461" s="100"/>
      <c r="V461" s="100"/>
      <c r="W461" s="100"/>
      <c r="X461" s="100"/>
      <c r="Y461" s="100"/>
      <c r="Z461" s="100"/>
      <c r="AA461" s="100"/>
      <c r="AB461" s="227"/>
      <c r="AC461" s="227"/>
      <c r="AD461" s="227"/>
      <c r="AE461" s="227"/>
      <c r="AF461" s="227"/>
      <c r="AG461" s="227"/>
      <c r="AH461" s="227"/>
      <c r="AI461" s="227"/>
      <c r="AJ461" s="227"/>
      <c r="AK461" s="227"/>
      <c r="AL461" s="227"/>
      <c r="AM461" s="227"/>
      <c r="AN461" s="227"/>
      <c r="AO461" s="227"/>
      <c r="AP461" s="227"/>
      <c r="AQ461" s="227"/>
      <c r="AR461" s="227"/>
      <c r="AS461" s="227"/>
      <c r="AT461" s="227"/>
      <c r="AU461" s="227"/>
      <c r="AV461" s="227"/>
      <c r="AW461" s="227"/>
      <c r="AX461" s="227"/>
      <c r="AY461" s="227"/>
      <c r="AZ461" s="227"/>
      <c r="BA461" s="227"/>
      <c r="BB461" s="227"/>
      <c r="BC461" s="227"/>
      <c r="BD461" s="100"/>
      <c r="BE461" s="100"/>
      <c r="BF461" s="100"/>
      <c r="BG461" s="100"/>
      <c r="BH461" s="100"/>
      <c r="BI461" s="100"/>
      <c r="BJ461" s="100"/>
      <c r="BK461" s="12"/>
      <c r="BL461" s="12"/>
    </row>
    <row r="462" spans="1:64" hidden="1" outlineLevel="1">
      <c r="A462" s="9"/>
      <c r="B462" s="9"/>
      <c r="C462" s="46"/>
      <c r="D462" s="129">
        <f>Asset25</f>
        <v>0</v>
      </c>
      <c r="E462" s="9"/>
      <c r="F462" s="9"/>
      <c r="G462" s="193">
        <f>Input!J31</f>
        <v>0</v>
      </c>
      <c r="H462" s="111">
        <f t="shared" si="8"/>
        <v>0</v>
      </c>
      <c r="I462" s="111">
        <f t="shared" si="9"/>
        <v>0</v>
      </c>
      <c r="J462" s="111">
        <f t="shared" si="9"/>
        <v>0</v>
      </c>
      <c r="K462" s="111">
        <f t="shared" si="9"/>
        <v>0</v>
      </c>
      <c r="L462" s="111">
        <f t="shared" si="9"/>
        <v>0</v>
      </c>
      <c r="M462" s="111">
        <f t="shared" si="9"/>
        <v>0</v>
      </c>
      <c r="N462" s="111">
        <f>IF(Input!M$173&gt;0, M462+M494+M526, 0)</f>
        <v>0</v>
      </c>
      <c r="O462" s="111">
        <f>IF(Input!N$173&gt;0, N462+N494+N526, 0)</f>
        <v>0</v>
      </c>
      <c r="P462" s="111">
        <f>IF(Input!O$173&gt;0, O462+O494+O526, 0)</f>
        <v>0</v>
      </c>
      <c r="Q462" s="111">
        <f>IF(Input!P$173&gt;0, P462+P494+P526, 0)</f>
        <v>0</v>
      </c>
      <c r="R462" s="111">
        <f>IF(Input!Q$173&gt;0, Q462+Q494+Q526, 0)</f>
        <v>0</v>
      </c>
      <c r="S462" s="100"/>
      <c r="T462" s="100"/>
      <c r="U462" s="100"/>
      <c r="V462" s="100"/>
      <c r="W462" s="100"/>
      <c r="X462" s="100"/>
      <c r="Y462" s="100"/>
      <c r="Z462" s="100"/>
      <c r="AA462" s="100"/>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AX462" s="227"/>
      <c r="AY462" s="227"/>
      <c r="AZ462" s="227"/>
      <c r="BA462" s="227"/>
      <c r="BB462" s="227"/>
      <c r="BC462" s="227"/>
      <c r="BD462" s="100"/>
      <c r="BE462" s="100"/>
      <c r="BF462" s="100"/>
      <c r="BG462" s="100"/>
      <c r="BH462" s="100"/>
      <c r="BI462" s="100"/>
      <c r="BJ462" s="100"/>
      <c r="BK462" s="12"/>
      <c r="BL462" s="12"/>
    </row>
    <row r="463" spans="1:64" hidden="1" outlineLevel="1">
      <c r="A463" s="9"/>
      <c r="B463" s="9"/>
      <c r="C463" s="46"/>
      <c r="D463" s="129">
        <f>Asset26</f>
        <v>0</v>
      </c>
      <c r="E463" s="9"/>
      <c r="F463" s="9"/>
      <c r="G463" s="193">
        <f>Input!J32</f>
        <v>0</v>
      </c>
      <c r="H463" s="111">
        <f t="shared" si="8"/>
        <v>0</v>
      </c>
      <c r="I463" s="111">
        <f t="shared" si="9"/>
        <v>0</v>
      </c>
      <c r="J463" s="111">
        <f t="shared" si="9"/>
        <v>0</v>
      </c>
      <c r="K463" s="111">
        <f t="shared" si="9"/>
        <v>0</v>
      </c>
      <c r="L463" s="111">
        <f t="shared" si="9"/>
        <v>0</v>
      </c>
      <c r="M463" s="111">
        <f t="shared" si="9"/>
        <v>0</v>
      </c>
      <c r="N463" s="111">
        <f>IF(Input!M$173&gt;0, M463+M495+M527, 0)</f>
        <v>0</v>
      </c>
      <c r="O463" s="111">
        <f>IF(Input!N$173&gt;0, N463+N495+N527, 0)</f>
        <v>0</v>
      </c>
      <c r="P463" s="111">
        <f>IF(Input!O$173&gt;0, O463+O495+O527, 0)</f>
        <v>0</v>
      </c>
      <c r="Q463" s="111">
        <f>IF(Input!P$173&gt;0, P463+P495+P527, 0)</f>
        <v>0</v>
      </c>
      <c r="R463" s="111">
        <f>IF(Input!Q$173&gt;0, Q463+Q495+Q527, 0)</f>
        <v>0</v>
      </c>
      <c r="S463" s="100"/>
      <c r="T463" s="100"/>
      <c r="U463" s="100"/>
      <c r="V463" s="100"/>
      <c r="W463" s="100"/>
      <c r="X463" s="100"/>
      <c r="Y463" s="100"/>
      <c r="Z463" s="100"/>
      <c r="AA463" s="100"/>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AX463" s="227"/>
      <c r="AY463" s="227"/>
      <c r="AZ463" s="227"/>
      <c r="BA463" s="227"/>
      <c r="BB463" s="227"/>
      <c r="BC463" s="227"/>
      <c r="BD463" s="100"/>
      <c r="BE463" s="100"/>
      <c r="BF463" s="100"/>
      <c r="BG463" s="100"/>
      <c r="BH463" s="100"/>
      <c r="BI463" s="100"/>
      <c r="BJ463" s="100"/>
      <c r="BK463" s="12"/>
      <c r="BL463" s="12"/>
    </row>
    <row r="464" spans="1:64" hidden="1" outlineLevel="1">
      <c r="A464" s="9"/>
      <c r="B464" s="9"/>
      <c r="C464" s="46"/>
      <c r="D464" s="129">
        <f>Asset27</f>
        <v>0</v>
      </c>
      <c r="E464" s="9"/>
      <c r="F464" s="9"/>
      <c r="G464" s="193">
        <f>Input!J33</f>
        <v>0</v>
      </c>
      <c r="H464" s="111">
        <f t="shared" si="8"/>
        <v>0</v>
      </c>
      <c r="I464" s="111">
        <f t="shared" si="9"/>
        <v>0</v>
      </c>
      <c r="J464" s="111">
        <f t="shared" si="9"/>
        <v>0</v>
      </c>
      <c r="K464" s="111">
        <f t="shared" si="9"/>
        <v>0</v>
      </c>
      <c r="L464" s="111">
        <f t="shared" si="9"/>
        <v>0</v>
      </c>
      <c r="M464" s="111">
        <f t="shared" si="9"/>
        <v>0</v>
      </c>
      <c r="N464" s="111">
        <f>IF(Input!M$173&gt;0, M464+M496+M528, 0)</f>
        <v>0</v>
      </c>
      <c r="O464" s="111">
        <f>IF(Input!N$173&gt;0, N464+N496+N528, 0)</f>
        <v>0</v>
      </c>
      <c r="P464" s="111">
        <f>IF(Input!O$173&gt;0, O464+O496+O528, 0)</f>
        <v>0</v>
      </c>
      <c r="Q464" s="111">
        <f>IF(Input!P$173&gt;0, P464+P496+P528, 0)</f>
        <v>0</v>
      </c>
      <c r="R464" s="111">
        <f>IF(Input!Q$173&gt;0, Q464+Q496+Q528, 0)</f>
        <v>0</v>
      </c>
      <c r="S464" s="100"/>
      <c r="T464" s="100"/>
      <c r="U464" s="100"/>
      <c r="V464" s="100"/>
      <c r="W464" s="100"/>
      <c r="X464" s="100"/>
      <c r="Y464" s="100"/>
      <c r="Z464" s="100"/>
      <c r="AA464" s="100"/>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100"/>
      <c r="BE464" s="100"/>
      <c r="BF464" s="100"/>
      <c r="BG464" s="100"/>
      <c r="BH464" s="100"/>
      <c r="BI464" s="100"/>
      <c r="BJ464" s="100"/>
      <c r="BK464" s="12"/>
      <c r="BL464" s="12"/>
    </row>
    <row r="465" spans="1:64" hidden="1" outlineLevel="1">
      <c r="A465" s="9"/>
      <c r="B465" s="9"/>
      <c r="C465" s="46"/>
      <c r="D465" s="129">
        <f>Asset28</f>
        <v>0</v>
      </c>
      <c r="E465" s="9"/>
      <c r="F465" s="9"/>
      <c r="G465" s="193">
        <f>Input!J34</f>
        <v>0</v>
      </c>
      <c r="H465" s="111">
        <f t="shared" si="8"/>
        <v>0</v>
      </c>
      <c r="I465" s="111">
        <f t="shared" si="9"/>
        <v>0</v>
      </c>
      <c r="J465" s="111">
        <f t="shared" si="9"/>
        <v>0</v>
      </c>
      <c r="K465" s="111">
        <f t="shared" si="9"/>
        <v>0</v>
      </c>
      <c r="L465" s="111">
        <f t="shared" si="9"/>
        <v>0</v>
      </c>
      <c r="M465" s="111">
        <f t="shared" si="9"/>
        <v>0</v>
      </c>
      <c r="N465" s="111">
        <f>IF(Input!M$173&gt;0, M465+M497+M529, 0)</f>
        <v>0</v>
      </c>
      <c r="O465" s="111">
        <f>IF(Input!N$173&gt;0, N465+N497+N529, 0)</f>
        <v>0</v>
      </c>
      <c r="P465" s="111">
        <f>IF(Input!O$173&gt;0, O465+O497+O529, 0)</f>
        <v>0</v>
      </c>
      <c r="Q465" s="111">
        <f>IF(Input!P$173&gt;0, P465+P497+P529, 0)</f>
        <v>0</v>
      </c>
      <c r="R465" s="111">
        <f>IF(Input!Q$173&gt;0, Q465+Q497+Q529, 0)</f>
        <v>0</v>
      </c>
      <c r="S465" s="100"/>
      <c r="T465" s="100"/>
      <c r="U465" s="100"/>
      <c r="V465" s="100"/>
      <c r="W465" s="100"/>
      <c r="X465" s="100"/>
      <c r="Y465" s="100"/>
      <c r="Z465" s="100"/>
      <c r="AA465" s="100"/>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100"/>
      <c r="BE465" s="100"/>
      <c r="BF465" s="100"/>
      <c r="BG465" s="100"/>
      <c r="BH465" s="100"/>
      <c r="BI465" s="100"/>
      <c r="BJ465" s="100"/>
      <c r="BK465" s="12"/>
      <c r="BL465" s="12"/>
    </row>
    <row r="466" spans="1:64" hidden="1" outlineLevel="1">
      <c r="A466" s="9"/>
      <c r="B466" s="9"/>
      <c r="C466" s="46"/>
      <c r="D466" s="129">
        <f>Asset29</f>
        <v>0</v>
      </c>
      <c r="E466" s="9"/>
      <c r="F466" s="9"/>
      <c r="G466" s="193">
        <f>Input!J35</f>
        <v>0</v>
      </c>
      <c r="H466" s="111">
        <f t="shared" si="8"/>
        <v>0</v>
      </c>
      <c r="I466" s="111">
        <f t="shared" ref="I466:M467" si="10">H466+H498+H530</f>
        <v>0</v>
      </c>
      <c r="J466" s="111">
        <f t="shared" si="10"/>
        <v>0</v>
      </c>
      <c r="K466" s="111">
        <f t="shared" si="10"/>
        <v>0</v>
      </c>
      <c r="L466" s="111">
        <f t="shared" si="10"/>
        <v>0</v>
      </c>
      <c r="M466" s="111">
        <f t="shared" si="10"/>
        <v>0</v>
      </c>
      <c r="N466" s="111">
        <f>IF(Input!M$173&gt;0, M466+M498+M530, 0)</f>
        <v>0</v>
      </c>
      <c r="O466" s="111">
        <f>IF(Input!N$173&gt;0, N466+N498+N530, 0)</f>
        <v>0</v>
      </c>
      <c r="P466" s="111">
        <f>IF(Input!O$173&gt;0, O466+O498+O530, 0)</f>
        <v>0</v>
      </c>
      <c r="Q466" s="111">
        <f>IF(Input!P$173&gt;0, P466+P498+P530, 0)</f>
        <v>0</v>
      </c>
      <c r="R466" s="111">
        <f>IF(Input!Q$173&gt;0, Q466+Q498+Q530, 0)</f>
        <v>0</v>
      </c>
      <c r="S466" s="100"/>
      <c r="T466" s="100"/>
      <c r="U466" s="100"/>
      <c r="V466" s="100"/>
      <c r="W466" s="100"/>
      <c r="X466" s="100"/>
      <c r="Y466" s="100"/>
      <c r="Z466" s="100"/>
      <c r="AA466" s="100"/>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100"/>
      <c r="BE466" s="100"/>
      <c r="BF466" s="100"/>
      <c r="BG466" s="100"/>
      <c r="BH466" s="100"/>
      <c r="BI466" s="100"/>
      <c r="BJ466" s="100"/>
      <c r="BK466" s="12"/>
      <c r="BL466" s="12"/>
    </row>
    <row r="467" spans="1:64" hidden="1" outlineLevel="1">
      <c r="A467" s="9"/>
      <c r="B467" s="9"/>
      <c r="C467" s="46"/>
      <c r="D467" s="129">
        <f>Asset30</f>
        <v>0</v>
      </c>
      <c r="E467" s="9"/>
      <c r="F467" s="9"/>
      <c r="G467" s="193">
        <f>Input!J36</f>
        <v>0</v>
      </c>
      <c r="H467" s="111">
        <f t="shared" si="8"/>
        <v>0</v>
      </c>
      <c r="I467" s="111">
        <f t="shared" si="10"/>
        <v>0</v>
      </c>
      <c r="J467" s="111">
        <f t="shared" si="10"/>
        <v>0</v>
      </c>
      <c r="K467" s="111">
        <f t="shared" si="10"/>
        <v>0</v>
      </c>
      <c r="L467" s="111">
        <f t="shared" si="10"/>
        <v>0</v>
      </c>
      <c r="M467" s="111">
        <f t="shared" si="10"/>
        <v>0</v>
      </c>
      <c r="N467" s="111">
        <f>IF(Input!M$173&gt;0, M467+M499+M531, 0)</f>
        <v>0</v>
      </c>
      <c r="O467" s="111">
        <f>IF(Input!N$173&gt;0, N467+N499+N531, 0)</f>
        <v>0</v>
      </c>
      <c r="P467" s="111">
        <f>IF(Input!O$173&gt;0, O467+O499+O531, 0)</f>
        <v>0</v>
      </c>
      <c r="Q467" s="111">
        <f>IF(Input!P$173&gt;0, P467+P499+P531, 0)</f>
        <v>0</v>
      </c>
      <c r="R467" s="111">
        <f>IF(Input!Q$173&gt;0, Q467+Q499+Q531, 0)</f>
        <v>0</v>
      </c>
      <c r="S467" s="100"/>
      <c r="T467" s="100"/>
      <c r="U467" s="100"/>
      <c r="V467" s="100"/>
      <c r="W467" s="100"/>
      <c r="X467" s="100"/>
      <c r="Y467" s="100"/>
      <c r="Z467" s="100"/>
      <c r="AA467" s="100"/>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100"/>
      <c r="BE467" s="100"/>
      <c r="BF467" s="100"/>
      <c r="BG467" s="100"/>
      <c r="BH467" s="100"/>
      <c r="BI467" s="100"/>
      <c r="BJ467" s="100"/>
      <c r="BK467" s="12"/>
      <c r="BL467" s="12"/>
    </row>
    <row r="468" spans="1:64" collapsed="1">
      <c r="A468" s="9"/>
      <c r="B468" s="9"/>
      <c r="C468" s="46"/>
      <c r="D468" s="114"/>
      <c r="E468" s="9"/>
      <c r="F468" s="9"/>
      <c r="G468" s="201"/>
      <c r="H468" s="37"/>
      <c r="I468" s="37"/>
      <c r="J468" s="37"/>
      <c r="K468" s="37"/>
      <c r="L468" s="37"/>
      <c r="M468" s="37"/>
      <c r="N468" s="29"/>
      <c r="O468" s="29"/>
      <c r="P468" s="29"/>
      <c r="Q468" s="29"/>
      <c r="R468" s="29"/>
      <c r="S468" s="100"/>
      <c r="T468" s="100"/>
      <c r="U468" s="100"/>
      <c r="V468" s="100"/>
      <c r="W468" s="100"/>
      <c r="X468" s="100"/>
      <c r="Y468" s="100"/>
      <c r="Z468" s="100"/>
      <c r="AA468" s="100"/>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100"/>
      <c r="BE468" s="100"/>
      <c r="BF468" s="100"/>
      <c r="BG468" s="100"/>
      <c r="BH468" s="100"/>
      <c r="BI468" s="100"/>
      <c r="BJ468" s="100"/>
      <c r="BK468" s="12"/>
      <c r="BL468" s="12"/>
    </row>
    <row r="469" spans="1:64">
      <c r="A469" s="9"/>
      <c r="B469" s="9"/>
      <c r="C469" s="46" t="s">
        <v>34</v>
      </c>
      <c r="D469" s="9"/>
      <c r="E469" s="9"/>
      <c r="F469" s="9"/>
      <c r="G469" s="194">
        <f>SUM(G470:G499)</f>
        <v>95.596769927678125</v>
      </c>
      <c r="H469" s="37">
        <f>SUM(H470:H499)</f>
        <v>101.75288355819396</v>
      </c>
      <c r="I469" s="37">
        <f t="shared" ref="I469:Q469" si="11">SUM(I470:I499)</f>
        <v>111.97417645404924</v>
      </c>
      <c r="J469" s="37">
        <f t="shared" si="11"/>
        <v>127.2379368063544</v>
      </c>
      <c r="K469" s="37">
        <f t="shared" si="11"/>
        <v>89.393797501787873</v>
      </c>
      <c r="L469" s="37">
        <f t="shared" si="11"/>
        <v>103.16281543176274</v>
      </c>
      <c r="M469" s="37">
        <f t="shared" si="11"/>
        <v>0</v>
      </c>
      <c r="N469" s="37">
        <f t="shared" si="11"/>
        <v>0</v>
      </c>
      <c r="O469" s="37">
        <f t="shared" si="11"/>
        <v>0</v>
      </c>
      <c r="P469" s="37">
        <f t="shared" si="11"/>
        <v>0</v>
      </c>
      <c r="Q469" s="37">
        <f t="shared" si="11"/>
        <v>0</v>
      </c>
      <c r="R469" s="29"/>
      <c r="S469" s="100"/>
      <c r="T469" s="100"/>
      <c r="U469" s="100"/>
      <c r="V469" s="100"/>
      <c r="W469" s="100"/>
      <c r="X469" s="100"/>
      <c r="Y469" s="100"/>
      <c r="Z469" s="100"/>
      <c r="AA469" s="100"/>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100"/>
      <c r="BE469" s="100"/>
      <c r="BF469" s="100"/>
      <c r="BG469" s="100"/>
      <c r="BH469" s="100"/>
      <c r="BI469" s="100"/>
      <c r="BJ469" s="100"/>
      <c r="BK469" s="12"/>
      <c r="BL469" s="12"/>
    </row>
    <row r="470" spans="1:64" hidden="1" outlineLevel="1">
      <c r="A470" s="9"/>
      <c r="B470" s="9"/>
      <c r="C470" s="46"/>
      <c r="D470" s="129" t="str">
        <f>Asset1</f>
        <v>Mains &amp; Services</v>
      </c>
      <c r="E470" s="9"/>
      <c r="F470" s="9"/>
      <c r="G470" s="594">
        <f>'Adjustment for previous period'!G366</f>
        <v>81.316072764121174</v>
      </c>
      <c r="H470" s="111">
        <f t="shared" ref="H470:Q470" si="12">H12*H$7</f>
        <v>88.362005079577557</v>
      </c>
      <c r="I470" s="111">
        <f t="shared" si="12"/>
        <v>96.252380554708509</v>
      </c>
      <c r="J470" s="111">
        <f t="shared" si="12"/>
        <v>102.91870082493155</v>
      </c>
      <c r="K470" s="111">
        <f t="shared" si="12"/>
        <v>74.756424872199702</v>
      </c>
      <c r="L470" s="111">
        <f t="shared" si="12"/>
        <v>73.709800720417647</v>
      </c>
      <c r="M470" s="111">
        <f t="shared" si="12"/>
        <v>0</v>
      </c>
      <c r="N470" s="111">
        <f t="shared" si="12"/>
        <v>0</v>
      </c>
      <c r="O470" s="111">
        <f t="shared" si="12"/>
        <v>0</v>
      </c>
      <c r="P470" s="111">
        <f t="shared" si="12"/>
        <v>0</v>
      </c>
      <c r="Q470" s="111">
        <f t="shared" si="12"/>
        <v>0</v>
      </c>
      <c r="R470" s="29"/>
      <c r="S470" s="100"/>
      <c r="T470" s="100"/>
      <c r="U470" s="100"/>
      <c r="V470" s="100"/>
      <c r="W470" s="100"/>
      <c r="X470" s="100"/>
      <c r="Y470" s="100"/>
      <c r="Z470" s="100"/>
      <c r="AA470" s="100"/>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100"/>
      <c r="BE470" s="100"/>
      <c r="BF470" s="100"/>
      <c r="BG470" s="100"/>
      <c r="BH470" s="100"/>
      <c r="BI470" s="100"/>
      <c r="BJ470" s="100"/>
      <c r="BK470" s="12"/>
      <c r="BL470" s="12"/>
    </row>
    <row r="471" spans="1:64" hidden="1" outlineLevel="1">
      <c r="A471" s="9"/>
      <c r="B471" s="9"/>
      <c r="C471" s="46"/>
      <c r="D471" s="129" t="str">
        <f>Asset2</f>
        <v>Meters</v>
      </c>
      <c r="E471" s="9"/>
      <c r="F471" s="9"/>
      <c r="G471" s="594">
        <f>'Adjustment for previous period'!G367</f>
        <v>9.5519727888084951</v>
      </c>
      <c r="H471" s="111">
        <f t="shared" ref="H471:L489" si="13">H13*H$7</f>
        <v>8.8027962623924463</v>
      </c>
      <c r="I471" s="111">
        <f t="shared" si="13"/>
        <v>10.872814076653498</v>
      </c>
      <c r="J471" s="111">
        <f t="shared" si="13"/>
        <v>9.9492695079694471</v>
      </c>
      <c r="K471" s="111">
        <f t="shared" si="13"/>
        <v>11.664478949538553</v>
      </c>
      <c r="L471" s="111">
        <f t="shared" si="13"/>
        <v>15.751542320268149</v>
      </c>
      <c r="M471" s="111">
        <f t="shared" ref="M471:Q480" si="14">M13*M$7</f>
        <v>0</v>
      </c>
      <c r="N471" s="111">
        <f t="shared" si="14"/>
        <v>0</v>
      </c>
      <c r="O471" s="111">
        <f t="shared" si="14"/>
        <v>0</v>
      </c>
      <c r="P471" s="111">
        <f t="shared" si="14"/>
        <v>0</v>
      </c>
      <c r="Q471" s="111">
        <f t="shared" si="14"/>
        <v>0</v>
      </c>
      <c r="R471" s="29"/>
      <c r="S471" s="100"/>
      <c r="T471" s="100"/>
      <c r="U471" s="100"/>
      <c r="V471" s="100"/>
      <c r="W471" s="100"/>
      <c r="X471" s="100"/>
      <c r="Y471" s="100"/>
      <c r="Z471" s="100"/>
      <c r="AA471" s="100"/>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100"/>
      <c r="BE471" s="100"/>
      <c r="BF471" s="100"/>
      <c r="BG471" s="100"/>
      <c r="BH471" s="100"/>
      <c r="BI471" s="100"/>
      <c r="BJ471" s="100"/>
      <c r="BK471" s="12"/>
      <c r="BL471" s="12"/>
    </row>
    <row r="472" spans="1:64" hidden="1" outlineLevel="1">
      <c r="A472" s="9"/>
      <c r="B472" s="9"/>
      <c r="C472" s="46"/>
      <c r="D472" s="129" t="str">
        <f>Asset3</f>
        <v>Buildings</v>
      </c>
      <c r="E472" s="9"/>
      <c r="F472" s="9"/>
      <c r="G472" s="594">
        <f>'Adjustment for previous period'!G368</f>
        <v>0</v>
      </c>
      <c r="H472" s="111">
        <f t="shared" si="13"/>
        <v>-0.7848262693018806</v>
      </c>
      <c r="I472" s="111">
        <f t="shared" si="13"/>
        <v>0</v>
      </c>
      <c r="J472" s="111">
        <f t="shared" si="13"/>
        <v>0</v>
      </c>
      <c r="K472" s="111">
        <f t="shared" si="13"/>
        <v>0</v>
      </c>
      <c r="L472" s="111">
        <f t="shared" si="13"/>
        <v>0</v>
      </c>
      <c r="M472" s="111">
        <f t="shared" si="14"/>
        <v>0</v>
      </c>
      <c r="N472" s="111">
        <f t="shared" si="14"/>
        <v>0</v>
      </c>
      <c r="O472" s="111">
        <f t="shared" si="14"/>
        <v>0</v>
      </c>
      <c r="P472" s="111">
        <f t="shared" si="14"/>
        <v>0</v>
      </c>
      <c r="Q472" s="111">
        <f t="shared" si="14"/>
        <v>0</v>
      </c>
      <c r="R472" s="29"/>
      <c r="S472" s="100"/>
      <c r="T472" s="100"/>
      <c r="U472" s="100"/>
      <c r="V472" s="100"/>
      <c r="W472" s="100"/>
      <c r="X472" s="100"/>
      <c r="Y472" s="100"/>
      <c r="Z472" s="100"/>
      <c r="AA472" s="100"/>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100"/>
      <c r="BE472" s="100"/>
      <c r="BF472" s="100"/>
      <c r="BG472" s="100"/>
      <c r="BH472" s="100"/>
      <c r="BI472" s="100"/>
      <c r="BJ472" s="100"/>
      <c r="BK472" s="12"/>
      <c r="BL472" s="12"/>
    </row>
    <row r="473" spans="1:64" hidden="1" outlineLevel="1">
      <c r="A473" s="9"/>
      <c r="B473" s="9"/>
      <c r="C473" s="46"/>
      <c r="D473" s="129" t="str">
        <f>Asset4</f>
        <v>SCADA</v>
      </c>
      <c r="E473" s="9"/>
      <c r="F473" s="9"/>
      <c r="G473" s="594">
        <f>'Adjustment for previous period'!G369</f>
        <v>0.37096865358991299</v>
      </c>
      <c r="H473" s="111">
        <f t="shared" si="13"/>
        <v>0.15550849836586603</v>
      </c>
      <c r="I473" s="111">
        <f t="shared" si="13"/>
        <v>0.40835553017454779</v>
      </c>
      <c r="J473" s="111">
        <f t="shared" si="13"/>
        <v>0.42370880525460275</v>
      </c>
      <c r="K473" s="111">
        <f t="shared" si="13"/>
        <v>0.24552804569761835</v>
      </c>
      <c r="L473" s="111">
        <f t="shared" si="13"/>
        <v>0.52539480597362698</v>
      </c>
      <c r="M473" s="111">
        <f t="shared" si="14"/>
        <v>0</v>
      </c>
      <c r="N473" s="111">
        <f t="shared" si="14"/>
        <v>0</v>
      </c>
      <c r="O473" s="111">
        <f t="shared" si="14"/>
        <v>0</v>
      </c>
      <c r="P473" s="111">
        <f t="shared" si="14"/>
        <v>0</v>
      </c>
      <c r="Q473" s="111">
        <f t="shared" si="14"/>
        <v>0</v>
      </c>
      <c r="R473" s="29"/>
      <c r="S473" s="100"/>
      <c r="T473" s="100"/>
      <c r="U473" s="100"/>
      <c r="V473" s="100"/>
      <c r="W473" s="100"/>
      <c r="X473" s="100"/>
      <c r="Y473" s="100"/>
      <c r="Z473" s="100"/>
      <c r="AA473" s="100"/>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100"/>
      <c r="BE473" s="100"/>
      <c r="BF473" s="100"/>
      <c r="BG473" s="100"/>
      <c r="BH473" s="100"/>
      <c r="BI473" s="100"/>
      <c r="BJ473" s="100"/>
      <c r="BK473" s="12"/>
      <c r="BL473" s="12"/>
    </row>
    <row r="474" spans="1:64" hidden="1" outlineLevel="1">
      <c r="A474" s="9"/>
      <c r="B474" s="9"/>
      <c r="C474" s="46"/>
      <c r="D474" s="129" t="str">
        <f>Asset5</f>
        <v>Computer Equipment</v>
      </c>
      <c r="E474" s="9"/>
      <c r="F474" s="9"/>
      <c r="G474" s="594">
        <f>'Adjustment for previous period'!G370</f>
        <v>0.42811690253671564</v>
      </c>
      <c r="H474" s="111">
        <f t="shared" si="13"/>
        <v>0.90259337871064249</v>
      </c>
      <c r="I474" s="111">
        <f t="shared" si="13"/>
        <v>0.42170739037538624</v>
      </c>
      <c r="J474" s="111">
        <f t="shared" si="13"/>
        <v>11.684690196125594</v>
      </c>
      <c r="K474" s="111">
        <f t="shared" si="13"/>
        <v>0.54028020293933754</v>
      </c>
      <c r="L474" s="111">
        <f t="shared" si="13"/>
        <v>8.8905042657890228</v>
      </c>
      <c r="M474" s="111">
        <f t="shared" si="14"/>
        <v>0</v>
      </c>
      <c r="N474" s="111">
        <f t="shared" si="14"/>
        <v>0</v>
      </c>
      <c r="O474" s="111">
        <f t="shared" si="14"/>
        <v>0</v>
      </c>
      <c r="P474" s="111">
        <f t="shared" si="14"/>
        <v>0</v>
      </c>
      <c r="Q474" s="111">
        <f t="shared" si="14"/>
        <v>0</v>
      </c>
      <c r="R474" s="29"/>
      <c r="S474" s="100"/>
      <c r="T474" s="100"/>
      <c r="U474" s="100"/>
      <c r="V474" s="100"/>
      <c r="W474" s="100"/>
      <c r="X474" s="100"/>
      <c r="Y474" s="100"/>
      <c r="Z474" s="100"/>
      <c r="AA474" s="100"/>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100"/>
      <c r="BE474" s="100"/>
      <c r="BF474" s="100"/>
      <c r="BG474" s="100"/>
      <c r="BH474" s="100"/>
      <c r="BI474" s="100"/>
      <c r="BJ474" s="100"/>
      <c r="BK474" s="12"/>
      <c r="BL474" s="12"/>
    </row>
    <row r="475" spans="1:64" hidden="1" outlineLevel="1">
      <c r="A475" s="9"/>
      <c r="B475" s="9"/>
      <c r="C475" s="46"/>
      <c r="D475" s="129" t="str">
        <f>Asset6</f>
        <v>Other Assets</v>
      </c>
      <c r="E475" s="9"/>
      <c r="F475" s="9"/>
      <c r="G475" s="594">
        <f>'Adjustment for previous period'!G371</f>
        <v>3.9296388186218278</v>
      </c>
      <c r="H475" s="111">
        <f t="shared" si="13"/>
        <v>4.3148066084493228</v>
      </c>
      <c r="I475" s="111">
        <f t="shared" si="13"/>
        <v>4.0189189021373055</v>
      </c>
      <c r="J475" s="111">
        <f t="shared" si="13"/>
        <v>2.2615674720731964</v>
      </c>
      <c r="K475" s="111">
        <f t="shared" si="13"/>
        <v>2.1870854314126587</v>
      </c>
      <c r="L475" s="111">
        <f t="shared" si="13"/>
        <v>4.2855733193142909</v>
      </c>
      <c r="M475" s="111">
        <f t="shared" si="14"/>
        <v>0</v>
      </c>
      <c r="N475" s="111">
        <f t="shared" si="14"/>
        <v>0</v>
      </c>
      <c r="O475" s="111">
        <f t="shared" si="14"/>
        <v>0</v>
      </c>
      <c r="P475" s="111">
        <f t="shared" si="14"/>
        <v>0</v>
      </c>
      <c r="Q475" s="111">
        <f t="shared" si="14"/>
        <v>0</v>
      </c>
      <c r="R475" s="29"/>
      <c r="S475" s="100"/>
      <c r="T475" s="100"/>
      <c r="U475" s="100"/>
      <c r="V475" s="100"/>
      <c r="W475" s="100"/>
      <c r="X475" s="100"/>
      <c r="Y475" s="100"/>
      <c r="Z475" s="100"/>
      <c r="AA475" s="100"/>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100"/>
      <c r="BE475" s="100"/>
      <c r="BF475" s="100"/>
      <c r="BG475" s="100"/>
      <c r="BH475" s="100"/>
      <c r="BI475" s="100"/>
      <c r="BJ475" s="100"/>
      <c r="BK475" s="12"/>
      <c r="BL475" s="12"/>
    </row>
    <row r="476" spans="1:64" hidden="1" outlineLevel="1">
      <c r="A476" s="9"/>
      <c r="B476" s="9"/>
      <c r="C476" s="46"/>
      <c r="D476" s="129" t="str">
        <f>Asset7</f>
        <v>Equity Raising Costs</v>
      </c>
      <c r="E476" s="9"/>
      <c r="F476" s="9"/>
      <c r="G476" s="594">
        <f>'Adjustment for previous period'!G372</f>
        <v>0</v>
      </c>
      <c r="H476" s="111">
        <f t="shared" si="13"/>
        <v>0</v>
      </c>
      <c r="I476" s="111">
        <f t="shared" si="13"/>
        <v>0</v>
      </c>
      <c r="J476" s="111">
        <f t="shared" si="13"/>
        <v>0</v>
      </c>
      <c r="K476" s="111">
        <f t="shared" si="13"/>
        <v>0</v>
      </c>
      <c r="L476" s="111">
        <f t="shared" si="13"/>
        <v>0</v>
      </c>
      <c r="M476" s="111">
        <f t="shared" si="14"/>
        <v>0</v>
      </c>
      <c r="N476" s="111">
        <f t="shared" si="14"/>
        <v>0</v>
      </c>
      <c r="O476" s="111">
        <f t="shared" si="14"/>
        <v>0</v>
      </c>
      <c r="P476" s="111">
        <f t="shared" si="14"/>
        <v>0</v>
      </c>
      <c r="Q476" s="111">
        <f t="shared" si="14"/>
        <v>0</v>
      </c>
      <c r="R476" s="29"/>
      <c r="S476" s="100"/>
      <c r="T476" s="100"/>
      <c r="U476" s="100"/>
      <c r="V476" s="100"/>
      <c r="W476" s="100"/>
      <c r="X476" s="100"/>
      <c r="Y476" s="100"/>
      <c r="Z476" s="100"/>
      <c r="AA476" s="100"/>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100"/>
      <c r="BE476" s="100"/>
      <c r="BF476" s="100"/>
      <c r="BG476" s="100"/>
      <c r="BH476" s="100"/>
      <c r="BI476" s="100"/>
      <c r="BJ476" s="100"/>
      <c r="BK476" s="12"/>
      <c r="BL476" s="12"/>
    </row>
    <row r="477" spans="1:64" hidden="1" outlineLevel="1">
      <c r="A477" s="9"/>
      <c r="B477" s="9"/>
      <c r="C477" s="46"/>
      <c r="D477" s="129" t="str">
        <f>Asset8</f>
        <v>Land</v>
      </c>
      <c r="E477" s="9"/>
      <c r="F477" s="9"/>
      <c r="G477" s="594">
        <f>'Adjustment for previous period'!G373</f>
        <v>0</v>
      </c>
      <c r="H477" s="111">
        <f t="shared" si="13"/>
        <v>0</v>
      </c>
      <c r="I477" s="111">
        <f t="shared" si="13"/>
        <v>0</v>
      </c>
      <c r="J477" s="111">
        <f t="shared" si="13"/>
        <v>0</v>
      </c>
      <c r="K477" s="111">
        <f t="shared" si="13"/>
        <v>0</v>
      </c>
      <c r="L477" s="111">
        <f t="shared" si="13"/>
        <v>0</v>
      </c>
      <c r="M477" s="111">
        <f t="shared" si="14"/>
        <v>0</v>
      </c>
      <c r="N477" s="111">
        <f t="shared" si="14"/>
        <v>0</v>
      </c>
      <c r="O477" s="111">
        <f t="shared" si="14"/>
        <v>0</v>
      </c>
      <c r="P477" s="111">
        <f t="shared" si="14"/>
        <v>0</v>
      </c>
      <c r="Q477" s="111">
        <f t="shared" si="14"/>
        <v>0</v>
      </c>
      <c r="R477" s="29"/>
      <c r="S477" s="100"/>
      <c r="T477" s="100"/>
      <c r="U477" s="100"/>
      <c r="V477" s="100"/>
      <c r="W477" s="100"/>
      <c r="X477" s="100"/>
      <c r="Y477" s="100"/>
      <c r="Z477" s="100"/>
      <c r="AA477" s="100"/>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100"/>
      <c r="BE477" s="100"/>
      <c r="BF477" s="100"/>
      <c r="BG477" s="100"/>
      <c r="BH477" s="100"/>
      <c r="BI477" s="100"/>
      <c r="BJ477" s="100"/>
      <c r="BK477" s="12"/>
      <c r="BL477" s="12"/>
    </row>
    <row r="478" spans="1:64" hidden="1" outlineLevel="1">
      <c r="A478" s="9"/>
      <c r="B478" s="9"/>
      <c r="C478" s="46"/>
      <c r="D478" s="129">
        <f>Asset9</f>
        <v>0</v>
      </c>
      <c r="E478" s="9"/>
      <c r="F478" s="9"/>
      <c r="G478" s="594">
        <f>'Adjustment for previous period'!G374</f>
        <v>0</v>
      </c>
      <c r="H478" s="111">
        <f t="shared" si="13"/>
        <v>0</v>
      </c>
      <c r="I478" s="111">
        <f t="shared" si="13"/>
        <v>0</v>
      </c>
      <c r="J478" s="111">
        <f t="shared" si="13"/>
        <v>0</v>
      </c>
      <c r="K478" s="111">
        <f t="shared" si="13"/>
        <v>0</v>
      </c>
      <c r="L478" s="111">
        <f t="shared" si="13"/>
        <v>0</v>
      </c>
      <c r="M478" s="111">
        <f t="shared" si="14"/>
        <v>0</v>
      </c>
      <c r="N478" s="111">
        <f t="shared" si="14"/>
        <v>0</v>
      </c>
      <c r="O478" s="111">
        <f t="shared" si="14"/>
        <v>0</v>
      </c>
      <c r="P478" s="111">
        <f t="shared" si="14"/>
        <v>0</v>
      </c>
      <c r="Q478" s="111">
        <f t="shared" si="14"/>
        <v>0</v>
      </c>
      <c r="R478" s="29"/>
      <c r="S478" s="100"/>
      <c r="T478" s="100"/>
      <c r="U478" s="100"/>
      <c r="V478" s="100"/>
      <c r="W478" s="100"/>
      <c r="X478" s="100"/>
      <c r="Y478" s="100"/>
      <c r="Z478" s="100"/>
      <c r="AA478" s="100"/>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100"/>
      <c r="BE478" s="100"/>
      <c r="BF478" s="100"/>
      <c r="BG478" s="100"/>
      <c r="BH478" s="100"/>
      <c r="BI478" s="100"/>
      <c r="BJ478" s="100"/>
      <c r="BK478" s="12"/>
      <c r="BL478" s="12"/>
    </row>
    <row r="479" spans="1:64" hidden="1" outlineLevel="1">
      <c r="A479" s="9"/>
      <c r="B479" s="9"/>
      <c r="C479" s="46"/>
      <c r="D479" s="129">
        <f>Asset10</f>
        <v>0</v>
      </c>
      <c r="E479" s="9"/>
      <c r="F479" s="9"/>
      <c r="G479" s="594">
        <f>'Adjustment for previous period'!G375</f>
        <v>0</v>
      </c>
      <c r="H479" s="111">
        <f t="shared" si="13"/>
        <v>0</v>
      </c>
      <c r="I479" s="111">
        <f t="shared" si="13"/>
        <v>0</v>
      </c>
      <c r="J479" s="111">
        <f t="shared" si="13"/>
        <v>0</v>
      </c>
      <c r="K479" s="111">
        <f t="shared" si="13"/>
        <v>0</v>
      </c>
      <c r="L479" s="111">
        <f t="shared" si="13"/>
        <v>0</v>
      </c>
      <c r="M479" s="111">
        <f t="shared" si="14"/>
        <v>0</v>
      </c>
      <c r="N479" s="111">
        <f t="shared" si="14"/>
        <v>0</v>
      </c>
      <c r="O479" s="111">
        <f t="shared" si="14"/>
        <v>0</v>
      </c>
      <c r="P479" s="111">
        <f t="shared" si="14"/>
        <v>0</v>
      </c>
      <c r="Q479" s="111">
        <f t="shared" si="14"/>
        <v>0</v>
      </c>
      <c r="R479" s="29"/>
      <c r="S479" s="100"/>
      <c r="T479" s="100"/>
      <c r="U479" s="100"/>
      <c r="V479" s="100"/>
      <c r="W479" s="100"/>
      <c r="X479" s="100"/>
      <c r="Y479" s="100"/>
      <c r="Z479" s="100"/>
      <c r="AA479" s="100"/>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100"/>
      <c r="BE479" s="100"/>
      <c r="BF479" s="100"/>
      <c r="BG479" s="100"/>
      <c r="BH479" s="100"/>
      <c r="BI479" s="100"/>
      <c r="BJ479" s="100"/>
      <c r="BK479" s="12"/>
      <c r="BL479" s="12"/>
    </row>
    <row r="480" spans="1:64" hidden="1" outlineLevel="1">
      <c r="A480" s="9"/>
      <c r="B480" s="9"/>
      <c r="C480" s="46"/>
      <c r="D480" s="129">
        <f>Asset11</f>
        <v>0</v>
      </c>
      <c r="E480" s="9"/>
      <c r="F480" s="9"/>
      <c r="G480" s="594">
        <f>'Adjustment for previous period'!G376</f>
        <v>0</v>
      </c>
      <c r="H480" s="111">
        <f t="shared" si="13"/>
        <v>0</v>
      </c>
      <c r="I480" s="111">
        <f t="shared" si="13"/>
        <v>0</v>
      </c>
      <c r="J480" s="111">
        <f t="shared" si="13"/>
        <v>0</v>
      </c>
      <c r="K480" s="111">
        <f t="shared" si="13"/>
        <v>0</v>
      </c>
      <c r="L480" s="111">
        <f t="shared" si="13"/>
        <v>0</v>
      </c>
      <c r="M480" s="111">
        <f t="shared" si="14"/>
        <v>0</v>
      </c>
      <c r="N480" s="111">
        <f t="shared" si="14"/>
        <v>0</v>
      </c>
      <c r="O480" s="111">
        <f t="shared" si="14"/>
        <v>0</v>
      </c>
      <c r="P480" s="111">
        <f t="shared" si="14"/>
        <v>0</v>
      </c>
      <c r="Q480" s="111">
        <f t="shared" si="14"/>
        <v>0</v>
      </c>
      <c r="R480" s="29"/>
      <c r="S480" s="100"/>
      <c r="T480" s="100"/>
      <c r="U480" s="100"/>
      <c r="V480" s="100"/>
      <c r="W480" s="100"/>
      <c r="X480" s="100"/>
      <c r="Y480" s="100"/>
      <c r="Z480" s="100"/>
      <c r="AA480" s="100"/>
      <c r="AB480" s="227"/>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100"/>
      <c r="BE480" s="100"/>
      <c r="BF480" s="100"/>
      <c r="BG480" s="100"/>
      <c r="BH480" s="100"/>
      <c r="BI480" s="100"/>
      <c r="BJ480" s="100"/>
      <c r="BK480" s="12"/>
      <c r="BL480" s="12"/>
    </row>
    <row r="481" spans="1:64" hidden="1" outlineLevel="1">
      <c r="A481" s="9"/>
      <c r="B481" s="9"/>
      <c r="C481" s="46"/>
      <c r="D481" s="129">
        <f>Asset12</f>
        <v>0</v>
      </c>
      <c r="E481" s="9"/>
      <c r="F481" s="9"/>
      <c r="G481" s="594">
        <f>'Adjustment for previous period'!G377</f>
        <v>0</v>
      </c>
      <c r="H481" s="111">
        <f t="shared" si="13"/>
        <v>0</v>
      </c>
      <c r="I481" s="111">
        <f t="shared" si="13"/>
        <v>0</v>
      </c>
      <c r="J481" s="111">
        <f t="shared" si="13"/>
        <v>0</v>
      </c>
      <c r="K481" s="111">
        <f t="shared" si="13"/>
        <v>0</v>
      </c>
      <c r="L481" s="111">
        <f t="shared" si="13"/>
        <v>0</v>
      </c>
      <c r="M481" s="111">
        <f t="shared" ref="M481:Q489" si="15">M23*M$7</f>
        <v>0</v>
      </c>
      <c r="N481" s="111">
        <f t="shared" si="15"/>
        <v>0</v>
      </c>
      <c r="O481" s="111">
        <f t="shared" si="15"/>
        <v>0</v>
      </c>
      <c r="P481" s="111">
        <f t="shared" si="15"/>
        <v>0</v>
      </c>
      <c r="Q481" s="111">
        <f t="shared" si="15"/>
        <v>0</v>
      </c>
      <c r="R481" s="29"/>
      <c r="S481" s="100"/>
      <c r="T481" s="100"/>
      <c r="U481" s="100"/>
      <c r="V481" s="100"/>
      <c r="W481" s="100"/>
      <c r="X481" s="100"/>
      <c r="Y481" s="100"/>
      <c r="Z481" s="100"/>
      <c r="AA481" s="100"/>
      <c r="AB481" s="227"/>
      <c r="AC481" s="227"/>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100"/>
      <c r="BE481" s="100"/>
      <c r="BF481" s="100"/>
      <c r="BG481" s="100"/>
      <c r="BH481" s="100"/>
      <c r="BI481" s="100"/>
      <c r="BJ481" s="100"/>
      <c r="BK481" s="12"/>
      <c r="BL481" s="12"/>
    </row>
    <row r="482" spans="1:64" hidden="1" outlineLevel="1">
      <c r="A482" s="9"/>
      <c r="B482" s="9"/>
      <c r="C482" s="46"/>
      <c r="D482" s="129">
        <f>Asset13</f>
        <v>0</v>
      </c>
      <c r="E482" s="9"/>
      <c r="F482" s="9"/>
      <c r="G482" s="594">
        <f>'Adjustment for previous period'!G378</f>
        <v>0</v>
      </c>
      <c r="H482" s="111">
        <f t="shared" si="13"/>
        <v>0</v>
      </c>
      <c r="I482" s="111">
        <f t="shared" si="13"/>
        <v>0</v>
      </c>
      <c r="J482" s="111">
        <f t="shared" si="13"/>
        <v>0</v>
      </c>
      <c r="K482" s="111">
        <f t="shared" si="13"/>
        <v>0</v>
      </c>
      <c r="L482" s="111">
        <f t="shared" si="13"/>
        <v>0</v>
      </c>
      <c r="M482" s="111">
        <f t="shared" si="15"/>
        <v>0</v>
      </c>
      <c r="N482" s="111">
        <f t="shared" si="15"/>
        <v>0</v>
      </c>
      <c r="O482" s="111">
        <f t="shared" si="15"/>
        <v>0</v>
      </c>
      <c r="P482" s="111">
        <f t="shared" si="15"/>
        <v>0</v>
      </c>
      <c r="Q482" s="111">
        <f t="shared" si="15"/>
        <v>0</v>
      </c>
      <c r="R482" s="29"/>
      <c r="S482" s="100"/>
      <c r="T482" s="100"/>
      <c r="U482" s="100"/>
      <c r="V482" s="100"/>
      <c r="W482" s="100"/>
      <c r="X482" s="100"/>
      <c r="Y482" s="100"/>
      <c r="Z482" s="100"/>
      <c r="AA482" s="100"/>
      <c r="AB482" s="227"/>
      <c r="AC482" s="227"/>
      <c r="AD482" s="227"/>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100"/>
      <c r="BE482" s="100"/>
      <c r="BF482" s="100"/>
      <c r="BG482" s="100"/>
      <c r="BH482" s="100"/>
      <c r="BI482" s="100"/>
      <c r="BJ482" s="100"/>
      <c r="BK482" s="12"/>
      <c r="BL482" s="12"/>
    </row>
    <row r="483" spans="1:64" hidden="1" outlineLevel="1">
      <c r="A483" s="9"/>
      <c r="B483" s="9"/>
      <c r="C483" s="46"/>
      <c r="D483" s="129">
        <f>Asset14</f>
        <v>0</v>
      </c>
      <c r="E483" s="9"/>
      <c r="F483" s="9"/>
      <c r="G483" s="594">
        <f>'Adjustment for previous period'!G379</f>
        <v>0</v>
      </c>
      <c r="H483" s="111">
        <f t="shared" si="13"/>
        <v>0</v>
      </c>
      <c r="I483" s="111">
        <f t="shared" si="13"/>
        <v>0</v>
      </c>
      <c r="J483" s="111">
        <f t="shared" si="13"/>
        <v>0</v>
      </c>
      <c r="K483" s="111">
        <f t="shared" si="13"/>
        <v>0</v>
      </c>
      <c r="L483" s="111">
        <f t="shared" si="13"/>
        <v>0</v>
      </c>
      <c r="M483" s="111">
        <f t="shared" si="15"/>
        <v>0</v>
      </c>
      <c r="N483" s="111">
        <f t="shared" si="15"/>
        <v>0</v>
      </c>
      <c r="O483" s="111">
        <f t="shared" si="15"/>
        <v>0</v>
      </c>
      <c r="P483" s="111">
        <f t="shared" si="15"/>
        <v>0</v>
      </c>
      <c r="Q483" s="111">
        <f t="shared" si="15"/>
        <v>0</v>
      </c>
      <c r="R483" s="29"/>
      <c r="S483" s="100"/>
      <c r="T483" s="100"/>
      <c r="U483" s="100"/>
      <c r="V483" s="100"/>
      <c r="W483" s="100"/>
      <c r="X483" s="100"/>
      <c r="Y483" s="100"/>
      <c r="Z483" s="100"/>
      <c r="AA483" s="100"/>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100"/>
      <c r="BE483" s="100"/>
      <c r="BF483" s="100"/>
      <c r="BG483" s="100"/>
      <c r="BH483" s="100"/>
      <c r="BI483" s="100"/>
      <c r="BJ483" s="100"/>
      <c r="BK483" s="12"/>
      <c r="BL483" s="12"/>
    </row>
    <row r="484" spans="1:64" hidden="1" outlineLevel="1">
      <c r="A484" s="9"/>
      <c r="B484" s="9"/>
      <c r="C484" s="46"/>
      <c r="D484" s="129">
        <f>Asset15</f>
        <v>0</v>
      </c>
      <c r="E484" s="9"/>
      <c r="F484" s="9"/>
      <c r="G484" s="594">
        <f>'Adjustment for previous period'!G380</f>
        <v>0</v>
      </c>
      <c r="H484" s="111">
        <f t="shared" si="13"/>
        <v>0</v>
      </c>
      <c r="I484" s="111">
        <f t="shared" si="13"/>
        <v>0</v>
      </c>
      <c r="J484" s="111">
        <f t="shared" si="13"/>
        <v>0</v>
      </c>
      <c r="K484" s="111">
        <f t="shared" si="13"/>
        <v>0</v>
      </c>
      <c r="L484" s="111">
        <f t="shared" si="13"/>
        <v>0</v>
      </c>
      <c r="M484" s="111">
        <f t="shared" si="15"/>
        <v>0</v>
      </c>
      <c r="N484" s="111">
        <f t="shared" si="15"/>
        <v>0</v>
      </c>
      <c r="O484" s="111">
        <f t="shared" si="15"/>
        <v>0</v>
      </c>
      <c r="P484" s="111">
        <f t="shared" si="15"/>
        <v>0</v>
      </c>
      <c r="Q484" s="111">
        <f t="shared" si="15"/>
        <v>0</v>
      </c>
      <c r="R484" s="29"/>
      <c r="S484" s="100"/>
      <c r="T484" s="100"/>
      <c r="U484" s="100"/>
      <c r="V484" s="100"/>
      <c r="W484" s="100"/>
      <c r="X484" s="100"/>
      <c r="Y484" s="100"/>
      <c r="Z484" s="100"/>
      <c r="AA484" s="100"/>
      <c r="AB484" s="227"/>
      <c r="AC484" s="227"/>
      <c r="AD484" s="227"/>
      <c r="AE484" s="227"/>
      <c r="AF484" s="227"/>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100"/>
      <c r="BE484" s="100"/>
      <c r="BF484" s="100"/>
      <c r="BG484" s="100"/>
      <c r="BH484" s="100"/>
      <c r="BI484" s="100"/>
      <c r="BJ484" s="100"/>
      <c r="BK484" s="12"/>
      <c r="BL484" s="12"/>
    </row>
    <row r="485" spans="1:64" hidden="1" outlineLevel="1">
      <c r="A485" s="9"/>
      <c r="B485" s="9"/>
      <c r="C485" s="46"/>
      <c r="D485" s="129">
        <f>Asset16</f>
        <v>0</v>
      </c>
      <c r="E485" s="9"/>
      <c r="F485" s="9"/>
      <c r="G485" s="594">
        <f>'Adjustment for previous period'!G381</f>
        <v>0</v>
      </c>
      <c r="H485" s="111">
        <f t="shared" si="13"/>
        <v>0</v>
      </c>
      <c r="I485" s="111">
        <f t="shared" si="13"/>
        <v>0</v>
      </c>
      <c r="J485" s="111">
        <f t="shared" si="13"/>
        <v>0</v>
      </c>
      <c r="K485" s="111">
        <f t="shared" si="13"/>
        <v>0</v>
      </c>
      <c r="L485" s="111">
        <f t="shared" si="13"/>
        <v>0</v>
      </c>
      <c r="M485" s="111">
        <f t="shared" si="15"/>
        <v>0</v>
      </c>
      <c r="N485" s="111">
        <f t="shared" si="15"/>
        <v>0</v>
      </c>
      <c r="O485" s="111">
        <f t="shared" si="15"/>
        <v>0</v>
      </c>
      <c r="P485" s="111">
        <f t="shared" si="15"/>
        <v>0</v>
      </c>
      <c r="Q485" s="111">
        <f t="shared" si="15"/>
        <v>0</v>
      </c>
      <c r="R485" s="29"/>
      <c r="S485" s="100"/>
      <c r="T485" s="100"/>
      <c r="U485" s="100"/>
      <c r="V485" s="100"/>
      <c r="W485" s="100"/>
      <c r="X485" s="100"/>
      <c r="Y485" s="100"/>
      <c r="Z485" s="100"/>
      <c r="AA485" s="100"/>
      <c r="AB485" s="227"/>
      <c r="AC485" s="227"/>
      <c r="AD485" s="227"/>
      <c r="AE485" s="227"/>
      <c r="AF485" s="227"/>
      <c r="AG485" s="227"/>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100"/>
      <c r="BE485" s="100"/>
      <c r="BF485" s="100"/>
      <c r="BG485" s="100"/>
      <c r="BH485" s="100"/>
      <c r="BI485" s="100"/>
      <c r="BJ485" s="100"/>
      <c r="BK485" s="12"/>
      <c r="BL485" s="12"/>
    </row>
    <row r="486" spans="1:64" hidden="1" outlineLevel="1">
      <c r="A486" s="9"/>
      <c r="B486" s="9"/>
      <c r="C486" s="46"/>
      <c r="D486" s="129">
        <f>Asset17</f>
        <v>0</v>
      </c>
      <c r="E486" s="9"/>
      <c r="F486" s="9"/>
      <c r="G486" s="594">
        <f>'Adjustment for previous period'!G382</f>
        <v>0</v>
      </c>
      <c r="H486" s="111">
        <f t="shared" si="13"/>
        <v>0</v>
      </c>
      <c r="I486" s="111">
        <f t="shared" si="13"/>
        <v>0</v>
      </c>
      <c r="J486" s="111">
        <f t="shared" si="13"/>
        <v>0</v>
      </c>
      <c r="K486" s="111">
        <f t="shared" si="13"/>
        <v>0</v>
      </c>
      <c r="L486" s="111">
        <f t="shared" si="13"/>
        <v>0</v>
      </c>
      <c r="M486" s="111">
        <f t="shared" si="15"/>
        <v>0</v>
      </c>
      <c r="N486" s="111">
        <f t="shared" si="15"/>
        <v>0</v>
      </c>
      <c r="O486" s="111">
        <f t="shared" si="15"/>
        <v>0</v>
      </c>
      <c r="P486" s="111">
        <f t="shared" si="15"/>
        <v>0</v>
      </c>
      <c r="Q486" s="111">
        <f t="shared" si="15"/>
        <v>0</v>
      </c>
      <c r="R486" s="29"/>
      <c r="S486" s="100"/>
      <c r="T486" s="100"/>
      <c r="U486" s="100"/>
      <c r="V486" s="100"/>
      <c r="W486" s="100"/>
      <c r="X486" s="100"/>
      <c r="Y486" s="100"/>
      <c r="Z486" s="100"/>
      <c r="AA486" s="100"/>
      <c r="AB486" s="227"/>
      <c r="AC486" s="227"/>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100"/>
      <c r="BE486" s="100"/>
      <c r="BF486" s="100"/>
      <c r="BG486" s="100"/>
      <c r="BH486" s="100"/>
      <c r="BI486" s="100"/>
      <c r="BJ486" s="100"/>
      <c r="BK486" s="12"/>
      <c r="BL486" s="12"/>
    </row>
    <row r="487" spans="1:64" hidden="1" outlineLevel="1">
      <c r="A487" s="9"/>
      <c r="B487" s="9"/>
      <c r="C487" s="46"/>
      <c r="D487" s="129">
        <f>Asset18</f>
        <v>0</v>
      </c>
      <c r="E487" s="9"/>
      <c r="F487" s="9"/>
      <c r="G487" s="594">
        <f>'Adjustment for previous period'!G383</f>
        <v>0</v>
      </c>
      <c r="H487" s="111">
        <f t="shared" si="13"/>
        <v>0</v>
      </c>
      <c r="I487" s="111">
        <f t="shared" si="13"/>
        <v>0</v>
      </c>
      <c r="J487" s="111">
        <f t="shared" si="13"/>
        <v>0</v>
      </c>
      <c r="K487" s="111">
        <f t="shared" si="13"/>
        <v>0</v>
      </c>
      <c r="L487" s="111">
        <f t="shared" si="13"/>
        <v>0</v>
      </c>
      <c r="M487" s="111">
        <f t="shared" si="15"/>
        <v>0</v>
      </c>
      <c r="N487" s="111">
        <f t="shared" si="15"/>
        <v>0</v>
      </c>
      <c r="O487" s="111">
        <f t="shared" si="15"/>
        <v>0</v>
      </c>
      <c r="P487" s="111">
        <f t="shared" si="15"/>
        <v>0</v>
      </c>
      <c r="Q487" s="111">
        <f t="shared" si="15"/>
        <v>0</v>
      </c>
      <c r="R487" s="29"/>
      <c r="S487" s="100"/>
      <c r="T487" s="100"/>
      <c r="U487" s="100"/>
      <c r="V487" s="100"/>
      <c r="W487" s="100"/>
      <c r="X487" s="100"/>
      <c r="Y487" s="100"/>
      <c r="Z487" s="100"/>
      <c r="AA487" s="100"/>
      <c r="AB487" s="227"/>
      <c r="AC487" s="227"/>
      <c r="AD487" s="227"/>
      <c r="AE487" s="227"/>
      <c r="AF487" s="227"/>
      <c r="AG487" s="227"/>
      <c r="AH487" s="227"/>
      <c r="AI487" s="227"/>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100"/>
      <c r="BE487" s="100"/>
      <c r="BF487" s="100"/>
      <c r="BG487" s="100"/>
      <c r="BH487" s="100"/>
      <c r="BI487" s="100"/>
      <c r="BJ487" s="100"/>
      <c r="BK487" s="12"/>
      <c r="BL487" s="12"/>
    </row>
    <row r="488" spans="1:64" hidden="1" outlineLevel="1">
      <c r="A488" s="9"/>
      <c r="B488" s="9"/>
      <c r="C488" s="46"/>
      <c r="D488" s="129">
        <f>Asset19</f>
        <v>0</v>
      </c>
      <c r="E488" s="9"/>
      <c r="F488" s="9"/>
      <c r="G488" s="594">
        <f>'Adjustment for previous period'!G384</f>
        <v>0</v>
      </c>
      <c r="H488" s="111">
        <f t="shared" si="13"/>
        <v>0</v>
      </c>
      <c r="I488" s="111">
        <f t="shared" si="13"/>
        <v>0</v>
      </c>
      <c r="J488" s="111">
        <f t="shared" si="13"/>
        <v>0</v>
      </c>
      <c r="K488" s="111">
        <f t="shared" si="13"/>
        <v>0</v>
      </c>
      <c r="L488" s="111">
        <f t="shared" si="13"/>
        <v>0</v>
      </c>
      <c r="M488" s="111">
        <f t="shared" si="15"/>
        <v>0</v>
      </c>
      <c r="N488" s="111">
        <f t="shared" si="15"/>
        <v>0</v>
      </c>
      <c r="O488" s="111">
        <f t="shared" si="15"/>
        <v>0</v>
      </c>
      <c r="P488" s="111">
        <f t="shared" si="15"/>
        <v>0</v>
      </c>
      <c r="Q488" s="111">
        <f t="shared" si="15"/>
        <v>0</v>
      </c>
      <c r="R488" s="29"/>
      <c r="S488" s="100"/>
      <c r="T488" s="100"/>
      <c r="U488" s="100"/>
      <c r="V488" s="100"/>
      <c r="W488" s="100"/>
      <c r="X488" s="100"/>
      <c r="Y488" s="100"/>
      <c r="Z488" s="100"/>
      <c r="AA488" s="100"/>
      <c r="AB488" s="227"/>
      <c r="AC488" s="227"/>
      <c r="AD488" s="227"/>
      <c r="AE488" s="227"/>
      <c r="AF488" s="227"/>
      <c r="AG488" s="227"/>
      <c r="AH488" s="227"/>
      <c r="AI488" s="227"/>
      <c r="AJ488" s="227"/>
      <c r="AK488" s="227"/>
      <c r="AL488" s="227"/>
      <c r="AM488" s="227"/>
      <c r="AN488" s="227"/>
      <c r="AO488" s="227"/>
      <c r="AP488" s="227"/>
      <c r="AQ488" s="227"/>
      <c r="AR488" s="227"/>
      <c r="AS488" s="227"/>
      <c r="AT488" s="227"/>
      <c r="AU488" s="227"/>
      <c r="AV488" s="227"/>
      <c r="AW488" s="227"/>
      <c r="AX488" s="227"/>
      <c r="AY488" s="227"/>
      <c r="AZ488" s="227"/>
      <c r="BA488" s="227"/>
      <c r="BB488" s="227"/>
      <c r="BC488" s="227"/>
      <c r="BD488" s="100"/>
      <c r="BE488" s="100"/>
      <c r="BF488" s="100"/>
      <c r="BG488" s="100"/>
      <c r="BH488" s="100"/>
      <c r="BI488" s="100"/>
      <c r="BJ488" s="100"/>
      <c r="BK488" s="12"/>
      <c r="BL488" s="12"/>
    </row>
    <row r="489" spans="1:64" hidden="1" outlineLevel="1">
      <c r="A489" s="9"/>
      <c r="B489" s="9"/>
      <c r="C489" s="46"/>
      <c r="D489" s="129">
        <f>Asset20</f>
        <v>0</v>
      </c>
      <c r="E489" s="9"/>
      <c r="F489" s="9"/>
      <c r="G489" s="594">
        <f>'Adjustment for previous period'!G385</f>
        <v>0</v>
      </c>
      <c r="H489" s="111">
        <f t="shared" si="13"/>
        <v>0</v>
      </c>
      <c r="I489" s="111">
        <f t="shared" si="13"/>
        <v>0</v>
      </c>
      <c r="J489" s="111">
        <f t="shared" si="13"/>
        <v>0</v>
      </c>
      <c r="K489" s="111">
        <f t="shared" si="13"/>
        <v>0</v>
      </c>
      <c r="L489" s="111">
        <f t="shared" si="13"/>
        <v>0</v>
      </c>
      <c r="M489" s="111">
        <f t="shared" si="15"/>
        <v>0</v>
      </c>
      <c r="N489" s="111">
        <f t="shared" si="15"/>
        <v>0</v>
      </c>
      <c r="O489" s="111">
        <f t="shared" si="15"/>
        <v>0</v>
      </c>
      <c r="P489" s="111">
        <f t="shared" si="15"/>
        <v>0</v>
      </c>
      <c r="Q489" s="111">
        <f t="shared" si="15"/>
        <v>0</v>
      </c>
      <c r="R489" s="29"/>
      <c r="S489" s="100"/>
      <c r="T489" s="100"/>
      <c r="U489" s="100"/>
      <c r="V489" s="100"/>
      <c r="W489" s="100"/>
      <c r="X489" s="100"/>
      <c r="Y489" s="100"/>
      <c r="Z489" s="100"/>
      <c r="AA489" s="100"/>
      <c r="AB489" s="227"/>
      <c r="AC489" s="227"/>
      <c r="AD489" s="227"/>
      <c r="AE489" s="227"/>
      <c r="AF489" s="227"/>
      <c r="AG489" s="227"/>
      <c r="AH489" s="227"/>
      <c r="AI489" s="227"/>
      <c r="AJ489" s="227"/>
      <c r="AK489" s="227"/>
      <c r="AL489" s="227"/>
      <c r="AM489" s="227"/>
      <c r="AN489" s="227"/>
      <c r="AO489" s="227"/>
      <c r="AP489" s="227"/>
      <c r="AQ489" s="227"/>
      <c r="AR489" s="227"/>
      <c r="AS489" s="227"/>
      <c r="AT489" s="227"/>
      <c r="AU489" s="227"/>
      <c r="AV489" s="227"/>
      <c r="AW489" s="227"/>
      <c r="AX489" s="227"/>
      <c r="AY489" s="227"/>
      <c r="AZ489" s="227"/>
      <c r="BA489" s="227"/>
      <c r="BB489" s="227"/>
      <c r="BC489" s="227"/>
      <c r="BD489" s="100"/>
      <c r="BE489" s="100"/>
      <c r="BF489" s="100"/>
      <c r="BG489" s="100"/>
      <c r="BH489" s="100"/>
      <c r="BI489" s="100"/>
      <c r="BJ489" s="100"/>
      <c r="BK489" s="12"/>
      <c r="BL489" s="12"/>
    </row>
    <row r="490" spans="1:64" hidden="1" outlineLevel="1">
      <c r="A490" s="9"/>
      <c r="B490" s="9"/>
      <c r="C490" s="46"/>
      <c r="D490" s="129">
        <f>Asset21</f>
        <v>0</v>
      </c>
      <c r="E490" s="9"/>
      <c r="F490" s="9"/>
      <c r="G490" s="594">
        <f>'Adjustment for previous period'!G386</f>
        <v>0</v>
      </c>
      <c r="H490" s="111">
        <f t="shared" ref="H490:Q490" si="16">H32*H$7</f>
        <v>0</v>
      </c>
      <c r="I490" s="111">
        <f t="shared" si="16"/>
        <v>0</v>
      </c>
      <c r="J490" s="111">
        <f t="shared" si="16"/>
        <v>0</v>
      </c>
      <c r="K490" s="111">
        <f t="shared" si="16"/>
        <v>0</v>
      </c>
      <c r="L490" s="111">
        <f t="shared" si="16"/>
        <v>0</v>
      </c>
      <c r="M490" s="111">
        <f t="shared" si="16"/>
        <v>0</v>
      </c>
      <c r="N490" s="111">
        <f t="shared" si="16"/>
        <v>0</v>
      </c>
      <c r="O490" s="111">
        <f t="shared" si="16"/>
        <v>0</v>
      </c>
      <c r="P490" s="111">
        <f t="shared" si="16"/>
        <v>0</v>
      </c>
      <c r="Q490" s="111">
        <f t="shared" si="16"/>
        <v>0</v>
      </c>
      <c r="R490" s="29"/>
      <c r="S490" s="100"/>
      <c r="T490" s="100"/>
      <c r="U490" s="100"/>
      <c r="V490" s="100"/>
      <c r="W490" s="100"/>
      <c r="X490" s="100"/>
      <c r="Y490" s="100"/>
      <c r="Z490" s="100"/>
      <c r="AA490" s="100"/>
      <c r="AB490" s="227"/>
      <c r="AC490" s="227"/>
      <c r="AD490" s="227"/>
      <c r="AE490" s="227"/>
      <c r="AF490" s="227"/>
      <c r="AG490" s="227"/>
      <c r="AH490" s="227"/>
      <c r="AI490" s="227"/>
      <c r="AJ490" s="227"/>
      <c r="AK490" s="227"/>
      <c r="AL490" s="227"/>
      <c r="AM490" s="227"/>
      <c r="AN490" s="227"/>
      <c r="AO490" s="227"/>
      <c r="AP490" s="227"/>
      <c r="AQ490" s="227"/>
      <c r="AR490" s="227"/>
      <c r="AS490" s="227"/>
      <c r="AT490" s="227"/>
      <c r="AU490" s="227"/>
      <c r="AV490" s="227"/>
      <c r="AW490" s="227"/>
      <c r="AX490" s="227"/>
      <c r="AY490" s="227"/>
      <c r="AZ490" s="227"/>
      <c r="BA490" s="227"/>
      <c r="BB490" s="227"/>
      <c r="BC490" s="227"/>
      <c r="BD490" s="100"/>
      <c r="BE490" s="100"/>
      <c r="BF490" s="100"/>
      <c r="BG490" s="100"/>
      <c r="BH490" s="100"/>
      <c r="BI490" s="100"/>
      <c r="BJ490" s="100"/>
      <c r="BK490" s="12"/>
      <c r="BL490" s="12"/>
    </row>
    <row r="491" spans="1:64" hidden="1" outlineLevel="1">
      <c r="A491" s="9"/>
      <c r="B491" s="9"/>
      <c r="C491" s="46"/>
      <c r="D491" s="129">
        <f>Asset22</f>
        <v>0</v>
      </c>
      <c r="E491" s="9"/>
      <c r="F491" s="9"/>
      <c r="G491" s="594">
        <f>'Adjustment for previous period'!G387</f>
        <v>0</v>
      </c>
      <c r="H491" s="111">
        <f t="shared" ref="H491:Q491" si="17">H33*H$7</f>
        <v>0</v>
      </c>
      <c r="I491" s="111">
        <f t="shared" si="17"/>
        <v>0</v>
      </c>
      <c r="J491" s="111">
        <f t="shared" si="17"/>
        <v>0</v>
      </c>
      <c r="K491" s="111">
        <f t="shared" si="17"/>
        <v>0</v>
      </c>
      <c r="L491" s="111">
        <f t="shared" si="17"/>
        <v>0</v>
      </c>
      <c r="M491" s="111">
        <f t="shared" si="17"/>
        <v>0</v>
      </c>
      <c r="N491" s="111">
        <f t="shared" si="17"/>
        <v>0</v>
      </c>
      <c r="O491" s="111">
        <f t="shared" si="17"/>
        <v>0</v>
      </c>
      <c r="P491" s="111">
        <f t="shared" si="17"/>
        <v>0</v>
      </c>
      <c r="Q491" s="111">
        <f t="shared" si="17"/>
        <v>0</v>
      </c>
      <c r="R491" s="29"/>
      <c r="S491" s="100"/>
      <c r="T491" s="100"/>
      <c r="U491" s="100"/>
      <c r="V491" s="100"/>
      <c r="W491" s="100"/>
      <c r="X491" s="100"/>
      <c r="Y491" s="100"/>
      <c r="Z491" s="100"/>
      <c r="AA491" s="100"/>
      <c r="AB491" s="227"/>
      <c r="AC491" s="227"/>
      <c r="AD491" s="227"/>
      <c r="AE491" s="227"/>
      <c r="AF491" s="227"/>
      <c r="AG491" s="227"/>
      <c r="AH491" s="227"/>
      <c r="AI491" s="227"/>
      <c r="AJ491" s="227"/>
      <c r="AK491" s="227"/>
      <c r="AL491" s="227"/>
      <c r="AM491" s="227"/>
      <c r="AN491" s="227"/>
      <c r="AO491" s="227"/>
      <c r="AP491" s="227"/>
      <c r="AQ491" s="227"/>
      <c r="AR491" s="227"/>
      <c r="AS491" s="227"/>
      <c r="AT491" s="227"/>
      <c r="AU491" s="227"/>
      <c r="AV491" s="227"/>
      <c r="AW491" s="227"/>
      <c r="AX491" s="227"/>
      <c r="AY491" s="227"/>
      <c r="AZ491" s="227"/>
      <c r="BA491" s="227"/>
      <c r="BB491" s="227"/>
      <c r="BC491" s="227"/>
      <c r="BD491" s="100"/>
      <c r="BE491" s="100"/>
      <c r="BF491" s="100"/>
      <c r="BG491" s="100"/>
      <c r="BH491" s="100"/>
      <c r="BI491" s="100"/>
      <c r="BJ491" s="100"/>
      <c r="BK491" s="12"/>
      <c r="BL491" s="12"/>
    </row>
    <row r="492" spans="1:64" hidden="1" outlineLevel="1">
      <c r="A492" s="9"/>
      <c r="B492" s="9"/>
      <c r="C492" s="46"/>
      <c r="D492" s="129">
        <f>Asset23</f>
        <v>0</v>
      </c>
      <c r="E492" s="9"/>
      <c r="F492" s="9"/>
      <c r="G492" s="594">
        <f>'Adjustment for previous period'!G388</f>
        <v>0</v>
      </c>
      <c r="H492" s="111">
        <f t="shared" ref="H492:Q492" si="18">H34*H$7</f>
        <v>0</v>
      </c>
      <c r="I492" s="111">
        <f t="shared" si="18"/>
        <v>0</v>
      </c>
      <c r="J492" s="111">
        <f t="shared" si="18"/>
        <v>0</v>
      </c>
      <c r="K492" s="111">
        <f t="shared" si="18"/>
        <v>0</v>
      </c>
      <c r="L492" s="111">
        <f t="shared" si="18"/>
        <v>0</v>
      </c>
      <c r="M492" s="111">
        <f t="shared" si="18"/>
        <v>0</v>
      </c>
      <c r="N492" s="111">
        <f t="shared" si="18"/>
        <v>0</v>
      </c>
      <c r="O492" s="111">
        <f t="shared" si="18"/>
        <v>0</v>
      </c>
      <c r="P492" s="111">
        <f t="shared" si="18"/>
        <v>0</v>
      </c>
      <c r="Q492" s="111">
        <f t="shared" si="18"/>
        <v>0</v>
      </c>
      <c r="R492" s="29"/>
      <c r="S492" s="100"/>
      <c r="T492" s="100"/>
      <c r="U492" s="100"/>
      <c r="V492" s="100"/>
      <c r="W492" s="100"/>
      <c r="X492" s="100"/>
      <c r="Y492" s="100"/>
      <c r="Z492" s="100"/>
      <c r="AA492" s="100"/>
      <c r="AB492" s="227"/>
      <c r="AC492" s="227"/>
      <c r="AD492" s="227"/>
      <c r="AE492" s="227"/>
      <c r="AF492" s="227"/>
      <c r="AG492" s="227"/>
      <c r="AH492" s="227"/>
      <c r="AI492" s="227"/>
      <c r="AJ492" s="227"/>
      <c r="AK492" s="227"/>
      <c r="AL492" s="227"/>
      <c r="AM492" s="227"/>
      <c r="AN492" s="227"/>
      <c r="AO492" s="227"/>
      <c r="AP492" s="227"/>
      <c r="AQ492" s="227"/>
      <c r="AR492" s="227"/>
      <c r="AS492" s="227"/>
      <c r="AT492" s="227"/>
      <c r="AU492" s="227"/>
      <c r="AV492" s="227"/>
      <c r="AW492" s="227"/>
      <c r="AX492" s="227"/>
      <c r="AY492" s="227"/>
      <c r="AZ492" s="227"/>
      <c r="BA492" s="227"/>
      <c r="BB492" s="227"/>
      <c r="BC492" s="227"/>
      <c r="BD492" s="100"/>
      <c r="BE492" s="100"/>
      <c r="BF492" s="100"/>
      <c r="BG492" s="100"/>
      <c r="BH492" s="100"/>
      <c r="BI492" s="100"/>
      <c r="BJ492" s="100"/>
      <c r="BK492" s="12"/>
      <c r="BL492" s="12"/>
    </row>
    <row r="493" spans="1:64" hidden="1" outlineLevel="1">
      <c r="A493" s="9"/>
      <c r="B493" s="9"/>
      <c r="C493" s="46"/>
      <c r="D493" s="129">
        <f>Asset24</f>
        <v>0</v>
      </c>
      <c r="E493" s="9"/>
      <c r="F493" s="9"/>
      <c r="G493" s="594">
        <f>'Adjustment for previous period'!G389</f>
        <v>0</v>
      </c>
      <c r="H493" s="111">
        <f t="shared" ref="H493:Q493" si="19">H35*H$7</f>
        <v>0</v>
      </c>
      <c r="I493" s="111">
        <f t="shared" si="19"/>
        <v>0</v>
      </c>
      <c r="J493" s="111">
        <f t="shared" si="19"/>
        <v>0</v>
      </c>
      <c r="K493" s="111">
        <f t="shared" si="19"/>
        <v>0</v>
      </c>
      <c r="L493" s="111">
        <f t="shared" si="19"/>
        <v>0</v>
      </c>
      <c r="M493" s="111">
        <f t="shared" si="19"/>
        <v>0</v>
      </c>
      <c r="N493" s="111">
        <f t="shared" si="19"/>
        <v>0</v>
      </c>
      <c r="O493" s="111">
        <f t="shared" si="19"/>
        <v>0</v>
      </c>
      <c r="P493" s="111">
        <f t="shared" si="19"/>
        <v>0</v>
      </c>
      <c r="Q493" s="111">
        <f t="shared" si="19"/>
        <v>0</v>
      </c>
      <c r="R493" s="29"/>
      <c r="S493" s="100"/>
      <c r="T493" s="100"/>
      <c r="U493" s="100"/>
      <c r="V493" s="100"/>
      <c r="W493" s="100"/>
      <c r="X493" s="100"/>
      <c r="Y493" s="100"/>
      <c r="Z493" s="100"/>
      <c r="AA493" s="100"/>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100"/>
      <c r="BE493" s="100"/>
      <c r="BF493" s="100"/>
      <c r="BG493" s="100"/>
      <c r="BH493" s="100"/>
      <c r="BI493" s="100"/>
      <c r="BJ493" s="100"/>
      <c r="BK493" s="12"/>
      <c r="BL493" s="12"/>
    </row>
    <row r="494" spans="1:64" hidden="1" outlineLevel="1">
      <c r="A494" s="9"/>
      <c r="B494" s="9"/>
      <c r="C494" s="46"/>
      <c r="D494" s="129">
        <f>Asset25</f>
        <v>0</v>
      </c>
      <c r="E494" s="9"/>
      <c r="F494" s="9"/>
      <c r="G494" s="594">
        <f>'Adjustment for previous period'!G390</f>
        <v>0</v>
      </c>
      <c r="H494" s="111">
        <f t="shared" ref="H494:Q494" si="20">H36*H$7</f>
        <v>0</v>
      </c>
      <c r="I494" s="111">
        <f t="shared" si="20"/>
        <v>0</v>
      </c>
      <c r="J494" s="111">
        <f t="shared" si="20"/>
        <v>0</v>
      </c>
      <c r="K494" s="111">
        <f t="shared" si="20"/>
        <v>0</v>
      </c>
      <c r="L494" s="111">
        <f t="shared" si="20"/>
        <v>0</v>
      </c>
      <c r="M494" s="111">
        <f t="shared" si="20"/>
        <v>0</v>
      </c>
      <c r="N494" s="111">
        <f t="shared" si="20"/>
        <v>0</v>
      </c>
      <c r="O494" s="111">
        <f t="shared" si="20"/>
        <v>0</v>
      </c>
      <c r="P494" s="111">
        <f t="shared" si="20"/>
        <v>0</v>
      </c>
      <c r="Q494" s="111">
        <f t="shared" si="20"/>
        <v>0</v>
      </c>
      <c r="R494" s="29"/>
      <c r="S494" s="100"/>
      <c r="T494" s="100"/>
      <c r="U494" s="100"/>
      <c r="V494" s="100"/>
      <c r="W494" s="100"/>
      <c r="X494" s="100"/>
      <c r="Y494" s="100"/>
      <c r="Z494" s="100"/>
      <c r="AA494" s="100"/>
      <c r="AB494" s="227"/>
      <c r="AC494" s="227"/>
      <c r="AD494" s="227"/>
      <c r="AE494" s="227"/>
      <c r="AF494" s="227"/>
      <c r="AG494" s="227"/>
      <c r="AH494" s="227"/>
      <c r="AI494" s="227"/>
      <c r="AJ494" s="227"/>
      <c r="AK494" s="227"/>
      <c r="AL494" s="227"/>
      <c r="AM494" s="227"/>
      <c r="AN494" s="227"/>
      <c r="AO494" s="227"/>
      <c r="AP494" s="227"/>
      <c r="AQ494" s="227"/>
      <c r="AR494" s="227"/>
      <c r="AS494" s="227"/>
      <c r="AT494" s="227"/>
      <c r="AU494" s="227"/>
      <c r="AV494" s="227"/>
      <c r="AW494" s="227"/>
      <c r="AX494" s="227"/>
      <c r="AY494" s="227"/>
      <c r="AZ494" s="227"/>
      <c r="BA494" s="227"/>
      <c r="BB494" s="227"/>
      <c r="BC494" s="227"/>
      <c r="BD494" s="100"/>
      <c r="BE494" s="100"/>
      <c r="BF494" s="100"/>
      <c r="BG494" s="100"/>
      <c r="BH494" s="100"/>
      <c r="BI494" s="100"/>
      <c r="BJ494" s="100"/>
      <c r="BK494" s="12"/>
      <c r="BL494" s="12"/>
    </row>
    <row r="495" spans="1:64" hidden="1" outlineLevel="1">
      <c r="A495" s="9"/>
      <c r="B495" s="9"/>
      <c r="C495" s="46"/>
      <c r="D495" s="129">
        <f>Asset26</f>
        <v>0</v>
      </c>
      <c r="E495" s="9"/>
      <c r="F495" s="9"/>
      <c r="G495" s="594">
        <f>'Adjustment for previous period'!G391</f>
        <v>0</v>
      </c>
      <c r="H495" s="111">
        <f t="shared" ref="H495:Q495" si="21">H37*H$7</f>
        <v>0</v>
      </c>
      <c r="I495" s="111">
        <f t="shared" si="21"/>
        <v>0</v>
      </c>
      <c r="J495" s="111">
        <f t="shared" si="21"/>
        <v>0</v>
      </c>
      <c r="K495" s="111">
        <f t="shared" si="21"/>
        <v>0</v>
      </c>
      <c r="L495" s="111">
        <f t="shared" si="21"/>
        <v>0</v>
      </c>
      <c r="M495" s="111">
        <f t="shared" si="21"/>
        <v>0</v>
      </c>
      <c r="N495" s="111">
        <f t="shared" si="21"/>
        <v>0</v>
      </c>
      <c r="O495" s="111">
        <f t="shared" si="21"/>
        <v>0</v>
      </c>
      <c r="P495" s="111">
        <f t="shared" si="21"/>
        <v>0</v>
      </c>
      <c r="Q495" s="111">
        <f t="shared" si="21"/>
        <v>0</v>
      </c>
      <c r="R495" s="29"/>
      <c r="S495" s="100"/>
      <c r="T495" s="100"/>
      <c r="U495" s="100"/>
      <c r="V495" s="100"/>
      <c r="W495" s="100"/>
      <c r="X495" s="100"/>
      <c r="Y495" s="100"/>
      <c r="Z495" s="100"/>
      <c r="AA495" s="100"/>
      <c r="AB495" s="227"/>
      <c r="AC495" s="227"/>
      <c r="AD495" s="227"/>
      <c r="AE495" s="227"/>
      <c r="AF495" s="227"/>
      <c r="AG495" s="227"/>
      <c r="AH495" s="227"/>
      <c r="AI495" s="227"/>
      <c r="AJ495" s="227"/>
      <c r="AK495" s="227"/>
      <c r="AL495" s="227"/>
      <c r="AM495" s="227"/>
      <c r="AN495" s="227"/>
      <c r="AO495" s="227"/>
      <c r="AP495" s="227"/>
      <c r="AQ495" s="227"/>
      <c r="AR495" s="227"/>
      <c r="AS495" s="227"/>
      <c r="AT495" s="227"/>
      <c r="AU495" s="227"/>
      <c r="AV495" s="227"/>
      <c r="AW495" s="227"/>
      <c r="AX495" s="227"/>
      <c r="AY495" s="227"/>
      <c r="AZ495" s="227"/>
      <c r="BA495" s="227"/>
      <c r="BB495" s="227"/>
      <c r="BC495" s="227"/>
      <c r="BD495" s="100"/>
      <c r="BE495" s="100"/>
      <c r="BF495" s="100"/>
      <c r="BG495" s="100"/>
      <c r="BH495" s="100"/>
      <c r="BI495" s="100"/>
      <c r="BJ495" s="100"/>
      <c r="BK495" s="12"/>
      <c r="BL495" s="12"/>
    </row>
    <row r="496" spans="1:64" hidden="1" outlineLevel="1">
      <c r="A496" s="9"/>
      <c r="B496" s="9"/>
      <c r="C496" s="46"/>
      <c r="D496" s="129">
        <f>Asset27</f>
        <v>0</v>
      </c>
      <c r="E496" s="9"/>
      <c r="F496" s="9"/>
      <c r="G496" s="594">
        <f>'Adjustment for previous period'!G392</f>
        <v>0</v>
      </c>
      <c r="H496" s="111">
        <f t="shared" ref="H496:Q496" si="22">H38*H$7</f>
        <v>0</v>
      </c>
      <c r="I496" s="111">
        <f t="shared" si="22"/>
        <v>0</v>
      </c>
      <c r="J496" s="111">
        <f t="shared" si="22"/>
        <v>0</v>
      </c>
      <c r="K496" s="111">
        <f t="shared" si="22"/>
        <v>0</v>
      </c>
      <c r="L496" s="111">
        <f t="shared" si="22"/>
        <v>0</v>
      </c>
      <c r="M496" s="111">
        <f t="shared" si="22"/>
        <v>0</v>
      </c>
      <c r="N496" s="111">
        <f t="shared" si="22"/>
        <v>0</v>
      </c>
      <c r="O496" s="111">
        <f t="shared" si="22"/>
        <v>0</v>
      </c>
      <c r="P496" s="111">
        <f t="shared" si="22"/>
        <v>0</v>
      </c>
      <c r="Q496" s="111">
        <f t="shared" si="22"/>
        <v>0</v>
      </c>
      <c r="R496" s="29"/>
      <c r="S496" s="100"/>
      <c r="T496" s="100"/>
      <c r="U496" s="100"/>
      <c r="V496" s="100"/>
      <c r="W496" s="100"/>
      <c r="X496" s="100"/>
      <c r="Y496" s="100"/>
      <c r="Z496" s="100"/>
      <c r="AA496" s="100"/>
      <c r="AB496" s="227"/>
      <c r="AC496" s="227"/>
      <c r="AD496" s="227"/>
      <c r="AE496" s="227"/>
      <c r="AF496" s="227"/>
      <c r="AG496" s="227"/>
      <c r="AH496" s="227"/>
      <c r="AI496" s="227"/>
      <c r="AJ496" s="227"/>
      <c r="AK496" s="227"/>
      <c r="AL496" s="227"/>
      <c r="AM496" s="227"/>
      <c r="AN496" s="227"/>
      <c r="AO496" s="227"/>
      <c r="AP496" s="227"/>
      <c r="AQ496" s="227"/>
      <c r="AR496" s="227"/>
      <c r="AS496" s="227"/>
      <c r="AT496" s="227"/>
      <c r="AU496" s="227"/>
      <c r="AV496" s="227"/>
      <c r="AW496" s="227"/>
      <c r="AX496" s="227"/>
      <c r="AY496" s="227"/>
      <c r="AZ496" s="227"/>
      <c r="BA496" s="227"/>
      <c r="BB496" s="227"/>
      <c r="BC496" s="227"/>
      <c r="BD496" s="100"/>
      <c r="BE496" s="100"/>
      <c r="BF496" s="100"/>
      <c r="BG496" s="100"/>
      <c r="BH496" s="100"/>
      <c r="BI496" s="100"/>
      <c r="BJ496" s="100"/>
      <c r="BK496" s="12"/>
      <c r="BL496" s="12"/>
    </row>
    <row r="497" spans="1:64" hidden="1" outlineLevel="1">
      <c r="A497" s="9"/>
      <c r="B497" s="9"/>
      <c r="C497" s="46"/>
      <c r="D497" s="129">
        <f>Asset28</f>
        <v>0</v>
      </c>
      <c r="E497" s="9"/>
      <c r="F497" s="9"/>
      <c r="G497" s="594">
        <f>'Adjustment for previous period'!G393</f>
        <v>0</v>
      </c>
      <c r="H497" s="111">
        <f t="shared" ref="H497:Q497" si="23">H39*H$7</f>
        <v>0</v>
      </c>
      <c r="I497" s="111">
        <f t="shared" si="23"/>
        <v>0</v>
      </c>
      <c r="J497" s="111">
        <f t="shared" si="23"/>
        <v>0</v>
      </c>
      <c r="K497" s="111">
        <f t="shared" si="23"/>
        <v>0</v>
      </c>
      <c r="L497" s="111">
        <f t="shared" si="23"/>
        <v>0</v>
      </c>
      <c r="M497" s="111">
        <f t="shared" si="23"/>
        <v>0</v>
      </c>
      <c r="N497" s="111">
        <f t="shared" si="23"/>
        <v>0</v>
      </c>
      <c r="O497" s="111">
        <f t="shared" si="23"/>
        <v>0</v>
      </c>
      <c r="P497" s="111">
        <f t="shared" si="23"/>
        <v>0</v>
      </c>
      <c r="Q497" s="111">
        <f t="shared" si="23"/>
        <v>0</v>
      </c>
      <c r="R497" s="29"/>
      <c r="S497" s="100"/>
      <c r="T497" s="100"/>
      <c r="U497" s="100"/>
      <c r="V497" s="100"/>
      <c r="W497" s="100"/>
      <c r="X497" s="100"/>
      <c r="Y497" s="100"/>
      <c r="Z497" s="100"/>
      <c r="AA497" s="100"/>
      <c r="AB497" s="227"/>
      <c r="AC497" s="227"/>
      <c r="AD497" s="227"/>
      <c r="AE497" s="227"/>
      <c r="AF497" s="227"/>
      <c r="AG497" s="227"/>
      <c r="AH497" s="227"/>
      <c r="AI497" s="227"/>
      <c r="AJ497" s="227"/>
      <c r="AK497" s="227"/>
      <c r="AL497" s="227"/>
      <c r="AM497" s="227"/>
      <c r="AN497" s="227"/>
      <c r="AO497" s="227"/>
      <c r="AP497" s="227"/>
      <c r="AQ497" s="227"/>
      <c r="AR497" s="227"/>
      <c r="AS497" s="227"/>
      <c r="AT497" s="227"/>
      <c r="AU497" s="227"/>
      <c r="AV497" s="227"/>
      <c r="AW497" s="227"/>
      <c r="AX497" s="227"/>
      <c r="AY497" s="227"/>
      <c r="AZ497" s="227"/>
      <c r="BA497" s="227"/>
      <c r="BB497" s="227"/>
      <c r="BC497" s="227"/>
      <c r="BD497" s="100"/>
      <c r="BE497" s="100"/>
      <c r="BF497" s="100"/>
      <c r="BG497" s="100"/>
      <c r="BH497" s="100"/>
      <c r="BI497" s="100"/>
      <c r="BJ497" s="100"/>
      <c r="BK497" s="12"/>
      <c r="BL497" s="12"/>
    </row>
    <row r="498" spans="1:64" hidden="1" outlineLevel="1">
      <c r="A498" s="9"/>
      <c r="B498" s="9"/>
      <c r="C498" s="46"/>
      <c r="D498" s="129">
        <f>Asset29</f>
        <v>0</v>
      </c>
      <c r="E498" s="9"/>
      <c r="F498" s="9"/>
      <c r="G498" s="594">
        <f>'Adjustment for previous period'!G394</f>
        <v>0</v>
      </c>
      <c r="H498" s="111">
        <f t="shared" ref="H498:Q499" si="24">H40*H$7</f>
        <v>0</v>
      </c>
      <c r="I498" s="111">
        <f t="shared" si="24"/>
        <v>0</v>
      </c>
      <c r="J498" s="111">
        <f t="shared" si="24"/>
        <v>0</v>
      </c>
      <c r="K498" s="111">
        <f t="shared" si="24"/>
        <v>0</v>
      </c>
      <c r="L498" s="111">
        <f t="shared" si="24"/>
        <v>0</v>
      </c>
      <c r="M498" s="111">
        <f t="shared" si="24"/>
        <v>0</v>
      </c>
      <c r="N498" s="111">
        <f t="shared" si="24"/>
        <v>0</v>
      </c>
      <c r="O498" s="111">
        <f t="shared" si="24"/>
        <v>0</v>
      </c>
      <c r="P498" s="111">
        <f t="shared" si="24"/>
        <v>0</v>
      </c>
      <c r="Q498" s="111">
        <f t="shared" si="24"/>
        <v>0</v>
      </c>
      <c r="R498" s="29"/>
      <c r="S498" s="100"/>
      <c r="T498" s="100"/>
      <c r="U498" s="100"/>
      <c r="V498" s="100"/>
      <c r="W498" s="100"/>
      <c r="X498" s="100"/>
      <c r="Y498" s="100"/>
      <c r="Z498" s="100"/>
      <c r="AA498" s="100"/>
      <c r="AB498" s="227"/>
      <c r="AC498" s="227"/>
      <c r="AD498" s="227"/>
      <c r="AE498" s="227"/>
      <c r="AF498" s="227"/>
      <c r="AG498" s="227"/>
      <c r="AH498" s="227"/>
      <c r="AI498" s="227"/>
      <c r="AJ498" s="227"/>
      <c r="AK498" s="227"/>
      <c r="AL498" s="227"/>
      <c r="AM498" s="227"/>
      <c r="AN498" s="227"/>
      <c r="AO498" s="227"/>
      <c r="AP498" s="227"/>
      <c r="AQ498" s="227"/>
      <c r="AR498" s="227"/>
      <c r="AS498" s="227"/>
      <c r="AT498" s="227"/>
      <c r="AU498" s="227"/>
      <c r="AV498" s="227"/>
      <c r="AW498" s="227"/>
      <c r="AX498" s="227"/>
      <c r="AY498" s="227"/>
      <c r="AZ498" s="227"/>
      <c r="BA498" s="227"/>
      <c r="BB498" s="227"/>
      <c r="BC498" s="227"/>
      <c r="BD498" s="100"/>
      <c r="BE498" s="100"/>
      <c r="BF498" s="100"/>
      <c r="BG498" s="100"/>
      <c r="BH498" s="100"/>
      <c r="BI498" s="100"/>
      <c r="BJ498" s="100"/>
      <c r="BK498" s="12"/>
      <c r="BL498" s="12"/>
    </row>
    <row r="499" spans="1:64" hidden="1" outlineLevel="1">
      <c r="A499" s="9"/>
      <c r="B499" s="9"/>
      <c r="C499" s="46"/>
      <c r="D499" s="129">
        <f>Asset30</f>
        <v>0</v>
      </c>
      <c r="E499" s="9"/>
      <c r="F499" s="9"/>
      <c r="G499" s="594">
        <f>'Adjustment for previous period'!G395</f>
        <v>0</v>
      </c>
      <c r="H499" s="111">
        <f t="shared" si="24"/>
        <v>0</v>
      </c>
      <c r="I499" s="111">
        <f t="shared" si="24"/>
        <v>0</v>
      </c>
      <c r="J499" s="111">
        <f t="shared" si="24"/>
        <v>0</v>
      </c>
      <c r="K499" s="111">
        <f t="shared" si="24"/>
        <v>0</v>
      </c>
      <c r="L499" s="111">
        <f t="shared" si="24"/>
        <v>0</v>
      </c>
      <c r="M499" s="111">
        <f t="shared" si="24"/>
        <v>0</v>
      </c>
      <c r="N499" s="111">
        <f t="shared" si="24"/>
        <v>0</v>
      </c>
      <c r="O499" s="111">
        <f t="shared" si="24"/>
        <v>0</v>
      </c>
      <c r="P499" s="111">
        <f t="shared" si="24"/>
        <v>0</v>
      </c>
      <c r="Q499" s="111">
        <f t="shared" si="24"/>
        <v>0</v>
      </c>
      <c r="R499" s="29"/>
      <c r="S499" s="100"/>
      <c r="T499" s="100"/>
      <c r="U499" s="100"/>
      <c r="V499" s="100"/>
      <c r="W499" s="100"/>
      <c r="X499" s="100"/>
      <c r="Y499" s="100"/>
      <c r="Z499" s="100"/>
      <c r="AA499" s="100"/>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100"/>
      <c r="BE499" s="100"/>
      <c r="BF499" s="100"/>
      <c r="BG499" s="100"/>
      <c r="BH499" s="100"/>
      <c r="BI499" s="100"/>
      <c r="BJ499" s="100"/>
      <c r="BK499" s="12"/>
      <c r="BL499" s="12"/>
    </row>
    <row r="500" spans="1:64" collapsed="1">
      <c r="A500" s="9"/>
      <c r="B500" s="9"/>
      <c r="C500" s="46"/>
      <c r="D500" s="114"/>
      <c r="E500" s="9"/>
      <c r="F500" s="9"/>
      <c r="G500" s="201"/>
      <c r="H500" s="37"/>
      <c r="I500" s="37"/>
      <c r="J500" s="37"/>
      <c r="K500" s="37"/>
      <c r="L500" s="37"/>
      <c r="M500" s="37"/>
      <c r="N500" s="29"/>
      <c r="O500" s="29"/>
      <c r="P500" s="29"/>
      <c r="Q500" s="29"/>
      <c r="R500" s="29"/>
      <c r="S500" s="100"/>
      <c r="T500" s="100"/>
      <c r="U500" s="100"/>
      <c r="V500" s="100"/>
      <c r="W500" s="100"/>
      <c r="X500" s="100"/>
      <c r="Y500" s="100"/>
      <c r="Z500" s="100"/>
      <c r="AA500" s="100"/>
      <c r="AB500" s="227"/>
      <c r="AC500" s="227"/>
      <c r="AD500" s="227"/>
      <c r="AE500" s="227"/>
      <c r="AF500" s="227"/>
      <c r="AG500" s="227"/>
      <c r="AH500" s="227"/>
      <c r="AI500" s="227"/>
      <c r="AJ500" s="227"/>
      <c r="AK500" s="227"/>
      <c r="AL500" s="227"/>
      <c r="AM500" s="227"/>
      <c r="AN500" s="227"/>
      <c r="AO500" s="227"/>
      <c r="AP500" s="227"/>
      <c r="AQ500" s="227"/>
      <c r="AR500" s="227"/>
      <c r="AS500" s="227"/>
      <c r="AT500" s="227"/>
      <c r="AU500" s="227"/>
      <c r="AV500" s="227"/>
      <c r="AW500" s="227"/>
      <c r="AX500" s="227"/>
      <c r="AY500" s="227"/>
      <c r="AZ500" s="227"/>
      <c r="BA500" s="227"/>
      <c r="BB500" s="227"/>
      <c r="BC500" s="227"/>
      <c r="BD500" s="100"/>
      <c r="BE500" s="100"/>
      <c r="BF500" s="100"/>
      <c r="BG500" s="100"/>
      <c r="BH500" s="100"/>
      <c r="BI500" s="100"/>
      <c r="BJ500" s="100"/>
      <c r="BK500" s="12"/>
      <c r="BL500" s="12"/>
    </row>
    <row r="501" spans="1:64">
      <c r="A501" s="9"/>
      <c r="B501" s="9"/>
      <c r="C501" s="586" t="s">
        <v>72</v>
      </c>
      <c r="D501" s="220"/>
      <c r="E501" s="9"/>
      <c r="F501" s="9"/>
      <c r="G501" s="194">
        <f>SUM(G502:G531)</f>
        <v>-9.4710511953612286</v>
      </c>
      <c r="H501" s="37">
        <f>SUM(H502:H531)</f>
        <v>-17.527949198911536</v>
      </c>
      <c r="I501" s="37">
        <f t="shared" ref="I501:Q501" si="25">SUM(I502:I531)</f>
        <v>-17.948212367315353</v>
      </c>
      <c r="J501" s="37">
        <f t="shared" si="25"/>
        <v>-19.565927475667529</v>
      </c>
      <c r="K501" s="37">
        <f t="shared" si="25"/>
        <v>-32.140060199430586</v>
      </c>
      <c r="L501" s="37">
        <f t="shared" si="25"/>
        <v>-37.655800307709022</v>
      </c>
      <c r="M501" s="37">
        <f t="shared" si="25"/>
        <v>37.69425832304799</v>
      </c>
      <c r="N501" s="37">
        <f t="shared" si="25"/>
        <v>0</v>
      </c>
      <c r="O501" s="37">
        <f t="shared" si="25"/>
        <v>0</v>
      </c>
      <c r="P501" s="37">
        <f t="shared" si="25"/>
        <v>0</v>
      </c>
      <c r="Q501" s="37">
        <f t="shared" si="25"/>
        <v>0</v>
      </c>
      <c r="R501" s="29"/>
      <c r="S501" s="100"/>
      <c r="T501" s="100"/>
      <c r="U501" s="100"/>
      <c r="V501" s="100"/>
      <c r="W501" s="100"/>
      <c r="X501" s="100"/>
      <c r="Y501" s="100"/>
      <c r="Z501" s="100"/>
      <c r="AA501" s="100"/>
      <c r="AB501" s="227"/>
      <c r="AC501" s="227"/>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227"/>
      <c r="BD501" s="100"/>
      <c r="BE501" s="100"/>
      <c r="BF501" s="100"/>
      <c r="BG501" s="100"/>
      <c r="BH501" s="100"/>
      <c r="BI501" s="100"/>
      <c r="BJ501" s="100"/>
      <c r="BK501" s="12"/>
      <c r="BL501" s="12"/>
    </row>
    <row r="502" spans="1:64" hidden="1" outlineLevel="1">
      <c r="A502" s="9"/>
      <c r="B502" s="9"/>
      <c r="C502" s="46"/>
      <c r="D502" s="129" t="str">
        <f>Asset1</f>
        <v>Mains &amp; Services</v>
      </c>
      <c r="E502" s="9"/>
      <c r="F502" s="9"/>
      <c r="G502" s="196">
        <f>'Adjustment for previous period'!G398</f>
        <v>2.8131653578472253</v>
      </c>
      <c r="H502" s="111">
        <f>H632+H666</f>
        <v>-4.7649061157487367</v>
      </c>
      <c r="I502" s="111">
        <f t="shared" ref="I502:Q502" si="26">I632+I666</f>
        <v>-3.1780885479743084</v>
      </c>
      <c r="J502" s="111">
        <f t="shared" si="26"/>
        <v>-1.139942633841045</v>
      </c>
      <c r="K502" s="111">
        <f t="shared" si="26"/>
        <v>-10.403970093338412</v>
      </c>
      <c r="L502" s="111">
        <f t="shared" si="26"/>
        <v>-13.757092550496054</v>
      </c>
      <c r="M502" s="111">
        <f t="shared" si="26"/>
        <v>34.268398812172883</v>
      </c>
      <c r="N502" s="111">
        <f t="shared" si="26"/>
        <v>0</v>
      </c>
      <c r="O502" s="111">
        <f t="shared" si="26"/>
        <v>0</v>
      </c>
      <c r="P502" s="111">
        <f t="shared" si="26"/>
        <v>0</v>
      </c>
      <c r="Q502" s="111">
        <f t="shared" si="26"/>
        <v>0</v>
      </c>
      <c r="R502" s="29"/>
      <c r="S502" s="100"/>
      <c r="T502" s="100"/>
      <c r="U502" s="100"/>
      <c r="V502" s="100"/>
      <c r="W502" s="100"/>
      <c r="X502" s="100"/>
      <c r="Y502" s="100"/>
      <c r="Z502" s="100"/>
      <c r="AA502" s="100"/>
      <c r="AB502" s="227"/>
      <c r="AC502" s="227"/>
      <c r="AD502" s="227"/>
      <c r="AE502" s="227"/>
      <c r="AF502" s="227"/>
      <c r="AG502" s="227"/>
      <c r="AH502" s="227"/>
      <c r="AI502" s="227"/>
      <c r="AJ502" s="227"/>
      <c r="AK502" s="227"/>
      <c r="AL502" s="227"/>
      <c r="AM502" s="227"/>
      <c r="AN502" s="227"/>
      <c r="AO502" s="227"/>
      <c r="AP502" s="227"/>
      <c r="AQ502" s="227"/>
      <c r="AR502" s="227"/>
      <c r="AS502" s="227"/>
      <c r="AT502" s="227"/>
      <c r="AU502" s="227"/>
      <c r="AV502" s="227"/>
      <c r="AW502" s="227"/>
      <c r="AX502" s="227"/>
      <c r="AY502" s="227"/>
      <c r="AZ502" s="227"/>
      <c r="BA502" s="227"/>
      <c r="BB502" s="227"/>
      <c r="BC502" s="227"/>
      <c r="BD502" s="100"/>
      <c r="BE502" s="100"/>
      <c r="BF502" s="100"/>
      <c r="BG502" s="100"/>
      <c r="BH502" s="100"/>
      <c r="BI502" s="100"/>
      <c r="BJ502" s="100"/>
      <c r="BK502" s="12"/>
      <c r="BL502" s="12"/>
    </row>
    <row r="503" spans="1:64" hidden="1" outlineLevel="1">
      <c r="A503" s="9"/>
      <c r="B503" s="9"/>
      <c r="C503" s="46"/>
      <c r="D503" s="129" t="str">
        <f>Asset2</f>
        <v>Meters</v>
      </c>
      <c r="E503" s="9"/>
      <c r="F503" s="9"/>
      <c r="G503" s="196">
        <f>'Adjustment for previous period'!G399</f>
        <v>-9.5254766700949176</v>
      </c>
      <c r="H503" s="111">
        <f t="shared" ref="H503:Q531" si="27">H633+H667</f>
        <v>-10.247628051953608</v>
      </c>
      <c r="I503" s="111">
        <f t="shared" si="27"/>
        <v>-10.965700882797494</v>
      </c>
      <c r="J503" s="111">
        <f t="shared" si="27"/>
        <v>-12.030359729140228</v>
      </c>
      <c r="K503" s="111">
        <f t="shared" si="27"/>
        <v>-13.864547997549989</v>
      </c>
      <c r="L503" s="111">
        <f t="shared" si="27"/>
        <v>-15.51964024266492</v>
      </c>
      <c r="M503" s="111">
        <f t="shared" si="27"/>
        <v>2.2254840812469503</v>
      </c>
      <c r="N503" s="111">
        <f t="shared" si="27"/>
        <v>0</v>
      </c>
      <c r="O503" s="111">
        <f t="shared" si="27"/>
        <v>0</v>
      </c>
      <c r="P503" s="111">
        <f t="shared" si="27"/>
        <v>0</v>
      </c>
      <c r="Q503" s="111">
        <f t="shared" si="27"/>
        <v>0</v>
      </c>
      <c r="R503" s="29"/>
      <c r="S503" s="100"/>
      <c r="T503" s="100"/>
      <c r="U503" s="100"/>
      <c r="V503" s="100"/>
      <c r="W503" s="100"/>
      <c r="X503" s="100"/>
      <c r="Y503" s="100"/>
      <c r="Z503" s="100"/>
      <c r="AA503" s="100"/>
      <c r="AB503" s="227"/>
      <c r="AC503" s="227"/>
      <c r="AD503" s="227"/>
      <c r="AE503" s="227"/>
      <c r="AF503" s="227"/>
      <c r="AG503" s="227"/>
      <c r="AH503" s="227"/>
      <c r="AI503" s="227"/>
      <c r="AJ503" s="227"/>
      <c r="AK503" s="227"/>
      <c r="AL503" s="227"/>
      <c r="AM503" s="227"/>
      <c r="AN503" s="227"/>
      <c r="AO503" s="227"/>
      <c r="AP503" s="227"/>
      <c r="AQ503" s="227"/>
      <c r="AR503" s="227"/>
      <c r="AS503" s="227"/>
      <c r="AT503" s="227"/>
      <c r="AU503" s="227"/>
      <c r="AV503" s="227"/>
      <c r="AW503" s="227"/>
      <c r="AX503" s="227"/>
      <c r="AY503" s="227"/>
      <c r="AZ503" s="227"/>
      <c r="BA503" s="227"/>
      <c r="BB503" s="227"/>
      <c r="BC503" s="227"/>
      <c r="BD503" s="100"/>
      <c r="BE503" s="100"/>
      <c r="BF503" s="100"/>
      <c r="BG503" s="100"/>
      <c r="BH503" s="100"/>
      <c r="BI503" s="100"/>
      <c r="BJ503" s="100"/>
      <c r="BK503" s="12"/>
      <c r="BL503" s="12"/>
    </row>
    <row r="504" spans="1:64" hidden="1" outlineLevel="1">
      <c r="A504" s="9"/>
      <c r="B504" s="9"/>
      <c r="C504" s="46"/>
      <c r="D504" s="129" t="str">
        <f>Asset3</f>
        <v>Buildings</v>
      </c>
      <c r="E504" s="9"/>
      <c r="F504" s="9"/>
      <c r="G504" s="196">
        <f>'Adjustment for previous period'!G400</f>
        <v>-0.14261750932535966</v>
      </c>
      <c r="H504" s="111">
        <f t="shared" si="27"/>
        <v>-0.25229710815243855</v>
      </c>
      <c r="I504" s="111">
        <f t="shared" si="27"/>
        <v>-0.27010179323751948</v>
      </c>
      <c r="J504" s="111">
        <f t="shared" si="27"/>
        <v>-0.27501890375469484</v>
      </c>
      <c r="K504" s="111">
        <f t="shared" si="27"/>
        <v>-0.34648118971429576</v>
      </c>
      <c r="L504" s="111">
        <f t="shared" si="27"/>
        <v>-0.37194098853988622</v>
      </c>
      <c r="M504" s="111">
        <f t="shared" si="27"/>
        <v>0.16157618064637372</v>
      </c>
      <c r="N504" s="111">
        <f t="shared" si="27"/>
        <v>0</v>
      </c>
      <c r="O504" s="111">
        <f t="shared" si="27"/>
        <v>0</v>
      </c>
      <c r="P504" s="111">
        <f t="shared" si="27"/>
        <v>0</v>
      </c>
      <c r="Q504" s="111">
        <f t="shared" si="27"/>
        <v>0</v>
      </c>
      <c r="R504" s="29"/>
      <c r="S504" s="100"/>
      <c r="T504" s="100"/>
      <c r="U504" s="100"/>
      <c r="V504" s="100"/>
      <c r="W504" s="100"/>
      <c r="X504" s="100"/>
      <c r="Y504" s="100"/>
      <c r="Z504" s="100"/>
      <c r="AA504" s="100"/>
      <c r="AB504" s="227"/>
      <c r="AC504" s="227"/>
      <c r="AD504" s="227"/>
      <c r="AE504" s="227"/>
      <c r="AF504" s="227"/>
      <c r="AG504" s="227"/>
      <c r="AH504" s="227"/>
      <c r="AI504" s="227"/>
      <c r="AJ504" s="227"/>
      <c r="AK504" s="227"/>
      <c r="AL504" s="227"/>
      <c r="AM504" s="227"/>
      <c r="AN504" s="227"/>
      <c r="AO504" s="227"/>
      <c r="AP504" s="227"/>
      <c r="AQ504" s="227"/>
      <c r="AR504" s="227"/>
      <c r="AS504" s="227"/>
      <c r="AT504" s="227"/>
      <c r="AU504" s="227"/>
      <c r="AV504" s="227"/>
      <c r="AW504" s="227"/>
      <c r="AX504" s="227"/>
      <c r="AY504" s="227"/>
      <c r="AZ504" s="227"/>
      <c r="BA504" s="227"/>
      <c r="BB504" s="227"/>
      <c r="BC504" s="227"/>
      <c r="BD504" s="100"/>
      <c r="BE504" s="100"/>
      <c r="BF504" s="100"/>
      <c r="BG504" s="100"/>
      <c r="BH504" s="100"/>
      <c r="BI504" s="100"/>
      <c r="BJ504" s="100"/>
      <c r="BK504" s="12"/>
      <c r="BL504" s="12"/>
    </row>
    <row r="505" spans="1:64" hidden="1" outlineLevel="1">
      <c r="A505" s="9"/>
      <c r="B505" s="9"/>
      <c r="C505" s="46"/>
      <c r="D505" s="129" t="str">
        <f>Asset4</f>
        <v>SCADA</v>
      </c>
      <c r="E505" s="9"/>
      <c r="F505" s="9"/>
      <c r="G505" s="196">
        <f>'Adjustment for previous period'!G401</f>
        <v>-9.3034187677312044E-2</v>
      </c>
      <c r="H505" s="111">
        <f t="shared" si="27"/>
        <v>-0.10211204458324538</v>
      </c>
      <c r="I505" s="111">
        <f t="shared" si="27"/>
        <v>-0.11768634052370183</v>
      </c>
      <c r="J505" s="111">
        <f t="shared" si="27"/>
        <v>-0.13025107992258106</v>
      </c>
      <c r="K505" s="111">
        <f t="shared" si="27"/>
        <v>-0.15684768792317183</v>
      </c>
      <c r="L505" s="111">
        <f t="shared" si="27"/>
        <v>-0.18010769383025677</v>
      </c>
      <c r="M505" s="111">
        <f t="shared" si="27"/>
        <v>4.9654961067498803E-2</v>
      </c>
      <c r="N505" s="111">
        <f t="shared" si="27"/>
        <v>0</v>
      </c>
      <c r="O505" s="111">
        <f t="shared" si="27"/>
        <v>0</v>
      </c>
      <c r="P505" s="111">
        <f t="shared" si="27"/>
        <v>0</v>
      </c>
      <c r="Q505" s="111">
        <f t="shared" si="27"/>
        <v>0</v>
      </c>
      <c r="R505" s="29"/>
      <c r="S505" s="100"/>
      <c r="T505" s="100"/>
      <c r="U505" s="100"/>
      <c r="V505" s="100"/>
      <c r="W505" s="100"/>
      <c r="X505" s="100"/>
      <c r="Y505" s="100"/>
      <c r="Z505" s="100"/>
      <c r="AA505" s="100"/>
      <c r="AB505" s="227"/>
      <c r="AC505" s="227"/>
      <c r="AD505" s="227"/>
      <c r="AE505" s="227"/>
      <c r="AF505" s="227"/>
      <c r="AG505" s="227"/>
      <c r="AH505" s="227"/>
      <c r="AI505" s="227"/>
      <c r="AJ505" s="227"/>
      <c r="AK505" s="227"/>
      <c r="AL505" s="227"/>
      <c r="AM505" s="227"/>
      <c r="AN505" s="227"/>
      <c r="AO505" s="227"/>
      <c r="AP505" s="227"/>
      <c r="AQ505" s="227"/>
      <c r="AR505" s="227"/>
      <c r="AS505" s="227"/>
      <c r="AT505" s="227"/>
      <c r="AU505" s="227"/>
      <c r="AV505" s="227"/>
      <c r="AW505" s="227"/>
      <c r="AX505" s="227"/>
      <c r="AY505" s="227"/>
      <c r="AZ505" s="227"/>
      <c r="BA505" s="227"/>
      <c r="BB505" s="227"/>
      <c r="BC505" s="227"/>
      <c r="BD505" s="100"/>
      <c r="BE505" s="100"/>
      <c r="BF505" s="100"/>
      <c r="BG505" s="100"/>
      <c r="BH505" s="100"/>
      <c r="BI505" s="100"/>
      <c r="BJ505" s="100"/>
      <c r="BK505" s="12"/>
      <c r="BL505" s="12"/>
    </row>
    <row r="506" spans="1:64" hidden="1" outlineLevel="1">
      <c r="A506" s="9"/>
      <c r="B506" s="9"/>
      <c r="C506" s="46"/>
      <c r="D506" s="129" t="str">
        <f>Asset5</f>
        <v>Computer Equipment</v>
      </c>
      <c r="E506" s="9"/>
      <c r="F506" s="9"/>
      <c r="G506" s="196">
        <f>'Adjustment for previous period'!G402</f>
        <v>-0.26755195806871002</v>
      </c>
      <c r="H506" s="111">
        <f t="shared" si="27"/>
        <v>-0.2256581688308911</v>
      </c>
      <c r="I506" s="111">
        <f t="shared" si="27"/>
        <v>-1.174941825866179</v>
      </c>
      <c r="J506" s="111">
        <f t="shared" si="27"/>
        <v>-3.1541510471196057</v>
      </c>
      <c r="K506" s="111">
        <f t="shared" si="27"/>
        <v>-3.7671015486587907</v>
      </c>
      <c r="L506" s="111">
        <f t="shared" si="27"/>
        <v>-3.7976737399417826</v>
      </c>
      <c r="M506" s="111">
        <f t="shared" si="27"/>
        <v>0.27540523542982792</v>
      </c>
      <c r="N506" s="111">
        <f t="shared" si="27"/>
        <v>0</v>
      </c>
      <c r="O506" s="111">
        <f t="shared" si="27"/>
        <v>0</v>
      </c>
      <c r="P506" s="111">
        <f t="shared" si="27"/>
        <v>0</v>
      </c>
      <c r="Q506" s="111">
        <f t="shared" si="27"/>
        <v>0</v>
      </c>
      <c r="R506" s="29"/>
      <c r="S506" s="100"/>
      <c r="T506" s="100"/>
      <c r="U506" s="100"/>
      <c r="V506" s="100"/>
      <c r="W506" s="100"/>
      <c r="X506" s="100"/>
      <c r="Y506" s="100"/>
      <c r="Z506" s="100"/>
      <c r="AA506" s="100"/>
      <c r="AB506" s="227"/>
      <c r="AC506" s="227"/>
      <c r="AD506" s="227"/>
      <c r="AE506" s="227"/>
      <c r="AF506" s="227"/>
      <c r="AG506" s="227"/>
      <c r="AH506" s="227"/>
      <c r="AI506" s="227"/>
      <c r="AJ506" s="227"/>
      <c r="AK506" s="227"/>
      <c r="AL506" s="227"/>
      <c r="AM506" s="227"/>
      <c r="AN506" s="227"/>
      <c r="AO506" s="227"/>
      <c r="AP506" s="227"/>
      <c r="AQ506" s="227"/>
      <c r="AR506" s="227"/>
      <c r="AS506" s="227"/>
      <c r="AT506" s="227"/>
      <c r="AU506" s="227"/>
      <c r="AV506" s="227"/>
      <c r="AW506" s="227"/>
      <c r="AX506" s="227"/>
      <c r="AY506" s="227"/>
      <c r="AZ506" s="227"/>
      <c r="BA506" s="227"/>
      <c r="BB506" s="227"/>
      <c r="BC506" s="227"/>
      <c r="BD506" s="100"/>
      <c r="BE506" s="100"/>
      <c r="BF506" s="100"/>
      <c r="BG506" s="100"/>
      <c r="BH506" s="100"/>
      <c r="BI506" s="100"/>
      <c r="BJ506" s="100"/>
      <c r="BK506" s="12"/>
      <c r="BL506" s="12"/>
    </row>
    <row r="507" spans="1:64" hidden="1" outlineLevel="1">
      <c r="A507" s="9"/>
      <c r="B507" s="9"/>
      <c r="C507" s="46"/>
      <c r="D507" s="129" t="str">
        <f>Asset6</f>
        <v>Other Assets</v>
      </c>
      <c r="E507" s="9"/>
      <c r="F507" s="9"/>
      <c r="G507" s="196">
        <f>'Adjustment for previous period'!G403</f>
        <v>-2.2555362280421538</v>
      </c>
      <c r="H507" s="111">
        <f t="shared" si="27"/>
        <v>-1.9353477096426155</v>
      </c>
      <c r="I507" s="111">
        <f t="shared" si="27"/>
        <v>-2.2416929769161493</v>
      </c>
      <c r="J507" s="111">
        <f t="shared" si="27"/>
        <v>-2.8362040818893726</v>
      </c>
      <c r="K507" s="111">
        <f t="shared" si="27"/>
        <v>-3.6011116822459286</v>
      </c>
      <c r="L507" s="111">
        <f t="shared" si="27"/>
        <v>-4.0293450922361211</v>
      </c>
      <c r="M507" s="111">
        <f t="shared" si="27"/>
        <v>0.7137390524844589</v>
      </c>
      <c r="N507" s="111">
        <f t="shared" si="27"/>
        <v>0</v>
      </c>
      <c r="O507" s="111">
        <f t="shared" si="27"/>
        <v>0</v>
      </c>
      <c r="P507" s="111">
        <f t="shared" si="27"/>
        <v>0</v>
      </c>
      <c r="Q507" s="111">
        <f t="shared" si="27"/>
        <v>0</v>
      </c>
      <c r="R507" s="29"/>
      <c r="S507" s="100"/>
      <c r="T507" s="100"/>
      <c r="U507" s="100"/>
      <c r="V507" s="100"/>
      <c r="W507" s="100"/>
      <c r="X507" s="100"/>
      <c r="Y507" s="100"/>
      <c r="Z507" s="100"/>
      <c r="AA507" s="100"/>
      <c r="AB507" s="227"/>
      <c r="AC507" s="227"/>
      <c r="AD507" s="227"/>
      <c r="AE507" s="227"/>
      <c r="AF507" s="227"/>
      <c r="AG507" s="227"/>
      <c r="AH507" s="227"/>
      <c r="AI507" s="227"/>
      <c r="AJ507" s="227"/>
      <c r="AK507" s="227"/>
      <c r="AL507" s="227"/>
      <c r="AM507" s="227"/>
      <c r="AN507" s="227"/>
      <c r="AO507" s="227"/>
      <c r="AP507" s="227"/>
      <c r="AQ507" s="227"/>
      <c r="AR507" s="227"/>
      <c r="AS507" s="227"/>
      <c r="AT507" s="227"/>
      <c r="AU507" s="227"/>
      <c r="AV507" s="227"/>
      <c r="AW507" s="227"/>
      <c r="AX507" s="227"/>
      <c r="AY507" s="227"/>
      <c r="AZ507" s="227"/>
      <c r="BA507" s="227"/>
      <c r="BB507" s="227"/>
      <c r="BC507" s="227"/>
      <c r="BD507" s="100"/>
      <c r="BE507" s="100"/>
      <c r="BF507" s="100"/>
      <c r="BG507" s="100"/>
      <c r="BH507" s="100"/>
      <c r="BI507" s="100"/>
      <c r="BJ507" s="100"/>
      <c r="BK507" s="12"/>
      <c r="BL507" s="12"/>
    </row>
    <row r="508" spans="1:64" hidden="1" outlineLevel="1">
      <c r="A508" s="9"/>
      <c r="B508" s="9"/>
      <c r="C508" s="46"/>
      <c r="D508" s="129" t="str">
        <f>Asset7</f>
        <v>Equity Raising Costs</v>
      </c>
      <c r="E508" s="9"/>
      <c r="F508" s="9"/>
      <c r="G508" s="196">
        <f>'Adjustment for previous period'!G404</f>
        <v>0</v>
      </c>
      <c r="H508" s="111">
        <f t="shared" si="27"/>
        <v>0</v>
      </c>
      <c r="I508" s="111">
        <f t="shared" si="27"/>
        <v>0</v>
      </c>
      <c r="J508" s="111">
        <f t="shared" si="27"/>
        <v>0</v>
      </c>
      <c r="K508" s="111">
        <f t="shared" si="27"/>
        <v>0</v>
      </c>
      <c r="L508" s="111">
        <f t="shared" si="27"/>
        <v>0</v>
      </c>
      <c r="M508" s="111">
        <f t="shared" si="27"/>
        <v>0</v>
      </c>
      <c r="N508" s="111">
        <f t="shared" si="27"/>
        <v>0</v>
      </c>
      <c r="O508" s="111">
        <f t="shared" si="27"/>
        <v>0</v>
      </c>
      <c r="P508" s="111">
        <f t="shared" si="27"/>
        <v>0</v>
      </c>
      <c r="Q508" s="111">
        <f t="shared" si="27"/>
        <v>0</v>
      </c>
      <c r="R508" s="29"/>
      <c r="S508" s="100"/>
      <c r="T508" s="100"/>
      <c r="U508" s="100"/>
      <c r="V508" s="100"/>
      <c r="W508" s="100"/>
      <c r="X508" s="100"/>
      <c r="Y508" s="100"/>
      <c r="Z508" s="100"/>
      <c r="AA508" s="100"/>
      <c r="AB508" s="227"/>
      <c r="AC508" s="227"/>
      <c r="AD508" s="227"/>
      <c r="AE508" s="227"/>
      <c r="AF508" s="227"/>
      <c r="AG508" s="227"/>
      <c r="AH508" s="227"/>
      <c r="AI508" s="227"/>
      <c r="AJ508" s="227"/>
      <c r="AK508" s="227"/>
      <c r="AL508" s="227"/>
      <c r="AM508" s="227"/>
      <c r="AN508" s="227"/>
      <c r="AO508" s="227"/>
      <c r="AP508" s="227"/>
      <c r="AQ508" s="227"/>
      <c r="AR508" s="227"/>
      <c r="AS508" s="227"/>
      <c r="AT508" s="227"/>
      <c r="AU508" s="227"/>
      <c r="AV508" s="227"/>
      <c r="AW508" s="227"/>
      <c r="AX508" s="227"/>
      <c r="AY508" s="227"/>
      <c r="AZ508" s="227"/>
      <c r="BA508" s="227"/>
      <c r="BB508" s="227"/>
      <c r="BC508" s="227"/>
      <c r="BD508" s="100"/>
      <c r="BE508" s="100"/>
      <c r="BF508" s="100"/>
      <c r="BG508" s="100"/>
      <c r="BH508" s="100"/>
      <c r="BI508" s="100"/>
      <c r="BJ508" s="100"/>
      <c r="BK508" s="12"/>
      <c r="BL508" s="12"/>
    </row>
    <row r="509" spans="1:64" hidden="1" outlineLevel="1">
      <c r="A509" s="9"/>
      <c r="B509" s="9"/>
      <c r="C509" s="46"/>
      <c r="D509" s="129" t="str">
        <f>Asset8</f>
        <v>Land</v>
      </c>
      <c r="E509" s="9"/>
      <c r="F509" s="9"/>
      <c r="G509" s="196">
        <f>'Adjustment for previous period'!G405</f>
        <v>0</v>
      </c>
      <c r="H509" s="111">
        <f t="shared" si="27"/>
        <v>0</v>
      </c>
      <c r="I509" s="111">
        <f t="shared" si="27"/>
        <v>0</v>
      </c>
      <c r="J509" s="111">
        <f t="shared" si="27"/>
        <v>0</v>
      </c>
      <c r="K509" s="111">
        <f t="shared" si="27"/>
        <v>0</v>
      </c>
      <c r="L509" s="111">
        <f t="shared" si="27"/>
        <v>0</v>
      </c>
      <c r="M509" s="111">
        <f t="shared" si="27"/>
        <v>0</v>
      </c>
      <c r="N509" s="111">
        <f t="shared" si="27"/>
        <v>0</v>
      </c>
      <c r="O509" s="111">
        <f t="shared" si="27"/>
        <v>0</v>
      </c>
      <c r="P509" s="111">
        <f t="shared" si="27"/>
        <v>0</v>
      </c>
      <c r="Q509" s="111">
        <f t="shared" si="27"/>
        <v>0</v>
      </c>
      <c r="R509" s="29"/>
      <c r="S509" s="100"/>
      <c r="T509" s="100"/>
      <c r="U509" s="100"/>
      <c r="V509" s="100"/>
      <c r="W509" s="100"/>
      <c r="X509" s="100"/>
      <c r="Y509" s="100"/>
      <c r="Z509" s="100"/>
      <c r="AA509" s="100"/>
      <c r="AB509" s="227"/>
      <c r="AC509" s="227"/>
      <c r="AD509" s="227"/>
      <c r="AE509" s="227"/>
      <c r="AF509" s="227"/>
      <c r="AG509" s="227"/>
      <c r="AH509" s="227"/>
      <c r="AI509" s="227"/>
      <c r="AJ509" s="227"/>
      <c r="AK509" s="227"/>
      <c r="AL509" s="227"/>
      <c r="AM509" s="227"/>
      <c r="AN509" s="227"/>
      <c r="AO509" s="227"/>
      <c r="AP509" s="227"/>
      <c r="AQ509" s="227"/>
      <c r="AR509" s="227"/>
      <c r="AS509" s="227"/>
      <c r="AT509" s="227"/>
      <c r="AU509" s="227"/>
      <c r="AV509" s="227"/>
      <c r="AW509" s="227"/>
      <c r="AX509" s="227"/>
      <c r="AY509" s="227"/>
      <c r="AZ509" s="227"/>
      <c r="BA509" s="227"/>
      <c r="BB509" s="227"/>
      <c r="BC509" s="227"/>
      <c r="BD509" s="100"/>
      <c r="BE509" s="100"/>
      <c r="BF509" s="100"/>
      <c r="BG509" s="100"/>
      <c r="BH509" s="100"/>
      <c r="BI509" s="100"/>
      <c r="BJ509" s="100"/>
      <c r="BK509" s="12"/>
      <c r="BL509" s="12"/>
    </row>
    <row r="510" spans="1:64" hidden="1" outlineLevel="1">
      <c r="A510" s="9"/>
      <c r="B510" s="9"/>
      <c r="C510" s="46"/>
      <c r="D510" s="129">
        <f>Asset9</f>
        <v>0</v>
      </c>
      <c r="E510" s="9"/>
      <c r="F510" s="9"/>
      <c r="G510" s="196">
        <f>'Adjustment for previous period'!G406</f>
        <v>0</v>
      </c>
      <c r="H510" s="111">
        <f t="shared" si="27"/>
        <v>0</v>
      </c>
      <c r="I510" s="111">
        <f t="shared" si="27"/>
        <v>0</v>
      </c>
      <c r="J510" s="111">
        <f t="shared" si="27"/>
        <v>0</v>
      </c>
      <c r="K510" s="111">
        <f t="shared" si="27"/>
        <v>0</v>
      </c>
      <c r="L510" s="111">
        <f t="shared" si="27"/>
        <v>0</v>
      </c>
      <c r="M510" s="111">
        <f t="shared" si="27"/>
        <v>0</v>
      </c>
      <c r="N510" s="111">
        <f t="shared" si="27"/>
        <v>0</v>
      </c>
      <c r="O510" s="111">
        <f t="shared" si="27"/>
        <v>0</v>
      </c>
      <c r="P510" s="111">
        <f t="shared" si="27"/>
        <v>0</v>
      </c>
      <c r="Q510" s="111">
        <f t="shared" si="27"/>
        <v>0</v>
      </c>
      <c r="R510" s="29"/>
      <c r="S510" s="100"/>
      <c r="T510" s="100"/>
      <c r="U510" s="100"/>
      <c r="V510" s="100"/>
      <c r="W510" s="100"/>
      <c r="X510" s="100"/>
      <c r="Y510" s="100"/>
      <c r="Z510" s="100"/>
      <c r="AA510" s="100"/>
      <c r="AB510" s="227"/>
      <c r="AC510" s="227"/>
      <c r="AD510" s="227"/>
      <c r="AE510" s="227"/>
      <c r="AF510" s="227"/>
      <c r="AG510" s="227"/>
      <c r="AH510" s="227"/>
      <c r="AI510" s="227"/>
      <c r="AJ510" s="227"/>
      <c r="AK510" s="227"/>
      <c r="AL510" s="227"/>
      <c r="AM510" s="227"/>
      <c r="AN510" s="227"/>
      <c r="AO510" s="227"/>
      <c r="AP510" s="227"/>
      <c r="AQ510" s="227"/>
      <c r="AR510" s="227"/>
      <c r="AS510" s="227"/>
      <c r="AT510" s="227"/>
      <c r="AU510" s="227"/>
      <c r="AV510" s="227"/>
      <c r="AW510" s="227"/>
      <c r="AX510" s="227"/>
      <c r="AY510" s="227"/>
      <c r="AZ510" s="227"/>
      <c r="BA510" s="227"/>
      <c r="BB510" s="227"/>
      <c r="BC510" s="227"/>
      <c r="BD510" s="100"/>
      <c r="BE510" s="100"/>
      <c r="BF510" s="100"/>
      <c r="BG510" s="100"/>
      <c r="BH510" s="100"/>
      <c r="BI510" s="100"/>
      <c r="BJ510" s="100"/>
      <c r="BK510" s="12"/>
      <c r="BL510" s="12"/>
    </row>
    <row r="511" spans="1:64" hidden="1" outlineLevel="1">
      <c r="A511" s="9"/>
      <c r="B511" s="9"/>
      <c r="C511" s="46"/>
      <c r="D511" s="129">
        <f>Asset10</f>
        <v>0</v>
      </c>
      <c r="E511" s="9"/>
      <c r="F511" s="9"/>
      <c r="G511" s="196">
        <f>'Adjustment for previous period'!G407</f>
        <v>0</v>
      </c>
      <c r="H511" s="111">
        <f t="shared" si="27"/>
        <v>0</v>
      </c>
      <c r="I511" s="111">
        <f t="shared" si="27"/>
        <v>0</v>
      </c>
      <c r="J511" s="111">
        <f t="shared" si="27"/>
        <v>0</v>
      </c>
      <c r="K511" s="111">
        <f t="shared" si="27"/>
        <v>0</v>
      </c>
      <c r="L511" s="111">
        <f t="shared" si="27"/>
        <v>0</v>
      </c>
      <c r="M511" s="111">
        <f t="shared" si="27"/>
        <v>0</v>
      </c>
      <c r="N511" s="111">
        <f t="shared" si="27"/>
        <v>0</v>
      </c>
      <c r="O511" s="111">
        <f t="shared" si="27"/>
        <v>0</v>
      </c>
      <c r="P511" s="111">
        <f t="shared" si="27"/>
        <v>0</v>
      </c>
      <c r="Q511" s="111">
        <f t="shared" si="27"/>
        <v>0</v>
      </c>
      <c r="R511" s="29"/>
      <c r="S511" s="100"/>
      <c r="T511" s="100"/>
      <c r="U511" s="100"/>
      <c r="V511" s="100"/>
      <c r="W511" s="100"/>
      <c r="X511" s="100"/>
      <c r="Y511" s="100"/>
      <c r="Z511" s="100"/>
      <c r="AA511" s="100"/>
      <c r="AB511" s="227"/>
      <c r="AC511" s="227"/>
      <c r="AD511" s="227"/>
      <c r="AE511" s="227"/>
      <c r="AF511" s="227"/>
      <c r="AG511" s="227"/>
      <c r="AH511" s="227"/>
      <c r="AI511" s="227"/>
      <c r="AJ511" s="227"/>
      <c r="AK511" s="227"/>
      <c r="AL511" s="227"/>
      <c r="AM511" s="227"/>
      <c r="AN511" s="227"/>
      <c r="AO511" s="227"/>
      <c r="AP511" s="227"/>
      <c r="AQ511" s="227"/>
      <c r="AR511" s="227"/>
      <c r="AS511" s="227"/>
      <c r="AT511" s="227"/>
      <c r="AU511" s="227"/>
      <c r="AV511" s="227"/>
      <c r="AW511" s="227"/>
      <c r="AX511" s="227"/>
      <c r="AY511" s="227"/>
      <c r="AZ511" s="227"/>
      <c r="BA511" s="227"/>
      <c r="BB511" s="227"/>
      <c r="BC511" s="227"/>
      <c r="BD511" s="100"/>
      <c r="BE511" s="100"/>
      <c r="BF511" s="100"/>
      <c r="BG511" s="100"/>
      <c r="BH511" s="100"/>
      <c r="BI511" s="100"/>
      <c r="BJ511" s="100"/>
      <c r="BK511" s="12"/>
      <c r="BL511" s="12"/>
    </row>
    <row r="512" spans="1:64" hidden="1" outlineLevel="1">
      <c r="A512" s="9"/>
      <c r="B512" s="9"/>
      <c r="C512" s="46"/>
      <c r="D512" s="129">
        <f>Asset11</f>
        <v>0</v>
      </c>
      <c r="E512" s="9"/>
      <c r="F512" s="9"/>
      <c r="G512" s="196">
        <f>'Adjustment for previous period'!G408</f>
        <v>0</v>
      </c>
      <c r="H512" s="111">
        <f t="shared" si="27"/>
        <v>0</v>
      </c>
      <c r="I512" s="111">
        <f t="shared" si="27"/>
        <v>0</v>
      </c>
      <c r="J512" s="111">
        <f t="shared" si="27"/>
        <v>0</v>
      </c>
      <c r="K512" s="111">
        <f t="shared" si="27"/>
        <v>0</v>
      </c>
      <c r="L512" s="111">
        <f t="shared" si="27"/>
        <v>0</v>
      </c>
      <c r="M512" s="111">
        <f t="shared" si="27"/>
        <v>0</v>
      </c>
      <c r="N512" s="111">
        <f t="shared" si="27"/>
        <v>0</v>
      </c>
      <c r="O512" s="111">
        <f t="shared" si="27"/>
        <v>0</v>
      </c>
      <c r="P512" s="111">
        <f t="shared" si="27"/>
        <v>0</v>
      </c>
      <c r="Q512" s="111">
        <f t="shared" si="27"/>
        <v>0</v>
      </c>
      <c r="R512" s="29"/>
      <c r="S512" s="100"/>
      <c r="T512" s="100"/>
      <c r="U512" s="100"/>
      <c r="V512" s="100"/>
      <c r="W512" s="100"/>
      <c r="X512" s="100"/>
      <c r="Y512" s="100"/>
      <c r="Z512" s="100"/>
      <c r="AA512" s="100"/>
      <c r="AB512" s="227"/>
      <c r="AC512" s="227"/>
      <c r="AD512" s="227"/>
      <c r="AE512" s="227"/>
      <c r="AF512" s="227"/>
      <c r="AG512" s="227"/>
      <c r="AH512" s="227"/>
      <c r="AI512" s="227"/>
      <c r="AJ512" s="227"/>
      <c r="AK512" s="227"/>
      <c r="AL512" s="227"/>
      <c r="AM512" s="227"/>
      <c r="AN512" s="227"/>
      <c r="AO512" s="227"/>
      <c r="AP512" s="227"/>
      <c r="AQ512" s="227"/>
      <c r="AR512" s="227"/>
      <c r="AS512" s="227"/>
      <c r="AT512" s="227"/>
      <c r="AU512" s="227"/>
      <c r="AV512" s="227"/>
      <c r="AW512" s="227"/>
      <c r="AX512" s="227"/>
      <c r="AY512" s="227"/>
      <c r="AZ512" s="227"/>
      <c r="BA512" s="227"/>
      <c r="BB512" s="227"/>
      <c r="BC512" s="227"/>
      <c r="BD512" s="100"/>
      <c r="BE512" s="100"/>
      <c r="BF512" s="100"/>
      <c r="BG512" s="100"/>
      <c r="BH512" s="100"/>
      <c r="BI512" s="100"/>
      <c r="BJ512" s="100"/>
      <c r="BK512" s="12"/>
      <c r="BL512" s="12"/>
    </row>
    <row r="513" spans="1:64" hidden="1" outlineLevel="1">
      <c r="A513" s="9"/>
      <c r="B513" s="9"/>
      <c r="C513" s="46"/>
      <c r="D513" s="129">
        <f>Asset12</f>
        <v>0</v>
      </c>
      <c r="E513" s="9"/>
      <c r="F513" s="9"/>
      <c r="G513" s="196">
        <f>'Adjustment for previous period'!G409</f>
        <v>0</v>
      </c>
      <c r="H513" s="111">
        <f t="shared" si="27"/>
        <v>0</v>
      </c>
      <c r="I513" s="111">
        <f t="shared" si="27"/>
        <v>0</v>
      </c>
      <c r="J513" s="111">
        <f t="shared" si="27"/>
        <v>0</v>
      </c>
      <c r="K513" s="111">
        <f t="shared" si="27"/>
        <v>0</v>
      </c>
      <c r="L513" s="111">
        <f t="shared" si="27"/>
        <v>0</v>
      </c>
      <c r="M513" s="111">
        <f t="shared" si="27"/>
        <v>0</v>
      </c>
      <c r="N513" s="111">
        <f t="shared" si="27"/>
        <v>0</v>
      </c>
      <c r="O513" s="111">
        <f t="shared" si="27"/>
        <v>0</v>
      </c>
      <c r="P513" s="111">
        <f t="shared" si="27"/>
        <v>0</v>
      </c>
      <c r="Q513" s="111">
        <f t="shared" si="27"/>
        <v>0</v>
      </c>
      <c r="R513" s="29"/>
      <c r="S513" s="100"/>
      <c r="T513" s="100"/>
      <c r="U513" s="100"/>
      <c r="V513" s="100"/>
      <c r="W513" s="100"/>
      <c r="X513" s="100"/>
      <c r="Y513" s="100"/>
      <c r="Z513" s="100"/>
      <c r="AA513" s="100"/>
      <c r="AB513" s="227"/>
      <c r="AC513" s="227"/>
      <c r="AD513" s="227"/>
      <c r="AE513" s="227"/>
      <c r="AF513" s="227"/>
      <c r="AG513" s="227"/>
      <c r="AH513" s="227"/>
      <c r="AI513" s="227"/>
      <c r="AJ513" s="227"/>
      <c r="AK513" s="227"/>
      <c r="AL513" s="227"/>
      <c r="AM513" s="227"/>
      <c r="AN513" s="227"/>
      <c r="AO513" s="227"/>
      <c r="AP513" s="227"/>
      <c r="AQ513" s="227"/>
      <c r="AR513" s="227"/>
      <c r="AS513" s="227"/>
      <c r="AT513" s="227"/>
      <c r="AU513" s="227"/>
      <c r="AV513" s="227"/>
      <c r="AW513" s="227"/>
      <c r="AX513" s="227"/>
      <c r="AY513" s="227"/>
      <c r="AZ513" s="227"/>
      <c r="BA513" s="227"/>
      <c r="BB513" s="227"/>
      <c r="BC513" s="227"/>
      <c r="BD513" s="100"/>
      <c r="BE513" s="100"/>
      <c r="BF513" s="100"/>
      <c r="BG513" s="100"/>
      <c r="BH513" s="100"/>
      <c r="BI513" s="100"/>
      <c r="BJ513" s="100"/>
      <c r="BK513" s="12"/>
      <c r="BL513" s="12"/>
    </row>
    <row r="514" spans="1:64" hidden="1" outlineLevel="1">
      <c r="A514" s="9"/>
      <c r="B514" s="9"/>
      <c r="C514" s="46"/>
      <c r="D514" s="129">
        <f>Asset13</f>
        <v>0</v>
      </c>
      <c r="E514" s="9"/>
      <c r="F514" s="9"/>
      <c r="G514" s="196">
        <f>'Adjustment for previous period'!G410</f>
        <v>0</v>
      </c>
      <c r="H514" s="111">
        <f t="shared" si="27"/>
        <v>0</v>
      </c>
      <c r="I514" s="111">
        <f t="shared" si="27"/>
        <v>0</v>
      </c>
      <c r="J514" s="111">
        <f t="shared" si="27"/>
        <v>0</v>
      </c>
      <c r="K514" s="111">
        <f t="shared" si="27"/>
        <v>0</v>
      </c>
      <c r="L514" s="111">
        <f t="shared" si="27"/>
        <v>0</v>
      </c>
      <c r="M514" s="111">
        <f t="shared" si="27"/>
        <v>0</v>
      </c>
      <c r="N514" s="111">
        <f t="shared" si="27"/>
        <v>0</v>
      </c>
      <c r="O514" s="111">
        <f t="shared" si="27"/>
        <v>0</v>
      </c>
      <c r="P514" s="111">
        <f t="shared" si="27"/>
        <v>0</v>
      </c>
      <c r="Q514" s="111">
        <f t="shared" si="27"/>
        <v>0</v>
      </c>
      <c r="R514" s="29"/>
      <c r="S514" s="100"/>
      <c r="T514" s="100"/>
      <c r="U514" s="100"/>
      <c r="V514" s="100"/>
      <c r="W514" s="100"/>
      <c r="X514" s="100"/>
      <c r="Y514" s="100"/>
      <c r="Z514" s="100"/>
      <c r="AA514" s="100"/>
      <c r="AB514" s="227"/>
      <c r="AC514" s="227"/>
      <c r="AD514" s="227"/>
      <c r="AE514" s="227"/>
      <c r="AF514" s="227"/>
      <c r="AG514" s="227"/>
      <c r="AH514" s="227"/>
      <c r="AI514" s="227"/>
      <c r="AJ514" s="227"/>
      <c r="AK514" s="227"/>
      <c r="AL514" s="227"/>
      <c r="AM514" s="227"/>
      <c r="AN514" s="227"/>
      <c r="AO514" s="227"/>
      <c r="AP514" s="227"/>
      <c r="AQ514" s="227"/>
      <c r="AR514" s="227"/>
      <c r="AS514" s="227"/>
      <c r="AT514" s="227"/>
      <c r="AU514" s="227"/>
      <c r="AV514" s="227"/>
      <c r="AW514" s="227"/>
      <c r="AX514" s="227"/>
      <c r="AY514" s="227"/>
      <c r="AZ514" s="227"/>
      <c r="BA514" s="227"/>
      <c r="BB514" s="227"/>
      <c r="BC514" s="227"/>
      <c r="BD514" s="100"/>
      <c r="BE514" s="100"/>
      <c r="BF514" s="100"/>
      <c r="BG514" s="100"/>
      <c r="BH514" s="100"/>
      <c r="BI514" s="100"/>
      <c r="BJ514" s="100"/>
      <c r="BK514" s="12"/>
      <c r="BL514" s="12"/>
    </row>
    <row r="515" spans="1:64" hidden="1" outlineLevel="1">
      <c r="A515" s="9"/>
      <c r="B515" s="9"/>
      <c r="C515" s="46"/>
      <c r="D515" s="129">
        <f>Asset14</f>
        <v>0</v>
      </c>
      <c r="E515" s="9"/>
      <c r="F515" s="9"/>
      <c r="G515" s="196">
        <f>'Adjustment for previous period'!G411</f>
        <v>0</v>
      </c>
      <c r="H515" s="111">
        <f t="shared" si="27"/>
        <v>0</v>
      </c>
      <c r="I515" s="111">
        <f t="shared" si="27"/>
        <v>0</v>
      </c>
      <c r="J515" s="111">
        <f t="shared" si="27"/>
        <v>0</v>
      </c>
      <c r="K515" s="111">
        <f t="shared" si="27"/>
        <v>0</v>
      </c>
      <c r="L515" s="111">
        <f t="shared" si="27"/>
        <v>0</v>
      </c>
      <c r="M515" s="111">
        <f t="shared" si="27"/>
        <v>0</v>
      </c>
      <c r="N515" s="111">
        <f t="shared" si="27"/>
        <v>0</v>
      </c>
      <c r="O515" s="111">
        <f t="shared" si="27"/>
        <v>0</v>
      </c>
      <c r="P515" s="111">
        <f t="shared" si="27"/>
        <v>0</v>
      </c>
      <c r="Q515" s="111">
        <f t="shared" si="27"/>
        <v>0</v>
      </c>
      <c r="R515" s="29"/>
      <c r="S515" s="100"/>
      <c r="T515" s="100"/>
      <c r="U515" s="100"/>
      <c r="V515" s="100"/>
      <c r="W515" s="100"/>
      <c r="X515" s="100"/>
      <c r="Y515" s="100"/>
      <c r="Z515" s="100"/>
      <c r="AA515" s="100"/>
      <c r="AB515" s="227"/>
      <c r="AC515" s="227"/>
      <c r="AD515" s="227"/>
      <c r="AE515" s="227"/>
      <c r="AF515" s="227"/>
      <c r="AG515" s="227"/>
      <c r="AH515" s="227"/>
      <c r="AI515" s="227"/>
      <c r="AJ515" s="227"/>
      <c r="AK515" s="227"/>
      <c r="AL515" s="227"/>
      <c r="AM515" s="227"/>
      <c r="AN515" s="227"/>
      <c r="AO515" s="227"/>
      <c r="AP515" s="227"/>
      <c r="AQ515" s="227"/>
      <c r="AR515" s="227"/>
      <c r="AS515" s="227"/>
      <c r="AT515" s="227"/>
      <c r="AU515" s="227"/>
      <c r="AV515" s="227"/>
      <c r="AW515" s="227"/>
      <c r="AX515" s="227"/>
      <c r="AY515" s="227"/>
      <c r="AZ515" s="227"/>
      <c r="BA515" s="227"/>
      <c r="BB515" s="227"/>
      <c r="BC515" s="227"/>
      <c r="BD515" s="100"/>
      <c r="BE515" s="100"/>
      <c r="BF515" s="100"/>
      <c r="BG515" s="100"/>
      <c r="BH515" s="100"/>
      <c r="BI515" s="100"/>
      <c r="BJ515" s="100"/>
      <c r="BK515" s="12"/>
      <c r="BL515" s="12"/>
    </row>
    <row r="516" spans="1:64" hidden="1" outlineLevel="1">
      <c r="A516" s="9"/>
      <c r="B516" s="9"/>
      <c r="C516" s="46"/>
      <c r="D516" s="129">
        <f>Asset15</f>
        <v>0</v>
      </c>
      <c r="E516" s="9"/>
      <c r="F516" s="9"/>
      <c r="G516" s="196">
        <f>'Adjustment for previous period'!G412</f>
        <v>0</v>
      </c>
      <c r="H516" s="111">
        <f t="shared" si="27"/>
        <v>0</v>
      </c>
      <c r="I516" s="111">
        <f t="shared" si="27"/>
        <v>0</v>
      </c>
      <c r="J516" s="111">
        <f t="shared" si="27"/>
        <v>0</v>
      </c>
      <c r="K516" s="111">
        <f t="shared" si="27"/>
        <v>0</v>
      </c>
      <c r="L516" s="111">
        <f t="shared" si="27"/>
        <v>0</v>
      </c>
      <c r="M516" s="111">
        <f t="shared" si="27"/>
        <v>0</v>
      </c>
      <c r="N516" s="111">
        <f t="shared" si="27"/>
        <v>0</v>
      </c>
      <c r="O516" s="111">
        <f t="shared" si="27"/>
        <v>0</v>
      </c>
      <c r="P516" s="111">
        <f t="shared" si="27"/>
        <v>0</v>
      </c>
      <c r="Q516" s="111">
        <f t="shared" si="27"/>
        <v>0</v>
      </c>
      <c r="R516" s="29"/>
      <c r="S516" s="100"/>
      <c r="T516" s="100"/>
      <c r="U516" s="100"/>
      <c r="V516" s="100"/>
      <c r="W516" s="100"/>
      <c r="X516" s="100"/>
      <c r="Y516" s="100"/>
      <c r="Z516" s="100"/>
      <c r="AA516" s="100"/>
      <c r="AB516" s="227"/>
      <c r="AC516" s="227"/>
      <c r="AD516" s="227"/>
      <c r="AE516" s="227"/>
      <c r="AF516" s="227"/>
      <c r="AG516" s="227"/>
      <c r="AH516" s="227"/>
      <c r="AI516" s="227"/>
      <c r="AJ516" s="227"/>
      <c r="AK516" s="227"/>
      <c r="AL516" s="227"/>
      <c r="AM516" s="227"/>
      <c r="AN516" s="227"/>
      <c r="AO516" s="227"/>
      <c r="AP516" s="227"/>
      <c r="AQ516" s="227"/>
      <c r="AR516" s="227"/>
      <c r="AS516" s="227"/>
      <c r="AT516" s="227"/>
      <c r="AU516" s="227"/>
      <c r="AV516" s="227"/>
      <c r="AW516" s="227"/>
      <c r="AX516" s="227"/>
      <c r="AY516" s="227"/>
      <c r="AZ516" s="227"/>
      <c r="BA516" s="227"/>
      <c r="BB516" s="227"/>
      <c r="BC516" s="227"/>
      <c r="BD516" s="100"/>
      <c r="BE516" s="100"/>
      <c r="BF516" s="100"/>
      <c r="BG516" s="100"/>
      <c r="BH516" s="100"/>
      <c r="BI516" s="100"/>
      <c r="BJ516" s="100"/>
      <c r="BK516" s="12"/>
      <c r="BL516" s="12"/>
    </row>
    <row r="517" spans="1:64" hidden="1" outlineLevel="1">
      <c r="A517" s="9"/>
      <c r="B517" s="9"/>
      <c r="C517" s="46"/>
      <c r="D517" s="129">
        <f>Asset16</f>
        <v>0</v>
      </c>
      <c r="E517" s="9"/>
      <c r="F517" s="9"/>
      <c r="G517" s="196">
        <f>'Adjustment for previous period'!G413</f>
        <v>0</v>
      </c>
      <c r="H517" s="111">
        <f t="shared" si="27"/>
        <v>0</v>
      </c>
      <c r="I517" s="111">
        <f t="shared" si="27"/>
        <v>0</v>
      </c>
      <c r="J517" s="111">
        <f t="shared" si="27"/>
        <v>0</v>
      </c>
      <c r="K517" s="111">
        <f t="shared" si="27"/>
        <v>0</v>
      </c>
      <c r="L517" s="111">
        <f t="shared" si="27"/>
        <v>0</v>
      </c>
      <c r="M517" s="111">
        <f t="shared" si="27"/>
        <v>0</v>
      </c>
      <c r="N517" s="111">
        <f t="shared" si="27"/>
        <v>0</v>
      </c>
      <c r="O517" s="111">
        <f t="shared" si="27"/>
        <v>0</v>
      </c>
      <c r="P517" s="111">
        <f t="shared" si="27"/>
        <v>0</v>
      </c>
      <c r="Q517" s="111">
        <f t="shared" si="27"/>
        <v>0</v>
      </c>
      <c r="R517" s="29"/>
      <c r="S517" s="100"/>
      <c r="T517" s="100"/>
      <c r="U517" s="100"/>
      <c r="V517" s="100"/>
      <c r="W517" s="100"/>
      <c r="X517" s="100"/>
      <c r="Y517" s="100"/>
      <c r="Z517" s="100"/>
      <c r="AA517" s="100"/>
      <c r="AB517" s="227"/>
      <c r="AC517" s="227"/>
      <c r="AD517" s="227"/>
      <c r="AE517" s="227"/>
      <c r="AF517" s="227"/>
      <c r="AG517" s="227"/>
      <c r="AH517" s="227"/>
      <c r="AI517" s="227"/>
      <c r="AJ517" s="227"/>
      <c r="AK517" s="227"/>
      <c r="AL517" s="227"/>
      <c r="AM517" s="227"/>
      <c r="AN517" s="227"/>
      <c r="AO517" s="227"/>
      <c r="AP517" s="227"/>
      <c r="AQ517" s="227"/>
      <c r="AR517" s="227"/>
      <c r="AS517" s="227"/>
      <c r="AT517" s="227"/>
      <c r="AU517" s="227"/>
      <c r="AV517" s="227"/>
      <c r="AW517" s="227"/>
      <c r="AX517" s="227"/>
      <c r="AY517" s="227"/>
      <c r="AZ517" s="227"/>
      <c r="BA517" s="227"/>
      <c r="BB517" s="227"/>
      <c r="BC517" s="227"/>
      <c r="BD517" s="100"/>
      <c r="BE517" s="100"/>
      <c r="BF517" s="100"/>
      <c r="BG517" s="100"/>
      <c r="BH517" s="100"/>
      <c r="BI517" s="100"/>
      <c r="BJ517" s="100"/>
      <c r="BK517" s="12"/>
      <c r="BL517" s="12"/>
    </row>
    <row r="518" spans="1:64" hidden="1" outlineLevel="1">
      <c r="A518" s="9"/>
      <c r="B518" s="9"/>
      <c r="C518" s="46"/>
      <c r="D518" s="129">
        <f>Asset17</f>
        <v>0</v>
      </c>
      <c r="E518" s="9"/>
      <c r="F518" s="9"/>
      <c r="G518" s="196">
        <f>'Adjustment for previous period'!G414</f>
        <v>0</v>
      </c>
      <c r="H518" s="111">
        <f t="shared" si="27"/>
        <v>0</v>
      </c>
      <c r="I518" s="111">
        <f t="shared" si="27"/>
        <v>0</v>
      </c>
      <c r="J518" s="111">
        <f t="shared" si="27"/>
        <v>0</v>
      </c>
      <c r="K518" s="111">
        <f t="shared" si="27"/>
        <v>0</v>
      </c>
      <c r="L518" s="111">
        <f t="shared" si="27"/>
        <v>0</v>
      </c>
      <c r="M518" s="111">
        <f t="shared" si="27"/>
        <v>0</v>
      </c>
      <c r="N518" s="111">
        <f t="shared" si="27"/>
        <v>0</v>
      </c>
      <c r="O518" s="111">
        <f t="shared" si="27"/>
        <v>0</v>
      </c>
      <c r="P518" s="111">
        <f t="shared" si="27"/>
        <v>0</v>
      </c>
      <c r="Q518" s="111">
        <f t="shared" si="27"/>
        <v>0</v>
      </c>
      <c r="R518" s="29"/>
      <c r="S518" s="100"/>
      <c r="T518" s="100"/>
      <c r="U518" s="100"/>
      <c r="V518" s="100"/>
      <c r="W518" s="100"/>
      <c r="X518" s="100"/>
      <c r="Y518" s="100"/>
      <c r="Z518" s="100"/>
      <c r="AA518" s="100"/>
      <c r="AB518" s="227"/>
      <c r="AC518" s="227"/>
      <c r="AD518" s="227"/>
      <c r="AE518" s="227"/>
      <c r="AF518" s="227"/>
      <c r="AG518" s="227"/>
      <c r="AH518" s="227"/>
      <c r="AI518" s="227"/>
      <c r="AJ518" s="227"/>
      <c r="AK518" s="227"/>
      <c r="AL518" s="227"/>
      <c r="AM518" s="227"/>
      <c r="AN518" s="227"/>
      <c r="AO518" s="227"/>
      <c r="AP518" s="227"/>
      <c r="AQ518" s="227"/>
      <c r="AR518" s="227"/>
      <c r="AS518" s="227"/>
      <c r="AT518" s="227"/>
      <c r="AU518" s="227"/>
      <c r="AV518" s="227"/>
      <c r="AW518" s="227"/>
      <c r="AX518" s="227"/>
      <c r="AY518" s="227"/>
      <c r="AZ518" s="227"/>
      <c r="BA518" s="227"/>
      <c r="BB518" s="227"/>
      <c r="BC518" s="227"/>
      <c r="BD518" s="100"/>
      <c r="BE518" s="100"/>
      <c r="BF518" s="100"/>
      <c r="BG518" s="100"/>
      <c r="BH518" s="100"/>
      <c r="BI518" s="100"/>
      <c r="BJ518" s="100"/>
      <c r="BK518" s="12"/>
      <c r="BL518" s="12"/>
    </row>
    <row r="519" spans="1:64" hidden="1" outlineLevel="1">
      <c r="A519" s="9"/>
      <c r="B519" s="9"/>
      <c r="C519" s="46"/>
      <c r="D519" s="129">
        <f>Asset18</f>
        <v>0</v>
      </c>
      <c r="E519" s="9"/>
      <c r="F519" s="9"/>
      <c r="G519" s="196">
        <f>'Adjustment for previous period'!G415</f>
        <v>0</v>
      </c>
      <c r="H519" s="111">
        <f t="shared" si="27"/>
        <v>0</v>
      </c>
      <c r="I519" s="111">
        <f t="shared" si="27"/>
        <v>0</v>
      </c>
      <c r="J519" s="111">
        <f t="shared" si="27"/>
        <v>0</v>
      </c>
      <c r="K519" s="111">
        <f t="shared" si="27"/>
        <v>0</v>
      </c>
      <c r="L519" s="111">
        <f t="shared" si="27"/>
        <v>0</v>
      </c>
      <c r="M519" s="111">
        <f t="shared" si="27"/>
        <v>0</v>
      </c>
      <c r="N519" s="111">
        <f t="shared" si="27"/>
        <v>0</v>
      </c>
      <c r="O519" s="111">
        <f t="shared" si="27"/>
        <v>0</v>
      </c>
      <c r="P519" s="111">
        <f t="shared" si="27"/>
        <v>0</v>
      </c>
      <c r="Q519" s="111">
        <f t="shared" si="27"/>
        <v>0</v>
      </c>
      <c r="R519" s="29"/>
      <c r="S519" s="100"/>
      <c r="T519" s="100"/>
      <c r="U519" s="100"/>
      <c r="V519" s="100"/>
      <c r="W519" s="100"/>
      <c r="X519" s="100"/>
      <c r="Y519" s="100"/>
      <c r="Z519" s="100"/>
      <c r="AA519" s="100"/>
      <c r="AB519" s="227"/>
      <c r="AC519" s="227"/>
      <c r="AD519" s="227"/>
      <c r="AE519" s="227"/>
      <c r="AF519" s="227"/>
      <c r="AG519" s="227"/>
      <c r="AH519" s="227"/>
      <c r="AI519" s="227"/>
      <c r="AJ519" s="227"/>
      <c r="AK519" s="227"/>
      <c r="AL519" s="227"/>
      <c r="AM519" s="227"/>
      <c r="AN519" s="227"/>
      <c r="AO519" s="227"/>
      <c r="AP519" s="227"/>
      <c r="AQ519" s="227"/>
      <c r="AR519" s="227"/>
      <c r="AS519" s="227"/>
      <c r="AT519" s="227"/>
      <c r="AU519" s="227"/>
      <c r="AV519" s="227"/>
      <c r="AW519" s="227"/>
      <c r="AX519" s="227"/>
      <c r="AY519" s="227"/>
      <c r="AZ519" s="227"/>
      <c r="BA519" s="227"/>
      <c r="BB519" s="227"/>
      <c r="BC519" s="227"/>
      <c r="BD519" s="100"/>
      <c r="BE519" s="100"/>
      <c r="BF519" s="100"/>
      <c r="BG519" s="100"/>
      <c r="BH519" s="100"/>
      <c r="BI519" s="100"/>
      <c r="BJ519" s="100"/>
      <c r="BK519" s="12"/>
      <c r="BL519" s="12"/>
    </row>
    <row r="520" spans="1:64" hidden="1" outlineLevel="1">
      <c r="A520" s="9"/>
      <c r="B520" s="9"/>
      <c r="C520" s="46"/>
      <c r="D520" s="129">
        <f>Asset19</f>
        <v>0</v>
      </c>
      <c r="E520" s="9"/>
      <c r="F520" s="9"/>
      <c r="G520" s="196">
        <f>'Adjustment for previous period'!G416</f>
        <v>0</v>
      </c>
      <c r="H520" s="111">
        <f t="shared" si="27"/>
        <v>0</v>
      </c>
      <c r="I520" s="111">
        <f t="shared" si="27"/>
        <v>0</v>
      </c>
      <c r="J520" s="111">
        <f t="shared" si="27"/>
        <v>0</v>
      </c>
      <c r="K520" s="111">
        <f t="shared" si="27"/>
        <v>0</v>
      </c>
      <c r="L520" s="111">
        <f t="shared" si="27"/>
        <v>0</v>
      </c>
      <c r="M520" s="111">
        <f t="shared" si="27"/>
        <v>0</v>
      </c>
      <c r="N520" s="111">
        <f t="shared" si="27"/>
        <v>0</v>
      </c>
      <c r="O520" s="111">
        <f t="shared" si="27"/>
        <v>0</v>
      </c>
      <c r="P520" s="111">
        <f t="shared" si="27"/>
        <v>0</v>
      </c>
      <c r="Q520" s="111">
        <f t="shared" si="27"/>
        <v>0</v>
      </c>
      <c r="R520" s="29"/>
      <c r="S520" s="100"/>
      <c r="T520" s="100"/>
      <c r="U520" s="100"/>
      <c r="V520" s="100"/>
      <c r="W520" s="100"/>
      <c r="X520" s="100"/>
      <c r="Y520" s="100"/>
      <c r="Z520" s="100"/>
      <c r="AA520" s="100"/>
      <c r="AB520" s="227"/>
      <c r="AC520" s="227"/>
      <c r="AD520" s="227"/>
      <c r="AE520" s="227"/>
      <c r="AF520" s="227"/>
      <c r="AG520" s="227"/>
      <c r="AH520" s="227"/>
      <c r="AI520" s="227"/>
      <c r="AJ520" s="227"/>
      <c r="AK520" s="227"/>
      <c r="AL520" s="227"/>
      <c r="AM520" s="227"/>
      <c r="AN520" s="227"/>
      <c r="AO520" s="227"/>
      <c r="AP520" s="227"/>
      <c r="AQ520" s="227"/>
      <c r="AR520" s="227"/>
      <c r="AS520" s="227"/>
      <c r="AT520" s="227"/>
      <c r="AU520" s="227"/>
      <c r="AV520" s="227"/>
      <c r="AW520" s="227"/>
      <c r="AX520" s="227"/>
      <c r="AY520" s="227"/>
      <c r="AZ520" s="227"/>
      <c r="BA520" s="227"/>
      <c r="BB520" s="227"/>
      <c r="BC520" s="227"/>
      <c r="BD520" s="100"/>
      <c r="BE520" s="100"/>
      <c r="BF520" s="100"/>
      <c r="BG520" s="100"/>
      <c r="BH520" s="100"/>
      <c r="BI520" s="100"/>
      <c r="BJ520" s="100"/>
      <c r="BK520" s="12"/>
      <c r="BL520" s="12"/>
    </row>
    <row r="521" spans="1:64" hidden="1" outlineLevel="1">
      <c r="A521" s="9"/>
      <c r="B521" s="9"/>
      <c r="C521" s="46"/>
      <c r="D521" s="129">
        <f>Asset20</f>
        <v>0</v>
      </c>
      <c r="E521" s="9"/>
      <c r="F521" s="9"/>
      <c r="G521" s="196">
        <f>'Adjustment for previous period'!G417</f>
        <v>0</v>
      </c>
      <c r="H521" s="111">
        <f t="shared" si="27"/>
        <v>0</v>
      </c>
      <c r="I521" s="111">
        <f t="shared" si="27"/>
        <v>0</v>
      </c>
      <c r="J521" s="111">
        <f t="shared" si="27"/>
        <v>0</v>
      </c>
      <c r="K521" s="111">
        <f t="shared" si="27"/>
        <v>0</v>
      </c>
      <c r="L521" s="111">
        <f t="shared" si="27"/>
        <v>0</v>
      </c>
      <c r="M521" s="111">
        <f t="shared" si="27"/>
        <v>0</v>
      </c>
      <c r="N521" s="111">
        <f t="shared" si="27"/>
        <v>0</v>
      </c>
      <c r="O521" s="111">
        <f t="shared" si="27"/>
        <v>0</v>
      </c>
      <c r="P521" s="111">
        <f t="shared" si="27"/>
        <v>0</v>
      </c>
      <c r="Q521" s="111">
        <f t="shared" si="27"/>
        <v>0</v>
      </c>
      <c r="R521" s="29"/>
      <c r="S521" s="100"/>
      <c r="T521" s="100"/>
      <c r="U521" s="100"/>
      <c r="V521" s="100"/>
      <c r="W521" s="100"/>
      <c r="X521" s="100"/>
      <c r="Y521" s="100"/>
      <c r="Z521" s="100"/>
      <c r="AA521" s="100"/>
      <c r="AB521" s="227"/>
      <c r="AC521" s="227"/>
      <c r="AD521" s="227"/>
      <c r="AE521" s="227"/>
      <c r="AF521" s="227"/>
      <c r="AG521" s="227"/>
      <c r="AH521" s="227"/>
      <c r="AI521" s="227"/>
      <c r="AJ521" s="227"/>
      <c r="AK521" s="227"/>
      <c r="AL521" s="227"/>
      <c r="AM521" s="227"/>
      <c r="AN521" s="227"/>
      <c r="AO521" s="227"/>
      <c r="AP521" s="227"/>
      <c r="AQ521" s="227"/>
      <c r="AR521" s="227"/>
      <c r="AS521" s="227"/>
      <c r="AT521" s="227"/>
      <c r="AU521" s="227"/>
      <c r="AV521" s="227"/>
      <c r="AW521" s="227"/>
      <c r="AX521" s="227"/>
      <c r="AY521" s="227"/>
      <c r="AZ521" s="227"/>
      <c r="BA521" s="227"/>
      <c r="BB521" s="227"/>
      <c r="BC521" s="227"/>
      <c r="BD521" s="100"/>
      <c r="BE521" s="100"/>
      <c r="BF521" s="100"/>
      <c r="BG521" s="100"/>
      <c r="BH521" s="100"/>
      <c r="BI521" s="100"/>
      <c r="BJ521" s="100"/>
      <c r="BK521" s="12"/>
      <c r="BL521" s="12"/>
    </row>
    <row r="522" spans="1:64" hidden="1" outlineLevel="1">
      <c r="A522" s="9"/>
      <c r="B522" s="9"/>
      <c r="C522" s="46"/>
      <c r="D522" s="129">
        <f>Asset21</f>
        <v>0</v>
      </c>
      <c r="E522" s="9"/>
      <c r="F522" s="9"/>
      <c r="G522" s="196">
        <f>'Adjustment for previous period'!G418</f>
        <v>0</v>
      </c>
      <c r="H522" s="111">
        <f t="shared" si="27"/>
        <v>0</v>
      </c>
      <c r="I522" s="111">
        <f t="shared" si="27"/>
        <v>0</v>
      </c>
      <c r="J522" s="111">
        <f t="shared" si="27"/>
        <v>0</v>
      </c>
      <c r="K522" s="111">
        <f t="shared" si="27"/>
        <v>0</v>
      </c>
      <c r="L522" s="111">
        <f t="shared" si="27"/>
        <v>0</v>
      </c>
      <c r="M522" s="111">
        <f t="shared" si="27"/>
        <v>0</v>
      </c>
      <c r="N522" s="111">
        <f t="shared" si="27"/>
        <v>0</v>
      </c>
      <c r="O522" s="111">
        <f t="shared" si="27"/>
        <v>0</v>
      </c>
      <c r="P522" s="111">
        <f t="shared" si="27"/>
        <v>0</v>
      </c>
      <c r="Q522" s="111">
        <f t="shared" si="27"/>
        <v>0</v>
      </c>
      <c r="R522" s="29"/>
      <c r="S522" s="100"/>
      <c r="T522" s="100"/>
      <c r="U522" s="100"/>
      <c r="V522" s="100"/>
      <c r="W522" s="100"/>
      <c r="X522" s="100"/>
      <c r="Y522" s="100"/>
      <c r="Z522" s="100"/>
      <c r="AA522" s="100"/>
      <c r="AB522" s="227"/>
      <c r="AC522" s="227"/>
      <c r="AD522" s="227"/>
      <c r="AE522" s="227"/>
      <c r="AF522" s="227"/>
      <c r="AG522" s="227"/>
      <c r="AH522" s="227"/>
      <c r="AI522" s="227"/>
      <c r="AJ522" s="227"/>
      <c r="AK522" s="227"/>
      <c r="AL522" s="227"/>
      <c r="AM522" s="227"/>
      <c r="AN522" s="227"/>
      <c r="AO522" s="227"/>
      <c r="AP522" s="227"/>
      <c r="AQ522" s="227"/>
      <c r="AR522" s="227"/>
      <c r="AS522" s="227"/>
      <c r="AT522" s="227"/>
      <c r="AU522" s="227"/>
      <c r="AV522" s="227"/>
      <c r="AW522" s="227"/>
      <c r="AX522" s="227"/>
      <c r="AY522" s="227"/>
      <c r="AZ522" s="227"/>
      <c r="BA522" s="227"/>
      <c r="BB522" s="227"/>
      <c r="BC522" s="227"/>
      <c r="BD522" s="100"/>
      <c r="BE522" s="100"/>
      <c r="BF522" s="100"/>
      <c r="BG522" s="100"/>
      <c r="BH522" s="100"/>
      <c r="BI522" s="100"/>
      <c r="BJ522" s="100"/>
      <c r="BK522" s="12"/>
      <c r="BL522" s="12"/>
    </row>
    <row r="523" spans="1:64" hidden="1" outlineLevel="1">
      <c r="A523" s="9"/>
      <c r="B523" s="9"/>
      <c r="C523" s="46"/>
      <c r="D523" s="129">
        <f>Asset22</f>
        <v>0</v>
      </c>
      <c r="E523" s="9"/>
      <c r="F523" s="9"/>
      <c r="G523" s="196">
        <f>'Adjustment for previous period'!G419</f>
        <v>0</v>
      </c>
      <c r="H523" s="111">
        <f t="shared" si="27"/>
        <v>0</v>
      </c>
      <c r="I523" s="111">
        <f t="shared" si="27"/>
        <v>0</v>
      </c>
      <c r="J523" s="111">
        <f t="shared" si="27"/>
        <v>0</v>
      </c>
      <c r="K523" s="111">
        <f t="shared" si="27"/>
        <v>0</v>
      </c>
      <c r="L523" s="111">
        <f t="shared" si="27"/>
        <v>0</v>
      </c>
      <c r="M523" s="111">
        <f t="shared" si="27"/>
        <v>0</v>
      </c>
      <c r="N523" s="111">
        <f t="shared" si="27"/>
        <v>0</v>
      </c>
      <c r="O523" s="111">
        <f t="shared" si="27"/>
        <v>0</v>
      </c>
      <c r="P523" s="111">
        <f t="shared" si="27"/>
        <v>0</v>
      </c>
      <c r="Q523" s="111">
        <f t="shared" si="27"/>
        <v>0</v>
      </c>
      <c r="R523" s="29"/>
      <c r="S523" s="100"/>
      <c r="T523" s="100"/>
      <c r="U523" s="100"/>
      <c r="V523" s="100"/>
      <c r="W523" s="100"/>
      <c r="X523" s="100"/>
      <c r="Y523" s="100"/>
      <c r="Z523" s="100"/>
      <c r="AA523" s="100"/>
      <c r="AB523" s="227"/>
      <c r="AC523" s="227"/>
      <c r="AD523" s="227"/>
      <c r="AE523" s="227"/>
      <c r="AF523" s="227"/>
      <c r="AG523" s="227"/>
      <c r="AH523" s="227"/>
      <c r="AI523" s="227"/>
      <c r="AJ523" s="227"/>
      <c r="AK523" s="227"/>
      <c r="AL523" s="227"/>
      <c r="AM523" s="227"/>
      <c r="AN523" s="227"/>
      <c r="AO523" s="227"/>
      <c r="AP523" s="227"/>
      <c r="AQ523" s="227"/>
      <c r="AR523" s="227"/>
      <c r="AS523" s="227"/>
      <c r="AT523" s="227"/>
      <c r="AU523" s="227"/>
      <c r="AV523" s="227"/>
      <c r="AW523" s="227"/>
      <c r="AX523" s="227"/>
      <c r="AY523" s="227"/>
      <c r="AZ523" s="227"/>
      <c r="BA523" s="227"/>
      <c r="BB523" s="227"/>
      <c r="BC523" s="227"/>
      <c r="BD523" s="100"/>
      <c r="BE523" s="100"/>
      <c r="BF523" s="100"/>
      <c r="BG523" s="100"/>
      <c r="BH523" s="100"/>
      <c r="BI523" s="100"/>
      <c r="BJ523" s="100"/>
      <c r="BK523" s="12"/>
      <c r="BL523" s="12"/>
    </row>
    <row r="524" spans="1:64" hidden="1" outlineLevel="1">
      <c r="A524" s="9"/>
      <c r="B524" s="9"/>
      <c r="C524" s="46"/>
      <c r="D524" s="129">
        <f>Asset23</f>
        <v>0</v>
      </c>
      <c r="E524" s="9"/>
      <c r="F524" s="9"/>
      <c r="G524" s="196">
        <f>'Adjustment for previous period'!G420</f>
        <v>0</v>
      </c>
      <c r="H524" s="111">
        <f t="shared" si="27"/>
        <v>0</v>
      </c>
      <c r="I524" s="111">
        <f t="shared" si="27"/>
        <v>0</v>
      </c>
      <c r="J524" s="111">
        <f t="shared" si="27"/>
        <v>0</v>
      </c>
      <c r="K524" s="111">
        <f t="shared" si="27"/>
        <v>0</v>
      </c>
      <c r="L524" s="111">
        <f t="shared" si="27"/>
        <v>0</v>
      </c>
      <c r="M524" s="111">
        <f t="shared" si="27"/>
        <v>0</v>
      </c>
      <c r="N524" s="111">
        <f t="shared" si="27"/>
        <v>0</v>
      </c>
      <c r="O524" s="111">
        <f t="shared" si="27"/>
        <v>0</v>
      </c>
      <c r="P524" s="111">
        <f t="shared" si="27"/>
        <v>0</v>
      </c>
      <c r="Q524" s="111">
        <f t="shared" si="27"/>
        <v>0</v>
      </c>
      <c r="R524" s="29"/>
      <c r="S524" s="100"/>
      <c r="T524" s="100"/>
      <c r="U524" s="100"/>
      <c r="V524" s="100"/>
      <c r="W524" s="100"/>
      <c r="X524" s="100"/>
      <c r="Y524" s="100"/>
      <c r="Z524" s="100"/>
      <c r="AA524" s="100"/>
      <c r="AB524" s="227"/>
      <c r="AC524" s="227"/>
      <c r="AD524" s="227"/>
      <c r="AE524" s="227"/>
      <c r="AF524" s="227"/>
      <c r="AG524" s="227"/>
      <c r="AH524" s="227"/>
      <c r="AI524" s="227"/>
      <c r="AJ524" s="227"/>
      <c r="AK524" s="227"/>
      <c r="AL524" s="227"/>
      <c r="AM524" s="227"/>
      <c r="AN524" s="227"/>
      <c r="AO524" s="227"/>
      <c r="AP524" s="227"/>
      <c r="AQ524" s="227"/>
      <c r="AR524" s="227"/>
      <c r="AS524" s="227"/>
      <c r="AT524" s="227"/>
      <c r="AU524" s="227"/>
      <c r="AV524" s="227"/>
      <c r="AW524" s="227"/>
      <c r="AX524" s="227"/>
      <c r="AY524" s="227"/>
      <c r="AZ524" s="227"/>
      <c r="BA524" s="227"/>
      <c r="BB524" s="227"/>
      <c r="BC524" s="227"/>
      <c r="BD524" s="100"/>
      <c r="BE524" s="100"/>
      <c r="BF524" s="100"/>
      <c r="BG524" s="100"/>
      <c r="BH524" s="100"/>
      <c r="BI524" s="100"/>
      <c r="BJ524" s="100"/>
      <c r="BK524" s="12"/>
      <c r="BL524" s="12"/>
    </row>
    <row r="525" spans="1:64" hidden="1" outlineLevel="1">
      <c r="A525" s="9"/>
      <c r="B525" s="9"/>
      <c r="C525" s="46"/>
      <c r="D525" s="129">
        <f>Asset24</f>
        <v>0</v>
      </c>
      <c r="E525" s="9"/>
      <c r="F525" s="9"/>
      <c r="G525" s="196">
        <f>'Adjustment for previous period'!G421</f>
        <v>0</v>
      </c>
      <c r="H525" s="111">
        <f t="shared" si="27"/>
        <v>0</v>
      </c>
      <c r="I525" s="111">
        <f t="shared" si="27"/>
        <v>0</v>
      </c>
      <c r="J525" s="111">
        <f t="shared" si="27"/>
        <v>0</v>
      </c>
      <c r="K525" s="111">
        <f t="shared" si="27"/>
        <v>0</v>
      </c>
      <c r="L525" s="111">
        <f t="shared" si="27"/>
        <v>0</v>
      </c>
      <c r="M525" s="111">
        <f t="shared" si="27"/>
        <v>0</v>
      </c>
      <c r="N525" s="111">
        <f t="shared" si="27"/>
        <v>0</v>
      </c>
      <c r="O525" s="111">
        <f t="shared" si="27"/>
        <v>0</v>
      </c>
      <c r="P525" s="111">
        <f t="shared" si="27"/>
        <v>0</v>
      </c>
      <c r="Q525" s="111">
        <f t="shared" si="27"/>
        <v>0</v>
      </c>
      <c r="R525" s="29"/>
      <c r="S525" s="100"/>
      <c r="T525" s="100"/>
      <c r="U525" s="100"/>
      <c r="V525" s="100"/>
      <c r="W525" s="100"/>
      <c r="X525" s="100"/>
      <c r="Y525" s="100"/>
      <c r="Z525" s="100"/>
      <c r="AA525" s="100"/>
      <c r="AB525" s="227"/>
      <c r="AC525" s="227"/>
      <c r="AD525" s="227"/>
      <c r="AE525" s="227"/>
      <c r="AF525" s="227"/>
      <c r="AG525" s="227"/>
      <c r="AH525" s="227"/>
      <c r="AI525" s="227"/>
      <c r="AJ525" s="227"/>
      <c r="AK525" s="227"/>
      <c r="AL525" s="227"/>
      <c r="AM525" s="227"/>
      <c r="AN525" s="227"/>
      <c r="AO525" s="227"/>
      <c r="AP525" s="227"/>
      <c r="AQ525" s="227"/>
      <c r="AR525" s="227"/>
      <c r="AS525" s="227"/>
      <c r="AT525" s="227"/>
      <c r="AU525" s="227"/>
      <c r="AV525" s="227"/>
      <c r="AW525" s="227"/>
      <c r="AX525" s="227"/>
      <c r="AY525" s="227"/>
      <c r="AZ525" s="227"/>
      <c r="BA525" s="227"/>
      <c r="BB525" s="227"/>
      <c r="BC525" s="227"/>
      <c r="BD525" s="100"/>
      <c r="BE525" s="100"/>
      <c r="BF525" s="100"/>
      <c r="BG525" s="100"/>
      <c r="BH525" s="100"/>
      <c r="BI525" s="100"/>
      <c r="BJ525" s="100"/>
      <c r="BK525" s="12"/>
      <c r="BL525" s="12"/>
    </row>
    <row r="526" spans="1:64" hidden="1" outlineLevel="1">
      <c r="A526" s="9"/>
      <c r="B526" s="9"/>
      <c r="C526" s="46"/>
      <c r="D526" s="129">
        <f>Asset25</f>
        <v>0</v>
      </c>
      <c r="E526" s="9"/>
      <c r="F526" s="9"/>
      <c r="G526" s="196">
        <f>'Adjustment for previous period'!G422</f>
        <v>0</v>
      </c>
      <c r="H526" s="111">
        <f t="shared" si="27"/>
        <v>0</v>
      </c>
      <c r="I526" s="111">
        <f t="shared" si="27"/>
        <v>0</v>
      </c>
      <c r="J526" s="111">
        <f t="shared" si="27"/>
        <v>0</v>
      </c>
      <c r="K526" s="111">
        <f t="shared" si="27"/>
        <v>0</v>
      </c>
      <c r="L526" s="111">
        <f t="shared" si="27"/>
        <v>0</v>
      </c>
      <c r="M526" s="111">
        <f t="shared" si="27"/>
        <v>0</v>
      </c>
      <c r="N526" s="111">
        <f t="shared" si="27"/>
        <v>0</v>
      </c>
      <c r="O526" s="111">
        <f t="shared" si="27"/>
        <v>0</v>
      </c>
      <c r="P526" s="111">
        <f t="shared" si="27"/>
        <v>0</v>
      </c>
      <c r="Q526" s="111">
        <f t="shared" si="27"/>
        <v>0</v>
      </c>
      <c r="R526" s="29"/>
      <c r="S526" s="100"/>
      <c r="T526" s="100"/>
      <c r="U526" s="100"/>
      <c r="V526" s="100"/>
      <c r="W526" s="100"/>
      <c r="X526" s="100"/>
      <c r="Y526" s="100"/>
      <c r="Z526" s="100"/>
      <c r="AA526" s="100"/>
      <c r="AB526" s="227"/>
      <c r="AC526" s="227"/>
      <c r="AD526" s="227"/>
      <c r="AE526" s="227"/>
      <c r="AF526" s="227"/>
      <c r="AG526" s="227"/>
      <c r="AH526" s="227"/>
      <c r="AI526" s="227"/>
      <c r="AJ526" s="227"/>
      <c r="AK526" s="227"/>
      <c r="AL526" s="227"/>
      <c r="AM526" s="227"/>
      <c r="AN526" s="227"/>
      <c r="AO526" s="227"/>
      <c r="AP526" s="227"/>
      <c r="AQ526" s="227"/>
      <c r="AR526" s="227"/>
      <c r="AS526" s="227"/>
      <c r="AT526" s="227"/>
      <c r="AU526" s="227"/>
      <c r="AV526" s="227"/>
      <c r="AW526" s="227"/>
      <c r="AX526" s="227"/>
      <c r="AY526" s="227"/>
      <c r="AZ526" s="227"/>
      <c r="BA526" s="227"/>
      <c r="BB526" s="227"/>
      <c r="BC526" s="227"/>
      <c r="BD526" s="100"/>
      <c r="BE526" s="100"/>
      <c r="BF526" s="100"/>
      <c r="BG526" s="100"/>
      <c r="BH526" s="100"/>
      <c r="BI526" s="100"/>
      <c r="BJ526" s="100"/>
      <c r="BK526" s="12"/>
      <c r="BL526" s="12"/>
    </row>
    <row r="527" spans="1:64" hidden="1" outlineLevel="1">
      <c r="A527" s="9"/>
      <c r="B527" s="9"/>
      <c r="C527" s="46"/>
      <c r="D527" s="129">
        <f>Asset26</f>
        <v>0</v>
      </c>
      <c r="E527" s="9"/>
      <c r="F527" s="9"/>
      <c r="G527" s="196">
        <f>'Adjustment for previous period'!G423</f>
        <v>0</v>
      </c>
      <c r="H527" s="111">
        <f t="shared" si="27"/>
        <v>0</v>
      </c>
      <c r="I527" s="111">
        <f t="shared" si="27"/>
        <v>0</v>
      </c>
      <c r="J527" s="111">
        <f t="shared" si="27"/>
        <v>0</v>
      </c>
      <c r="K527" s="111">
        <f t="shared" si="27"/>
        <v>0</v>
      </c>
      <c r="L527" s="111">
        <f t="shared" si="27"/>
        <v>0</v>
      </c>
      <c r="M527" s="111">
        <f t="shared" si="27"/>
        <v>0</v>
      </c>
      <c r="N527" s="111">
        <f t="shared" si="27"/>
        <v>0</v>
      </c>
      <c r="O527" s="111">
        <f t="shared" si="27"/>
        <v>0</v>
      </c>
      <c r="P527" s="111">
        <f t="shared" si="27"/>
        <v>0</v>
      </c>
      <c r="Q527" s="111">
        <f t="shared" si="27"/>
        <v>0</v>
      </c>
      <c r="R527" s="29"/>
      <c r="S527" s="100"/>
      <c r="T527" s="100"/>
      <c r="U527" s="100"/>
      <c r="V527" s="100"/>
      <c r="W527" s="100"/>
      <c r="X527" s="100"/>
      <c r="Y527" s="100"/>
      <c r="Z527" s="100"/>
      <c r="AA527" s="100"/>
      <c r="AB527" s="227"/>
      <c r="AC527" s="227"/>
      <c r="AD527" s="227"/>
      <c r="AE527" s="227"/>
      <c r="AF527" s="227"/>
      <c r="AG527" s="227"/>
      <c r="AH527" s="227"/>
      <c r="AI527" s="227"/>
      <c r="AJ527" s="227"/>
      <c r="AK527" s="227"/>
      <c r="AL527" s="227"/>
      <c r="AM527" s="227"/>
      <c r="AN527" s="227"/>
      <c r="AO527" s="227"/>
      <c r="AP527" s="227"/>
      <c r="AQ527" s="227"/>
      <c r="AR527" s="227"/>
      <c r="AS527" s="227"/>
      <c r="AT527" s="227"/>
      <c r="AU527" s="227"/>
      <c r="AV527" s="227"/>
      <c r="AW527" s="227"/>
      <c r="AX527" s="227"/>
      <c r="AY527" s="227"/>
      <c r="AZ527" s="227"/>
      <c r="BA527" s="227"/>
      <c r="BB527" s="227"/>
      <c r="BC527" s="227"/>
      <c r="BD527" s="100"/>
      <c r="BE527" s="100"/>
      <c r="BF527" s="100"/>
      <c r="BG527" s="100"/>
      <c r="BH527" s="100"/>
      <c r="BI527" s="100"/>
      <c r="BJ527" s="100"/>
      <c r="BK527" s="12"/>
      <c r="BL527" s="12"/>
    </row>
    <row r="528" spans="1:64" hidden="1" outlineLevel="1">
      <c r="A528" s="9"/>
      <c r="B528" s="9"/>
      <c r="C528" s="46"/>
      <c r="D528" s="129">
        <f>Asset27</f>
        <v>0</v>
      </c>
      <c r="E528" s="9"/>
      <c r="F528" s="9"/>
      <c r="G528" s="196">
        <f>'Adjustment for previous period'!G424</f>
        <v>0</v>
      </c>
      <c r="H528" s="111">
        <f t="shared" si="27"/>
        <v>0</v>
      </c>
      <c r="I528" s="111">
        <f t="shared" si="27"/>
        <v>0</v>
      </c>
      <c r="J528" s="111">
        <f t="shared" ref="I528:Q531" si="28">J658+J692</f>
        <v>0</v>
      </c>
      <c r="K528" s="111">
        <f t="shared" si="28"/>
        <v>0</v>
      </c>
      <c r="L528" s="111">
        <f t="shared" si="28"/>
        <v>0</v>
      </c>
      <c r="M528" s="111">
        <f t="shared" si="28"/>
        <v>0</v>
      </c>
      <c r="N528" s="111">
        <f t="shared" si="28"/>
        <v>0</v>
      </c>
      <c r="O528" s="111">
        <f t="shared" si="28"/>
        <v>0</v>
      </c>
      <c r="P528" s="111">
        <f t="shared" si="28"/>
        <v>0</v>
      </c>
      <c r="Q528" s="111">
        <f t="shared" si="28"/>
        <v>0</v>
      </c>
      <c r="R528" s="29"/>
      <c r="S528" s="100"/>
      <c r="T528" s="100"/>
      <c r="U528" s="100"/>
      <c r="V528" s="100"/>
      <c r="W528" s="100"/>
      <c r="X528" s="100"/>
      <c r="Y528" s="100"/>
      <c r="Z528" s="100"/>
      <c r="AA528" s="100"/>
      <c r="AB528" s="227"/>
      <c r="AC528" s="227"/>
      <c r="AD528" s="227"/>
      <c r="AE528" s="227"/>
      <c r="AF528" s="227"/>
      <c r="AG528" s="227"/>
      <c r="AH528" s="227"/>
      <c r="AI528" s="227"/>
      <c r="AJ528" s="227"/>
      <c r="AK528" s="227"/>
      <c r="AL528" s="227"/>
      <c r="AM528" s="227"/>
      <c r="AN528" s="227"/>
      <c r="AO528" s="227"/>
      <c r="AP528" s="227"/>
      <c r="AQ528" s="227"/>
      <c r="AR528" s="227"/>
      <c r="AS528" s="227"/>
      <c r="AT528" s="227"/>
      <c r="AU528" s="227"/>
      <c r="AV528" s="227"/>
      <c r="AW528" s="227"/>
      <c r="AX528" s="227"/>
      <c r="AY528" s="227"/>
      <c r="AZ528" s="227"/>
      <c r="BA528" s="227"/>
      <c r="BB528" s="227"/>
      <c r="BC528" s="227"/>
      <c r="BD528" s="100"/>
      <c r="BE528" s="100"/>
      <c r="BF528" s="100"/>
      <c r="BG528" s="100"/>
      <c r="BH528" s="100"/>
      <c r="BI528" s="100"/>
      <c r="BJ528" s="100"/>
      <c r="BK528" s="12"/>
      <c r="BL528" s="12"/>
    </row>
    <row r="529" spans="1:64" hidden="1" outlineLevel="1">
      <c r="A529" s="9"/>
      <c r="B529" s="9"/>
      <c r="C529" s="46"/>
      <c r="D529" s="129">
        <f>Asset28</f>
        <v>0</v>
      </c>
      <c r="E529" s="9"/>
      <c r="F529" s="9"/>
      <c r="G529" s="196">
        <f>'Adjustment for previous period'!G425</f>
        <v>0</v>
      </c>
      <c r="H529" s="111">
        <f t="shared" si="27"/>
        <v>0</v>
      </c>
      <c r="I529" s="111">
        <f t="shared" si="28"/>
        <v>0</v>
      </c>
      <c r="J529" s="111">
        <f t="shared" si="28"/>
        <v>0</v>
      </c>
      <c r="K529" s="111">
        <f t="shared" si="28"/>
        <v>0</v>
      </c>
      <c r="L529" s="111">
        <f t="shared" si="28"/>
        <v>0</v>
      </c>
      <c r="M529" s="111">
        <f t="shared" si="28"/>
        <v>0</v>
      </c>
      <c r="N529" s="111">
        <f t="shared" si="28"/>
        <v>0</v>
      </c>
      <c r="O529" s="111">
        <f t="shared" si="28"/>
        <v>0</v>
      </c>
      <c r="P529" s="111">
        <f t="shared" si="28"/>
        <v>0</v>
      </c>
      <c r="Q529" s="111">
        <f t="shared" si="28"/>
        <v>0</v>
      </c>
      <c r="R529" s="29"/>
      <c r="S529" s="100"/>
      <c r="T529" s="100"/>
      <c r="U529" s="100"/>
      <c r="V529" s="100"/>
      <c r="W529" s="100"/>
      <c r="X529" s="100"/>
      <c r="Y529" s="100"/>
      <c r="Z529" s="100"/>
      <c r="AA529" s="100"/>
      <c r="AB529" s="227"/>
      <c r="AC529" s="227"/>
      <c r="AD529" s="227"/>
      <c r="AE529" s="227"/>
      <c r="AF529" s="227"/>
      <c r="AG529" s="227"/>
      <c r="AH529" s="227"/>
      <c r="AI529" s="227"/>
      <c r="AJ529" s="227"/>
      <c r="AK529" s="227"/>
      <c r="AL529" s="227"/>
      <c r="AM529" s="227"/>
      <c r="AN529" s="227"/>
      <c r="AO529" s="227"/>
      <c r="AP529" s="227"/>
      <c r="AQ529" s="227"/>
      <c r="AR529" s="227"/>
      <c r="AS529" s="227"/>
      <c r="AT529" s="227"/>
      <c r="AU529" s="227"/>
      <c r="AV529" s="227"/>
      <c r="AW529" s="227"/>
      <c r="AX529" s="227"/>
      <c r="AY529" s="227"/>
      <c r="AZ529" s="227"/>
      <c r="BA529" s="227"/>
      <c r="BB529" s="227"/>
      <c r="BC529" s="227"/>
      <c r="BD529" s="100"/>
      <c r="BE529" s="100"/>
      <c r="BF529" s="100"/>
      <c r="BG529" s="100"/>
      <c r="BH529" s="100"/>
      <c r="BI529" s="100"/>
      <c r="BJ529" s="100"/>
      <c r="BK529" s="12"/>
      <c r="BL529" s="12"/>
    </row>
    <row r="530" spans="1:64" hidden="1" outlineLevel="1">
      <c r="A530" s="9"/>
      <c r="B530" s="9"/>
      <c r="C530" s="46"/>
      <c r="D530" s="129">
        <f>Asset29</f>
        <v>0</v>
      </c>
      <c r="E530" s="9"/>
      <c r="F530" s="9"/>
      <c r="G530" s="196">
        <f>'Adjustment for previous period'!G426</f>
        <v>0</v>
      </c>
      <c r="H530" s="111">
        <f t="shared" si="27"/>
        <v>0</v>
      </c>
      <c r="I530" s="111">
        <f t="shared" si="28"/>
        <v>0</v>
      </c>
      <c r="J530" s="111">
        <f t="shared" si="28"/>
        <v>0</v>
      </c>
      <c r="K530" s="111">
        <f t="shared" si="28"/>
        <v>0</v>
      </c>
      <c r="L530" s="111">
        <f t="shared" si="28"/>
        <v>0</v>
      </c>
      <c r="M530" s="111">
        <f t="shared" si="28"/>
        <v>0</v>
      </c>
      <c r="N530" s="111">
        <f t="shared" si="28"/>
        <v>0</v>
      </c>
      <c r="O530" s="111">
        <f t="shared" si="28"/>
        <v>0</v>
      </c>
      <c r="P530" s="111">
        <f t="shared" si="28"/>
        <v>0</v>
      </c>
      <c r="Q530" s="111">
        <f t="shared" si="28"/>
        <v>0</v>
      </c>
      <c r="R530" s="29"/>
      <c r="S530" s="100"/>
      <c r="T530" s="100"/>
      <c r="U530" s="100"/>
      <c r="V530" s="100"/>
      <c r="W530" s="100"/>
      <c r="X530" s="100"/>
      <c r="Y530" s="100"/>
      <c r="Z530" s="100"/>
      <c r="AA530" s="100"/>
      <c r="AB530" s="227"/>
      <c r="AC530" s="227"/>
      <c r="AD530" s="227"/>
      <c r="AE530" s="227"/>
      <c r="AF530" s="227"/>
      <c r="AG530" s="227"/>
      <c r="AH530" s="227"/>
      <c r="AI530" s="227"/>
      <c r="AJ530" s="227"/>
      <c r="AK530" s="227"/>
      <c r="AL530" s="227"/>
      <c r="AM530" s="227"/>
      <c r="AN530" s="227"/>
      <c r="AO530" s="227"/>
      <c r="AP530" s="227"/>
      <c r="AQ530" s="227"/>
      <c r="AR530" s="227"/>
      <c r="AS530" s="227"/>
      <c r="AT530" s="227"/>
      <c r="AU530" s="227"/>
      <c r="AV530" s="227"/>
      <c r="AW530" s="227"/>
      <c r="AX530" s="227"/>
      <c r="AY530" s="227"/>
      <c r="AZ530" s="227"/>
      <c r="BA530" s="227"/>
      <c r="BB530" s="227"/>
      <c r="BC530" s="227"/>
      <c r="BD530" s="100"/>
      <c r="BE530" s="100"/>
      <c r="BF530" s="100"/>
      <c r="BG530" s="100"/>
      <c r="BH530" s="100"/>
      <c r="BI530" s="100"/>
      <c r="BJ530" s="100"/>
      <c r="BK530" s="12"/>
      <c r="BL530" s="12"/>
    </row>
    <row r="531" spans="1:64" hidden="1" outlineLevel="1">
      <c r="A531" s="9"/>
      <c r="B531" s="9"/>
      <c r="C531" s="46"/>
      <c r="D531" s="129">
        <f>Asset30</f>
        <v>0</v>
      </c>
      <c r="E531" s="9"/>
      <c r="F531" s="9"/>
      <c r="G531" s="196">
        <f>'Adjustment for previous period'!G427</f>
        <v>0</v>
      </c>
      <c r="H531" s="111">
        <f t="shared" si="27"/>
        <v>0</v>
      </c>
      <c r="I531" s="111">
        <f t="shared" si="28"/>
        <v>0</v>
      </c>
      <c r="J531" s="111">
        <f t="shared" si="28"/>
        <v>0</v>
      </c>
      <c r="K531" s="111">
        <f t="shared" si="28"/>
        <v>0</v>
      </c>
      <c r="L531" s="111">
        <f t="shared" si="28"/>
        <v>0</v>
      </c>
      <c r="M531" s="111">
        <f t="shared" si="28"/>
        <v>0</v>
      </c>
      <c r="N531" s="111">
        <f t="shared" si="28"/>
        <v>0</v>
      </c>
      <c r="O531" s="111">
        <f t="shared" si="28"/>
        <v>0</v>
      </c>
      <c r="P531" s="111">
        <f t="shared" si="28"/>
        <v>0</v>
      </c>
      <c r="Q531" s="111">
        <f t="shared" si="28"/>
        <v>0</v>
      </c>
      <c r="R531" s="29"/>
      <c r="S531" s="100"/>
      <c r="T531" s="100"/>
      <c r="U531" s="100"/>
      <c r="V531" s="100"/>
      <c r="W531" s="100"/>
      <c r="X531" s="100"/>
      <c r="Y531" s="100"/>
      <c r="Z531" s="100"/>
      <c r="AA531" s="100"/>
      <c r="AB531" s="227"/>
      <c r="AC531" s="227"/>
      <c r="AD531" s="227"/>
      <c r="AE531" s="227"/>
      <c r="AF531" s="227"/>
      <c r="AG531" s="227"/>
      <c r="AH531" s="227"/>
      <c r="AI531" s="227"/>
      <c r="AJ531" s="227"/>
      <c r="AK531" s="227"/>
      <c r="AL531" s="227"/>
      <c r="AM531" s="227"/>
      <c r="AN531" s="227"/>
      <c r="AO531" s="227"/>
      <c r="AP531" s="227"/>
      <c r="AQ531" s="227"/>
      <c r="AR531" s="227"/>
      <c r="AS531" s="227"/>
      <c r="AT531" s="227"/>
      <c r="AU531" s="227"/>
      <c r="AV531" s="227"/>
      <c r="AW531" s="227"/>
      <c r="AX531" s="227"/>
      <c r="AY531" s="227"/>
      <c r="AZ531" s="227"/>
      <c r="BA531" s="227"/>
      <c r="BB531" s="227"/>
      <c r="BC531" s="227"/>
      <c r="BD531" s="100"/>
      <c r="BE531" s="100"/>
      <c r="BF531" s="100"/>
      <c r="BG531" s="100"/>
      <c r="BH531" s="100"/>
      <c r="BI531" s="100"/>
      <c r="BJ531" s="100"/>
      <c r="BK531" s="12"/>
      <c r="BL531" s="12"/>
    </row>
    <row r="532" spans="1:64" collapsed="1">
      <c r="A532" s="9"/>
      <c r="B532" s="9"/>
      <c r="C532" s="46"/>
      <c r="D532" s="129"/>
      <c r="E532" s="9"/>
      <c r="F532" s="9"/>
      <c r="G532" s="201"/>
      <c r="H532" s="111"/>
      <c r="I532" s="111"/>
      <c r="J532" s="111"/>
      <c r="K532" s="111"/>
      <c r="L532" s="111"/>
      <c r="M532" s="111"/>
      <c r="N532" s="29"/>
      <c r="O532" s="29"/>
      <c r="P532" s="29"/>
      <c r="Q532" s="29"/>
      <c r="R532" s="29"/>
      <c r="S532" s="100"/>
      <c r="T532" s="100"/>
      <c r="U532" s="100"/>
      <c r="V532" s="100"/>
      <c r="W532" s="100"/>
      <c r="X532" s="100"/>
      <c r="Y532" s="100"/>
      <c r="Z532" s="100"/>
      <c r="AA532" s="100"/>
      <c r="AB532" s="227"/>
      <c r="AC532" s="227"/>
      <c r="AD532" s="227"/>
      <c r="AE532" s="227"/>
      <c r="AF532" s="227"/>
      <c r="AG532" s="227"/>
      <c r="AH532" s="227"/>
      <c r="AI532" s="227"/>
      <c r="AJ532" s="227"/>
      <c r="AK532" s="227"/>
      <c r="AL532" s="227"/>
      <c r="AM532" s="227"/>
      <c r="AN532" s="227"/>
      <c r="AO532" s="227"/>
      <c r="AP532" s="227"/>
      <c r="AQ532" s="227"/>
      <c r="AR532" s="227"/>
      <c r="AS532" s="227"/>
      <c r="AT532" s="227"/>
      <c r="AU532" s="227"/>
      <c r="AV532" s="227"/>
      <c r="AW532" s="227"/>
      <c r="AX532" s="227"/>
      <c r="AY532" s="227"/>
      <c r="AZ532" s="227"/>
      <c r="BA532" s="227"/>
      <c r="BB532" s="227"/>
      <c r="BC532" s="227"/>
      <c r="BD532" s="100"/>
      <c r="BE532" s="100"/>
      <c r="BF532" s="100"/>
      <c r="BG532" s="100"/>
      <c r="BH532" s="100"/>
      <c r="BI532" s="100"/>
      <c r="BJ532" s="100"/>
      <c r="BK532" s="12"/>
      <c r="BL532" s="12"/>
    </row>
    <row r="533" spans="1:64">
      <c r="A533" s="9"/>
      <c r="B533" s="9"/>
      <c r="C533" s="46" t="s">
        <v>51</v>
      </c>
      <c r="D533" s="114"/>
      <c r="E533" s="9"/>
      <c r="F533" s="9"/>
      <c r="G533" s="200">
        <f>SUM(G534:G563)</f>
        <v>0</v>
      </c>
      <c r="H533" s="37"/>
      <c r="I533" s="37"/>
      <c r="J533" s="37"/>
      <c r="K533" s="37"/>
      <c r="L533" s="37"/>
      <c r="M533" s="37"/>
      <c r="N533" s="29"/>
      <c r="O533" s="29"/>
      <c r="P533" s="29"/>
      <c r="Q533" s="29"/>
      <c r="R533" s="29"/>
      <c r="S533" s="100"/>
      <c r="T533" s="100"/>
      <c r="U533" s="100"/>
      <c r="V533" s="100"/>
      <c r="W533" s="100"/>
      <c r="X533" s="100"/>
      <c r="Y533" s="100"/>
      <c r="Z533" s="100"/>
      <c r="AA533" s="100"/>
      <c r="AB533" s="227"/>
      <c r="AC533" s="227"/>
      <c r="AD533" s="227"/>
      <c r="AE533" s="227"/>
      <c r="AF533" s="227"/>
      <c r="AG533" s="227"/>
      <c r="AH533" s="227"/>
      <c r="AI533" s="227"/>
      <c r="AJ533" s="227"/>
      <c r="AK533" s="227"/>
      <c r="AL533" s="227"/>
      <c r="AM533" s="227"/>
      <c r="AN533" s="227"/>
      <c r="AO533" s="227"/>
      <c r="AP533" s="227"/>
      <c r="AQ533" s="227"/>
      <c r="AR533" s="227"/>
      <c r="AS533" s="227"/>
      <c r="AT533" s="227"/>
      <c r="AU533" s="227"/>
      <c r="AV533" s="227"/>
      <c r="AW533" s="227"/>
      <c r="AX533" s="227"/>
      <c r="AY533" s="227"/>
      <c r="AZ533" s="227"/>
      <c r="BA533" s="227"/>
      <c r="BB533" s="227"/>
      <c r="BC533" s="227"/>
      <c r="BD533" s="100"/>
      <c r="BE533" s="100"/>
      <c r="BF533" s="100"/>
      <c r="BG533" s="100"/>
      <c r="BH533" s="100"/>
      <c r="BI533" s="100"/>
      <c r="BJ533" s="100"/>
      <c r="BK533" s="12"/>
      <c r="BL533" s="12"/>
    </row>
    <row r="534" spans="1:64" hidden="1" outlineLevel="1">
      <c r="A534" s="9"/>
      <c r="B534" s="9"/>
      <c r="C534" s="9"/>
      <c r="D534" s="129" t="str">
        <f>Asset1</f>
        <v>Mains &amp; Services</v>
      </c>
      <c r="E534" s="9"/>
      <c r="F534" s="9"/>
      <c r="G534" s="196">
        <f>'Adjustment for previous period'!G430</f>
        <v>0</v>
      </c>
      <c r="H534" s="37"/>
      <c r="I534" s="37"/>
      <c r="J534" s="37"/>
      <c r="K534" s="37"/>
      <c r="L534" s="37"/>
      <c r="M534" s="37"/>
      <c r="N534" s="29"/>
      <c r="O534" s="29"/>
      <c r="P534" s="29"/>
      <c r="Q534" s="29"/>
      <c r="R534" s="29"/>
      <c r="S534" s="100"/>
      <c r="T534" s="100"/>
      <c r="U534" s="100"/>
      <c r="V534" s="100"/>
      <c r="W534" s="100"/>
      <c r="X534" s="100"/>
      <c r="Y534" s="100"/>
      <c r="Z534" s="100"/>
      <c r="AA534" s="100"/>
      <c r="AB534" s="227"/>
      <c r="AC534" s="227"/>
      <c r="AD534" s="227"/>
      <c r="AE534" s="227"/>
      <c r="AF534" s="227"/>
      <c r="AG534" s="227"/>
      <c r="AH534" s="227"/>
      <c r="AI534" s="227"/>
      <c r="AJ534" s="227"/>
      <c r="AK534" s="227"/>
      <c r="AL534" s="227"/>
      <c r="AM534" s="227"/>
      <c r="AN534" s="227"/>
      <c r="AO534" s="227"/>
      <c r="AP534" s="227"/>
      <c r="AQ534" s="227"/>
      <c r="AR534" s="227"/>
      <c r="AS534" s="227"/>
      <c r="AT534" s="227"/>
      <c r="AU534" s="227"/>
      <c r="AV534" s="227"/>
      <c r="AW534" s="227"/>
      <c r="AX534" s="227"/>
      <c r="AY534" s="227"/>
      <c r="AZ534" s="227"/>
      <c r="BA534" s="227"/>
      <c r="BB534" s="227"/>
      <c r="BC534" s="227"/>
      <c r="BD534" s="100"/>
      <c r="BE534" s="100"/>
      <c r="BF534" s="100"/>
      <c r="BG534" s="100"/>
      <c r="BH534" s="100"/>
      <c r="BI534" s="100"/>
      <c r="BJ534" s="100"/>
      <c r="BK534" s="12"/>
      <c r="BL534" s="12"/>
    </row>
    <row r="535" spans="1:64" hidden="1" outlineLevel="1">
      <c r="A535" s="9"/>
      <c r="B535" s="9"/>
      <c r="C535" s="46"/>
      <c r="D535" s="129" t="str">
        <f>Asset2</f>
        <v>Meters</v>
      </c>
      <c r="E535" s="9"/>
      <c r="F535" s="9"/>
      <c r="G535" s="196">
        <f>'Adjustment for previous period'!G431</f>
        <v>0</v>
      </c>
      <c r="H535" s="37"/>
      <c r="I535" s="37"/>
      <c r="J535" s="37"/>
      <c r="K535" s="37"/>
      <c r="L535" s="37"/>
      <c r="M535" s="37"/>
      <c r="N535" s="29"/>
      <c r="O535" s="29"/>
      <c r="P535" s="29"/>
      <c r="Q535" s="29"/>
      <c r="R535" s="29"/>
      <c r="S535" s="100"/>
      <c r="T535" s="100"/>
      <c r="U535" s="100"/>
      <c r="V535" s="100"/>
      <c r="W535" s="100"/>
      <c r="X535" s="100"/>
      <c r="Y535" s="100"/>
      <c r="Z535" s="100"/>
      <c r="AA535" s="100"/>
      <c r="AB535" s="227"/>
      <c r="AC535" s="227"/>
      <c r="AD535" s="227"/>
      <c r="AE535" s="227"/>
      <c r="AF535" s="227"/>
      <c r="AG535" s="227"/>
      <c r="AH535" s="227"/>
      <c r="AI535" s="227"/>
      <c r="AJ535" s="227"/>
      <c r="AK535" s="227"/>
      <c r="AL535" s="227"/>
      <c r="AM535" s="227"/>
      <c r="AN535" s="227"/>
      <c r="AO535" s="227"/>
      <c r="AP535" s="227"/>
      <c r="AQ535" s="227"/>
      <c r="AR535" s="227"/>
      <c r="AS535" s="227"/>
      <c r="AT535" s="227"/>
      <c r="AU535" s="227"/>
      <c r="AV535" s="227"/>
      <c r="AW535" s="227"/>
      <c r="AX535" s="227"/>
      <c r="AY535" s="227"/>
      <c r="AZ535" s="227"/>
      <c r="BA535" s="227"/>
      <c r="BB535" s="227"/>
      <c r="BC535" s="227"/>
      <c r="BD535" s="100"/>
      <c r="BE535" s="100"/>
      <c r="BF535" s="100"/>
      <c r="BG535" s="100"/>
      <c r="BH535" s="100"/>
      <c r="BI535" s="100"/>
      <c r="BJ535" s="100"/>
      <c r="BK535" s="12"/>
      <c r="BL535" s="12"/>
    </row>
    <row r="536" spans="1:64" hidden="1" outlineLevel="1">
      <c r="A536" s="9"/>
      <c r="B536" s="9"/>
      <c r="C536" s="46"/>
      <c r="D536" s="129" t="str">
        <f>Asset3</f>
        <v>Buildings</v>
      </c>
      <c r="E536" s="9"/>
      <c r="F536" s="9"/>
      <c r="G536" s="196">
        <f>'Adjustment for previous period'!G432</f>
        <v>0</v>
      </c>
      <c r="H536" s="37"/>
      <c r="I536" s="37"/>
      <c r="J536" s="37"/>
      <c r="K536" s="37"/>
      <c r="L536" s="37"/>
      <c r="M536" s="37"/>
      <c r="N536" s="29"/>
      <c r="O536" s="29"/>
      <c r="P536" s="29"/>
      <c r="Q536" s="29"/>
      <c r="R536" s="29"/>
      <c r="S536" s="100"/>
      <c r="T536" s="100"/>
      <c r="U536" s="100"/>
      <c r="V536" s="100"/>
      <c r="W536" s="100"/>
      <c r="X536" s="100"/>
      <c r="Y536" s="100"/>
      <c r="Z536" s="100"/>
      <c r="AA536" s="100"/>
      <c r="AB536" s="227"/>
      <c r="AC536" s="227"/>
      <c r="AD536" s="227"/>
      <c r="AE536" s="227"/>
      <c r="AF536" s="227"/>
      <c r="AG536" s="227"/>
      <c r="AH536" s="227"/>
      <c r="AI536" s="227"/>
      <c r="AJ536" s="227"/>
      <c r="AK536" s="227"/>
      <c r="AL536" s="227"/>
      <c r="AM536" s="227"/>
      <c r="AN536" s="227"/>
      <c r="AO536" s="227"/>
      <c r="AP536" s="227"/>
      <c r="AQ536" s="227"/>
      <c r="AR536" s="227"/>
      <c r="AS536" s="227"/>
      <c r="AT536" s="227"/>
      <c r="AU536" s="227"/>
      <c r="AV536" s="227"/>
      <c r="AW536" s="227"/>
      <c r="AX536" s="227"/>
      <c r="AY536" s="227"/>
      <c r="AZ536" s="227"/>
      <c r="BA536" s="227"/>
      <c r="BB536" s="227"/>
      <c r="BC536" s="227"/>
      <c r="BD536" s="100"/>
      <c r="BE536" s="100"/>
      <c r="BF536" s="100"/>
      <c r="BG536" s="100"/>
      <c r="BH536" s="100"/>
      <c r="BI536" s="100"/>
      <c r="BJ536" s="100"/>
      <c r="BK536" s="12"/>
      <c r="BL536" s="12"/>
    </row>
    <row r="537" spans="1:64" hidden="1" outlineLevel="1">
      <c r="A537" s="9"/>
      <c r="B537" s="9"/>
      <c r="C537" s="46"/>
      <c r="D537" s="129" t="str">
        <f>Asset4</f>
        <v>SCADA</v>
      </c>
      <c r="E537" s="9"/>
      <c r="F537" s="9"/>
      <c r="G537" s="196">
        <f>'Adjustment for previous period'!G433</f>
        <v>0</v>
      </c>
      <c r="H537" s="37"/>
      <c r="I537" s="37"/>
      <c r="J537" s="37"/>
      <c r="K537" s="37"/>
      <c r="L537" s="37"/>
      <c r="M537" s="37"/>
      <c r="N537" s="29"/>
      <c r="O537" s="29"/>
      <c r="P537" s="29"/>
      <c r="Q537" s="29"/>
      <c r="R537" s="29"/>
      <c r="S537" s="100"/>
      <c r="T537" s="100"/>
      <c r="U537" s="100"/>
      <c r="V537" s="100"/>
      <c r="W537" s="100"/>
      <c r="X537" s="100"/>
      <c r="Y537" s="100"/>
      <c r="Z537" s="100"/>
      <c r="AA537" s="100"/>
      <c r="AB537" s="227"/>
      <c r="AC537" s="227"/>
      <c r="AD537" s="227"/>
      <c r="AE537" s="227"/>
      <c r="AF537" s="227"/>
      <c r="AG537" s="227"/>
      <c r="AH537" s="227"/>
      <c r="AI537" s="227"/>
      <c r="AJ537" s="227"/>
      <c r="AK537" s="227"/>
      <c r="AL537" s="227"/>
      <c r="AM537" s="227"/>
      <c r="AN537" s="227"/>
      <c r="AO537" s="227"/>
      <c r="AP537" s="227"/>
      <c r="AQ537" s="227"/>
      <c r="AR537" s="227"/>
      <c r="AS537" s="227"/>
      <c r="AT537" s="227"/>
      <c r="AU537" s="227"/>
      <c r="AV537" s="227"/>
      <c r="AW537" s="227"/>
      <c r="AX537" s="227"/>
      <c r="AY537" s="227"/>
      <c r="AZ537" s="227"/>
      <c r="BA537" s="227"/>
      <c r="BB537" s="227"/>
      <c r="BC537" s="227"/>
      <c r="BD537" s="100"/>
      <c r="BE537" s="100"/>
      <c r="BF537" s="100"/>
      <c r="BG537" s="100"/>
      <c r="BH537" s="100"/>
      <c r="BI537" s="100"/>
      <c r="BJ537" s="100"/>
      <c r="BK537" s="12"/>
      <c r="BL537" s="12"/>
    </row>
    <row r="538" spans="1:64" hidden="1" outlineLevel="1">
      <c r="A538" s="9"/>
      <c r="B538" s="9"/>
      <c r="C538" s="46"/>
      <c r="D538" s="129" t="str">
        <f>Asset5</f>
        <v>Computer Equipment</v>
      </c>
      <c r="E538" s="9"/>
      <c r="F538" s="9"/>
      <c r="G538" s="196">
        <f>'Adjustment for previous period'!G434</f>
        <v>0</v>
      </c>
      <c r="H538" s="37"/>
      <c r="I538" s="37"/>
      <c r="J538" s="37"/>
      <c r="K538" s="37"/>
      <c r="L538" s="37"/>
      <c r="M538" s="37"/>
      <c r="N538" s="29"/>
      <c r="O538" s="29"/>
      <c r="P538" s="29"/>
      <c r="Q538" s="29"/>
      <c r="R538" s="29"/>
      <c r="S538" s="100"/>
      <c r="T538" s="100"/>
      <c r="U538" s="100"/>
      <c r="V538" s="100"/>
      <c r="W538" s="100"/>
      <c r="X538" s="100"/>
      <c r="Y538" s="100"/>
      <c r="Z538" s="100"/>
      <c r="AA538" s="100"/>
      <c r="AB538" s="227"/>
      <c r="AC538" s="227"/>
      <c r="AD538" s="227"/>
      <c r="AE538" s="227"/>
      <c r="AF538" s="227"/>
      <c r="AG538" s="227"/>
      <c r="AH538" s="227"/>
      <c r="AI538" s="227"/>
      <c r="AJ538" s="227"/>
      <c r="AK538" s="227"/>
      <c r="AL538" s="227"/>
      <c r="AM538" s="227"/>
      <c r="AN538" s="227"/>
      <c r="AO538" s="227"/>
      <c r="AP538" s="227"/>
      <c r="AQ538" s="227"/>
      <c r="AR538" s="227"/>
      <c r="AS538" s="227"/>
      <c r="AT538" s="227"/>
      <c r="AU538" s="227"/>
      <c r="AV538" s="227"/>
      <c r="AW538" s="227"/>
      <c r="AX538" s="227"/>
      <c r="AY538" s="227"/>
      <c r="AZ538" s="227"/>
      <c r="BA538" s="227"/>
      <c r="BB538" s="227"/>
      <c r="BC538" s="227"/>
      <c r="BD538" s="100"/>
      <c r="BE538" s="100"/>
      <c r="BF538" s="100"/>
      <c r="BG538" s="100"/>
      <c r="BH538" s="100"/>
      <c r="BI538" s="100"/>
      <c r="BJ538" s="100"/>
      <c r="BK538" s="12"/>
      <c r="BL538" s="12"/>
    </row>
    <row r="539" spans="1:64" hidden="1" outlineLevel="1">
      <c r="A539" s="9"/>
      <c r="B539" s="9"/>
      <c r="C539" s="46"/>
      <c r="D539" s="129" t="str">
        <f>Asset6</f>
        <v>Other Assets</v>
      </c>
      <c r="E539" s="9"/>
      <c r="F539" s="9"/>
      <c r="G539" s="196">
        <f>'Adjustment for previous period'!G435</f>
        <v>0</v>
      </c>
      <c r="H539" s="37"/>
      <c r="I539" s="37"/>
      <c r="J539" s="37"/>
      <c r="K539" s="37"/>
      <c r="L539" s="37"/>
      <c r="M539" s="37"/>
      <c r="N539" s="29"/>
      <c r="O539" s="29"/>
      <c r="P539" s="29"/>
      <c r="Q539" s="29"/>
      <c r="R539" s="29"/>
      <c r="S539" s="100"/>
      <c r="T539" s="100"/>
      <c r="U539" s="100"/>
      <c r="V539" s="100"/>
      <c r="W539" s="100"/>
      <c r="X539" s="100"/>
      <c r="Y539" s="100"/>
      <c r="Z539" s="100"/>
      <c r="AA539" s="100"/>
      <c r="AB539" s="227"/>
      <c r="AC539" s="227"/>
      <c r="AD539" s="227"/>
      <c r="AE539" s="227"/>
      <c r="AF539" s="227"/>
      <c r="AG539" s="227"/>
      <c r="AH539" s="227"/>
      <c r="AI539" s="227"/>
      <c r="AJ539" s="227"/>
      <c r="AK539" s="227"/>
      <c r="AL539" s="227"/>
      <c r="AM539" s="227"/>
      <c r="AN539" s="227"/>
      <c r="AO539" s="227"/>
      <c r="AP539" s="227"/>
      <c r="AQ539" s="227"/>
      <c r="AR539" s="227"/>
      <c r="AS539" s="227"/>
      <c r="AT539" s="227"/>
      <c r="AU539" s="227"/>
      <c r="AV539" s="227"/>
      <c r="AW539" s="227"/>
      <c r="AX539" s="227"/>
      <c r="AY539" s="227"/>
      <c r="AZ539" s="227"/>
      <c r="BA539" s="227"/>
      <c r="BB539" s="227"/>
      <c r="BC539" s="227"/>
      <c r="BD539" s="100"/>
      <c r="BE539" s="100"/>
      <c r="BF539" s="100"/>
      <c r="BG539" s="100"/>
      <c r="BH539" s="100"/>
      <c r="BI539" s="100"/>
      <c r="BJ539" s="100"/>
      <c r="BK539" s="12"/>
      <c r="BL539" s="12"/>
    </row>
    <row r="540" spans="1:64" hidden="1" outlineLevel="1">
      <c r="A540" s="9"/>
      <c r="B540" s="9"/>
      <c r="C540" s="46"/>
      <c r="D540" s="129" t="str">
        <f>Asset7</f>
        <v>Equity Raising Costs</v>
      </c>
      <c r="E540" s="9"/>
      <c r="F540" s="9"/>
      <c r="G540" s="196">
        <f>'Adjustment for previous period'!G436</f>
        <v>0</v>
      </c>
      <c r="H540" s="37"/>
      <c r="I540" s="37"/>
      <c r="J540" s="37"/>
      <c r="K540" s="37"/>
      <c r="L540" s="37"/>
      <c r="M540" s="37"/>
      <c r="N540" s="29"/>
      <c r="O540" s="29"/>
      <c r="P540" s="29"/>
      <c r="Q540" s="29"/>
      <c r="R540" s="29"/>
      <c r="S540" s="100"/>
      <c r="T540" s="100"/>
      <c r="U540" s="100"/>
      <c r="V540" s="100"/>
      <c r="W540" s="100"/>
      <c r="X540" s="100"/>
      <c r="Y540" s="100"/>
      <c r="Z540" s="100"/>
      <c r="AA540" s="100"/>
      <c r="AB540" s="227"/>
      <c r="AC540" s="227"/>
      <c r="AD540" s="227"/>
      <c r="AE540" s="227"/>
      <c r="AF540" s="227"/>
      <c r="AG540" s="227"/>
      <c r="AH540" s="227"/>
      <c r="AI540" s="227"/>
      <c r="AJ540" s="227"/>
      <c r="AK540" s="227"/>
      <c r="AL540" s="227"/>
      <c r="AM540" s="227"/>
      <c r="AN540" s="227"/>
      <c r="AO540" s="227"/>
      <c r="AP540" s="227"/>
      <c r="AQ540" s="227"/>
      <c r="AR540" s="227"/>
      <c r="AS540" s="227"/>
      <c r="AT540" s="227"/>
      <c r="AU540" s="227"/>
      <c r="AV540" s="227"/>
      <c r="AW540" s="227"/>
      <c r="AX540" s="227"/>
      <c r="AY540" s="227"/>
      <c r="AZ540" s="227"/>
      <c r="BA540" s="227"/>
      <c r="BB540" s="227"/>
      <c r="BC540" s="227"/>
      <c r="BD540" s="100"/>
      <c r="BE540" s="100"/>
      <c r="BF540" s="100"/>
      <c r="BG540" s="100"/>
      <c r="BH540" s="100"/>
      <c r="BI540" s="100"/>
      <c r="BJ540" s="100"/>
      <c r="BK540" s="12"/>
      <c r="BL540" s="12"/>
    </row>
    <row r="541" spans="1:64" hidden="1" outlineLevel="1">
      <c r="A541" s="9"/>
      <c r="B541" s="9"/>
      <c r="C541" s="46"/>
      <c r="D541" s="129" t="str">
        <f>Asset8</f>
        <v>Land</v>
      </c>
      <c r="E541" s="9"/>
      <c r="F541" s="9"/>
      <c r="G541" s="196">
        <f>'Adjustment for previous period'!G437</f>
        <v>0</v>
      </c>
      <c r="H541" s="37"/>
      <c r="I541" s="37"/>
      <c r="J541" s="37"/>
      <c r="K541" s="37"/>
      <c r="L541" s="37"/>
      <c r="M541" s="37"/>
      <c r="N541" s="29"/>
      <c r="O541" s="29"/>
      <c r="P541" s="29"/>
      <c r="Q541" s="29"/>
      <c r="R541" s="29"/>
      <c r="S541" s="100"/>
      <c r="T541" s="100"/>
      <c r="U541" s="100"/>
      <c r="V541" s="100"/>
      <c r="W541" s="100"/>
      <c r="X541" s="100"/>
      <c r="Y541" s="100"/>
      <c r="Z541" s="100"/>
      <c r="AA541" s="100"/>
      <c r="AB541" s="227"/>
      <c r="AC541" s="227"/>
      <c r="AD541" s="227"/>
      <c r="AE541" s="227"/>
      <c r="AF541" s="227"/>
      <c r="AG541" s="227"/>
      <c r="AH541" s="227"/>
      <c r="AI541" s="227"/>
      <c r="AJ541" s="227"/>
      <c r="AK541" s="227"/>
      <c r="AL541" s="227"/>
      <c r="AM541" s="227"/>
      <c r="AN541" s="227"/>
      <c r="AO541" s="227"/>
      <c r="AP541" s="227"/>
      <c r="AQ541" s="227"/>
      <c r="AR541" s="227"/>
      <c r="AS541" s="227"/>
      <c r="AT541" s="227"/>
      <c r="AU541" s="227"/>
      <c r="AV541" s="227"/>
      <c r="AW541" s="227"/>
      <c r="AX541" s="227"/>
      <c r="AY541" s="227"/>
      <c r="AZ541" s="227"/>
      <c r="BA541" s="227"/>
      <c r="BB541" s="227"/>
      <c r="BC541" s="227"/>
      <c r="BD541" s="100"/>
      <c r="BE541" s="100"/>
      <c r="BF541" s="100"/>
      <c r="BG541" s="100"/>
      <c r="BH541" s="100"/>
      <c r="BI541" s="100"/>
      <c r="BJ541" s="100"/>
      <c r="BK541" s="12"/>
      <c r="BL541" s="12"/>
    </row>
    <row r="542" spans="1:64" hidden="1" outlineLevel="1">
      <c r="A542" s="9"/>
      <c r="B542" s="9"/>
      <c r="C542" s="46"/>
      <c r="D542" s="129">
        <f>Asset9</f>
        <v>0</v>
      </c>
      <c r="E542" s="9"/>
      <c r="F542" s="9"/>
      <c r="G542" s="196">
        <f>'Adjustment for previous period'!G438</f>
        <v>0</v>
      </c>
      <c r="H542" s="37"/>
      <c r="I542" s="37"/>
      <c r="J542" s="37"/>
      <c r="K542" s="37"/>
      <c r="L542" s="37"/>
      <c r="M542" s="37"/>
      <c r="N542" s="29"/>
      <c r="O542" s="29"/>
      <c r="P542" s="29"/>
      <c r="Q542" s="29"/>
      <c r="R542" s="29"/>
      <c r="S542" s="100"/>
      <c r="T542" s="100"/>
      <c r="U542" s="100"/>
      <c r="V542" s="100"/>
      <c r="W542" s="100"/>
      <c r="X542" s="100"/>
      <c r="Y542" s="100"/>
      <c r="Z542" s="100"/>
      <c r="AA542" s="100"/>
      <c r="AB542" s="227"/>
      <c r="AC542" s="227"/>
      <c r="AD542" s="227"/>
      <c r="AE542" s="227"/>
      <c r="AF542" s="227"/>
      <c r="AG542" s="227"/>
      <c r="AH542" s="227"/>
      <c r="AI542" s="227"/>
      <c r="AJ542" s="227"/>
      <c r="AK542" s="227"/>
      <c r="AL542" s="227"/>
      <c r="AM542" s="227"/>
      <c r="AN542" s="227"/>
      <c r="AO542" s="227"/>
      <c r="AP542" s="227"/>
      <c r="AQ542" s="227"/>
      <c r="AR542" s="227"/>
      <c r="AS542" s="227"/>
      <c r="AT542" s="227"/>
      <c r="AU542" s="227"/>
      <c r="AV542" s="227"/>
      <c r="AW542" s="227"/>
      <c r="AX542" s="227"/>
      <c r="AY542" s="227"/>
      <c r="AZ542" s="227"/>
      <c r="BA542" s="227"/>
      <c r="BB542" s="227"/>
      <c r="BC542" s="227"/>
      <c r="BD542" s="100"/>
      <c r="BE542" s="100"/>
      <c r="BF542" s="100"/>
      <c r="BG542" s="100"/>
      <c r="BH542" s="100"/>
      <c r="BI542" s="100"/>
      <c r="BJ542" s="100"/>
      <c r="BK542" s="12"/>
      <c r="BL542" s="12"/>
    </row>
    <row r="543" spans="1:64" hidden="1" outlineLevel="1">
      <c r="A543" s="9"/>
      <c r="B543" s="9"/>
      <c r="C543" s="46"/>
      <c r="D543" s="129">
        <f>Asset10</f>
        <v>0</v>
      </c>
      <c r="E543" s="9"/>
      <c r="F543" s="9"/>
      <c r="G543" s="196">
        <f>'Adjustment for previous period'!G439</f>
        <v>0</v>
      </c>
      <c r="H543" s="37"/>
      <c r="I543" s="37"/>
      <c r="J543" s="37"/>
      <c r="K543" s="37"/>
      <c r="L543" s="37"/>
      <c r="M543" s="37"/>
      <c r="N543" s="29"/>
      <c r="O543" s="29"/>
      <c r="P543" s="29"/>
      <c r="Q543" s="29"/>
      <c r="R543" s="29"/>
      <c r="S543" s="100"/>
      <c r="T543" s="100"/>
      <c r="U543" s="100"/>
      <c r="V543" s="100"/>
      <c r="W543" s="100"/>
      <c r="X543" s="100"/>
      <c r="Y543" s="100"/>
      <c r="Z543" s="100"/>
      <c r="AA543" s="100"/>
      <c r="AB543" s="227"/>
      <c r="AC543" s="227"/>
      <c r="AD543" s="227"/>
      <c r="AE543" s="227"/>
      <c r="AF543" s="227"/>
      <c r="AG543" s="227"/>
      <c r="AH543" s="227"/>
      <c r="AI543" s="227"/>
      <c r="AJ543" s="227"/>
      <c r="AK543" s="227"/>
      <c r="AL543" s="227"/>
      <c r="AM543" s="227"/>
      <c r="AN543" s="227"/>
      <c r="AO543" s="227"/>
      <c r="AP543" s="227"/>
      <c r="AQ543" s="227"/>
      <c r="AR543" s="227"/>
      <c r="AS543" s="227"/>
      <c r="AT543" s="227"/>
      <c r="AU543" s="227"/>
      <c r="AV543" s="227"/>
      <c r="AW543" s="227"/>
      <c r="AX543" s="227"/>
      <c r="AY543" s="227"/>
      <c r="AZ543" s="227"/>
      <c r="BA543" s="227"/>
      <c r="BB543" s="227"/>
      <c r="BC543" s="227"/>
      <c r="BD543" s="100"/>
      <c r="BE543" s="100"/>
      <c r="BF543" s="100"/>
      <c r="BG543" s="100"/>
      <c r="BH543" s="100"/>
      <c r="BI543" s="100"/>
      <c r="BJ543" s="100"/>
      <c r="BK543" s="12"/>
      <c r="BL543" s="12"/>
    </row>
    <row r="544" spans="1:64" hidden="1" outlineLevel="1">
      <c r="A544" s="9"/>
      <c r="B544" s="9"/>
      <c r="C544" s="46"/>
      <c r="D544" s="129">
        <f>Asset11</f>
        <v>0</v>
      </c>
      <c r="E544" s="9"/>
      <c r="F544" s="9"/>
      <c r="G544" s="196">
        <f>'Adjustment for previous period'!G440</f>
        <v>0</v>
      </c>
      <c r="H544" s="37"/>
      <c r="I544" s="37"/>
      <c r="J544" s="37"/>
      <c r="K544" s="37"/>
      <c r="L544" s="37"/>
      <c r="M544" s="37"/>
      <c r="N544" s="29"/>
      <c r="O544" s="29"/>
      <c r="P544" s="29"/>
      <c r="Q544" s="29"/>
      <c r="R544" s="29"/>
      <c r="S544" s="100"/>
      <c r="T544" s="100"/>
      <c r="U544" s="100"/>
      <c r="V544" s="100"/>
      <c r="W544" s="100"/>
      <c r="X544" s="100"/>
      <c r="Y544" s="100"/>
      <c r="Z544" s="100"/>
      <c r="AA544" s="100"/>
      <c r="AB544" s="227"/>
      <c r="AC544" s="227"/>
      <c r="AD544" s="227"/>
      <c r="AE544" s="227"/>
      <c r="AF544" s="227"/>
      <c r="AG544" s="227"/>
      <c r="AH544" s="227"/>
      <c r="AI544" s="227"/>
      <c r="AJ544" s="227"/>
      <c r="AK544" s="227"/>
      <c r="AL544" s="227"/>
      <c r="AM544" s="227"/>
      <c r="AN544" s="227"/>
      <c r="AO544" s="227"/>
      <c r="AP544" s="227"/>
      <c r="AQ544" s="227"/>
      <c r="AR544" s="227"/>
      <c r="AS544" s="227"/>
      <c r="AT544" s="227"/>
      <c r="AU544" s="227"/>
      <c r="AV544" s="227"/>
      <c r="AW544" s="227"/>
      <c r="AX544" s="227"/>
      <c r="AY544" s="227"/>
      <c r="AZ544" s="227"/>
      <c r="BA544" s="227"/>
      <c r="BB544" s="227"/>
      <c r="BC544" s="227"/>
      <c r="BD544" s="100"/>
      <c r="BE544" s="100"/>
      <c r="BF544" s="100"/>
      <c r="BG544" s="100"/>
      <c r="BH544" s="100"/>
      <c r="BI544" s="100"/>
      <c r="BJ544" s="100"/>
      <c r="BK544" s="12"/>
      <c r="BL544" s="12"/>
    </row>
    <row r="545" spans="1:64" hidden="1" outlineLevel="1">
      <c r="A545" s="9"/>
      <c r="B545" s="9"/>
      <c r="C545" s="46"/>
      <c r="D545" s="129">
        <f>Asset12</f>
        <v>0</v>
      </c>
      <c r="E545" s="9"/>
      <c r="F545" s="9"/>
      <c r="G545" s="196">
        <f>'Adjustment for previous period'!G441</f>
        <v>0</v>
      </c>
      <c r="H545" s="37"/>
      <c r="I545" s="37"/>
      <c r="J545" s="37"/>
      <c r="K545" s="37"/>
      <c r="L545" s="37"/>
      <c r="M545" s="37"/>
      <c r="N545" s="29"/>
      <c r="O545" s="29"/>
      <c r="P545" s="29"/>
      <c r="Q545" s="29"/>
      <c r="R545" s="29"/>
      <c r="S545" s="100"/>
      <c r="T545" s="100"/>
      <c r="U545" s="100"/>
      <c r="V545" s="100"/>
      <c r="W545" s="100"/>
      <c r="X545" s="100"/>
      <c r="Y545" s="100"/>
      <c r="Z545" s="100"/>
      <c r="AA545" s="100"/>
      <c r="AB545" s="227"/>
      <c r="AC545" s="227"/>
      <c r="AD545" s="227"/>
      <c r="AE545" s="227"/>
      <c r="AF545" s="227"/>
      <c r="AG545" s="227"/>
      <c r="AH545" s="227"/>
      <c r="AI545" s="227"/>
      <c r="AJ545" s="227"/>
      <c r="AK545" s="227"/>
      <c r="AL545" s="227"/>
      <c r="AM545" s="227"/>
      <c r="AN545" s="227"/>
      <c r="AO545" s="227"/>
      <c r="AP545" s="227"/>
      <c r="AQ545" s="227"/>
      <c r="AR545" s="227"/>
      <c r="AS545" s="227"/>
      <c r="AT545" s="227"/>
      <c r="AU545" s="227"/>
      <c r="AV545" s="227"/>
      <c r="AW545" s="227"/>
      <c r="AX545" s="227"/>
      <c r="AY545" s="227"/>
      <c r="AZ545" s="227"/>
      <c r="BA545" s="227"/>
      <c r="BB545" s="227"/>
      <c r="BC545" s="227"/>
      <c r="BD545" s="100"/>
      <c r="BE545" s="100"/>
      <c r="BF545" s="100"/>
      <c r="BG545" s="100"/>
      <c r="BH545" s="100"/>
      <c r="BI545" s="100"/>
      <c r="BJ545" s="100"/>
      <c r="BK545" s="12"/>
      <c r="BL545" s="12"/>
    </row>
    <row r="546" spans="1:64" hidden="1" outlineLevel="1">
      <c r="A546" s="9"/>
      <c r="B546" s="9"/>
      <c r="C546" s="46"/>
      <c r="D546" s="129">
        <f>Asset13</f>
        <v>0</v>
      </c>
      <c r="E546" s="9"/>
      <c r="F546" s="9"/>
      <c r="G546" s="196">
        <f>'Adjustment for previous period'!G442</f>
        <v>0</v>
      </c>
      <c r="H546" s="37"/>
      <c r="I546" s="37"/>
      <c r="J546" s="37"/>
      <c r="K546" s="37"/>
      <c r="L546" s="37"/>
      <c r="M546" s="37"/>
      <c r="N546" s="29"/>
      <c r="O546" s="29"/>
      <c r="P546" s="29"/>
      <c r="Q546" s="29"/>
      <c r="R546" s="29"/>
      <c r="S546" s="100"/>
      <c r="T546" s="100"/>
      <c r="U546" s="100"/>
      <c r="V546" s="100"/>
      <c r="W546" s="100"/>
      <c r="X546" s="100"/>
      <c r="Y546" s="100"/>
      <c r="Z546" s="100"/>
      <c r="AA546" s="100"/>
      <c r="AB546" s="227"/>
      <c r="AC546" s="227"/>
      <c r="AD546" s="227"/>
      <c r="AE546" s="227"/>
      <c r="AF546" s="227"/>
      <c r="AG546" s="227"/>
      <c r="AH546" s="227"/>
      <c r="AI546" s="227"/>
      <c r="AJ546" s="227"/>
      <c r="AK546" s="227"/>
      <c r="AL546" s="227"/>
      <c r="AM546" s="227"/>
      <c r="AN546" s="227"/>
      <c r="AO546" s="227"/>
      <c r="AP546" s="227"/>
      <c r="AQ546" s="227"/>
      <c r="AR546" s="227"/>
      <c r="AS546" s="227"/>
      <c r="AT546" s="227"/>
      <c r="AU546" s="227"/>
      <c r="AV546" s="227"/>
      <c r="AW546" s="227"/>
      <c r="AX546" s="227"/>
      <c r="AY546" s="227"/>
      <c r="AZ546" s="227"/>
      <c r="BA546" s="227"/>
      <c r="BB546" s="227"/>
      <c r="BC546" s="227"/>
      <c r="BD546" s="100"/>
      <c r="BE546" s="100"/>
      <c r="BF546" s="100"/>
      <c r="BG546" s="100"/>
      <c r="BH546" s="100"/>
      <c r="BI546" s="100"/>
      <c r="BJ546" s="100"/>
      <c r="BK546" s="12"/>
      <c r="BL546" s="12"/>
    </row>
    <row r="547" spans="1:64" hidden="1" outlineLevel="1">
      <c r="A547" s="9"/>
      <c r="B547" s="9"/>
      <c r="C547" s="46"/>
      <c r="D547" s="129">
        <f>Asset14</f>
        <v>0</v>
      </c>
      <c r="E547" s="9"/>
      <c r="F547" s="9"/>
      <c r="G547" s="196">
        <f>'Adjustment for previous period'!G443</f>
        <v>0</v>
      </c>
      <c r="H547" s="37"/>
      <c r="I547" s="37"/>
      <c r="J547" s="37"/>
      <c r="K547" s="37"/>
      <c r="L547" s="37"/>
      <c r="M547" s="37"/>
      <c r="N547" s="29"/>
      <c r="O547" s="29"/>
      <c r="P547" s="29"/>
      <c r="Q547" s="29"/>
      <c r="R547" s="29"/>
      <c r="S547" s="100"/>
      <c r="T547" s="100"/>
      <c r="U547" s="100"/>
      <c r="V547" s="100"/>
      <c r="W547" s="100"/>
      <c r="X547" s="100"/>
      <c r="Y547" s="100"/>
      <c r="Z547" s="100"/>
      <c r="AA547" s="100"/>
      <c r="AB547" s="227"/>
      <c r="AC547" s="227"/>
      <c r="AD547" s="227"/>
      <c r="AE547" s="227"/>
      <c r="AF547" s="227"/>
      <c r="AG547" s="227"/>
      <c r="AH547" s="227"/>
      <c r="AI547" s="227"/>
      <c r="AJ547" s="227"/>
      <c r="AK547" s="227"/>
      <c r="AL547" s="227"/>
      <c r="AM547" s="227"/>
      <c r="AN547" s="227"/>
      <c r="AO547" s="227"/>
      <c r="AP547" s="227"/>
      <c r="AQ547" s="227"/>
      <c r="AR547" s="227"/>
      <c r="AS547" s="227"/>
      <c r="AT547" s="227"/>
      <c r="AU547" s="227"/>
      <c r="AV547" s="227"/>
      <c r="AW547" s="227"/>
      <c r="AX547" s="227"/>
      <c r="AY547" s="227"/>
      <c r="AZ547" s="227"/>
      <c r="BA547" s="227"/>
      <c r="BB547" s="227"/>
      <c r="BC547" s="227"/>
      <c r="BD547" s="100"/>
      <c r="BE547" s="100"/>
      <c r="BF547" s="100"/>
      <c r="BG547" s="100"/>
      <c r="BH547" s="100"/>
      <c r="BI547" s="100"/>
      <c r="BJ547" s="100"/>
      <c r="BK547" s="12"/>
      <c r="BL547" s="12"/>
    </row>
    <row r="548" spans="1:64" hidden="1" outlineLevel="1">
      <c r="A548" s="9"/>
      <c r="B548" s="9"/>
      <c r="C548" s="46"/>
      <c r="D548" s="129">
        <f>Asset15</f>
        <v>0</v>
      </c>
      <c r="E548" s="9"/>
      <c r="F548" s="9"/>
      <c r="G548" s="196">
        <f>'Adjustment for previous period'!G444</f>
        <v>0</v>
      </c>
      <c r="H548" s="37"/>
      <c r="I548" s="37"/>
      <c r="J548" s="37"/>
      <c r="K548" s="37"/>
      <c r="L548" s="37"/>
      <c r="M548" s="37"/>
      <c r="N548" s="29"/>
      <c r="O548" s="29"/>
      <c r="P548" s="29"/>
      <c r="Q548" s="29"/>
      <c r="R548" s="29"/>
      <c r="S548" s="100"/>
      <c r="T548" s="100"/>
      <c r="U548" s="100"/>
      <c r="V548" s="100"/>
      <c r="W548" s="100"/>
      <c r="X548" s="100"/>
      <c r="Y548" s="100"/>
      <c r="Z548" s="100"/>
      <c r="AA548" s="100"/>
      <c r="AB548" s="227"/>
      <c r="AC548" s="227"/>
      <c r="AD548" s="227"/>
      <c r="AE548" s="227"/>
      <c r="AF548" s="227"/>
      <c r="AG548" s="227"/>
      <c r="AH548" s="227"/>
      <c r="AI548" s="227"/>
      <c r="AJ548" s="227"/>
      <c r="AK548" s="227"/>
      <c r="AL548" s="227"/>
      <c r="AM548" s="227"/>
      <c r="AN548" s="227"/>
      <c r="AO548" s="227"/>
      <c r="AP548" s="227"/>
      <c r="AQ548" s="227"/>
      <c r="AR548" s="227"/>
      <c r="AS548" s="227"/>
      <c r="AT548" s="227"/>
      <c r="AU548" s="227"/>
      <c r="AV548" s="227"/>
      <c r="AW548" s="227"/>
      <c r="AX548" s="227"/>
      <c r="AY548" s="227"/>
      <c r="AZ548" s="227"/>
      <c r="BA548" s="227"/>
      <c r="BB548" s="227"/>
      <c r="BC548" s="227"/>
      <c r="BD548" s="100"/>
      <c r="BE548" s="100"/>
      <c r="BF548" s="100"/>
      <c r="BG548" s="100"/>
      <c r="BH548" s="100"/>
      <c r="BI548" s="100"/>
      <c r="BJ548" s="100"/>
      <c r="BK548" s="12"/>
      <c r="BL548" s="12"/>
    </row>
    <row r="549" spans="1:64" hidden="1" outlineLevel="1">
      <c r="A549" s="9"/>
      <c r="B549" s="9"/>
      <c r="C549" s="46"/>
      <c r="D549" s="129">
        <f>Asset16</f>
        <v>0</v>
      </c>
      <c r="E549" s="9"/>
      <c r="F549" s="9"/>
      <c r="G549" s="196">
        <f>'Adjustment for previous period'!G445</f>
        <v>0</v>
      </c>
      <c r="H549" s="37"/>
      <c r="I549" s="37"/>
      <c r="J549" s="37"/>
      <c r="K549" s="37"/>
      <c r="L549" s="37"/>
      <c r="M549" s="37"/>
      <c r="N549" s="29"/>
      <c r="O549" s="29"/>
      <c r="P549" s="29"/>
      <c r="Q549" s="29"/>
      <c r="R549" s="29"/>
      <c r="S549" s="100"/>
      <c r="T549" s="100"/>
      <c r="U549" s="100"/>
      <c r="V549" s="100"/>
      <c r="W549" s="100"/>
      <c r="X549" s="100"/>
      <c r="Y549" s="100"/>
      <c r="Z549" s="100"/>
      <c r="AA549" s="100"/>
      <c r="AB549" s="227"/>
      <c r="AC549" s="227"/>
      <c r="AD549" s="227"/>
      <c r="AE549" s="227"/>
      <c r="AF549" s="227"/>
      <c r="AG549" s="227"/>
      <c r="AH549" s="227"/>
      <c r="AI549" s="227"/>
      <c r="AJ549" s="227"/>
      <c r="AK549" s="227"/>
      <c r="AL549" s="227"/>
      <c r="AM549" s="227"/>
      <c r="AN549" s="227"/>
      <c r="AO549" s="227"/>
      <c r="AP549" s="227"/>
      <c r="AQ549" s="227"/>
      <c r="AR549" s="227"/>
      <c r="AS549" s="227"/>
      <c r="AT549" s="227"/>
      <c r="AU549" s="227"/>
      <c r="AV549" s="227"/>
      <c r="AW549" s="227"/>
      <c r="AX549" s="227"/>
      <c r="AY549" s="227"/>
      <c r="AZ549" s="227"/>
      <c r="BA549" s="227"/>
      <c r="BB549" s="227"/>
      <c r="BC549" s="227"/>
      <c r="BD549" s="100"/>
      <c r="BE549" s="100"/>
      <c r="BF549" s="100"/>
      <c r="BG549" s="100"/>
      <c r="BH549" s="100"/>
      <c r="BI549" s="100"/>
      <c r="BJ549" s="100"/>
      <c r="BK549" s="12"/>
      <c r="BL549" s="12"/>
    </row>
    <row r="550" spans="1:64" hidden="1" outlineLevel="1">
      <c r="A550" s="9"/>
      <c r="B550" s="9"/>
      <c r="C550" s="46"/>
      <c r="D550" s="129">
        <f>Asset17</f>
        <v>0</v>
      </c>
      <c r="E550" s="9"/>
      <c r="F550" s="9"/>
      <c r="G550" s="196">
        <f>'Adjustment for previous period'!G446</f>
        <v>0</v>
      </c>
      <c r="H550" s="37"/>
      <c r="I550" s="37"/>
      <c r="J550" s="37"/>
      <c r="K550" s="37"/>
      <c r="L550" s="37"/>
      <c r="M550" s="37"/>
      <c r="N550" s="29"/>
      <c r="O550" s="29"/>
      <c r="P550" s="29"/>
      <c r="Q550" s="29"/>
      <c r="R550" s="29"/>
      <c r="S550" s="100"/>
      <c r="T550" s="100"/>
      <c r="U550" s="100"/>
      <c r="V550" s="100"/>
      <c r="W550" s="100"/>
      <c r="X550" s="100"/>
      <c r="Y550" s="100"/>
      <c r="Z550" s="100"/>
      <c r="AA550" s="100"/>
      <c r="AB550" s="227"/>
      <c r="AC550" s="227"/>
      <c r="AD550" s="227"/>
      <c r="AE550" s="227"/>
      <c r="AF550" s="227"/>
      <c r="AG550" s="227"/>
      <c r="AH550" s="227"/>
      <c r="AI550" s="227"/>
      <c r="AJ550" s="227"/>
      <c r="AK550" s="227"/>
      <c r="AL550" s="227"/>
      <c r="AM550" s="227"/>
      <c r="AN550" s="227"/>
      <c r="AO550" s="227"/>
      <c r="AP550" s="227"/>
      <c r="AQ550" s="227"/>
      <c r="AR550" s="227"/>
      <c r="AS550" s="227"/>
      <c r="AT550" s="227"/>
      <c r="AU550" s="227"/>
      <c r="AV550" s="227"/>
      <c r="AW550" s="227"/>
      <c r="AX550" s="227"/>
      <c r="AY550" s="227"/>
      <c r="AZ550" s="227"/>
      <c r="BA550" s="227"/>
      <c r="BB550" s="227"/>
      <c r="BC550" s="227"/>
      <c r="BD550" s="100"/>
      <c r="BE550" s="100"/>
      <c r="BF550" s="100"/>
      <c r="BG550" s="100"/>
      <c r="BH550" s="100"/>
      <c r="BI550" s="100"/>
      <c r="BJ550" s="100"/>
      <c r="BK550" s="12"/>
      <c r="BL550" s="12"/>
    </row>
    <row r="551" spans="1:64" hidden="1" outlineLevel="1">
      <c r="A551" s="9"/>
      <c r="B551" s="9"/>
      <c r="C551" s="46"/>
      <c r="D551" s="129">
        <f>Asset18</f>
        <v>0</v>
      </c>
      <c r="E551" s="9"/>
      <c r="F551" s="9"/>
      <c r="G551" s="196">
        <f>'Adjustment for previous period'!G447</f>
        <v>0</v>
      </c>
      <c r="H551" s="37"/>
      <c r="I551" s="37"/>
      <c r="J551" s="37"/>
      <c r="K551" s="37"/>
      <c r="L551" s="37"/>
      <c r="M551" s="37"/>
      <c r="N551" s="29"/>
      <c r="O551" s="29"/>
      <c r="P551" s="29"/>
      <c r="Q551" s="29"/>
      <c r="R551" s="29"/>
      <c r="S551" s="100"/>
      <c r="T551" s="100"/>
      <c r="U551" s="100"/>
      <c r="V551" s="100"/>
      <c r="W551" s="100"/>
      <c r="X551" s="100"/>
      <c r="Y551" s="100"/>
      <c r="Z551" s="100"/>
      <c r="AA551" s="100"/>
      <c r="AB551" s="227"/>
      <c r="AC551" s="227"/>
      <c r="AD551" s="227"/>
      <c r="AE551" s="227"/>
      <c r="AF551" s="227"/>
      <c r="AG551" s="227"/>
      <c r="AH551" s="227"/>
      <c r="AI551" s="227"/>
      <c r="AJ551" s="227"/>
      <c r="AK551" s="227"/>
      <c r="AL551" s="227"/>
      <c r="AM551" s="227"/>
      <c r="AN551" s="227"/>
      <c r="AO551" s="227"/>
      <c r="AP551" s="227"/>
      <c r="AQ551" s="227"/>
      <c r="AR551" s="227"/>
      <c r="AS551" s="227"/>
      <c r="AT551" s="227"/>
      <c r="AU551" s="227"/>
      <c r="AV551" s="227"/>
      <c r="AW551" s="227"/>
      <c r="AX551" s="227"/>
      <c r="AY551" s="227"/>
      <c r="AZ551" s="227"/>
      <c r="BA551" s="227"/>
      <c r="BB551" s="227"/>
      <c r="BC551" s="227"/>
      <c r="BD551" s="100"/>
      <c r="BE551" s="100"/>
      <c r="BF551" s="100"/>
      <c r="BG551" s="100"/>
      <c r="BH551" s="100"/>
      <c r="BI551" s="100"/>
      <c r="BJ551" s="100"/>
      <c r="BK551" s="12"/>
      <c r="BL551" s="12"/>
    </row>
    <row r="552" spans="1:64" hidden="1" outlineLevel="1">
      <c r="A552" s="9"/>
      <c r="B552" s="9"/>
      <c r="C552" s="46"/>
      <c r="D552" s="129">
        <f>Asset19</f>
        <v>0</v>
      </c>
      <c r="E552" s="9"/>
      <c r="F552" s="9"/>
      <c r="G552" s="196">
        <f>'Adjustment for previous period'!G448</f>
        <v>0</v>
      </c>
      <c r="H552" s="37"/>
      <c r="I552" s="37"/>
      <c r="J552" s="37"/>
      <c r="K552" s="37"/>
      <c r="L552" s="37"/>
      <c r="M552" s="37"/>
      <c r="N552" s="29"/>
      <c r="O552" s="29"/>
      <c r="P552" s="29"/>
      <c r="Q552" s="29"/>
      <c r="R552" s="29"/>
      <c r="S552" s="100"/>
      <c r="T552" s="100"/>
      <c r="U552" s="100"/>
      <c r="V552" s="100"/>
      <c r="W552" s="100"/>
      <c r="X552" s="100"/>
      <c r="Y552" s="100"/>
      <c r="Z552" s="100"/>
      <c r="AA552" s="100"/>
      <c r="AB552" s="227"/>
      <c r="AC552" s="227"/>
      <c r="AD552" s="227"/>
      <c r="AE552" s="227"/>
      <c r="AF552" s="227"/>
      <c r="AG552" s="227"/>
      <c r="AH552" s="227"/>
      <c r="AI552" s="227"/>
      <c r="AJ552" s="227"/>
      <c r="AK552" s="227"/>
      <c r="AL552" s="227"/>
      <c r="AM552" s="227"/>
      <c r="AN552" s="227"/>
      <c r="AO552" s="227"/>
      <c r="AP552" s="227"/>
      <c r="AQ552" s="227"/>
      <c r="AR552" s="227"/>
      <c r="AS552" s="227"/>
      <c r="AT552" s="227"/>
      <c r="AU552" s="227"/>
      <c r="AV552" s="227"/>
      <c r="AW552" s="227"/>
      <c r="AX552" s="227"/>
      <c r="AY552" s="227"/>
      <c r="AZ552" s="227"/>
      <c r="BA552" s="227"/>
      <c r="BB552" s="227"/>
      <c r="BC552" s="227"/>
      <c r="BD552" s="100"/>
      <c r="BE552" s="100"/>
      <c r="BF552" s="100"/>
      <c r="BG552" s="100"/>
      <c r="BH552" s="100"/>
      <c r="BI552" s="100"/>
      <c r="BJ552" s="100"/>
      <c r="BK552" s="12"/>
      <c r="BL552" s="12"/>
    </row>
    <row r="553" spans="1:64" hidden="1" outlineLevel="1">
      <c r="A553" s="9"/>
      <c r="B553" s="9"/>
      <c r="C553" s="46"/>
      <c r="D553" s="129">
        <f>Asset20</f>
        <v>0</v>
      </c>
      <c r="E553" s="9"/>
      <c r="F553" s="9"/>
      <c r="G553" s="196">
        <f>'Adjustment for previous period'!G449</f>
        <v>0</v>
      </c>
      <c r="H553" s="37"/>
      <c r="I553" s="37"/>
      <c r="J553" s="37"/>
      <c r="K553" s="37"/>
      <c r="L553" s="37"/>
      <c r="M553" s="37"/>
      <c r="N553" s="29"/>
      <c r="O553" s="29"/>
      <c r="P553" s="29"/>
      <c r="Q553" s="29"/>
      <c r="R553" s="29"/>
      <c r="S553" s="100"/>
      <c r="T553" s="100"/>
      <c r="U553" s="100"/>
      <c r="V553" s="100"/>
      <c r="W553" s="100"/>
      <c r="X553" s="100"/>
      <c r="Y553" s="100"/>
      <c r="Z553" s="100"/>
      <c r="AA553" s="100"/>
      <c r="AB553" s="227"/>
      <c r="AC553" s="227"/>
      <c r="AD553" s="227"/>
      <c r="AE553" s="227"/>
      <c r="AF553" s="227"/>
      <c r="AG553" s="227"/>
      <c r="AH553" s="227"/>
      <c r="AI553" s="227"/>
      <c r="AJ553" s="227"/>
      <c r="AK553" s="227"/>
      <c r="AL553" s="227"/>
      <c r="AM553" s="227"/>
      <c r="AN553" s="227"/>
      <c r="AO553" s="227"/>
      <c r="AP553" s="227"/>
      <c r="AQ553" s="227"/>
      <c r="AR553" s="227"/>
      <c r="AS553" s="227"/>
      <c r="AT553" s="227"/>
      <c r="AU553" s="227"/>
      <c r="AV553" s="227"/>
      <c r="AW553" s="227"/>
      <c r="AX553" s="227"/>
      <c r="AY553" s="227"/>
      <c r="AZ553" s="227"/>
      <c r="BA553" s="227"/>
      <c r="BB553" s="227"/>
      <c r="BC553" s="227"/>
      <c r="BD553" s="100"/>
      <c r="BE553" s="100"/>
      <c r="BF553" s="100"/>
      <c r="BG553" s="100"/>
      <c r="BH553" s="100"/>
      <c r="BI553" s="100"/>
      <c r="BJ553" s="100"/>
      <c r="BK553" s="12"/>
      <c r="BL553" s="12"/>
    </row>
    <row r="554" spans="1:64" hidden="1" outlineLevel="1">
      <c r="A554" s="9"/>
      <c r="B554" s="9"/>
      <c r="C554" s="46"/>
      <c r="D554" s="129">
        <f>Asset21</f>
        <v>0</v>
      </c>
      <c r="E554" s="9"/>
      <c r="F554" s="9"/>
      <c r="G554" s="196">
        <f>'Adjustment for previous period'!G450</f>
        <v>0</v>
      </c>
      <c r="H554" s="37"/>
      <c r="I554" s="37"/>
      <c r="J554" s="37"/>
      <c r="K554" s="37"/>
      <c r="L554" s="37"/>
      <c r="M554" s="37"/>
      <c r="N554" s="29"/>
      <c r="O554" s="29"/>
      <c r="P554" s="29"/>
      <c r="Q554" s="29"/>
      <c r="R554" s="29"/>
      <c r="S554" s="100"/>
      <c r="T554" s="100"/>
      <c r="U554" s="100"/>
      <c r="V554" s="100"/>
      <c r="W554" s="100"/>
      <c r="X554" s="100"/>
      <c r="Y554" s="100"/>
      <c r="Z554" s="100"/>
      <c r="AA554" s="100"/>
      <c r="AB554" s="227"/>
      <c r="AC554" s="227"/>
      <c r="AD554" s="227"/>
      <c r="AE554" s="227"/>
      <c r="AF554" s="227"/>
      <c r="AG554" s="227"/>
      <c r="AH554" s="227"/>
      <c r="AI554" s="227"/>
      <c r="AJ554" s="227"/>
      <c r="AK554" s="227"/>
      <c r="AL554" s="227"/>
      <c r="AM554" s="227"/>
      <c r="AN554" s="227"/>
      <c r="AO554" s="227"/>
      <c r="AP554" s="227"/>
      <c r="AQ554" s="227"/>
      <c r="AR554" s="227"/>
      <c r="AS554" s="227"/>
      <c r="AT554" s="227"/>
      <c r="AU554" s="227"/>
      <c r="AV554" s="227"/>
      <c r="AW554" s="227"/>
      <c r="AX554" s="227"/>
      <c r="AY554" s="227"/>
      <c r="AZ554" s="227"/>
      <c r="BA554" s="227"/>
      <c r="BB554" s="227"/>
      <c r="BC554" s="227"/>
      <c r="BD554" s="100"/>
      <c r="BE554" s="100"/>
      <c r="BF554" s="100"/>
      <c r="BG554" s="100"/>
      <c r="BH554" s="100"/>
      <c r="BI554" s="100"/>
      <c r="BJ554" s="100"/>
      <c r="BK554" s="12"/>
      <c r="BL554" s="12"/>
    </row>
    <row r="555" spans="1:64" hidden="1" outlineLevel="1">
      <c r="A555" s="9"/>
      <c r="B555" s="9"/>
      <c r="C555" s="46"/>
      <c r="D555" s="129">
        <f>Asset22</f>
        <v>0</v>
      </c>
      <c r="E555" s="9"/>
      <c r="F555" s="9"/>
      <c r="G555" s="196">
        <f>'Adjustment for previous period'!G451</f>
        <v>0</v>
      </c>
      <c r="H555" s="37"/>
      <c r="I555" s="37"/>
      <c r="J555" s="37"/>
      <c r="K555" s="37"/>
      <c r="L555" s="37"/>
      <c r="M555" s="37"/>
      <c r="N555" s="29"/>
      <c r="O555" s="29"/>
      <c r="P555" s="29"/>
      <c r="Q555" s="29"/>
      <c r="R555" s="29"/>
      <c r="S555" s="100"/>
      <c r="T555" s="100"/>
      <c r="U555" s="100"/>
      <c r="V555" s="100"/>
      <c r="W555" s="100"/>
      <c r="X555" s="100"/>
      <c r="Y555" s="100"/>
      <c r="Z555" s="100"/>
      <c r="AA555" s="100"/>
      <c r="AB555" s="227"/>
      <c r="AC555" s="227"/>
      <c r="AD555" s="227"/>
      <c r="AE555" s="227"/>
      <c r="AF555" s="227"/>
      <c r="AG555" s="227"/>
      <c r="AH555" s="227"/>
      <c r="AI555" s="227"/>
      <c r="AJ555" s="227"/>
      <c r="AK555" s="227"/>
      <c r="AL555" s="227"/>
      <c r="AM555" s="227"/>
      <c r="AN555" s="227"/>
      <c r="AO555" s="227"/>
      <c r="AP555" s="227"/>
      <c r="AQ555" s="227"/>
      <c r="AR555" s="227"/>
      <c r="AS555" s="227"/>
      <c r="AT555" s="227"/>
      <c r="AU555" s="227"/>
      <c r="AV555" s="227"/>
      <c r="AW555" s="227"/>
      <c r="AX555" s="227"/>
      <c r="AY555" s="227"/>
      <c r="AZ555" s="227"/>
      <c r="BA555" s="227"/>
      <c r="BB555" s="227"/>
      <c r="BC555" s="227"/>
      <c r="BD555" s="100"/>
      <c r="BE555" s="100"/>
      <c r="BF555" s="100"/>
      <c r="BG555" s="100"/>
      <c r="BH555" s="100"/>
      <c r="BI555" s="100"/>
      <c r="BJ555" s="100"/>
      <c r="BK555" s="12"/>
      <c r="BL555" s="12"/>
    </row>
    <row r="556" spans="1:64" hidden="1" outlineLevel="1">
      <c r="A556" s="9"/>
      <c r="B556" s="9"/>
      <c r="C556" s="46"/>
      <c r="D556" s="129">
        <f>Asset23</f>
        <v>0</v>
      </c>
      <c r="E556" s="9"/>
      <c r="F556" s="9"/>
      <c r="G556" s="196">
        <f>'Adjustment for previous period'!G452</f>
        <v>0</v>
      </c>
      <c r="H556" s="37"/>
      <c r="I556" s="37"/>
      <c r="J556" s="37"/>
      <c r="K556" s="37"/>
      <c r="L556" s="37"/>
      <c r="M556" s="37"/>
      <c r="N556" s="29"/>
      <c r="O556" s="29"/>
      <c r="P556" s="29"/>
      <c r="Q556" s="29"/>
      <c r="R556" s="29"/>
      <c r="S556" s="100"/>
      <c r="T556" s="100"/>
      <c r="U556" s="100"/>
      <c r="V556" s="100"/>
      <c r="W556" s="100"/>
      <c r="X556" s="100"/>
      <c r="Y556" s="100"/>
      <c r="Z556" s="100"/>
      <c r="AA556" s="100"/>
      <c r="AB556" s="227"/>
      <c r="AC556" s="227"/>
      <c r="AD556" s="227"/>
      <c r="AE556" s="227"/>
      <c r="AF556" s="227"/>
      <c r="AG556" s="227"/>
      <c r="AH556" s="227"/>
      <c r="AI556" s="227"/>
      <c r="AJ556" s="227"/>
      <c r="AK556" s="227"/>
      <c r="AL556" s="227"/>
      <c r="AM556" s="227"/>
      <c r="AN556" s="227"/>
      <c r="AO556" s="227"/>
      <c r="AP556" s="227"/>
      <c r="AQ556" s="227"/>
      <c r="AR556" s="227"/>
      <c r="AS556" s="227"/>
      <c r="AT556" s="227"/>
      <c r="AU556" s="227"/>
      <c r="AV556" s="227"/>
      <c r="AW556" s="227"/>
      <c r="AX556" s="227"/>
      <c r="AY556" s="227"/>
      <c r="AZ556" s="227"/>
      <c r="BA556" s="227"/>
      <c r="BB556" s="227"/>
      <c r="BC556" s="227"/>
      <c r="BD556" s="100"/>
      <c r="BE556" s="100"/>
      <c r="BF556" s="100"/>
      <c r="BG556" s="100"/>
      <c r="BH556" s="100"/>
      <c r="BI556" s="100"/>
      <c r="BJ556" s="100"/>
      <c r="BK556" s="12"/>
      <c r="BL556" s="12"/>
    </row>
    <row r="557" spans="1:64" hidden="1" outlineLevel="1">
      <c r="A557" s="9"/>
      <c r="B557" s="9"/>
      <c r="C557" s="46"/>
      <c r="D557" s="129">
        <f>Asset24</f>
        <v>0</v>
      </c>
      <c r="E557" s="9"/>
      <c r="F557" s="9"/>
      <c r="G557" s="196">
        <f>'Adjustment for previous period'!G453</f>
        <v>0</v>
      </c>
      <c r="H557" s="37"/>
      <c r="I557" s="37"/>
      <c r="J557" s="37"/>
      <c r="K557" s="37"/>
      <c r="L557" s="37"/>
      <c r="M557" s="37"/>
      <c r="N557" s="29"/>
      <c r="O557" s="29"/>
      <c r="P557" s="29"/>
      <c r="Q557" s="29"/>
      <c r="R557" s="29"/>
      <c r="S557" s="100"/>
      <c r="T557" s="100"/>
      <c r="U557" s="100"/>
      <c r="V557" s="100"/>
      <c r="W557" s="100"/>
      <c r="X557" s="100"/>
      <c r="Y557" s="100"/>
      <c r="Z557" s="100"/>
      <c r="AA557" s="100"/>
      <c r="AB557" s="227"/>
      <c r="AC557" s="227"/>
      <c r="AD557" s="227"/>
      <c r="AE557" s="227"/>
      <c r="AF557" s="227"/>
      <c r="AG557" s="227"/>
      <c r="AH557" s="227"/>
      <c r="AI557" s="227"/>
      <c r="AJ557" s="227"/>
      <c r="AK557" s="227"/>
      <c r="AL557" s="227"/>
      <c r="AM557" s="227"/>
      <c r="AN557" s="227"/>
      <c r="AO557" s="227"/>
      <c r="AP557" s="227"/>
      <c r="AQ557" s="227"/>
      <c r="AR557" s="227"/>
      <c r="AS557" s="227"/>
      <c r="AT557" s="227"/>
      <c r="AU557" s="227"/>
      <c r="AV557" s="227"/>
      <c r="AW557" s="227"/>
      <c r="AX557" s="227"/>
      <c r="AY557" s="227"/>
      <c r="AZ557" s="227"/>
      <c r="BA557" s="227"/>
      <c r="BB557" s="227"/>
      <c r="BC557" s="227"/>
      <c r="BD557" s="100"/>
      <c r="BE557" s="100"/>
      <c r="BF557" s="100"/>
      <c r="BG557" s="100"/>
      <c r="BH557" s="100"/>
      <c r="BI557" s="100"/>
      <c r="BJ557" s="100"/>
      <c r="BK557" s="12"/>
      <c r="BL557" s="12"/>
    </row>
    <row r="558" spans="1:64" hidden="1" outlineLevel="1">
      <c r="A558" s="9"/>
      <c r="B558" s="9"/>
      <c r="C558" s="46"/>
      <c r="D558" s="129">
        <f>Asset25</f>
        <v>0</v>
      </c>
      <c r="E558" s="9"/>
      <c r="F558" s="9"/>
      <c r="G558" s="196">
        <f>'Adjustment for previous period'!G454</f>
        <v>0</v>
      </c>
      <c r="H558" s="37"/>
      <c r="I558" s="37"/>
      <c r="J558" s="37"/>
      <c r="K558" s="37"/>
      <c r="L558" s="37"/>
      <c r="M558" s="37"/>
      <c r="N558" s="29"/>
      <c r="O558" s="29"/>
      <c r="P558" s="29"/>
      <c r="Q558" s="29"/>
      <c r="R558" s="29"/>
      <c r="S558" s="100"/>
      <c r="T558" s="100"/>
      <c r="U558" s="100"/>
      <c r="V558" s="100"/>
      <c r="W558" s="100"/>
      <c r="X558" s="100"/>
      <c r="Y558" s="100"/>
      <c r="Z558" s="100"/>
      <c r="AA558" s="100"/>
      <c r="AB558" s="227"/>
      <c r="AC558" s="227"/>
      <c r="AD558" s="227"/>
      <c r="AE558" s="227"/>
      <c r="AF558" s="227"/>
      <c r="AG558" s="227"/>
      <c r="AH558" s="227"/>
      <c r="AI558" s="227"/>
      <c r="AJ558" s="227"/>
      <c r="AK558" s="227"/>
      <c r="AL558" s="227"/>
      <c r="AM558" s="227"/>
      <c r="AN558" s="227"/>
      <c r="AO558" s="227"/>
      <c r="AP558" s="227"/>
      <c r="AQ558" s="227"/>
      <c r="AR558" s="227"/>
      <c r="AS558" s="227"/>
      <c r="AT558" s="227"/>
      <c r="AU558" s="227"/>
      <c r="AV558" s="227"/>
      <c r="AW558" s="227"/>
      <c r="AX558" s="227"/>
      <c r="AY558" s="227"/>
      <c r="AZ558" s="227"/>
      <c r="BA558" s="227"/>
      <c r="BB558" s="227"/>
      <c r="BC558" s="227"/>
      <c r="BD558" s="100"/>
      <c r="BE558" s="100"/>
      <c r="BF558" s="100"/>
      <c r="BG558" s="100"/>
      <c r="BH558" s="100"/>
      <c r="BI558" s="100"/>
      <c r="BJ558" s="100"/>
      <c r="BK558" s="12"/>
      <c r="BL558" s="12"/>
    </row>
    <row r="559" spans="1:64" hidden="1" outlineLevel="1">
      <c r="A559" s="9"/>
      <c r="B559" s="9"/>
      <c r="C559" s="46"/>
      <c r="D559" s="129">
        <f>Asset26</f>
        <v>0</v>
      </c>
      <c r="E559" s="9"/>
      <c r="F559" s="9"/>
      <c r="G559" s="196">
        <f>'Adjustment for previous period'!G455</f>
        <v>0</v>
      </c>
      <c r="H559" s="37"/>
      <c r="I559" s="37"/>
      <c r="J559" s="37"/>
      <c r="K559" s="37"/>
      <c r="L559" s="37"/>
      <c r="M559" s="37"/>
      <c r="N559" s="29"/>
      <c r="O559" s="29"/>
      <c r="P559" s="29"/>
      <c r="Q559" s="29"/>
      <c r="R559" s="29"/>
      <c r="S559" s="100"/>
      <c r="T559" s="100"/>
      <c r="U559" s="100"/>
      <c r="V559" s="100"/>
      <c r="W559" s="100"/>
      <c r="X559" s="100"/>
      <c r="Y559" s="100"/>
      <c r="Z559" s="100"/>
      <c r="AA559" s="100"/>
      <c r="AB559" s="227"/>
      <c r="AC559" s="227"/>
      <c r="AD559" s="227"/>
      <c r="AE559" s="227"/>
      <c r="AF559" s="227"/>
      <c r="AG559" s="227"/>
      <c r="AH559" s="227"/>
      <c r="AI559" s="227"/>
      <c r="AJ559" s="227"/>
      <c r="AK559" s="227"/>
      <c r="AL559" s="227"/>
      <c r="AM559" s="227"/>
      <c r="AN559" s="227"/>
      <c r="AO559" s="227"/>
      <c r="AP559" s="227"/>
      <c r="AQ559" s="227"/>
      <c r="AR559" s="227"/>
      <c r="AS559" s="227"/>
      <c r="AT559" s="227"/>
      <c r="AU559" s="227"/>
      <c r="AV559" s="227"/>
      <c r="AW559" s="227"/>
      <c r="AX559" s="227"/>
      <c r="AY559" s="227"/>
      <c r="AZ559" s="227"/>
      <c r="BA559" s="227"/>
      <c r="BB559" s="227"/>
      <c r="BC559" s="227"/>
      <c r="BD559" s="100"/>
      <c r="BE559" s="100"/>
      <c r="BF559" s="100"/>
      <c r="BG559" s="100"/>
      <c r="BH559" s="100"/>
      <c r="BI559" s="100"/>
      <c r="BJ559" s="100"/>
      <c r="BK559" s="12"/>
      <c r="BL559" s="12"/>
    </row>
    <row r="560" spans="1:64" hidden="1" outlineLevel="1">
      <c r="A560" s="9"/>
      <c r="B560" s="9"/>
      <c r="C560" s="46"/>
      <c r="D560" s="129">
        <f>Asset27</f>
        <v>0</v>
      </c>
      <c r="E560" s="9"/>
      <c r="F560" s="9"/>
      <c r="G560" s="196">
        <f>'Adjustment for previous period'!G456</f>
        <v>0</v>
      </c>
      <c r="H560" s="37"/>
      <c r="I560" s="37"/>
      <c r="J560" s="37"/>
      <c r="K560" s="37"/>
      <c r="L560" s="37"/>
      <c r="M560" s="37"/>
      <c r="N560" s="29"/>
      <c r="O560" s="29"/>
      <c r="P560" s="29"/>
      <c r="Q560" s="29"/>
      <c r="R560" s="29"/>
      <c r="S560" s="100"/>
      <c r="T560" s="100"/>
      <c r="U560" s="100"/>
      <c r="V560" s="100"/>
      <c r="W560" s="100"/>
      <c r="X560" s="100"/>
      <c r="Y560" s="100"/>
      <c r="Z560" s="100"/>
      <c r="AA560" s="100"/>
      <c r="AB560" s="227"/>
      <c r="AC560" s="227"/>
      <c r="AD560" s="227"/>
      <c r="AE560" s="227"/>
      <c r="AF560" s="227"/>
      <c r="AG560" s="227"/>
      <c r="AH560" s="227"/>
      <c r="AI560" s="227"/>
      <c r="AJ560" s="227"/>
      <c r="AK560" s="227"/>
      <c r="AL560" s="227"/>
      <c r="AM560" s="227"/>
      <c r="AN560" s="227"/>
      <c r="AO560" s="227"/>
      <c r="AP560" s="227"/>
      <c r="AQ560" s="227"/>
      <c r="AR560" s="227"/>
      <c r="AS560" s="227"/>
      <c r="AT560" s="227"/>
      <c r="AU560" s="227"/>
      <c r="AV560" s="227"/>
      <c r="AW560" s="227"/>
      <c r="AX560" s="227"/>
      <c r="AY560" s="227"/>
      <c r="AZ560" s="227"/>
      <c r="BA560" s="227"/>
      <c r="BB560" s="227"/>
      <c r="BC560" s="227"/>
      <c r="BD560" s="100"/>
      <c r="BE560" s="100"/>
      <c r="BF560" s="100"/>
      <c r="BG560" s="100"/>
      <c r="BH560" s="100"/>
      <c r="BI560" s="100"/>
      <c r="BJ560" s="100"/>
      <c r="BK560" s="12"/>
      <c r="BL560" s="12"/>
    </row>
    <row r="561" spans="1:64" hidden="1" outlineLevel="1">
      <c r="A561" s="9"/>
      <c r="B561" s="9"/>
      <c r="C561" s="46"/>
      <c r="D561" s="129">
        <f>Asset28</f>
        <v>0</v>
      </c>
      <c r="E561" s="9"/>
      <c r="F561" s="9"/>
      <c r="G561" s="196">
        <f>'Adjustment for previous period'!G457</f>
        <v>0</v>
      </c>
      <c r="H561" s="37"/>
      <c r="I561" s="37"/>
      <c r="J561" s="37"/>
      <c r="K561" s="37"/>
      <c r="L561" s="37"/>
      <c r="M561" s="37"/>
      <c r="N561" s="29"/>
      <c r="O561" s="29"/>
      <c r="P561" s="29"/>
      <c r="Q561" s="29"/>
      <c r="R561" s="29"/>
      <c r="S561" s="100"/>
      <c r="T561" s="100"/>
      <c r="U561" s="100"/>
      <c r="V561" s="100"/>
      <c r="W561" s="100"/>
      <c r="X561" s="100"/>
      <c r="Y561" s="100"/>
      <c r="Z561" s="100"/>
      <c r="AA561" s="100"/>
      <c r="AB561" s="227"/>
      <c r="AC561" s="227"/>
      <c r="AD561" s="227"/>
      <c r="AE561" s="227"/>
      <c r="AF561" s="227"/>
      <c r="AG561" s="227"/>
      <c r="AH561" s="227"/>
      <c r="AI561" s="227"/>
      <c r="AJ561" s="227"/>
      <c r="AK561" s="227"/>
      <c r="AL561" s="227"/>
      <c r="AM561" s="227"/>
      <c r="AN561" s="227"/>
      <c r="AO561" s="227"/>
      <c r="AP561" s="227"/>
      <c r="AQ561" s="227"/>
      <c r="AR561" s="227"/>
      <c r="AS561" s="227"/>
      <c r="AT561" s="227"/>
      <c r="AU561" s="227"/>
      <c r="AV561" s="227"/>
      <c r="AW561" s="227"/>
      <c r="AX561" s="227"/>
      <c r="AY561" s="227"/>
      <c r="AZ561" s="227"/>
      <c r="BA561" s="227"/>
      <c r="BB561" s="227"/>
      <c r="BC561" s="227"/>
      <c r="BD561" s="100"/>
      <c r="BE561" s="100"/>
      <c r="BF561" s="100"/>
      <c r="BG561" s="100"/>
      <c r="BH561" s="100"/>
      <c r="BI561" s="100"/>
      <c r="BJ561" s="100"/>
      <c r="BK561" s="12"/>
      <c r="BL561" s="12"/>
    </row>
    <row r="562" spans="1:64" hidden="1" outlineLevel="1">
      <c r="A562" s="9"/>
      <c r="B562" s="9"/>
      <c r="C562" s="46"/>
      <c r="D562" s="129">
        <f>Asset29</f>
        <v>0</v>
      </c>
      <c r="E562" s="9"/>
      <c r="F562" s="9"/>
      <c r="G562" s="196">
        <f>'Adjustment for previous period'!G458</f>
        <v>0</v>
      </c>
      <c r="H562" s="37"/>
      <c r="I562" s="37"/>
      <c r="J562" s="37"/>
      <c r="K562" s="37"/>
      <c r="L562" s="37"/>
      <c r="M562" s="37"/>
      <c r="N562" s="29"/>
      <c r="O562" s="29"/>
      <c r="P562" s="29"/>
      <c r="Q562" s="29"/>
      <c r="R562" s="29"/>
      <c r="S562" s="100"/>
      <c r="T562" s="100"/>
      <c r="U562" s="100"/>
      <c r="V562" s="100"/>
      <c r="W562" s="100"/>
      <c r="X562" s="100"/>
      <c r="Y562" s="100"/>
      <c r="Z562" s="100"/>
      <c r="AA562" s="100"/>
      <c r="AB562" s="227"/>
      <c r="AC562" s="227"/>
      <c r="AD562" s="227"/>
      <c r="AE562" s="227"/>
      <c r="AF562" s="227"/>
      <c r="AG562" s="227"/>
      <c r="AH562" s="227"/>
      <c r="AI562" s="227"/>
      <c r="AJ562" s="227"/>
      <c r="AK562" s="227"/>
      <c r="AL562" s="227"/>
      <c r="AM562" s="227"/>
      <c r="AN562" s="227"/>
      <c r="AO562" s="227"/>
      <c r="AP562" s="227"/>
      <c r="AQ562" s="227"/>
      <c r="AR562" s="227"/>
      <c r="AS562" s="227"/>
      <c r="AT562" s="227"/>
      <c r="AU562" s="227"/>
      <c r="AV562" s="227"/>
      <c r="AW562" s="227"/>
      <c r="AX562" s="227"/>
      <c r="AY562" s="227"/>
      <c r="AZ562" s="227"/>
      <c r="BA562" s="227"/>
      <c r="BB562" s="227"/>
      <c r="BC562" s="227"/>
      <c r="BD562" s="100"/>
      <c r="BE562" s="100"/>
      <c r="BF562" s="100"/>
      <c r="BG562" s="100"/>
      <c r="BH562" s="100"/>
      <c r="BI562" s="100"/>
      <c r="BJ562" s="100"/>
      <c r="BK562" s="12"/>
      <c r="BL562" s="12"/>
    </row>
    <row r="563" spans="1:64" hidden="1" outlineLevel="1">
      <c r="A563" s="9"/>
      <c r="B563" s="9"/>
      <c r="C563" s="46"/>
      <c r="D563" s="129">
        <f>Asset30</f>
        <v>0</v>
      </c>
      <c r="E563" s="9"/>
      <c r="F563" s="9"/>
      <c r="G563" s="196">
        <f>'Adjustment for previous period'!G459</f>
        <v>0</v>
      </c>
      <c r="H563" s="37"/>
      <c r="I563" s="37"/>
      <c r="J563" s="37"/>
      <c r="K563" s="37"/>
      <c r="L563" s="37"/>
      <c r="M563" s="37"/>
      <c r="N563" s="29"/>
      <c r="O563" s="29"/>
      <c r="P563" s="29"/>
      <c r="Q563" s="29"/>
      <c r="R563" s="29"/>
      <c r="S563" s="100"/>
      <c r="T563" s="100"/>
      <c r="U563" s="100"/>
      <c r="V563" s="100"/>
      <c r="W563" s="100"/>
      <c r="X563" s="100"/>
      <c r="Y563" s="100"/>
      <c r="Z563" s="100"/>
      <c r="AA563" s="100"/>
      <c r="AB563" s="227"/>
      <c r="AC563" s="227"/>
      <c r="AD563" s="227"/>
      <c r="AE563" s="227"/>
      <c r="AF563" s="227"/>
      <c r="AG563" s="227"/>
      <c r="AH563" s="227"/>
      <c r="AI563" s="227"/>
      <c r="AJ563" s="227"/>
      <c r="AK563" s="227"/>
      <c r="AL563" s="227"/>
      <c r="AM563" s="227"/>
      <c r="AN563" s="227"/>
      <c r="AO563" s="227"/>
      <c r="AP563" s="227"/>
      <c r="AQ563" s="227"/>
      <c r="AR563" s="227"/>
      <c r="AS563" s="227"/>
      <c r="AT563" s="227"/>
      <c r="AU563" s="227"/>
      <c r="AV563" s="227"/>
      <c r="AW563" s="227"/>
      <c r="AX563" s="227"/>
      <c r="AY563" s="227"/>
      <c r="AZ563" s="227"/>
      <c r="BA563" s="227"/>
      <c r="BB563" s="227"/>
      <c r="BC563" s="227"/>
      <c r="BD563" s="100"/>
      <c r="BE563" s="100"/>
      <c r="BF563" s="100"/>
      <c r="BG563" s="100"/>
      <c r="BH563" s="100"/>
      <c r="BI563" s="100"/>
      <c r="BJ563" s="100"/>
      <c r="BK563" s="12"/>
      <c r="BL563" s="12"/>
    </row>
    <row r="564" spans="1:64" collapsed="1">
      <c r="A564" s="9"/>
      <c r="B564" s="9"/>
      <c r="C564" s="46"/>
      <c r="D564" s="114"/>
      <c r="E564" s="9"/>
      <c r="F564" s="9"/>
      <c r="G564" s="201"/>
      <c r="H564" s="37"/>
      <c r="I564" s="37"/>
      <c r="J564" s="37"/>
      <c r="K564" s="37"/>
      <c r="L564" s="37"/>
      <c r="M564" s="37"/>
      <c r="N564" s="29"/>
      <c r="O564" s="29"/>
      <c r="P564" s="29"/>
      <c r="Q564" s="29"/>
      <c r="R564" s="29"/>
      <c r="S564" s="100"/>
      <c r="T564" s="100"/>
      <c r="U564" s="100"/>
      <c r="V564" s="100"/>
      <c r="W564" s="100"/>
      <c r="X564" s="100"/>
      <c r="Y564" s="100"/>
      <c r="Z564" s="100"/>
      <c r="AA564" s="100"/>
      <c r="AB564" s="227"/>
      <c r="AC564" s="227"/>
      <c r="AD564" s="227"/>
      <c r="AE564" s="227"/>
      <c r="AF564" s="227"/>
      <c r="AG564" s="227"/>
      <c r="AH564" s="227"/>
      <c r="AI564" s="227"/>
      <c r="AJ564" s="227"/>
      <c r="AK564" s="227"/>
      <c r="AL564" s="227"/>
      <c r="AM564" s="227"/>
      <c r="AN564" s="227"/>
      <c r="AO564" s="227"/>
      <c r="AP564" s="227"/>
      <c r="AQ564" s="227"/>
      <c r="AR564" s="227"/>
      <c r="AS564" s="227"/>
      <c r="AT564" s="227"/>
      <c r="AU564" s="227"/>
      <c r="AV564" s="227"/>
      <c r="AW564" s="227"/>
      <c r="AX564" s="227"/>
      <c r="AY564" s="227"/>
      <c r="AZ564" s="227"/>
      <c r="BA564" s="227"/>
      <c r="BB564" s="227"/>
      <c r="BC564" s="227"/>
      <c r="BD564" s="100"/>
      <c r="BE564" s="100"/>
      <c r="BF564" s="100"/>
      <c r="BG564" s="100"/>
      <c r="BH564" s="100"/>
      <c r="BI564" s="100"/>
      <c r="BJ564" s="100"/>
      <c r="BK564" s="12"/>
      <c r="BL564" s="12"/>
    </row>
    <row r="565" spans="1:64">
      <c r="A565" s="9"/>
      <c r="B565" s="9"/>
      <c r="C565" s="46" t="s">
        <v>63</v>
      </c>
      <c r="D565" s="114"/>
      <c r="E565" s="9"/>
      <c r="F565" s="9"/>
      <c r="G565" s="200">
        <f>SUM(G566:G595)</f>
        <v>0</v>
      </c>
      <c r="H565" s="37"/>
      <c r="I565" s="37"/>
      <c r="J565" s="37"/>
      <c r="K565" s="37"/>
      <c r="L565" s="37"/>
      <c r="M565" s="37"/>
      <c r="N565" s="29"/>
      <c r="O565" s="29"/>
      <c r="P565" s="29"/>
      <c r="Q565" s="29"/>
      <c r="R565" s="29"/>
      <c r="S565" s="100"/>
      <c r="T565" s="100"/>
      <c r="U565" s="100"/>
      <c r="V565" s="100"/>
      <c r="W565" s="100"/>
      <c r="X565" s="100"/>
      <c r="Y565" s="100"/>
      <c r="Z565" s="100"/>
      <c r="AA565" s="100"/>
      <c r="AB565" s="227"/>
      <c r="AC565" s="227"/>
      <c r="AD565" s="227"/>
      <c r="AE565" s="227"/>
      <c r="AF565" s="227"/>
      <c r="AG565" s="227"/>
      <c r="AH565" s="227"/>
      <c r="AI565" s="227"/>
      <c r="AJ565" s="227"/>
      <c r="AK565" s="227"/>
      <c r="AL565" s="227"/>
      <c r="AM565" s="227"/>
      <c r="AN565" s="227"/>
      <c r="AO565" s="227"/>
      <c r="AP565" s="227"/>
      <c r="AQ565" s="227"/>
      <c r="AR565" s="227"/>
      <c r="AS565" s="227"/>
      <c r="AT565" s="227"/>
      <c r="AU565" s="227"/>
      <c r="AV565" s="227"/>
      <c r="AW565" s="227"/>
      <c r="AX565" s="227"/>
      <c r="AY565" s="227"/>
      <c r="AZ565" s="227"/>
      <c r="BA565" s="227"/>
      <c r="BB565" s="227"/>
      <c r="BC565" s="227"/>
      <c r="BD565" s="100"/>
      <c r="BE565" s="100"/>
      <c r="BF565" s="100"/>
      <c r="BG565" s="100"/>
      <c r="BH565" s="100"/>
      <c r="BI565" s="100"/>
      <c r="BJ565" s="100"/>
      <c r="BK565" s="12"/>
      <c r="BL565" s="12"/>
    </row>
    <row r="566" spans="1:64" hidden="1" outlineLevel="1">
      <c r="A566" s="9"/>
      <c r="B566" s="9"/>
      <c r="C566" s="9"/>
      <c r="D566" s="129" t="str">
        <f>Asset1</f>
        <v>Mains &amp; Services</v>
      </c>
      <c r="E566" s="9"/>
      <c r="F566" s="9"/>
      <c r="G566" s="196">
        <f>'Adjustment for previous period'!G462</f>
        <v>0</v>
      </c>
      <c r="H566" s="37"/>
      <c r="I566" s="37"/>
      <c r="J566" s="37"/>
      <c r="K566" s="37"/>
      <c r="L566" s="37"/>
      <c r="M566" s="37"/>
      <c r="N566" s="29"/>
      <c r="O566" s="29"/>
      <c r="P566" s="29"/>
      <c r="Q566" s="29"/>
      <c r="R566" s="29"/>
      <c r="S566" s="100"/>
      <c r="T566" s="100"/>
      <c r="U566" s="100"/>
      <c r="V566" s="100"/>
      <c r="W566" s="100"/>
      <c r="X566" s="100"/>
      <c r="Y566" s="100"/>
      <c r="Z566" s="100"/>
      <c r="AA566" s="100"/>
      <c r="AB566" s="227"/>
      <c r="AC566" s="227"/>
      <c r="AD566" s="227"/>
      <c r="AE566" s="227"/>
      <c r="AF566" s="227"/>
      <c r="AG566" s="227"/>
      <c r="AH566" s="227"/>
      <c r="AI566" s="227"/>
      <c r="AJ566" s="227"/>
      <c r="AK566" s="227"/>
      <c r="AL566" s="227"/>
      <c r="AM566" s="227"/>
      <c r="AN566" s="227"/>
      <c r="AO566" s="227"/>
      <c r="AP566" s="227"/>
      <c r="AQ566" s="227"/>
      <c r="AR566" s="227"/>
      <c r="AS566" s="227"/>
      <c r="AT566" s="227"/>
      <c r="AU566" s="227"/>
      <c r="AV566" s="227"/>
      <c r="AW566" s="227"/>
      <c r="AX566" s="227"/>
      <c r="AY566" s="227"/>
      <c r="AZ566" s="227"/>
      <c r="BA566" s="227"/>
      <c r="BB566" s="227"/>
      <c r="BC566" s="227"/>
      <c r="BD566" s="100"/>
      <c r="BE566" s="100"/>
      <c r="BF566" s="100"/>
      <c r="BG566" s="100"/>
      <c r="BH566" s="100"/>
      <c r="BI566" s="100"/>
      <c r="BJ566" s="100"/>
      <c r="BK566" s="12"/>
      <c r="BL566" s="12"/>
    </row>
    <row r="567" spans="1:64" hidden="1" outlineLevel="1">
      <c r="A567" s="9"/>
      <c r="B567" s="9"/>
      <c r="C567" s="46"/>
      <c r="D567" s="129" t="str">
        <f>Asset2</f>
        <v>Meters</v>
      </c>
      <c r="E567" s="9"/>
      <c r="F567" s="9"/>
      <c r="G567" s="196">
        <f>'Adjustment for previous period'!G463</f>
        <v>0</v>
      </c>
      <c r="H567" s="37"/>
      <c r="I567" s="37"/>
      <c r="J567" s="37"/>
      <c r="K567" s="37"/>
      <c r="L567" s="37"/>
      <c r="M567" s="37"/>
      <c r="N567" s="29"/>
      <c r="O567" s="29"/>
      <c r="P567" s="29"/>
      <c r="Q567" s="29"/>
      <c r="R567" s="29"/>
      <c r="S567" s="100"/>
      <c r="T567" s="100"/>
      <c r="U567" s="100"/>
      <c r="V567" s="100"/>
      <c r="W567" s="100"/>
      <c r="X567" s="100"/>
      <c r="Y567" s="100"/>
      <c r="Z567" s="100"/>
      <c r="AA567" s="100"/>
      <c r="AB567" s="227"/>
      <c r="AC567" s="227"/>
      <c r="AD567" s="227"/>
      <c r="AE567" s="227"/>
      <c r="AF567" s="227"/>
      <c r="AG567" s="227"/>
      <c r="AH567" s="227"/>
      <c r="AI567" s="227"/>
      <c r="AJ567" s="227"/>
      <c r="AK567" s="227"/>
      <c r="AL567" s="227"/>
      <c r="AM567" s="227"/>
      <c r="AN567" s="227"/>
      <c r="AO567" s="227"/>
      <c r="AP567" s="227"/>
      <c r="AQ567" s="227"/>
      <c r="AR567" s="227"/>
      <c r="AS567" s="227"/>
      <c r="AT567" s="227"/>
      <c r="AU567" s="227"/>
      <c r="AV567" s="227"/>
      <c r="AW567" s="227"/>
      <c r="AX567" s="227"/>
      <c r="AY567" s="227"/>
      <c r="AZ567" s="227"/>
      <c r="BA567" s="227"/>
      <c r="BB567" s="227"/>
      <c r="BC567" s="227"/>
      <c r="BD567" s="100"/>
      <c r="BE567" s="100"/>
      <c r="BF567" s="100"/>
      <c r="BG567" s="100"/>
      <c r="BH567" s="100"/>
      <c r="BI567" s="100"/>
      <c r="BJ567" s="100"/>
      <c r="BK567" s="12"/>
      <c r="BL567" s="12"/>
    </row>
    <row r="568" spans="1:64" hidden="1" outlineLevel="1">
      <c r="A568" s="9"/>
      <c r="B568" s="9"/>
      <c r="C568" s="46"/>
      <c r="D568" s="129" t="str">
        <f>Asset3</f>
        <v>Buildings</v>
      </c>
      <c r="E568" s="9"/>
      <c r="F568" s="9"/>
      <c r="G568" s="196">
        <f>'Adjustment for previous period'!G464</f>
        <v>0</v>
      </c>
      <c r="H568" s="37"/>
      <c r="I568" s="37"/>
      <c r="J568" s="37"/>
      <c r="K568" s="37"/>
      <c r="L568" s="37"/>
      <c r="M568" s="37"/>
      <c r="N568" s="29"/>
      <c r="O568" s="29"/>
      <c r="P568" s="29"/>
      <c r="Q568" s="29"/>
      <c r="R568" s="29"/>
      <c r="S568" s="100"/>
      <c r="T568" s="100"/>
      <c r="U568" s="100"/>
      <c r="V568" s="100"/>
      <c r="W568" s="100"/>
      <c r="X568" s="100"/>
      <c r="Y568" s="100"/>
      <c r="Z568" s="100"/>
      <c r="AA568" s="100"/>
      <c r="AB568" s="227"/>
      <c r="AC568" s="227"/>
      <c r="AD568" s="227"/>
      <c r="AE568" s="227"/>
      <c r="AF568" s="227"/>
      <c r="AG568" s="227"/>
      <c r="AH568" s="227"/>
      <c r="AI568" s="227"/>
      <c r="AJ568" s="227"/>
      <c r="AK568" s="227"/>
      <c r="AL568" s="227"/>
      <c r="AM568" s="227"/>
      <c r="AN568" s="227"/>
      <c r="AO568" s="227"/>
      <c r="AP568" s="227"/>
      <c r="AQ568" s="227"/>
      <c r="AR568" s="227"/>
      <c r="AS568" s="227"/>
      <c r="AT568" s="227"/>
      <c r="AU568" s="227"/>
      <c r="AV568" s="227"/>
      <c r="AW568" s="227"/>
      <c r="AX568" s="227"/>
      <c r="AY568" s="227"/>
      <c r="AZ568" s="227"/>
      <c r="BA568" s="227"/>
      <c r="BB568" s="227"/>
      <c r="BC568" s="227"/>
      <c r="BD568" s="100"/>
      <c r="BE568" s="100"/>
      <c r="BF568" s="100"/>
      <c r="BG568" s="100"/>
      <c r="BH568" s="100"/>
      <c r="BI568" s="100"/>
      <c r="BJ568" s="100"/>
      <c r="BK568" s="12"/>
      <c r="BL568" s="12"/>
    </row>
    <row r="569" spans="1:64" hidden="1" outlineLevel="1">
      <c r="A569" s="9"/>
      <c r="B569" s="9"/>
      <c r="C569" s="46"/>
      <c r="D569" s="129" t="str">
        <f>Asset4</f>
        <v>SCADA</v>
      </c>
      <c r="E569" s="9"/>
      <c r="F569" s="9"/>
      <c r="G569" s="196">
        <f>'Adjustment for previous period'!G465</f>
        <v>0</v>
      </c>
      <c r="H569" s="37"/>
      <c r="I569" s="37"/>
      <c r="J569" s="37"/>
      <c r="K569" s="37"/>
      <c r="L569" s="37"/>
      <c r="M569" s="37"/>
      <c r="N569" s="29"/>
      <c r="O569" s="29"/>
      <c r="P569" s="29"/>
      <c r="Q569" s="29"/>
      <c r="R569" s="29"/>
      <c r="S569" s="100"/>
      <c r="T569" s="100"/>
      <c r="U569" s="100"/>
      <c r="V569" s="100"/>
      <c r="W569" s="100"/>
      <c r="X569" s="100"/>
      <c r="Y569" s="100"/>
      <c r="Z569" s="100"/>
      <c r="AA569" s="100"/>
      <c r="AB569" s="227"/>
      <c r="AC569" s="227"/>
      <c r="AD569" s="227"/>
      <c r="AE569" s="227"/>
      <c r="AF569" s="227"/>
      <c r="AG569" s="227"/>
      <c r="AH569" s="227"/>
      <c r="AI569" s="227"/>
      <c r="AJ569" s="227"/>
      <c r="AK569" s="227"/>
      <c r="AL569" s="227"/>
      <c r="AM569" s="227"/>
      <c r="AN569" s="227"/>
      <c r="AO569" s="227"/>
      <c r="AP569" s="227"/>
      <c r="AQ569" s="227"/>
      <c r="AR569" s="227"/>
      <c r="AS569" s="227"/>
      <c r="AT569" s="227"/>
      <c r="AU569" s="227"/>
      <c r="AV569" s="227"/>
      <c r="AW569" s="227"/>
      <c r="AX569" s="227"/>
      <c r="AY569" s="227"/>
      <c r="AZ569" s="227"/>
      <c r="BA569" s="227"/>
      <c r="BB569" s="227"/>
      <c r="BC569" s="227"/>
      <c r="BD569" s="100"/>
      <c r="BE569" s="100"/>
      <c r="BF569" s="100"/>
      <c r="BG569" s="100"/>
      <c r="BH569" s="100"/>
      <c r="BI569" s="100"/>
      <c r="BJ569" s="100"/>
      <c r="BK569" s="12"/>
      <c r="BL569" s="12"/>
    </row>
    <row r="570" spans="1:64" hidden="1" outlineLevel="1">
      <c r="A570" s="9"/>
      <c r="B570" s="9"/>
      <c r="C570" s="46"/>
      <c r="D570" s="129" t="str">
        <f>Asset5</f>
        <v>Computer Equipment</v>
      </c>
      <c r="E570" s="9"/>
      <c r="F570" s="9"/>
      <c r="G570" s="196">
        <f>'Adjustment for previous period'!G466</f>
        <v>0</v>
      </c>
      <c r="H570" s="37"/>
      <c r="I570" s="37"/>
      <c r="J570" s="37"/>
      <c r="K570" s="37"/>
      <c r="L570" s="37"/>
      <c r="M570" s="37"/>
      <c r="N570" s="29"/>
      <c r="O570" s="29"/>
      <c r="P570" s="29"/>
      <c r="Q570" s="29"/>
      <c r="R570" s="29"/>
      <c r="S570" s="100"/>
      <c r="T570" s="100"/>
      <c r="U570" s="100"/>
      <c r="V570" s="100"/>
      <c r="W570" s="100"/>
      <c r="X570" s="100"/>
      <c r="Y570" s="100"/>
      <c r="Z570" s="100"/>
      <c r="AA570" s="100"/>
      <c r="AB570" s="227"/>
      <c r="AC570" s="227"/>
      <c r="AD570" s="227"/>
      <c r="AE570" s="227"/>
      <c r="AF570" s="227"/>
      <c r="AG570" s="227"/>
      <c r="AH570" s="227"/>
      <c r="AI570" s="227"/>
      <c r="AJ570" s="227"/>
      <c r="AK570" s="227"/>
      <c r="AL570" s="227"/>
      <c r="AM570" s="227"/>
      <c r="AN570" s="227"/>
      <c r="AO570" s="227"/>
      <c r="AP570" s="227"/>
      <c r="AQ570" s="227"/>
      <c r="AR570" s="227"/>
      <c r="AS570" s="227"/>
      <c r="AT570" s="227"/>
      <c r="AU570" s="227"/>
      <c r="AV570" s="227"/>
      <c r="AW570" s="227"/>
      <c r="AX570" s="227"/>
      <c r="AY570" s="227"/>
      <c r="AZ570" s="227"/>
      <c r="BA570" s="227"/>
      <c r="BB570" s="227"/>
      <c r="BC570" s="227"/>
      <c r="BD570" s="100"/>
      <c r="BE570" s="100"/>
      <c r="BF570" s="100"/>
      <c r="BG570" s="100"/>
      <c r="BH570" s="100"/>
      <c r="BI570" s="100"/>
      <c r="BJ570" s="100"/>
      <c r="BK570" s="12"/>
      <c r="BL570" s="12"/>
    </row>
    <row r="571" spans="1:64" hidden="1" outlineLevel="1">
      <c r="A571" s="9"/>
      <c r="B571" s="9"/>
      <c r="C571" s="46"/>
      <c r="D571" s="129" t="str">
        <f>Asset6</f>
        <v>Other Assets</v>
      </c>
      <c r="E571" s="9"/>
      <c r="F571" s="9"/>
      <c r="G571" s="196">
        <f>'Adjustment for previous period'!G467</f>
        <v>0</v>
      </c>
      <c r="H571" s="37"/>
      <c r="I571" s="37"/>
      <c r="J571" s="37"/>
      <c r="K571" s="37"/>
      <c r="L571" s="37"/>
      <c r="M571" s="37"/>
      <c r="N571" s="29"/>
      <c r="O571" s="29"/>
      <c r="P571" s="29"/>
      <c r="Q571" s="29"/>
      <c r="R571" s="29"/>
      <c r="S571" s="100"/>
      <c r="T571" s="100"/>
      <c r="U571" s="100"/>
      <c r="V571" s="100"/>
      <c r="W571" s="100"/>
      <c r="X571" s="100"/>
      <c r="Y571" s="100"/>
      <c r="Z571" s="100"/>
      <c r="AA571" s="100"/>
      <c r="AB571" s="227"/>
      <c r="AC571" s="227"/>
      <c r="AD571" s="227"/>
      <c r="AE571" s="227"/>
      <c r="AF571" s="227"/>
      <c r="AG571" s="227"/>
      <c r="AH571" s="227"/>
      <c r="AI571" s="227"/>
      <c r="AJ571" s="227"/>
      <c r="AK571" s="227"/>
      <c r="AL571" s="227"/>
      <c r="AM571" s="227"/>
      <c r="AN571" s="227"/>
      <c r="AO571" s="227"/>
      <c r="AP571" s="227"/>
      <c r="AQ571" s="227"/>
      <c r="AR571" s="227"/>
      <c r="AS571" s="227"/>
      <c r="AT571" s="227"/>
      <c r="AU571" s="227"/>
      <c r="AV571" s="227"/>
      <c r="AW571" s="227"/>
      <c r="AX571" s="227"/>
      <c r="AY571" s="227"/>
      <c r="AZ571" s="227"/>
      <c r="BA571" s="227"/>
      <c r="BB571" s="227"/>
      <c r="BC571" s="227"/>
      <c r="BD571" s="100"/>
      <c r="BE571" s="100"/>
      <c r="BF571" s="100"/>
      <c r="BG571" s="100"/>
      <c r="BH571" s="100"/>
      <c r="BI571" s="100"/>
      <c r="BJ571" s="100"/>
      <c r="BK571" s="12"/>
      <c r="BL571" s="12"/>
    </row>
    <row r="572" spans="1:64" hidden="1" outlineLevel="1">
      <c r="A572" s="9"/>
      <c r="B572" s="9"/>
      <c r="C572" s="46"/>
      <c r="D572" s="129" t="str">
        <f>Asset7</f>
        <v>Equity Raising Costs</v>
      </c>
      <c r="E572" s="9"/>
      <c r="F572" s="9"/>
      <c r="G572" s="196">
        <f>'Adjustment for previous period'!G468</f>
        <v>0</v>
      </c>
      <c r="H572" s="37"/>
      <c r="I572" s="37"/>
      <c r="J572" s="37"/>
      <c r="K572" s="37"/>
      <c r="L572" s="37"/>
      <c r="M572" s="37"/>
      <c r="N572" s="29"/>
      <c r="O572" s="29"/>
      <c r="P572" s="29"/>
      <c r="Q572" s="29"/>
      <c r="R572" s="29"/>
      <c r="S572" s="100"/>
      <c r="T572" s="100"/>
      <c r="U572" s="100"/>
      <c r="V572" s="100"/>
      <c r="W572" s="100"/>
      <c r="X572" s="100"/>
      <c r="Y572" s="100"/>
      <c r="Z572" s="100"/>
      <c r="AA572" s="100"/>
      <c r="AB572" s="227"/>
      <c r="AC572" s="227"/>
      <c r="AD572" s="227"/>
      <c r="AE572" s="227"/>
      <c r="AF572" s="227"/>
      <c r="AG572" s="227"/>
      <c r="AH572" s="227"/>
      <c r="AI572" s="227"/>
      <c r="AJ572" s="227"/>
      <c r="AK572" s="227"/>
      <c r="AL572" s="227"/>
      <c r="AM572" s="227"/>
      <c r="AN572" s="227"/>
      <c r="AO572" s="227"/>
      <c r="AP572" s="227"/>
      <c r="AQ572" s="227"/>
      <c r="AR572" s="227"/>
      <c r="AS572" s="227"/>
      <c r="AT572" s="227"/>
      <c r="AU572" s="227"/>
      <c r="AV572" s="227"/>
      <c r="AW572" s="227"/>
      <c r="AX572" s="227"/>
      <c r="AY572" s="227"/>
      <c r="AZ572" s="227"/>
      <c r="BA572" s="227"/>
      <c r="BB572" s="227"/>
      <c r="BC572" s="227"/>
      <c r="BD572" s="100"/>
      <c r="BE572" s="100"/>
      <c r="BF572" s="100"/>
      <c r="BG572" s="100"/>
      <c r="BH572" s="100"/>
      <c r="BI572" s="100"/>
      <c r="BJ572" s="100"/>
      <c r="BK572" s="12"/>
      <c r="BL572" s="12"/>
    </row>
    <row r="573" spans="1:64" hidden="1" outlineLevel="1">
      <c r="A573" s="9"/>
      <c r="B573" s="9"/>
      <c r="C573" s="46"/>
      <c r="D573" s="129" t="str">
        <f>Asset8</f>
        <v>Land</v>
      </c>
      <c r="E573" s="9"/>
      <c r="F573" s="9"/>
      <c r="G573" s="196">
        <f>'Adjustment for previous period'!G469</f>
        <v>0</v>
      </c>
      <c r="H573" s="37"/>
      <c r="I573" s="37"/>
      <c r="J573" s="37"/>
      <c r="K573" s="37"/>
      <c r="L573" s="37"/>
      <c r="M573" s="37"/>
      <c r="N573" s="29"/>
      <c r="O573" s="29"/>
      <c r="P573" s="29"/>
      <c r="Q573" s="29"/>
      <c r="R573" s="29"/>
      <c r="S573" s="100"/>
      <c r="T573" s="100"/>
      <c r="U573" s="100"/>
      <c r="V573" s="100"/>
      <c r="W573" s="100"/>
      <c r="X573" s="100"/>
      <c r="Y573" s="100"/>
      <c r="Z573" s="100"/>
      <c r="AA573" s="100"/>
      <c r="AB573" s="227"/>
      <c r="AC573" s="227"/>
      <c r="AD573" s="227"/>
      <c r="AE573" s="227"/>
      <c r="AF573" s="227"/>
      <c r="AG573" s="227"/>
      <c r="AH573" s="227"/>
      <c r="AI573" s="227"/>
      <c r="AJ573" s="227"/>
      <c r="AK573" s="227"/>
      <c r="AL573" s="227"/>
      <c r="AM573" s="227"/>
      <c r="AN573" s="227"/>
      <c r="AO573" s="227"/>
      <c r="AP573" s="227"/>
      <c r="AQ573" s="227"/>
      <c r="AR573" s="227"/>
      <c r="AS573" s="227"/>
      <c r="AT573" s="227"/>
      <c r="AU573" s="227"/>
      <c r="AV573" s="227"/>
      <c r="AW573" s="227"/>
      <c r="AX573" s="227"/>
      <c r="AY573" s="227"/>
      <c r="AZ573" s="227"/>
      <c r="BA573" s="227"/>
      <c r="BB573" s="227"/>
      <c r="BC573" s="227"/>
      <c r="BD573" s="100"/>
      <c r="BE573" s="100"/>
      <c r="BF573" s="100"/>
      <c r="BG573" s="100"/>
      <c r="BH573" s="100"/>
      <c r="BI573" s="100"/>
      <c r="BJ573" s="100"/>
      <c r="BK573" s="12"/>
      <c r="BL573" s="12"/>
    </row>
    <row r="574" spans="1:64" hidden="1" outlineLevel="1">
      <c r="A574" s="9"/>
      <c r="B574" s="9"/>
      <c r="C574" s="46"/>
      <c r="D574" s="129">
        <f>Asset9</f>
        <v>0</v>
      </c>
      <c r="E574" s="9"/>
      <c r="F574" s="9"/>
      <c r="G574" s="196">
        <f>'Adjustment for previous period'!G470</f>
        <v>0</v>
      </c>
      <c r="H574" s="37"/>
      <c r="I574" s="37"/>
      <c r="J574" s="37"/>
      <c r="K574" s="37"/>
      <c r="L574" s="37"/>
      <c r="M574" s="37"/>
      <c r="N574" s="29"/>
      <c r="O574" s="29"/>
      <c r="P574" s="29"/>
      <c r="Q574" s="29"/>
      <c r="R574" s="29"/>
      <c r="S574" s="100"/>
      <c r="T574" s="100"/>
      <c r="U574" s="100"/>
      <c r="V574" s="100"/>
      <c r="W574" s="100"/>
      <c r="X574" s="100"/>
      <c r="Y574" s="100"/>
      <c r="Z574" s="100"/>
      <c r="AA574" s="100"/>
      <c r="AB574" s="227"/>
      <c r="AC574" s="227"/>
      <c r="AD574" s="227"/>
      <c r="AE574" s="227"/>
      <c r="AF574" s="227"/>
      <c r="AG574" s="227"/>
      <c r="AH574" s="227"/>
      <c r="AI574" s="227"/>
      <c r="AJ574" s="227"/>
      <c r="AK574" s="227"/>
      <c r="AL574" s="227"/>
      <c r="AM574" s="227"/>
      <c r="AN574" s="227"/>
      <c r="AO574" s="227"/>
      <c r="AP574" s="227"/>
      <c r="AQ574" s="227"/>
      <c r="AR574" s="227"/>
      <c r="AS574" s="227"/>
      <c r="AT574" s="227"/>
      <c r="AU574" s="227"/>
      <c r="AV574" s="227"/>
      <c r="AW574" s="227"/>
      <c r="AX574" s="227"/>
      <c r="AY574" s="227"/>
      <c r="AZ574" s="227"/>
      <c r="BA574" s="227"/>
      <c r="BB574" s="227"/>
      <c r="BC574" s="227"/>
      <c r="BD574" s="100"/>
      <c r="BE574" s="100"/>
      <c r="BF574" s="100"/>
      <c r="BG574" s="100"/>
      <c r="BH574" s="100"/>
      <c r="BI574" s="100"/>
      <c r="BJ574" s="100"/>
      <c r="BK574" s="12"/>
      <c r="BL574" s="12"/>
    </row>
    <row r="575" spans="1:64" hidden="1" outlineLevel="1">
      <c r="A575" s="9"/>
      <c r="B575" s="9"/>
      <c r="C575" s="46"/>
      <c r="D575" s="129">
        <f>Asset10</f>
        <v>0</v>
      </c>
      <c r="E575" s="9"/>
      <c r="F575" s="9"/>
      <c r="G575" s="196">
        <f>'Adjustment for previous period'!G471</f>
        <v>0</v>
      </c>
      <c r="H575" s="37"/>
      <c r="I575" s="37"/>
      <c r="J575" s="37"/>
      <c r="K575" s="37"/>
      <c r="L575" s="37"/>
      <c r="M575" s="37"/>
      <c r="N575" s="29"/>
      <c r="O575" s="29"/>
      <c r="P575" s="29"/>
      <c r="Q575" s="29"/>
      <c r="R575" s="29"/>
      <c r="S575" s="100"/>
      <c r="T575" s="100"/>
      <c r="U575" s="100"/>
      <c r="V575" s="100"/>
      <c r="W575" s="100"/>
      <c r="X575" s="100"/>
      <c r="Y575" s="100"/>
      <c r="Z575" s="100"/>
      <c r="AA575" s="100"/>
      <c r="AB575" s="227"/>
      <c r="AC575" s="227"/>
      <c r="AD575" s="227"/>
      <c r="AE575" s="227"/>
      <c r="AF575" s="227"/>
      <c r="AG575" s="227"/>
      <c r="AH575" s="227"/>
      <c r="AI575" s="227"/>
      <c r="AJ575" s="227"/>
      <c r="AK575" s="227"/>
      <c r="AL575" s="227"/>
      <c r="AM575" s="227"/>
      <c r="AN575" s="227"/>
      <c r="AO575" s="227"/>
      <c r="AP575" s="227"/>
      <c r="AQ575" s="227"/>
      <c r="AR575" s="227"/>
      <c r="AS575" s="227"/>
      <c r="AT575" s="227"/>
      <c r="AU575" s="227"/>
      <c r="AV575" s="227"/>
      <c r="AW575" s="227"/>
      <c r="AX575" s="227"/>
      <c r="AY575" s="227"/>
      <c r="AZ575" s="227"/>
      <c r="BA575" s="227"/>
      <c r="BB575" s="227"/>
      <c r="BC575" s="227"/>
      <c r="BD575" s="100"/>
      <c r="BE575" s="100"/>
      <c r="BF575" s="100"/>
      <c r="BG575" s="100"/>
      <c r="BH575" s="100"/>
      <c r="BI575" s="100"/>
      <c r="BJ575" s="100"/>
      <c r="BK575" s="12"/>
      <c r="BL575" s="12"/>
    </row>
    <row r="576" spans="1:64" hidden="1" outlineLevel="1">
      <c r="A576" s="9"/>
      <c r="B576" s="9"/>
      <c r="C576" s="46"/>
      <c r="D576" s="129">
        <f>Asset11</f>
        <v>0</v>
      </c>
      <c r="E576" s="9"/>
      <c r="F576" s="9"/>
      <c r="G576" s="196">
        <f>'Adjustment for previous period'!G472</f>
        <v>0</v>
      </c>
      <c r="H576" s="37"/>
      <c r="I576" s="37"/>
      <c r="J576" s="37"/>
      <c r="K576" s="37"/>
      <c r="L576" s="37"/>
      <c r="M576" s="37"/>
      <c r="N576" s="29"/>
      <c r="O576" s="29"/>
      <c r="P576" s="29"/>
      <c r="Q576" s="29"/>
      <c r="R576" s="29"/>
      <c r="S576" s="100"/>
      <c r="T576" s="100"/>
      <c r="U576" s="100"/>
      <c r="V576" s="100"/>
      <c r="W576" s="100"/>
      <c r="X576" s="100"/>
      <c r="Y576" s="100"/>
      <c r="Z576" s="100"/>
      <c r="AA576" s="100"/>
      <c r="AB576" s="227"/>
      <c r="AC576" s="227"/>
      <c r="AD576" s="227"/>
      <c r="AE576" s="227"/>
      <c r="AF576" s="227"/>
      <c r="AG576" s="227"/>
      <c r="AH576" s="227"/>
      <c r="AI576" s="227"/>
      <c r="AJ576" s="227"/>
      <c r="AK576" s="227"/>
      <c r="AL576" s="227"/>
      <c r="AM576" s="227"/>
      <c r="AN576" s="227"/>
      <c r="AO576" s="227"/>
      <c r="AP576" s="227"/>
      <c r="AQ576" s="227"/>
      <c r="AR576" s="227"/>
      <c r="AS576" s="227"/>
      <c r="AT576" s="227"/>
      <c r="AU576" s="227"/>
      <c r="AV576" s="227"/>
      <c r="AW576" s="227"/>
      <c r="AX576" s="227"/>
      <c r="AY576" s="227"/>
      <c r="AZ576" s="227"/>
      <c r="BA576" s="227"/>
      <c r="BB576" s="227"/>
      <c r="BC576" s="227"/>
      <c r="BD576" s="100"/>
      <c r="BE576" s="100"/>
      <c r="BF576" s="100"/>
      <c r="BG576" s="100"/>
      <c r="BH576" s="100"/>
      <c r="BI576" s="100"/>
      <c r="BJ576" s="100"/>
      <c r="BK576" s="12"/>
      <c r="BL576" s="12"/>
    </row>
    <row r="577" spans="1:64" hidden="1" outlineLevel="1">
      <c r="A577" s="9"/>
      <c r="B577" s="9"/>
      <c r="C577" s="46"/>
      <c r="D577" s="129">
        <f>Asset12</f>
        <v>0</v>
      </c>
      <c r="E577" s="9"/>
      <c r="F577" s="9"/>
      <c r="G577" s="196">
        <f>'Adjustment for previous period'!G473</f>
        <v>0</v>
      </c>
      <c r="H577" s="37"/>
      <c r="I577" s="37"/>
      <c r="J577" s="37"/>
      <c r="K577" s="37"/>
      <c r="L577" s="37"/>
      <c r="M577" s="37"/>
      <c r="N577" s="29"/>
      <c r="O577" s="29"/>
      <c r="P577" s="29"/>
      <c r="Q577" s="29"/>
      <c r="R577" s="29"/>
      <c r="S577" s="100"/>
      <c r="T577" s="100"/>
      <c r="U577" s="100"/>
      <c r="V577" s="100"/>
      <c r="W577" s="100"/>
      <c r="X577" s="100"/>
      <c r="Y577" s="100"/>
      <c r="Z577" s="100"/>
      <c r="AA577" s="100"/>
      <c r="AB577" s="227"/>
      <c r="AC577" s="227"/>
      <c r="AD577" s="227"/>
      <c r="AE577" s="227"/>
      <c r="AF577" s="227"/>
      <c r="AG577" s="227"/>
      <c r="AH577" s="227"/>
      <c r="AI577" s="227"/>
      <c r="AJ577" s="227"/>
      <c r="AK577" s="227"/>
      <c r="AL577" s="227"/>
      <c r="AM577" s="227"/>
      <c r="AN577" s="227"/>
      <c r="AO577" s="227"/>
      <c r="AP577" s="227"/>
      <c r="AQ577" s="227"/>
      <c r="AR577" s="227"/>
      <c r="AS577" s="227"/>
      <c r="AT577" s="227"/>
      <c r="AU577" s="227"/>
      <c r="AV577" s="227"/>
      <c r="AW577" s="227"/>
      <c r="AX577" s="227"/>
      <c r="AY577" s="227"/>
      <c r="AZ577" s="227"/>
      <c r="BA577" s="227"/>
      <c r="BB577" s="227"/>
      <c r="BC577" s="227"/>
      <c r="BD577" s="100"/>
      <c r="BE577" s="100"/>
      <c r="BF577" s="100"/>
      <c r="BG577" s="100"/>
      <c r="BH577" s="100"/>
      <c r="BI577" s="100"/>
      <c r="BJ577" s="100"/>
      <c r="BK577" s="12"/>
      <c r="BL577" s="12"/>
    </row>
    <row r="578" spans="1:64" hidden="1" outlineLevel="1">
      <c r="A578" s="9"/>
      <c r="B578" s="9"/>
      <c r="C578" s="46"/>
      <c r="D578" s="129">
        <f>Asset13</f>
        <v>0</v>
      </c>
      <c r="E578" s="9"/>
      <c r="F578" s="9"/>
      <c r="G578" s="196">
        <f>'Adjustment for previous period'!G474</f>
        <v>0</v>
      </c>
      <c r="H578" s="37"/>
      <c r="I578" s="37"/>
      <c r="J578" s="37"/>
      <c r="K578" s="37"/>
      <c r="L578" s="37"/>
      <c r="M578" s="37"/>
      <c r="N578" s="29"/>
      <c r="O578" s="29"/>
      <c r="P578" s="29"/>
      <c r="Q578" s="29"/>
      <c r="R578" s="29"/>
      <c r="S578" s="100"/>
      <c r="T578" s="100"/>
      <c r="U578" s="100"/>
      <c r="V578" s="100"/>
      <c r="W578" s="100"/>
      <c r="X578" s="100"/>
      <c r="Y578" s="100"/>
      <c r="Z578" s="100"/>
      <c r="AA578" s="100"/>
      <c r="AB578" s="227"/>
      <c r="AC578" s="227"/>
      <c r="AD578" s="227"/>
      <c r="AE578" s="227"/>
      <c r="AF578" s="227"/>
      <c r="AG578" s="227"/>
      <c r="AH578" s="227"/>
      <c r="AI578" s="227"/>
      <c r="AJ578" s="227"/>
      <c r="AK578" s="227"/>
      <c r="AL578" s="227"/>
      <c r="AM578" s="227"/>
      <c r="AN578" s="227"/>
      <c r="AO578" s="227"/>
      <c r="AP578" s="227"/>
      <c r="AQ578" s="227"/>
      <c r="AR578" s="227"/>
      <c r="AS578" s="227"/>
      <c r="AT578" s="227"/>
      <c r="AU578" s="227"/>
      <c r="AV578" s="227"/>
      <c r="AW578" s="227"/>
      <c r="AX578" s="227"/>
      <c r="AY578" s="227"/>
      <c r="AZ578" s="227"/>
      <c r="BA578" s="227"/>
      <c r="BB578" s="227"/>
      <c r="BC578" s="227"/>
      <c r="BD578" s="100"/>
      <c r="BE578" s="100"/>
      <c r="BF578" s="100"/>
      <c r="BG578" s="100"/>
      <c r="BH578" s="100"/>
      <c r="BI578" s="100"/>
      <c r="BJ578" s="100"/>
      <c r="BK578" s="12"/>
      <c r="BL578" s="12"/>
    </row>
    <row r="579" spans="1:64" hidden="1" outlineLevel="1">
      <c r="A579" s="9"/>
      <c r="B579" s="9"/>
      <c r="C579" s="46"/>
      <c r="D579" s="129">
        <f>Asset14</f>
        <v>0</v>
      </c>
      <c r="E579" s="9"/>
      <c r="F579" s="9"/>
      <c r="G579" s="196">
        <f>'Adjustment for previous period'!G475</f>
        <v>0</v>
      </c>
      <c r="H579" s="37"/>
      <c r="I579" s="37"/>
      <c r="J579" s="37"/>
      <c r="K579" s="37"/>
      <c r="L579" s="37"/>
      <c r="M579" s="37"/>
      <c r="N579" s="29"/>
      <c r="O579" s="29"/>
      <c r="P579" s="29"/>
      <c r="Q579" s="29"/>
      <c r="R579" s="29"/>
      <c r="S579" s="100"/>
      <c r="T579" s="100"/>
      <c r="U579" s="100"/>
      <c r="V579" s="100"/>
      <c r="W579" s="100"/>
      <c r="X579" s="100"/>
      <c r="Y579" s="100"/>
      <c r="Z579" s="100"/>
      <c r="AA579" s="100"/>
      <c r="AB579" s="227"/>
      <c r="AC579" s="227"/>
      <c r="AD579" s="227"/>
      <c r="AE579" s="227"/>
      <c r="AF579" s="227"/>
      <c r="AG579" s="227"/>
      <c r="AH579" s="227"/>
      <c r="AI579" s="227"/>
      <c r="AJ579" s="227"/>
      <c r="AK579" s="227"/>
      <c r="AL579" s="227"/>
      <c r="AM579" s="227"/>
      <c r="AN579" s="227"/>
      <c r="AO579" s="227"/>
      <c r="AP579" s="227"/>
      <c r="AQ579" s="227"/>
      <c r="AR579" s="227"/>
      <c r="AS579" s="227"/>
      <c r="AT579" s="227"/>
      <c r="AU579" s="227"/>
      <c r="AV579" s="227"/>
      <c r="AW579" s="227"/>
      <c r="AX579" s="227"/>
      <c r="AY579" s="227"/>
      <c r="AZ579" s="227"/>
      <c r="BA579" s="227"/>
      <c r="BB579" s="227"/>
      <c r="BC579" s="227"/>
      <c r="BD579" s="100"/>
      <c r="BE579" s="100"/>
      <c r="BF579" s="100"/>
      <c r="BG579" s="100"/>
      <c r="BH579" s="100"/>
      <c r="BI579" s="100"/>
      <c r="BJ579" s="100"/>
      <c r="BK579" s="12"/>
      <c r="BL579" s="12"/>
    </row>
    <row r="580" spans="1:64" hidden="1" outlineLevel="1">
      <c r="A580" s="9"/>
      <c r="B580" s="9"/>
      <c r="C580" s="46"/>
      <c r="D580" s="129">
        <f>Asset15</f>
        <v>0</v>
      </c>
      <c r="E580" s="9"/>
      <c r="F580" s="9"/>
      <c r="G580" s="196">
        <f>'Adjustment for previous period'!G476</f>
        <v>0</v>
      </c>
      <c r="H580" s="37"/>
      <c r="I580" s="37"/>
      <c r="J580" s="37"/>
      <c r="K580" s="37"/>
      <c r="L580" s="37"/>
      <c r="M580" s="37"/>
      <c r="N580" s="29"/>
      <c r="O580" s="29"/>
      <c r="P580" s="29"/>
      <c r="Q580" s="29"/>
      <c r="R580" s="29"/>
      <c r="S580" s="100"/>
      <c r="T580" s="100"/>
      <c r="U580" s="100"/>
      <c r="V580" s="100"/>
      <c r="W580" s="100"/>
      <c r="X580" s="100"/>
      <c r="Y580" s="100"/>
      <c r="Z580" s="100"/>
      <c r="AA580" s="100"/>
      <c r="AB580" s="227"/>
      <c r="AC580" s="227"/>
      <c r="AD580" s="227"/>
      <c r="AE580" s="227"/>
      <c r="AF580" s="227"/>
      <c r="AG580" s="227"/>
      <c r="AH580" s="227"/>
      <c r="AI580" s="227"/>
      <c r="AJ580" s="227"/>
      <c r="AK580" s="227"/>
      <c r="AL580" s="227"/>
      <c r="AM580" s="227"/>
      <c r="AN580" s="227"/>
      <c r="AO580" s="227"/>
      <c r="AP580" s="227"/>
      <c r="AQ580" s="227"/>
      <c r="AR580" s="227"/>
      <c r="AS580" s="227"/>
      <c r="AT580" s="227"/>
      <c r="AU580" s="227"/>
      <c r="AV580" s="227"/>
      <c r="AW580" s="227"/>
      <c r="AX580" s="227"/>
      <c r="AY580" s="227"/>
      <c r="AZ580" s="227"/>
      <c r="BA580" s="227"/>
      <c r="BB580" s="227"/>
      <c r="BC580" s="227"/>
      <c r="BD580" s="100"/>
      <c r="BE580" s="100"/>
      <c r="BF580" s="100"/>
      <c r="BG580" s="100"/>
      <c r="BH580" s="100"/>
      <c r="BI580" s="100"/>
      <c r="BJ580" s="100"/>
      <c r="BK580" s="12"/>
      <c r="BL580" s="12"/>
    </row>
    <row r="581" spans="1:64" hidden="1" outlineLevel="1">
      <c r="A581" s="9"/>
      <c r="B581" s="9"/>
      <c r="C581" s="46"/>
      <c r="D581" s="129">
        <f>Asset16</f>
        <v>0</v>
      </c>
      <c r="E581" s="9"/>
      <c r="F581" s="9"/>
      <c r="G581" s="196">
        <f>'Adjustment for previous period'!G477</f>
        <v>0</v>
      </c>
      <c r="H581" s="37"/>
      <c r="I581" s="37"/>
      <c r="J581" s="37"/>
      <c r="K581" s="37"/>
      <c r="L581" s="37"/>
      <c r="M581" s="37"/>
      <c r="N581" s="29"/>
      <c r="O581" s="29"/>
      <c r="P581" s="29"/>
      <c r="Q581" s="29"/>
      <c r="R581" s="29"/>
      <c r="S581" s="100"/>
      <c r="T581" s="100"/>
      <c r="U581" s="100"/>
      <c r="V581" s="100"/>
      <c r="W581" s="100"/>
      <c r="X581" s="100"/>
      <c r="Y581" s="100"/>
      <c r="Z581" s="100"/>
      <c r="AA581" s="100"/>
      <c r="AB581" s="227"/>
      <c r="AC581" s="227"/>
      <c r="AD581" s="227"/>
      <c r="AE581" s="227"/>
      <c r="AF581" s="227"/>
      <c r="AG581" s="227"/>
      <c r="AH581" s="227"/>
      <c r="AI581" s="227"/>
      <c r="AJ581" s="227"/>
      <c r="AK581" s="227"/>
      <c r="AL581" s="227"/>
      <c r="AM581" s="227"/>
      <c r="AN581" s="227"/>
      <c r="AO581" s="227"/>
      <c r="AP581" s="227"/>
      <c r="AQ581" s="227"/>
      <c r="AR581" s="227"/>
      <c r="AS581" s="227"/>
      <c r="AT581" s="227"/>
      <c r="AU581" s="227"/>
      <c r="AV581" s="227"/>
      <c r="AW581" s="227"/>
      <c r="AX581" s="227"/>
      <c r="AY581" s="227"/>
      <c r="AZ581" s="227"/>
      <c r="BA581" s="227"/>
      <c r="BB581" s="227"/>
      <c r="BC581" s="227"/>
      <c r="BD581" s="100"/>
      <c r="BE581" s="100"/>
      <c r="BF581" s="100"/>
      <c r="BG581" s="100"/>
      <c r="BH581" s="100"/>
      <c r="BI581" s="100"/>
      <c r="BJ581" s="100"/>
      <c r="BK581" s="12"/>
      <c r="BL581" s="12"/>
    </row>
    <row r="582" spans="1:64" hidden="1" outlineLevel="1">
      <c r="A582" s="9"/>
      <c r="B582" s="9"/>
      <c r="C582" s="46"/>
      <c r="D582" s="129">
        <f>Asset17</f>
        <v>0</v>
      </c>
      <c r="E582" s="9"/>
      <c r="F582" s="9"/>
      <c r="G582" s="196">
        <f>'Adjustment for previous period'!G478</f>
        <v>0</v>
      </c>
      <c r="H582" s="37"/>
      <c r="I582" s="37"/>
      <c r="J582" s="37"/>
      <c r="K582" s="37"/>
      <c r="L582" s="37"/>
      <c r="M582" s="37"/>
      <c r="N582" s="29"/>
      <c r="O582" s="29"/>
      <c r="P582" s="29"/>
      <c r="Q582" s="29"/>
      <c r="R582" s="29"/>
      <c r="S582" s="100"/>
      <c r="T582" s="100"/>
      <c r="U582" s="100"/>
      <c r="V582" s="100"/>
      <c r="W582" s="100"/>
      <c r="X582" s="100"/>
      <c r="Y582" s="100"/>
      <c r="Z582" s="100"/>
      <c r="AA582" s="100"/>
      <c r="AB582" s="227"/>
      <c r="AC582" s="227"/>
      <c r="AD582" s="227"/>
      <c r="AE582" s="227"/>
      <c r="AF582" s="227"/>
      <c r="AG582" s="227"/>
      <c r="AH582" s="227"/>
      <c r="AI582" s="227"/>
      <c r="AJ582" s="227"/>
      <c r="AK582" s="227"/>
      <c r="AL582" s="227"/>
      <c r="AM582" s="227"/>
      <c r="AN582" s="227"/>
      <c r="AO582" s="227"/>
      <c r="AP582" s="227"/>
      <c r="AQ582" s="227"/>
      <c r="AR582" s="227"/>
      <c r="AS582" s="227"/>
      <c r="AT582" s="227"/>
      <c r="AU582" s="227"/>
      <c r="AV582" s="227"/>
      <c r="AW582" s="227"/>
      <c r="AX582" s="227"/>
      <c r="AY582" s="227"/>
      <c r="AZ582" s="227"/>
      <c r="BA582" s="227"/>
      <c r="BB582" s="227"/>
      <c r="BC582" s="227"/>
      <c r="BD582" s="100"/>
      <c r="BE582" s="100"/>
      <c r="BF582" s="100"/>
      <c r="BG582" s="100"/>
      <c r="BH582" s="100"/>
      <c r="BI582" s="100"/>
      <c r="BJ582" s="100"/>
      <c r="BK582" s="12"/>
      <c r="BL582" s="12"/>
    </row>
    <row r="583" spans="1:64" hidden="1" outlineLevel="1">
      <c r="A583" s="9"/>
      <c r="B583" s="9"/>
      <c r="C583" s="46"/>
      <c r="D583" s="129">
        <f>Asset18</f>
        <v>0</v>
      </c>
      <c r="E583" s="9"/>
      <c r="F583" s="9"/>
      <c r="G583" s="196">
        <f>'Adjustment for previous period'!G479</f>
        <v>0</v>
      </c>
      <c r="H583" s="37"/>
      <c r="I583" s="37"/>
      <c r="J583" s="37"/>
      <c r="K583" s="37"/>
      <c r="L583" s="37"/>
      <c r="M583" s="37"/>
      <c r="N583" s="29"/>
      <c r="O583" s="29"/>
      <c r="P583" s="29"/>
      <c r="Q583" s="29"/>
      <c r="R583" s="29"/>
      <c r="S583" s="100"/>
      <c r="T583" s="100"/>
      <c r="U583" s="100"/>
      <c r="V583" s="100"/>
      <c r="W583" s="100"/>
      <c r="X583" s="100"/>
      <c r="Y583" s="100"/>
      <c r="Z583" s="100"/>
      <c r="AA583" s="100"/>
      <c r="AB583" s="227"/>
      <c r="AC583" s="227"/>
      <c r="AD583" s="227"/>
      <c r="AE583" s="227"/>
      <c r="AF583" s="227"/>
      <c r="AG583" s="227"/>
      <c r="AH583" s="227"/>
      <c r="AI583" s="227"/>
      <c r="AJ583" s="227"/>
      <c r="AK583" s="227"/>
      <c r="AL583" s="227"/>
      <c r="AM583" s="227"/>
      <c r="AN583" s="227"/>
      <c r="AO583" s="227"/>
      <c r="AP583" s="227"/>
      <c r="AQ583" s="227"/>
      <c r="AR583" s="227"/>
      <c r="AS583" s="227"/>
      <c r="AT583" s="227"/>
      <c r="AU583" s="227"/>
      <c r="AV583" s="227"/>
      <c r="AW583" s="227"/>
      <c r="AX583" s="227"/>
      <c r="AY583" s="227"/>
      <c r="AZ583" s="227"/>
      <c r="BA583" s="227"/>
      <c r="BB583" s="227"/>
      <c r="BC583" s="227"/>
      <c r="BD583" s="100"/>
      <c r="BE583" s="100"/>
      <c r="BF583" s="100"/>
      <c r="BG583" s="100"/>
      <c r="BH583" s="100"/>
      <c r="BI583" s="100"/>
      <c r="BJ583" s="100"/>
      <c r="BK583" s="12"/>
      <c r="BL583" s="12"/>
    </row>
    <row r="584" spans="1:64" hidden="1" outlineLevel="1">
      <c r="A584" s="9"/>
      <c r="B584" s="9"/>
      <c r="C584" s="46"/>
      <c r="D584" s="129">
        <f>Asset19</f>
        <v>0</v>
      </c>
      <c r="E584" s="9"/>
      <c r="F584" s="9"/>
      <c r="G584" s="196">
        <f>'Adjustment for previous period'!G480</f>
        <v>0</v>
      </c>
      <c r="H584" s="37"/>
      <c r="I584" s="37"/>
      <c r="J584" s="37"/>
      <c r="K584" s="37"/>
      <c r="L584" s="37"/>
      <c r="M584" s="37"/>
      <c r="N584" s="29"/>
      <c r="O584" s="29"/>
      <c r="P584" s="29"/>
      <c r="Q584" s="29"/>
      <c r="R584" s="29"/>
      <c r="S584" s="100"/>
      <c r="T584" s="100"/>
      <c r="U584" s="100"/>
      <c r="V584" s="100"/>
      <c r="W584" s="100"/>
      <c r="X584" s="100"/>
      <c r="Y584" s="100"/>
      <c r="Z584" s="100"/>
      <c r="AA584" s="100"/>
      <c r="AB584" s="227"/>
      <c r="AC584" s="227"/>
      <c r="AD584" s="227"/>
      <c r="AE584" s="227"/>
      <c r="AF584" s="227"/>
      <c r="AG584" s="227"/>
      <c r="AH584" s="227"/>
      <c r="AI584" s="227"/>
      <c r="AJ584" s="227"/>
      <c r="AK584" s="227"/>
      <c r="AL584" s="227"/>
      <c r="AM584" s="227"/>
      <c r="AN584" s="227"/>
      <c r="AO584" s="227"/>
      <c r="AP584" s="227"/>
      <c r="AQ584" s="227"/>
      <c r="AR584" s="227"/>
      <c r="AS584" s="227"/>
      <c r="AT584" s="227"/>
      <c r="AU584" s="227"/>
      <c r="AV584" s="227"/>
      <c r="AW584" s="227"/>
      <c r="AX584" s="227"/>
      <c r="AY584" s="227"/>
      <c r="AZ584" s="227"/>
      <c r="BA584" s="227"/>
      <c r="BB584" s="227"/>
      <c r="BC584" s="227"/>
      <c r="BD584" s="100"/>
      <c r="BE584" s="100"/>
      <c r="BF584" s="100"/>
      <c r="BG584" s="100"/>
      <c r="BH584" s="100"/>
      <c r="BI584" s="100"/>
      <c r="BJ584" s="100"/>
      <c r="BK584" s="12"/>
      <c r="BL584" s="12"/>
    </row>
    <row r="585" spans="1:64" hidden="1" outlineLevel="1">
      <c r="A585" s="9"/>
      <c r="B585" s="9"/>
      <c r="C585" s="46"/>
      <c r="D585" s="129">
        <f>Asset20</f>
        <v>0</v>
      </c>
      <c r="E585" s="9"/>
      <c r="F585" s="9"/>
      <c r="G585" s="196">
        <f>'Adjustment for previous period'!G481</f>
        <v>0</v>
      </c>
      <c r="H585" s="37"/>
      <c r="I585" s="37"/>
      <c r="J585" s="37"/>
      <c r="K585" s="37"/>
      <c r="L585" s="37"/>
      <c r="M585" s="37"/>
      <c r="N585" s="29"/>
      <c r="O585" s="29"/>
      <c r="P585" s="29"/>
      <c r="Q585" s="29"/>
      <c r="R585" s="29"/>
      <c r="S585" s="100"/>
      <c r="T585" s="100"/>
      <c r="U585" s="100"/>
      <c r="V585" s="100"/>
      <c r="W585" s="100"/>
      <c r="X585" s="100"/>
      <c r="Y585" s="100"/>
      <c r="Z585" s="100"/>
      <c r="AA585" s="100"/>
      <c r="AB585" s="227"/>
      <c r="AC585" s="227"/>
      <c r="AD585" s="227"/>
      <c r="AE585" s="227"/>
      <c r="AF585" s="227"/>
      <c r="AG585" s="227"/>
      <c r="AH585" s="227"/>
      <c r="AI585" s="227"/>
      <c r="AJ585" s="227"/>
      <c r="AK585" s="227"/>
      <c r="AL585" s="227"/>
      <c r="AM585" s="227"/>
      <c r="AN585" s="227"/>
      <c r="AO585" s="227"/>
      <c r="AP585" s="227"/>
      <c r="AQ585" s="227"/>
      <c r="AR585" s="227"/>
      <c r="AS585" s="227"/>
      <c r="AT585" s="227"/>
      <c r="AU585" s="227"/>
      <c r="AV585" s="227"/>
      <c r="AW585" s="227"/>
      <c r="AX585" s="227"/>
      <c r="AY585" s="227"/>
      <c r="AZ585" s="227"/>
      <c r="BA585" s="227"/>
      <c r="BB585" s="227"/>
      <c r="BC585" s="227"/>
      <c r="BD585" s="100"/>
      <c r="BE585" s="100"/>
      <c r="BF585" s="100"/>
      <c r="BG585" s="100"/>
      <c r="BH585" s="100"/>
      <c r="BI585" s="100"/>
      <c r="BJ585" s="100"/>
      <c r="BK585" s="12"/>
      <c r="BL585" s="12"/>
    </row>
    <row r="586" spans="1:64" hidden="1" outlineLevel="1">
      <c r="A586" s="9"/>
      <c r="B586" s="9"/>
      <c r="C586" s="46"/>
      <c r="D586" s="129">
        <f>Asset21</f>
        <v>0</v>
      </c>
      <c r="E586" s="9"/>
      <c r="F586" s="9"/>
      <c r="G586" s="196">
        <f>'Adjustment for previous period'!G482</f>
        <v>0</v>
      </c>
      <c r="H586" s="37"/>
      <c r="I586" s="37"/>
      <c r="J586" s="37"/>
      <c r="K586" s="37"/>
      <c r="L586" s="37"/>
      <c r="M586" s="37"/>
      <c r="N586" s="29"/>
      <c r="O586" s="29"/>
      <c r="P586" s="29"/>
      <c r="Q586" s="29"/>
      <c r="R586" s="29"/>
      <c r="S586" s="100"/>
      <c r="T586" s="100"/>
      <c r="U586" s="100"/>
      <c r="V586" s="100"/>
      <c r="W586" s="100"/>
      <c r="X586" s="100"/>
      <c r="Y586" s="100"/>
      <c r="Z586" s="100"/>
      <c r="AA586" s="100"/>
      <c r="AB586" s="227"/>
      <c r="AC586" s="227"/>
      <c r="AD586" s="227"/>
      <c r="AE586" s="227"/>
      <c r="AF586" s="227"/>
      <c r="AG586" s="227"/>
      <c r="AH586" s="227"/>
      <c r="AI586" s="227"/>
      <c r="AJ586" s="227"/>
      <c r="AK586" s="227"/>
      <c r="AL586" s="227"/>
      <c r="AM586" s="227"/>
      <c r="AN586" s="227"/>
      <c r="AO586" s="227"/>
      <c r="AP586" s="227"/>
      <c r="AQ586" s="227"/>
      <c r="AR586" s="227"/>
      <c r="AS586" s="227"/>
      <c r="AT586" s="227"/>
      <c r="AU586" s="227"/>
      <c r="AV586" s="227"/>
      <c r="AW586" s="227"/>
      <c r="AX586" s="227"/>
      <c r="AY586" s="227"/>
      <c r="AZ586" s="227"/>
      <c r="BA586" s="227"/>
      <c r="BB586" s="227"/>
      <c r="BC586" s="227"/>
      <c r="BD586" s="100"/>
      <c r="BE586" s="100"/>
      <c r="BF586" s="100"/>
      <c r="BG586" s="100"/>
      <c r="BH586" s="100"/>
      <c r="BI586" s="100"/>
      <c r="BJ586" s="100"/>
      <c r="BK586" s="12"/>
      <c r="BL586" s="12"/>
    </row>
    <row r="587" spans="1:64" hidden="1" outlineLevel="1">
      <c r="A587" s="9"/>
      <c r="B587" s="9"/>
      <c r="C587" s="46"/>
      <c r="D587" s="129">
        <f>Asset22</f>
        <v>0</v>
      </c>
      <c r="E587" s="9"/>
      <c r="F587" s="9"/>
      <c r="G587" s="196">
        <f>'Adjustment for previous period'!G483</f>
        <v>0</v>
      </c>
      <c r="H587" s="37"/>
      <c r="I587" s="37"/>
      <c r="J587" s="37"/>
      <c r="K587" s="37"/>
      <c r="L587" s="37"/>
      <c r="M587" s="37"/>
      <c r="N587" s="29"/>
      <c r="O587" s="29"/>
      <c r="P587" s="29"/>
      <c r="Q587" s="29"/>
      <c r="R587" s="29"/>
      <c r="S587" s="100"/>
      <c r="T587" s="100"/>
      <c r="U587" s="100"/>
      <c r="V587" s="100"/>
      <c r="W587" s="100"/>
      <c r="X587" s="100"/>
      <c r="Y587" s="100"/>
      <c r="Z587" s="100"/>
      <c r="AA587" s="100"/>
      <c r="AB587" s="227"/>
      <c r="AC587" s="227"/>
      <c r="AD587" s="227"/>
      <c r="AE587" s="227"/>
      <c r="AF587" s="227"/>
      <c r="AG587" s="227"/>
      <c r="AH587" s="227"/>
      <c r="AI587" s="227"/>
      <c r="AJ587" s="227"/>
      <c r="AK587" s="227"/>
      <c r="AL587" s="227"/>
      <c r="AM587" s="227"/>
      <c r="AN587" s="227"/>
      <c r="AO587" s="227"/>
      <c r="AP587" s="227"/>
      <c r="AQ587" s="227"/>
      <c r="AR587" s="227"/>
      <c r="AS587" s="227"/>
      <c r="AT587" s="227"/>
      <c r="AU587" s="227"/>
      <c r="AV587" s="227"/>
      <c r="AW587" s="227"/>
      <c r="AX587" s="227"/>
      <c r="AY587" s="227"/>
      <c r="AZ587" s="227"/>
      <c r="BA587" s="227"/>
      <c r="BB587" s="227"/>
      <c r="BC587" s="227"/>
      <c r="BD587" s="100"/>
      <c r="BE587" s="100"/>
      <c r="BF587" s="100"/>
      <c r="BG587" s="100"/>
      <c r="BH587" s="100"/>
      <c r="BI587" s="100"/>
      <c r="BJ587" s="100"/>
      <c r="BK587" s="12"/>
      <c r="BL587" s="12"/>
    </row>
    <row r="588" spans="1:64" hidden="1" outlineLevel="1">
      <c r="A588" s="9"/>
      <c r="B588" s="9"/>
      <c r="C588" s="46"/>
      <c r="D588" s="129">
        <f>Asset23</f>
        <v>0</v>
      </c>
      <c r="E588" s="9"/>
      <c r="F588" s="9"/>
      <c r="G588" s="196">
        <f>'Adjustment for previous period'!G484</f>
        <v>0</v>
      </c>
      <c r="H588" s="37"/>
      <c r="I588" s="37"/>
      <c r="J588" s="37"/>
      <c r="K588" s="37"/>
      <c r="L588" s="37"/>
      <c r="M588" s="37"/>
      <c r="N588" s="29"/>
      <c r="O588" s="29"/>
      <c r="P588" s="29"/>
      <c r="Q588" s="29"/>
      <c r="R588" s="29"/>
      <c r="S588" s="100"/>
      <c r="T588" s="100"/>
      <c r="U588" s="100"/>
      <c r="V588" s="100"/>
      <c r="W588" s="100"/>
      <c r="X588" s="100"/>
      <c r="Y588" s="100"/>
      <c r="Z588" s="100"/>
      <c r="AA588" s="100"/>
      <c r="AB588" s="227"/>
      <c r="AC588" s="227"/>
      <c r="AD588" s="227"/>
      <c r="AE588" s="227"/>
      <c r="AF588" s="227"/>
      <c r="AG588" s="227"/>
      <c r="AH588" s="227"/>
      <c r="AI588" s="227"/>
      <c r="AJ588" s="227"/>
      <c r="AK588" s="227"/>
      <c r="AL588" s="227"/>
      <c r="AM588" s="227"/>
      <c r="AN588" s="227"/>
      <c r="AO588" s="227"/>
      <c r="AP588" s="227"/>
      <c r="AQ588" s="227"/>
      <c r="AR588" s="227"/>
      <c r="AS588" s="227"/>
      <c r="AT588" s="227"/>
      <c r="AU588" s="227"/>
      <c r="AV588" s="227"/>
      <c r="AW588" s="227"/>
      <c r="AX588" s="227"/>
      <c r="AY588" s="227"/>
      <c r="AZ588" s="227"/>
      <c r="BA588" s="227"/>
      <c r="BB588" s="227"/>
      <c r="BC588" s="227"/>
      <c r="BD588" s="100"/>
      <c r="BE588" s="100"/>
      <c r="BF588" s="100"/>
      <c r="BG588" s="100"/>
      <c r="BH588" s="100"/>
      <c r="BI588" s="100"/>
      <c r="BJ588" s="100"/>
      <c r="BK588" s="12"/>
      <c r="BL588" s="12"/>
    </row>
    <row r="589" spans="1:64" hidden="1" outlineLevel="1">
      <c r="A589" s="9"/>
      <c r="B589" s="9"/>
      <c r="C589" s="46"/>
      <c r="D589" s="129">
        <f>Asset24</f>
        <v>0</v>
      </c>
      <c r="E589" s="9"/>
      <c r="F589" s="9"/>
      <c r="G589" s="196">
        <f>'Adjustment for previous period'!G485</f>
        <v>0</v>
      </c>
      <c r="H589" s="37"/>
      <c r="I589" s="37"/>
      <c r="J589" s="37"/>
      <c r="K589" s="37"/>
      <c r="L589" s="37"/>
      <c r="M589" s="37"/>
      <c r="N589" s="29"/>
      <c r="O589" s="29"/>
      <c r="P589" s="29"/>
      <c r="Q589" s="29"/>
      <c r="R589" s="29"/>
      <c r="S589" s="100"/>
      <c r="T589" s="100"/>
      <c r="U589" s="100"/>
      <c r="V589" s="100"/>
      <c r="W589" s="100"/>
      <c r="X589" s="100"/>
      <c r="Y589" s="100"/>
      <c r="Z589" s="100"/>
      <c r="AA589" s="100"/>
      <c r="AB589" s="227"/>
      <c r="AC589" s="227"/>
      <c r="AD589" s="227"/>
      <c r="AE589" s="227"/>
      <c r="AF589" s="227"/>
      <c r="AG589" s="227"/>
      <c r="AH589" s="227"/>
      <c r="AI589" s="227"/>
      <c r="AJ589" s="227"/>
      <c r="AK589" s="227"/>
      <c r="AL589" s="227"/>
      <c r="AM589" s="227"/>
      <c r="AN589" s="227"/>
      <c r="AO589" s="227"/>
      <c r="AP589" s="227"/>
      <c r="AQ589" s="227"/>
      <c r="AR589" s="227"/>
      <c r="AS589" s="227"/>
      <c r="AT589" s="227"/>
      <c r="AU589" s="227"/>
      <c r="AV589" s="227"/>
      <c r="AW589" s="227"/>
      <c r="AX589" s="227"/>
      <c r="AY589" s="227"/>
      <c r="AZ589" s="227"/>
      <c r="BA589" s="227"/>
      <c r="BB589" s="227"/>
      <c r="BC589" s="227"/>
      <c r="BD589" s="100"/>
      <c r="BE589" s="100"/>
      <c r="BF589" s="100"/>
      <c r="BG589" s="100"/>
      <c r="BH589" s="100"/>
      <c r="BI589" s="100"/>
      <c r="BJ589" s="100"/>
      <c r="BK589" s="12"/>
      <c r="BL589" s="12"/>
    </row>
    <row r="590" spans="1:64" hidden="1" outlineLevel="1">
      <c r="A590" s="9"/>
      <c r="B590" s="9"/>
      <c r="C590" s="46"/>
      <c r="D590" s="129">
        <f>Asset25</f>
        <v>0</v>
      </c>
      <c r="E590" s="9"/>
      <c r="F590" s="9"/>
      <c r="G590" s="196">
        <f>'Adjustment for previous period'!G486</f>
        <v>0</v>
      </c>
      <c r="H590" s="37"/>
      <c r="I590" s="37"/>
      <c r="J590" s="37"/>
      <c r="K590" s="37"/>
      <c r="L590" s="37"/>
      <c r="M590" s="37"/>
      <c r="N590" s="29"/>
      <c r="O590" s="29"/>
      <c r="P590" s="29"/>
      <c r="Q590" s="29"/>
      <c r="R590" s="29"/>
      <c r="S590" s="100"/>
      <c r="T590" s="100"/>
      <c r="U590" s="100"/>
      <c r="V590" s="100"/>
      <c r="W590" s="100"/>
      <c r="X590" s="100"/>
      <c r="Y590" s="100"/>
      <c r="Z590" s="100"/>
      <c r="AA590" s="100"/>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100"/>
      <c r="BE590" s="100"/>
      <c r="BF590" s="100"/>
      <c r="BG590" s="100"/>
      <c r="BH590" s="100"/>
      <c r="BI590" s="100"/>
      <c r="BJ590" s="100"/>
      <c r="BK590" s="12"/>
      <c r="BL590" s="12"/>
    </row>
    <row r="591" spans="1:64" hidden="1" outlineLevel="1">
      <c r="A591" s="9"/>
      <c r="B591" s="9"/>
      <c r="C591" s="46"/>
      <c r="D591" s="129">
        <f>Asset26</f>
        <v>0</v>
      </c>
      <c r="E591" s="9"/>
      <c r="F591" s="9"/>
      <c r="G591" s="196">
        <f>'Adjustment for previous period'!G487</f>
        <v>0</v>
      </c>
      <c r="H591" s="37"/>
      <c r="I591" s="37"/>
      <c r="J591" s="37"/>
      <c r="K591" s="37"/>
      <c r="L591" s="37"/>
      <c r="M591" s="37"/>
      <c r="N591" s="29"/>
      <c r="O591" s="29"/>
      <c r="P591" s="29"/>
      <c r="Q591" s="29"/>
      <c r="R591" s="29"/>
      <c r="S591" s="100"/>
      <c r="T591" s="100"/>
      <c r="U591" s="100"/>
      <c r="V591" s="100"/>
      <c r="W591" s="100"/>
      <c r="X591" s="100"/>
      <c r="Y591" s="100"/>
      <c r="Z591" s="100"/>
      <c r="AA591" s="100"/>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100"/>
      <c r="BE591" s="100"/>
      <c r="BF591" s="100"/>
      <c r="BG591" s="100"/>
      <c r="BH591" s="100"/>
      <c r="BI591" s="100"/>
      <c r="BJ591" s="100"/>
      <c r="BK591" s="12"/>
      <c r="BL591" s="12"/>
    </row>
    <row r="592" spans="1:64" hidden="1" outlineLevel="1">
      <c r="A592" s="9"/>
      <c r="B592" s="9"/>
      <c r="C592" s="46"/>
      <c r="D592" s="129">
        <f>Asset27</f>
        <v>0</v>
      </c>
      <c r="E592" s="9"/>
      <c r="F592" s="9"/>
      <c r="G592" s="196">
        <f>'Adjustment for previous period'!G488</f>
        <v>0</v>
      </c>
      <c r="H592" s="37"/>
      <c r="I592" s="37"/>
      <c r="J592" s="37"/>
      <c r="K592" s="37"/>
      <c r="L592" s="37"/>
      <c r="M592" s="37"/>
      <c r="N592" s="29"/>
      <c r="O592" s="29"/>
      <c r="P592" s="29"/>
      <c r="Q592" s="29"/>
      <c r="R592" s="29"/>
      <c r="S592" s="100"/>
      <c r="T592" s="100"/>
      <c r="U592" s="100"/>
      <c r="V592" s="100"/>
      <c r="W592" s="100"/>
      <c r="X592" s="100"/>
      <c r="Y592" s="100"/>
      <c r="Z592" s="100"/>
      <c r="AA592" s="100"/>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100"/>
      <c r="BE592" s="100"/>
      <c r="BF592" s="100"/>
      <c r="BG592" s="100"/>
      <c r="BH592" s="100"/>
      <c r="BI592" s="100"/>
      <c r="BJ592" s="100"/>
      <c r="BK592" s="12"/>
      <c r="BL592" s="12"/>
    </row>
    <row r="593" spans="1:64" hidden="1" outlineLevel="1">
      <c r="A593" s="9"/>
      <c r="B593" s="9"/>
      <c r="C593" s="46"/>
      <c r="D593" s="129">
        <f>Asset28</f>
        <v>0</v>
      </c>
      <c r="E593" s="9"/>
      <c r="F593" s="9"/>
      <c r="G593" s="196">
        <f>'Adjustment for previous period'!G489</f>
        <v>0</v>
      </c>
      <c r="H593" s="37"/>
      <c r="I593" s="37"/>
      <c r="J593" s="37"/>
      <c r="K593" s="37"/>
      <c r="L593" s="37"/>
      <c r="M593" s="37"/>
      <c r="N593" s="29"/>
      <c r="O593" s="29"/>
      <c r="P593" s="29"/>
      <c r="Q593" s="29"/>
      <c r="R593" s="29"/>
      <c r="S593" s="100"/>
      <c r="T593" s="100"/>
      <c r="U593" s="100"/>
      <c r="V593" s="100"/>
      <c r="W593" s="100"/>
      <c r="X593" s="100"/>
      <c r="Y593" s="100"/>
      <c r="Z593" s="100"/>
      <c r="AA593" s="100"/>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100"/>
      <c r="BE593" s="100"/>
      <c r="BF593" s="100"/>
      <c r="BG593" s="100"/>
      <c r="BH593" s="100"/>
      <c r="BI593" s="100"/>
      <c r="BJ593" s="100"/>
      <c r="BK593" s="12"/>
      <c r="BL593" s="12"/>
    </row>
    <row r="594" spans="1:64" hidden="1" outlineLevel="1">
      <c r="A594" s="9"/>
      <c r="B594" s="9"/>
      <c r="C594" s="46"/>
      <c r="D594" s="129">
        <f>Asset29</f>
        <v>0</v>
      </c>
      <c r="E594" s="9"/>
      <c r="F594" s="9"/>
      <c r="G594" s="196">
        <f>'Adjustment for previous period'!G490</f>
        <v>0</v>
      </c>
      <c r="H594" s="37"/>
      <c r="I594" s="37"/>
      <c r="J594" s="37"/>
      <c r="K594" s="37"/>
      <c r="L594" s="37"/>
      <c r="M594" s="37"/>
      <c r="N594" s="29"/>
      <c r="O594" s="29"/>
      <c r="P594" s="29"/>
      <c r="Q594" s="29"/>
      <c r="R594" s="29"/>
      <c r="S594" s="100"/>
      <c r="T594" s="100"/>
      <c r="U594" s="100"/>
      <c r="V594" s="100"/>
      <c r="W594" s="100"/>
      <c r="X594" s="100"/>
      <c r="Y594" s="100"/>
      <c r="Z594" s="100"/>
      <c r="AA594" s="100"/>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100"/>
      <c r="BE594" s="100"/>
      <c r="BF594" s="100"/>
      <c r="BG594" s="100"/>
      <c r="BH594" s="100"/>
      <c r="BI594" s="100"/>
      <c r="BJ594" s="100"/>
      <c r="BK594" s="12"/>
      <c r="BL594" s="12"/>
    </row>
    <row r="595" spans="1:64" hidden="1" outlineLevel="1">
      <c r="A595" s="9"/>
      <c r="B595" s="9"/>
      <c r="C595" s="46"/>
      <c r="D595" s="129">
        <f>Asset30</f>
        <v>0</v>
      </c>
      <c r="E595" s="9"/>
      <c r="F595" s="9"/>
      <c r="G595" s="196">
        <f>'Adjustment for previous period'!G491</f>
        <v>0</v>
      </c>
      <c r="H595" s="37"/>
      <c r="I595" s="37"/>
      <c r="J595" s="37"/>
      <c r="K595" s="37"/>
      <c r="L595" s="37"/>
      <c r="M595" s="37"/>
      <c r="N595" s="29"/>
      <c r="O595" s="29"/>
      <c r="P595" s="29"/>
      <c r="Q595" s="29"/>
      <c r="R595" s="29"/>
      <c r="S595" s="100"/>
      <c r="T595" s="100"/>
      <c r="U595" s="100"/>
      <c r="V595" s="100"/>
      <c r="W595" s="100"/>
      <c r="X595" s="100"/>
      <c r="Y595" s="100"/>
      <c r="Z595" s="100"/>
      <c r="AA595" s="100"/>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100"/>
      <c r="BE595" s="100"/>
      <c r="BF595" s="100"/>
      <c r="BG595" s="100"/>
      <c r="BH595" s="100"/>
      <c r="BI595" s="100"/>
      <c r="BJ595" s="100"/>
      <c r="BK595" s="12"/>
      <c r="BL595" s="12"/>
    </row>
    <row r="596" spans="1:64" collapsed="1">
      <c r="A596" s="9"/>
      <c r="B596" s="9"/>
      <c r="C596" s="46"/>
      <c r="D596" s="114"/>
      <c r="E596" s="9"/>
      <c r="F596" s="9"/>
      <c r="G596" s="201"/>
      <c r="H596" s="37"/>
      <c r="I596" s="37"/>
      <c r="J596" s="37"/>
      <c r="K596" s="37"/>
      <c r="L596" s="37"/>
      <c r="M596" s="37"/>
      <c r="N596" s="29"/>
      <c r="O596" s="29"/>
      <c r="P596" s="29"/>
      <c r="Q596" s="29"/>
      <c r="R596" s="29"/>
      <c r="S596" s="100"/>
      <c r="T596" s="100"/>
      <c r="U596" s="100"/>
      <c r="V596" s="100"/>
      <c r="W596" s="100"/>
      <c r="X596" s="100"/>
      <c r="Y596" s="100"/>
      <c r="Z596" s="100"/>
      <c r="AA596" s="100"/>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100"/>
      <c r="BE596" s="100"/>
      <c r="BF596" s="100"/>
      <c r="BG596" s="100"/>
      <c r="BH596" s="100"/>
      <c r="BI596" s="100"/>
      <c r="BJ596" s="100"/>
      <c r="BK596" s="12"/>
      <c r="BL596" s="12"/>
    </row>
    <row r="597" spans="1:64">
      <c r="A597" s="9"/>
      <c r="B597" s="9"/>
      <c r="C597" s="46" t="s">
        <v>60</v>
      </c>
      <c r="D597" s="129"/>
      <c r="E597" s="9"/>
      <c r="F597" s="9"/>
      <c r="G597" s="200">
        <f>SUM(G598:G627)</f>
        <v>0</v>
      </c>
      <c r="H597" s="111"/>
      <c r="I597" s="111"/>
      <c r="J597" s="111"/>
      <c r="K597" s="111"/>
      <c r="L597" s="111"/>
      <c r="M597" s="111"/>
      <c r="N597" s="29"/>
      <c r="O597" s="29"/>
      <c r="P597" s="29"/>
      <c r="Q597" s="29"/>
      <c r="R597" s="29"/>
      <c r="S597" s="100"/>
      <c r="T597" s="100"/>
      <c r="U597" s="100"/>
      <c r="V597" s="100"/>
      <c r="W597" s="100"/>
      <c r="X597" s="100"/>
      <c r="Y597" s="100"/>
      <c r="Z597" s="100"/>
      <c r="AA597" s="100"/>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100"/>
      <c r="BE597" s="100"/>
      <c r="BF597" s="100"/>
      <c r="BG597" s="100"/>
      <c r="BH597" s="100"/>
      <c r="BI597" s="100"/>
      <c r="BJ597" s="100"/>
      <c r="BK597" s="12"/>
      <c r="BL597" s="12"/>
    </row>
    <row r="598" spans="1:64" hidden="1" outlineLevel="1">
      <c r="A598" s="9"/>
      <c r="B598" s="9"/>
      <c r="C598" s="46"/>
      <c r="D598" s="129" t="str">
        <f>Asset1</f>
        <v>Mains &amp; Services</v>
      </c>
      <c r="E598" s="9"/>
      <c r="F598" s="9"/>
      <c r="G598" s="196">
        <f>'Adjustment for previous period'!G494</f>
        <v>0</v>
      </c>
      <c r="H598" s="111"/>
      <c r="I598" s="111"/>
      <c r="J598" s="111"/>
      <c r="K598" s="111"/>
      <c r="L598" s="111"/>
      <c r="M598" s="111"/>
      <c r="N598" s="29"/>
      <c r="O598" s="29"/>
      <c r="P598" s="29"/>
      <c r="Q598" s="29"/>
      <c r="R598" s="29"/>
      <c r="S598" s="100"/>
      <c r="T598" s="100"/>
      <c r="U598" s="100"/>
      <c r="V598" s="100"/>
      <c r="W598" s="100"/>
      <c r="X598" s="100"/>
      <c r="Y598" s="100"/>
      <c r="Z598" s="100"/>
      <c r="AA598" s="100"/>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100"/>
      <c r="BE598" s="100"/>
      <c r="BF598" s="100"/>
      <c r="BG598" s="100"/>
      <c r="BH598" s="100"/>
      <c r="BI598" s="100"/>
      <c r="BJ598" s="100"/>
      <c r="BK598" s="12"/>
      <c r="BL598" s="12"/>
    </row>
    <row r="599" spans="1:64" hidden="1" outlineLevel="1">
      <c r="A599" s="9"/>
      <c r="B599" s="9"/>
      <c r="C599" s="46"/>
      <c r="D599" s="129" t="str">
        <f>Asset2</f>
        <v>Meters</v>
      </c>
      <c r="E599" s="9"/>
      <c r="F599" s="9"/>
      <c r="G599" s="196">
        <f>'Adjustment for previous period'!G495</f>
        <v>0</v>
      </c>
      <c r="H599" s="111"/>
      <c r="I599" s="111"/>
      <c r="J599" s="111"/>
      <c r="K599" s="111"/>
      <c r="L599" s="111"/>
      <c r="M599" s="111"/>
      <c r="N599" s="29"/>
      <c r="O599" s="29"/>
      <c r="P599" s="29"/>
      <c r="Q599" s="29"/>
      <c r="R599" s="29"/>
      <c r="S599" s="100"/>
      <c r="T599" s="100"/>
      <c r="U599" s="100"/>
      <c r="V599" s="100"/>
      <c r="W599" s="100"/>
      <c r="X599" s="100"/>
      <c r="Y599" s="100"/>
      <c r="Z599" s="100"/>
      <c r="AA599" s="100"/>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100"/>
      <c r="BE599" s="100"/>
      <c r="BF599" s="100"/>
      <c r="BG599" s="100"/>
      <c r="BH599" s="100"/>
      <c r="BI599" s="100"/>
      <c r="BJ599" s="100"/>
      <c r="BK599" s="12"/>
      <c r="BL599" s="12"/>
    </row>
    <row r="600" spans="1:64" hidden="1" outlineLevel="1">
      <c r="A600" s="9"/>
      <c r="B600" s="9"/>
      <c r="C600" s="46"/>
      <c r="D600" s="129" t="str">
        <f>Asset3</f>
        <v>Buildings</v>
      </c>
      <c r="E600" s="9"/>
      <c r="F600" s="9"/>
      <c r="G600" s="196">
        <f>'Adjustment for previous period'!G496</f>
        <v>0</v>
      </c>
      <c r="H600" s="111"/>
      <c r="I600" s="111"/>
      <c r="J600" s="111"/>
      <c r="K600" s="111"/>
      <c r="L600" s="111"/>
      <c r="M600" s="111"/>
      <c r="N600" s="29"/>
      <c r="O600" s="29"/>
      <c r="P600" s="29"/>
      <c r="Q600" s="29"/>
      <c r="R600" s="29"/>
      <c r="S600" s="100"/>
      <c r="T600" s="100"/>
      <c r="U600" s="100"/>
      <c r="V600" s="100"/>
      <c r="W600" s="100"/>
      <c r="X600" s="100"/>
      <c r="Y600" s="100"/>
      <c r="Z600" s="100"/>
      <c r="AA600" s="100"/>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100"/>
      <c r="BE600" s="100"/>
      <c r="BF600" s="100"/>
      <c r="BG600" s="100"/>
      <c r="BH600" s="100"/>
      <c r="BI600" s="100"/>
      <c r="BJ600" s="100"/>
      <c r="BK600" s="12"/>
      <c r="BL600" s="12"/>
    </row>
    <row r="601" spans="1:64" hidden="1" outlineLevel="1">
      <c r="A601" s="9"/>
      <c r="B601" s="9"/>
      <c r="C601" s="46"/>
      <c r="D601" s="129" t="str">
        <f>Asset4</f>
        <v>SCADA</v>
      </c>
      <c r="E601" s="9"/>
      <c r="F601" s="9"/>
      <c r="G601" s="196">
        <f>'Adjustment for previous period'!G497</f>
        <v>0</v>
      </c>
      <c r="H601" s="111"/>
      <c r="I601" s="111"/>
      <c r="J601" s="111"/>
      <c r="K601" s="111"/>
      <c r="L601" s="111"/>
      <c r="M601" s="111"/>
      <c r="N601" s="29"/>
      <c r="O601" s="29"/>
      <c r="P601" s="29"/>
      <c r="Q601" s="29"/>
      <c r="R601" s="29"/>
      <c r="S601" s="100"/>
      <c r="T601" s="100"/>
      <c r="U601" s="100"/>
      <c r="V601" s="100"/>
      <c r="W601" s="100"/>
      <c r="X601" s="100"/>
      <c r="Y601" s="100"/>
      <c r="Z601" s="100"/>
      <c r="AA601" s="100"/>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100"/>
      <c r="BE601" s="100"/>
      <c r="BF601" s="100"/>
      <c r="BG601" s="100"/>
      <c r="BH601" s="100"/>
      <c r="BI601" s="100"/>
      <c r="BJ601" s="100"/>
      <c r="BK601" s="12"/>
      <c r="BL601" s="12"/>
    </row>
    <row r="602" spans="1:64" hidden="1" outlineLevel="1">
      <c r="A602" s="9"/>
      <c r="B602" s="9"/>
      <c r="C602" s="46"/>
      <c r="D602" s="129" t="str">
        <f>Asset5</f>
        <v>Computer Equipment</v>
      </c>
      <c r="E602" s="9"/>
      <c r="F602" s="9"/>
      <c r="G602" s="196">
        <f>'Adjustment for previous period'!G498</f>
        <v>0</v>
      </c>
      <c r="H602" s="111"/>
      <c r="I602" s="111"/>
      <c r="J602" s="111"/>
      <c r="K602" s="111"/>
      <c r="L602" s="111"/>
      <c r="M602" s="111"/>
      <c r="N602" s="29"/>
      <c r="O602" s="29"/>
      <c r="P602" s="29"/>
      <c r="Q602" s="29"/>
      <c r="R602" s="29"/>
      <c r="S602" s="100"/>
      <c r="T602" s="100"/>
      <c r="U602" s="100"/>
      <c r="V602" s="100"/>
      <c r="W602" s="100"/>
      <c r="X602" s="100"/>
      <c r="Y602" s="100"/>
      <c r="Z602" s="100"/>
      <c r="AA602" s="100"/>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100"/>
      <c r="BE602" s="100"/>
      <c r="BF602" s="100"/>
      <c r="BG602" s="100"/>
      <c r="BH602" s="100"/>
      <c r="BI602" s="100"/>
      <c r="BJ602" s="100"/>
      <c r="BK602" s="12"/>
      <c r="BL602" s="12"/>
    </row>
    <row r="603" spans="1:64" hidden="1" outlineLevel="1">
      <c r="A603" s="9"/>
      <c r="B603" s="9"/>
      <c r="C603" s="46"/>
      <c r="D603" s="129" t="str">
        <f>Asset6</f>
        <v>Other Assets</v>
      </c>
      <c r="E603" s="9"/>
      <c r="F603" s="9"/>
      <c r="G603" s="196">
        <f>'Adjustment for previous period'!G499</f>
        <v>0</v>
      </c>
      <c r="H603" s="111"/>
      <c r="I603" s="111"/>
      <c r="J603" s="111"/>
      <c r="K603" s="111"/>
      <c r="L603" s="111"/>
      <c r="M603" s="111"/>
      <c r="N603" s="29"/>
      <c r="O603" s="29"/>
      <c r="P603" s="29"/>
      <c r="Q603" s="29"/>
      <c r="R603" s="29"/>
      <c r="S603" s="100"/>
      <c r="T603" s="100"/>
      <c r="U603" s="100"/>
      <c r="V603" s="100"/>
      <c r="W603" s="100"/>
      <c r="X603" s="100"/>
      <c r="Y603" s="100"/>
      <c r="Z603" s="100"/>
      <c r="AA603" s="100"/>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100"/>
      <c r="BE603" s="100"/>
      <c r="BF603" s="100"/>
      <c r="BG603" s="100"/>
      <c r="BH603" s="100"/>
      <c r="BI603" s="100"/>
      <c r="BJ603" s="100"/>
      <c r="BK603" s="12"/>
      <c r="BL603" s="12"/>
    </row>
    <row r="604" spans="1:64" hidden="1" outlineLevel="1">
      <c r="A604" s="9"/>
      <c r="B604" s="9"/>
      <c r="C604" s="46"/>
      <c r="D604" s="129" t="str">
        <f>Asset7</f>
        <v>Equity Raising Costs</v>
      </c>
      <c r="E604" s="9"/>
      <c r="F604" s="9"/>
      <c r="G604" s="196">
        <f>'Adjustment for previous period'!G500</f>
        <v>0</v>
      </c>
      <c r="H604" s="111"/>
      <c r="I604" s="111"/>
      <c r="J604" s="111"/>
      <c r="K604" s="111"/>
      <c r="L604" s="111"/>
      <c r="M604" s="111"/>
      <c r="N604" s="29"/>
      <c r="O604" s="29"/>
      <c r="P604" s="29"/>
      <c r="Q604" s="29"/>
      <c r="R604" s="29"/>
      <c r="S604" s="100"/>
      <c r="T604" s="100"/>
      <c r="U604" s="100"/>
      <c r="V604" s="100"/>
      <c r="W604" s="100"/>
      <c r="X604" s="100"/>
      <c r="Y604" s="100"/>
      <c r="Z604" s="100"/>
      <c r="AA604" s="100"/>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100"/>
      <c r="BE604" s="100"/>
      <c r="BF604" s="100"/>
      <c r="BG604" s="100"/>
      <c r="BH604" s="100"/>
      <c r="BI604" s="100"/>
      <c r="BJ604" s="100"/>
      <c r="BK604" s="12"/>
      <c r="BL604" s="12"/>
    </row>
    <row r="605" spans="1:64" hidden="1" outlineLevel="1">
      <c r="A605" s="9"/>
      <c r="B605" s="9"/>
      <c r="C605" s="46"/>
      <c r="D605" s="129" t="str">
        <f>Asset8</f>
        <v>Land</v>
      </c>
      <c r="E605" s="9"/>
      <c r="F605" s="9"/>
      <c r="G605" s="196">
        <f>'Adjustment for previous period'!G501</f>
        <v>0</v>
      </c>
      <c r="H605" s="111"/>
      <c r="I605" s="111"/>
      <c r="J605" s="111"/>
      <c r="K605" s="111"/>
      <c r="L605" s="111"/>
      <c r="M605" s="111"/>
      <c r="N605" s="29"/>
      <c r="O605" s="29"/>
      <c r="P605" s="29"/>
      <c r="Q605" s="29"/>
      <c r="R605" s="29"/>
      <c r="S605" s="100"/>
      <c r="T605" s="100"/>
      <c r="U605" s="100"/>
      <c r="V605" s="100"/>
      <c r="W605" s="100"/>
      <c r="X605" s="100"/>
      <c r="Y605" s="100"/>
      <c r="Z605" s="100"/>
      <c r="AA605" s="100"/>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100"/>
      <c r="BE605" s="100"/>
      <c r="BF605" s="100"/>
      <c r="BG605" s="100"/>
      <c r="BH605" s="100"/>
      <c r="BI605" s="100"/>
      <c r="BJ605" s="100"/>
      <c r="BK605" s="12"/>
      <c r="BL605" s="12"/>
    </row>
    <row r="606" spans="1:64" hidden="1" outlineLevel="1">
      <c r="A606" s="9"/>
      <c r="B606" s="9"/>
      <c r="C606" s="46"/>
      <c r="D606" s="129">
        <f>Asset9</f>
        <v>0</v>
      </c>
      <c r="E606" s="9"/>
      <c r="F606" s="9"/>
      <c r="G606" s="196">
        <f>'Adjustment for previous period'!G502</f>
        <v>0</v>
      </c>
      <c r="H606" s="111"/>
      <c r="I606" s="111"/>
      <c r="J606" s="111"/>
      <c r="K606" s="111"/>
      <c r="L606" s="111"/>
      <c r="M606" s="111"/>
      <c r="N606" s="29"/>
      <c r="O606" s="29"/>
      <c r="P606" s="29"/>
      <c r="Q606" s="29"/>
      <c r="R606" s="29"/>
      <c r="S606" s="100"/>
      <c r="T606" s="100"/>
      <c r="U606" s="100"/>
      <c r="V606" s="100"/>
      <c r="W606" s="100"/>
      <c r="X606" s="100"/>
      <c r="Y606" s="100"/>
      <c r="Z606" s="100"/>
      <c r="AA606" s="100"/>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100"/>
      <c r="BE606" s="100"/>
      <c r="BF606" s="100"/>
      <c r="BG606" s="100"/>
      <c r="BH606" s="100"/>
      <c r="BI606" s="100"/>
      <c r="BJ606" s="100"/>
      <c r="BK606" s="12"/>
      <c r="BL606" s="12"/>
    </row>
    <row r="607" spans="1:64" hidden="1" outlineLevel="1">
      <c r="A607" s="9"/>
      <c r="B607" s="9"/>
      <c r="C607" s="46"/>
      <c r="D607" s="129">
        <f>Asset10</f>
        <v>0</v>
      </c>
      <c r="E607" s="9"/>
      <c r="F607" s="9"/>
      <c r="G607" s="196">
        <f>'Adjustment for previous period'!G503</f>
        <v>0</v>
      </c>
      <c r="H607" s="111"/>
      <c r="I607" s="111"/>
      <c r="J607" s="111"/>
      <c r="K607" s="111"/>
      <c r="L607" s="111"/>
      <c r="M607" s="111"/>
      <c r="N607" s="29"/>
      <c r="O607" s="29"/>
      <c r="P607" s="29"/>
      <c r="Q607" s="29"/>
      <c r="R607" s="29"/>
      <c r="S607" s="100"/>
      <c r="T607" s="100"/>
      <c r="U607" s="100"/>
      <c r="V607" s="100"/>
      <c r="W607" s="100"/>
      <c r="X607" s="100"/>
      <c r="Y607" s="100"/>
      <c r="Z607" s="100"/>
      <c r="AA607" s="100"/>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100"/>
      <c r="BE607" s="100"/>
      <c r="BF607" s="100"/>
      <c r="BG607" s="100"/>
      <c r="BH607" s="100"/>
      <c r="BI607" s="100"/>
      <c r="BJ607" s="100"/>
      <c r="BK607" s="12"/>
      <c r="BL607" s="12"/>
    </row>
    <row r="608" spans="1:64" hidden="1" outlineLevel="1">
      <c r="A608" s="9"/>
      <c r="B608" s="9"/>
      <c r="C608" s="46"/>
      <c r="D608" s="129">
        <f>Asset11</f>
        <v>0</v>
      </c>
      <c r="E608" s="9"/>
      <c r="F608" s="9"/>
      <c r="G608" s="196">
        <f>'Adjustment for previous period'!G504</f>
        <v>0</v>
      </c>
      <c r="H608" s="111"/>
      <c r="I608" s="111"/>
      <c r="J608" s="111"/>
      <c r="K608" s="111"/>
      <c r="L608" s="111"/>
      <c r="M608" s="111"/>
      <c r="N608" s="29"/>
      <c r="O608" s="29"/>
      <c r="P608" s="29"/>
      <c r="Q608" s="29"/>
      <c r="R608" s="29"/>
      <c r="S608" s="100"/>
      <c r="T608" s="100"/>
      <c r="U608" s="100"/>
      <c r="V608" s="100"/>
      <c r="W608" s="100"/>
      <c r="X608" s="100"/>
      <c r="Y608" s="100"/>
      <c r="Z608" s="100"/>
      <c r="AA608" s="100"/>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100"/>
      <c r="BE608" s="100"/>
      <c r="BF608" s="100"/>
      <c r="BG608" s="100"/>
      <c r="BH608" s="100"/>
      <c r="BI608" s="100"/>
      <c r="BJ608" s="100"/>
      <c r="BK608" s="12"/>
      <c r="BL608" s="12"/>
    </row>
    <row r="609" spans="1:64" hidden="1" outlineLevel="1">
      <c r="A609" s="9"/>
      <c r="B609" s="9"/>
      <c r="C609" s="46"/>
      <c r="D609" s="129">
        <f>Asset12</f>
        <v>0</v>
      </c>
      <c r="E609" s="9"/>
      <c r="F609" s="9"/>
      <c r="G609" s="196">
        <f>'Adjustment for previous period'!G505</f>
        <v>0</v>
      </c>
      <c r="H609" s="111"/>
      <c r="I609" s="111"/>
      <c r="J609" s="111"/>
      <c r="K609" s="111"/>
      <c r="L609" s="111"/>
      <c r="M609" s="111"/>
      <c r="N609" s="29"/>
      <c r="O609" s="29"/>
      <c r="P609" s="29"/>
      <c r="Q609" s="29"/>
      <c r="R609" s="29"/>
      <c r="S609" s="100"/>
      <c r="T609" s="100"/>
      <c r="U609" s="100"/>
      <c r="V609" s="100"/>
      <c r="W609" s="100"/>
      <c r="X609" s="100"/>
      <c r="Y609" s="100"/>
      <c r="Z609" s="100"/>
      <c r="AA609" s="100"/>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100"/>
      <c r="BE609" s="100"/>
      <c r="BF609" s="100"/>
      <c r="BG609" s="100"/>
      <c r="BH609" s="100"/>
      <c r="BI609" s="100"/>
      <c r="BJ609" s="100"/>
      <c r="BK609" s="12"/>
      <c r="BL609" s="12"/>
    </row>
    <row r="610" spans="1:64" hidden="1" outlineLevel="1">
      <c r="A610" s="9"/>
      <c r="B610" s="9"/>
      <c r="C610" s="46"/>
      <c r="D610" s="129">
        <f>Asset13</f>
        <v>0</v>
      </c>
      <c r="E610" s="9"/>
      <c r="F610" s="9"/>
      <c r="G610" s="196">
        <f>'Adjustment for previous period'!G506</f>
        <v>0</v>
      </c>
      <c r="H610" s="111"/>
      <c r="I610" s="111"/>
      <c r="J610" s="111"/>
      <c r="K610" s="111"/>
      <c r="L610" s="111"/>
      <c r="M610" s="111"/>
      <c r="N610" s="29"/>
      <c r="O610" s="29"/>
      <c r="P610" s="29"/>
      <c r="Q610" s="29"/>
      <c r="R610" s="29"/>
      <c r="S610" s="100"/>
      <c r="T610" s="100"/>
      <c r="U610" s="100"/>
      <c r="V610" s="100"/>
      <c r="W610" s="100"/>
      <c r="X610" s="100"/>
      <c r="Y610" s="100"/>
      <c r="Z610" s="100"/>
      <c r="AA610" s="100"/>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100"/>
      <c r="BE610" s="100"/>
      <c r="BF610" s="100"/>
      <c r="BG610" s="100"/>
      <c r="BH610" s="100"/>
      <c r="BI610" s="100"/>
      <c r="BJ610" s="100"/>
      <c r="BK610" s="12"/>
      <c r="BL610" s="12"/>
    </row>
    <row r="611" spans="1:64" hidden="1" outlineLevel="1">
      <c r="A611" s="9"/>
      <c r="B611" s="9"/>
      <c r="C611" s="46"/>
      <c r="D611" s="129">
        <f>Asset14</f>
        <v>0</v>
      </c>
      <c r="E611" s="9"/>
      <c r="F611" s="9"/>
      <c r="G611" s="196">
        <f>'Adjustment for previous period'!G507</f>
        <v>0</v>
      </c>
      <c r="H611" s="111"/>
      <c r="I611" s="111"/>
      <c r="J611" s="111"/>
      <c r="K611" s="111"/>
      <c r="L611" s="111"/>
      <c r="M611" s="111"/>
      <c r="N611" s="29"/>
      <c r="O611" s="29"/>
      <c r="P611" s="29"/>
      <c r="Q611" s="29"/>
      <c r="R611" s="29"/>
      <c r="S611" s="100"/>
      <c r="T611" s="100"/>
      <c r="U611" s="100"/>
      <c r="V611" s="100"/>
      <c r="W611" s="100"/>
      <c r="X611" s="100"/>
      <c r="Y611" s="100"/>
      <c r="Z611" s="100"/>
      <c r="AA611" s="100"/>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100"/>
      <c r="BE611" s="100"/>
      <c r="BF611" s="100"/>
      <c r="BG611" s="100"/>
      <c r="BH611" s="100"/>
      <c r="BI611" s="100"/>
      <c r="BJ611" s="100"/>
      <c r="BK611" s="12"/>
      <c r="BL611" s="12"/>
    </row>
    <row r="612" spans="1:64" hidden="1" outlineLevel="1">
      <c r="A612" s="9"/>
      <c r="B612" s="9"/>
      <c r="C612" s="46"/>
      <c r="D612" s="129">
        <f>Asset15</f>
        <v>0</v>
      </c>
      <c r="E612" s="9"/>
      <c r="F612" s="9"/>
      <c r="G612" s="196">
        <f>'Adjustment for previous period'!G508</f>
        <v>0</v>
      </c>
      <c r="H612" s="111"/>
      <c r="I612" s="111"/>
      <c r="J612" s="111"/>
      <c r="K612" s="111"/>
      <c r="L612" s="111"/>
      <c r="M612" s="111"/>
      <c r="N612" s="29"/>
      <c r="O612" s="29"/>
      <c r="P612" s="29"/>
      <c r="Q612" s="29"/>
      <c r="R612" s="29"/>
      <c r="S612" s="100"/>
      <c r="T612" s="100"/>
      <c r="U612" s="100"/>
      <c r="V612" s="100"/>
      <c r="W612" s="100"/>
      <c r="X612" s="100"/>
      <c r="Y612" s="100"/>
      <c r="Z612" s="100"/>
      <c r="AA612" s="100"/>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100"/>
      <c r="BE612" s="100"/>
      <c r="BF612" s="100"/>
      <c r="BG612" s="100"/>
      <c r="BH612" s="100"/>
      <c r="BI612" s="100"/>
      <c r="BJ612" s="100"/>
      <c r="BK612" s="12"/>
      <c r="BL612" s="12"/>
    </row>
    <row r="613" spans="1:64" hidden="1" outlineLevel="1">
      <c r="A613" s="9"/>
      <c r="B613" s="9"/>
      <c r="C613" s="46"/>
      <c r="D613" s="129">
        <f>Asset16</f>
        <v>0</v>
      </c>
      <c r="E613" s="9"/>
      <c r="F613" s="9"/>
      <c r="G613" s="196">
        <f>'Adjustment for previous period'!G509</f>
        <v>0</v>
      </c>
      <c r="H613" s="111"/>
      <c r="I613" s="111"/>
      <c r="J613" s="111"/>
      <c r="K613" s="111"/>
      <c r="L613" s="111"/>
      <c r="M613" s="111"/>
      <c r="N613" s="29"/>
      <c r="O613" s="29"/>
      <c r="P613" s="29"/>
      <c r="Q613" s="29"/>
      <c r="R613" s="29"/>
      <c r="S613" s="100"/>
      <c r="T613" s="100"/>
      <c r="U613" s="100"/>
      <c r="V613" s="100"/>
      <c r="W613" s="100"/>
      <c r="X613" s="100"/>
      <c r="Y613" s="100"/>
      <c r="Z613" s="100"/>
      <c r="AA613" s="100"/>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100"/>
      <c r="BE613" s="100"/>
      <c r="BF613" s="100"/>
      <c r="BG613" s="100"/>
      <c r="BH613" s="100"/>
      <c r="BI613" s="100"/>
      <c r="BJ613" s="100"/>
      <c r="BK613" s="12"/>
      <c r="BL613" s="12"/>
    </row>
    <row r="614" spans="1:64" hidden="1" outlineLevel="1">
      <c r="A614" s="9"/>
      <c r="B614" s="9"/>
      <c r="C614" s="46"/>
      <c r="D614" s="129">
        <f>Asset17</f>
        <v>0</v>
      </c>
      <c r="E614" s="9"/>
      <c r="F614" s="9"/>
      <c r="G614" s="196">
        <f>'Adjustment for previous period'!G510</f>
        <v>0</v>
      </c>
      <c r="H614" s="111"/>
      <c r="I614" s="111"/>
      <c r="J614" s="111"/>
      <c r="K614" s="111"/>
      <c r="L614" s="111"/>
      <c r="M614" s="111"/>
      <c r="N614" s="29"/>
      <c r="O614" s="29"/>
      <c r="P614" s="29"/>
      <c r="Q614" s="29"/>
      <c r="R614" s="29"/>
      <c r="S614" s="100"/>
      <c r="T614" s="100"/>
      <c r="U614" s="100"/>
      <c r="V614" s="100"/>
      <c r="W614" s="100"/>
      <c r="X614" s="100"/>
      <c r="Y614" s="100"/>
      <c r="Z614" s="100"/>
      <c r="AA614" s="100"/>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100"/>
      <c r="BE614" s="100"/>
      <c r="BF614" s="100"/>
      <c r="BG614" s="100"/>
      <c r="BH614" s="100"/>
      <c r="BI614" s="100"/>
      <c r="BJ614" s="100"/>
      <c r="BK614" s="12"/>
      <c r="BL614" s="12"/>
    </row>
    <row r="615" spans="1:64" hidden="1" outlineLevel="1">
      <c r="A615" s="9"/>
      <c r="B615" s="9"/>
      <c r="C615" s="46"/>
      <c r="D615" s="129">
        <f>Asset18</f>
        <v>0</v>
      </c>
      <c r="E615" s="9"/>
      <c r="F615" s="9"/>
      <c r="G615" s="196">
        <f>'Adjustment for previous period'!G511</f>
        <v>0</v>
      </c>
      <c r="H615" s="111"/>
      <c r="I615" s="111"/>
      <c r="J615" s="111"/>
      <c r="K615" s="111"/>
      <c r="L615" s="111"/>
      <c r="M615" s="111"/>
      <c r="N615" s="29"/>
      <c r="O615" s="29"/>
      <c r="P615" s="29"/>
      <c r="Q615" s="29"/>
      <c r="R615" s="29"/>
      <c r="S615" s="100"/>
      <c r="T615" s="100"/>
      <c r="U615" s="100"/>
      <c r="V615" s="100"/>
      <c r="W615" s="100"/>
      <c r="X615" s="100"/>
      <c r="Y615" s="100"/>
      <c r="Z615" s="100"/>
      <c r="AA615" s="100"/>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100"/>
      <c r="BE615" s="100"/>
      <c r="BF615" s="100"/>
      <c r="BG615" s="100"/>
      <c r="BH615" s="100"/>
      <c r="BI615" s="100"/>
      <c r="BJ615" s="100"/>
      <c r="BK615" s="12"/>
      <c r="BL615" s="12"/>
    </row>
    <row r="616" spans="1:64" hidden="1" outlineLevel="1">
      <c r="A616" s="9"/>
      <c r="B616" s="9"/>
      <c r="C616" s="46"/>
      <c r="D616" s="129">
        <f>Asset19</f>
        <v>0</v>
      </c>
      <c r="E616" s="9"/>
      <c r="F616" s="9"/>
      <c r="G616" s="196">
        <f>'Adjustment for previous period'!G512</f>
        <v>0</v>
      </c>
      <c r="H616" s="111"/>
      <c r="I616" s="111"/>
      <c r="J616" s="111"/>
      <c r="K616" s="111"/>
      <c r="L616" s="111"/>
      <c r="M616" s="111"/>
      <c r="N616" s="29"/>
      <c r="O616" s="29"/>
      <c r="P616" s="29"/>
      <c r="Q616" s="29"/>
      <c r="R616" s="29"/>
      <c r="S616" s="100"/>
      <c r="T616" s="100"/>
      <c r="U616" s="100"/>
      <c r="V616" s="100"/>
      <c r="W616" s="100"/>
      <c r="X616" s="100"/>
      <c r="Y616" s="100"/>
      <c r="Z616" s="100"/>
      <c r="AA616" s="100"/>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100"/>
      <c r="BE616" s="100"/>
      <c r="BF616" s="100"/>
      <c r="BG616" s="100"/>
      <c r="BH616" s="100"/>
      <c r="BI616" s="100"/>
      <c r="BJ616" s="100"/>
      <c r="BK616" s="12"/>
      <c r="BL616" s="12"/>
    </row>
    <row r="617" spans="1:64" hidden="1" outlineLevel="1">
      <c r="A617" s="9"/>
      <c r="B617" s="9"/>
      <c r="C617" s="46"/>
      <c r="D617" s="129">
        <f>Asset20</f>
        <v>0</v>
      </c>
      <c r="E617" s="9"/>
      <c r="F617" s="9"/>
      <c r="G617" s="196">
        <f>'Adjustment for previous period'!G513</f>
        <v>0</v>
      </c>
      <c r="H617" s="111"/>
      <c r="I617" s="111"/>
      <c r="J617" s="111"/>
      <c r="K617" s="111"/>
      <c r="L617" s="111"/>
      <c r="M617" s="111"/>
      <c r="N617" s="29"/>
      <c r="O617" s="29"/>
      <c r="P617" s="29"/>
      <c r="Q617" s="29"/>
      <c r="R617" s="29"/>
      <c r="S617" s="100"/>
      <c r="T617" s="100"/>
      <c r="U617" s="100"/>
      <c r="V617" s="100"/>
      <c r="W617" s="100"/>
      <c r="X617" s="100"/>
      <c r="Y617" s="100"/>
      <c r="Z617" s="100"/>
      <c r="AA617" s="100"/>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100"/>
      <c r="BE617" s="100"/>
      <c r="BF617" s="100"/>
      <c r="BG617" s="100"/>
      <c r="BH617" s="100"/>
      <c r="BI617" s="100"/>
      <c r="BJ617" s="100"/>
      <c r="BK617" s="12"/>
      <c r="BL617" s="12"/>
    </row>
    <row r="618" spans="1:64" hidden="1" outlineLevel="1">
      <c r="A618" s="9"/>
      <c r="B618" s="9"/>
      <c r="C618" s="46"/>
      <c r="D618" s="129">
        <f>Asset21</f>
        <v>0</v>
      </c>
      <c r="E618" s="9"/>
      <c r="F618" s="9"/>
      <c r="G618" s="196">
        <f>'Adjustment for previous period'!G514</f>
        <v>0</v>
      </c>
      <c r="H618" s="111"/>
      <c r="I618" s="111"/>
      <c r="J618" s="111"/>
      <c r="K618" s="111"/>
      <c r="L618" s="111"/>
      <c r="M618" s="111"/>
      <c r="N618" s="29"/>
      <c r="O618" s="29"/>
      <c r="P618" s="29"/>
      <c r="Q618" s="29"/>
      <c r="R618" s="29"/>
      <c r="S618" s="100"/>
      <c r="T618" s="100"/>
      <c r="U618" s="100"/>
      <c r="V618" s="100"/>
      <c r="W618" s="100"/>
      <c r="X618" s="100"/>
      <c r="Y618" s="100"/>
      <c r="Z618" s="100"/>
      <c r="AA618" s="100"/>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100"/>
      <c r="BE618" s="100"/>
      <c r="BF618" s="100"/>
      <c r="BG618" s="100"/>
      <c r="BH618" s="100"/>
      <c r="BI618" s="100"/>
      <c r="BJ618" s="100"/>
      <c r="BK618" s="12"/>
      <c r="BL618" s="12"/>
    </row>
    <row r="619" spans="1:64" hidden="1" outlineLevel="1">
      <c r="A619" s="9"/>
      <c r="B619" s="9"/>
      <c r="C619" s="46"/>
      <c r="D619" s="129">
        <f>Asset22</f>
        <v>0</v>
      </c>
      <c r="E619" s="9"/>
      <c r="F619" s="9"/>
      <c r="G619" s="196">
        <f>'Adjustment for previous period'!G515</f>
        <v>0</v>
      </c>
      <c r="H619" s="111"/>
      <c r="I619" s="111"/>
      <c r="J619" s="111"/>
      <c r="K619" s="111"/>
      <c r="L619" s="111"/>
      <c r="M619" s="111"/>
      <c r="N619" s="29"/>
      <c r="O619" s="29"/>
      <c r="P619" s="29"/>
      <c r="Q619" s="29"/>
      <c r="R619" s="29"/>
      <c r="S619" s="100"/>
      <c r="T619" s="100"/>
      <c r="U619" s="100"/>
      <c r="V619" s="100"/>
      <c r="W619" s="100"/>
      <c r="X619" s="100"/>
      <c r="Y619" s="100"/>
      <c r="Z619" s="100"/>
      <c r="AA619" s="100"/>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100"/>
      <c r="BE619" s="100"/>
      <c r="BF619" s="100"/>
      <c r="BG619" s="100"/>
      <c r="BH619" s="100"/>
      <c r="BI619" s="100"/>
      <c r="BJ619" s="100"/>
      <c r="BK619" s="12"/>
      <c r="BL619" s="12"/>
    </row>
    <row r="620" spans="1:64" hidden="1" outlineLevel="1">
      <c r="A620" s="9"/>
      <c r="B620" s="9"/>
      <c r="C620" s="46"/>
      <c r="D620" s="129">
        <f>Asset23</f>
        <v>0</v>
      </c>
      <c r="E620" s="9"/>
      <c r="F620" s="9"/>
      <c r="G620" s="196">
        <f>'Adjustment for previous period'!G516</f>
        <v>0</v>
      </c>
      <c r="H620" s="111"/>
      <c r="I620" s="111"/>
      <c r="J620" s="111"/>
      <c r="K620" s="111"/>
      <c r="L620" s="111"/>
      <c r="M620" s="111"/>
      <c r="N620" s="29"/>
      <c r="O620" s="29"/>
      <c r="P620" s="29"/>
      <c r="Q620" s="29"/>
      <c r="R620" s="29"/>
      <c r="S620" s="100"/>
      <c r="T620" s="100"/>
      <c r="U620" s="100"/>
      <c r="V620" s="100"/>
      <c r="W620" s="100"/>
      <c r="X620" s="100"/>
      <c r="Y620" s="100"/>
      <c r="Z620" s="100"/>
      <c r="AA620" s="100"/>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100"/>
      <c r="BE620" s="100"/>
      <c r="BF620" s="100"/>
      <c r="BG620" s="100"/>
      <c r="BH620" s="100"/>
      <c r="BI620" s="100"/>
      <c r="BJ620" s="100"/>
      <c r="BK620" s="12"/>
      <c r="BL620" s="12"/>
    </row>
    <row r="621" spans="1:64" hidden="1" outlineLevel="1">
      <c r="A621" s="9"/>
      <c r="B621" s="9"/>
      <c r="C621" s="46"/>
      <c r="D621" s="129">
        <f>Asset24</f>
        <v>0</v>
      </c>
      <c r="E621" s="9"/>
      <c r="F621" s="9"/>
      <c r="G621" s="196">
        <f>'Adjustment for previous period'!G517</f>
        <v>0</v>
      </c>
      <c r="H621" s="111"/>
      <c r="I621" s="111"/>
      <c r="J621" s="111"/>
      <c r="K621" s="111"/>
      <c r="L621" s="111"/>
      <c r="M621" s="111"/>
      <c r="N621" s="29"/>
      <c r="O621" s="29"/>
      <c r="P621" s="29"/>
      <c r="Q621" s="29"/>
      <c r="R621" s="29"/>
      <c r="S621" s="100"/>
      <c r="T621" s="100"/>
      <c r="U621" s="100"/>
      <c r="V621" s="100"/>
      <c r="W621" s="100"/>
      <c r="X621" s="100"/>
      <c r="Y621" s="100"/>
      <c r="Z621" s="100"/>
      <c r="AA621" s="100"/>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100"/>
      <c r="BE621" s="100"/>
      <c r="BF621" s="100"/>
      <c r="BG621" s="100"/>
      <c r="BH621" s="100"/>
      <c r="BI621" s="100"/>
      <c r="BJ621" s="100"/>
      <c r="BK621" s="12"/>
      <c r="BL621" s="12"/>
    </row>
    <row r="622" spans="1:64" hidden="1" outlineLevel="1">
      <c r="A622" s="9"/>
      <c r="B622" s="9"/>
      <c r="C622" s="46"/>
      <c r="D622" s="129">
        <f>Asset25</f>
        <v>0</v>
      </c>
      <c r="E622" s="9"/>
      <c r="F622" s="9"/>
      <c r="G622" s="196">
        <f>'Adjustment for previous period'!G518</f>
        <v>0</v>
      </c>
      <c r="H622" s="111"/>
      <c r="I622" s="111"/>
      <c r="J622" s="111"/>
      <c r="K622" s="111"/>
      <c r="L622" s="111"/>
      <c r="M622" s="111"/>
      <c r="N622" s="29"/>
      <c r="O622" s="29"/>
      <c r="P622" s="29"/>
      <c r="Q622" s="29"/>
      <c r="R622" s="29"/>
      <c r="S622" s="100"/>
      <c r="T622" s="100"/>
      <c r="U622" s="100"/>
      <c r="V622" s="100"/>
      <c r="W622" s="100"/>
      <c r="X622" s="100"/>
      <c r="Y622" s="100"/>
      <c r="Z622" s="100"/>
      <c r="AA622" s="100"/>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100"/>
      <c r="BE622" s="100"/>
      <c r="BF622" s="100"/>
      <c r="BG622" s="100"/>
      <c r="BH622" s="100"/>
      <c r="BI622" s="100"/>
      <c r="BJ622" s="100"/>
      <c r="BK622" s="12"/>
      <c r="BL622" s="12"/>
    </row>
    <row r="623" spans="1:64" hidden="1" outlineLevel="1">
      <c r="A623" s="9"/>
      <c r="B623" s="9"/>
      <c r="C623" s="46"/>
      <c r="D623" s="129">
        <f>Asset26</f>
        <v>0</v>
      </c>
      <c r="E623" s="9"/>
      <c r="F623" s="9"/>
      <c r="G623" s="196">
        <f>'Adjustment for previous period'!G519</f>
        <v>0</v>
      </c>
      <c r="H623" s="111"/>
      <c r="I623" s="111"/>
      <c r="J623" s="111"/>
      <c r="K623" s="111"/>
      <c r="L623" s="111"/>
      <c r="M623" s="111"/>
      <c r="N623" s="29"/>
      <c r="O623" s="29"/>
      <c r="P623" s="29"/>
      <c r="Q623" s="29"/>
      <c r="R623" s="29"/>
      <c r="S623" s="100"/>
      <c r="T623" s="100"/>
      <c r="U623" s="100"/>
      <c r="V623" s="100"/>
      <c r="W623" s="100"/>
      <c r="X623" s="100"/>
      <c r="Y623" s="100"/>
      <c r="Z623" s="100"/>
      <c r="AA623" s="100"/>
      <c r="AB623" s="227"/>
      <c r="AC623" s="227"/>
      <c r="AD623" s="227"/>
      <c r="AE623" s="227"/>
      <c r="AF623" s="227"/>
      <c r="AG623" s="227"/>
      <c r="AH623" s="227"/>
      <c r="AI623" s="227"/>
      <c r="AJ623" s="227"/>
      <c r="AK623" s="227"/>
      <c r="AL623" s="227"/>
      <c r="AM623" s="227"/>
      <c r="AN623" s="227"/>
      <c r="AO623" s="227"/>
      <c r="AP623" s="227"/>
      <c r="AQ623" s="227"/>
      <c r="AR623" s="227"/>
      <c r="AS623" s="227"/>
      <c r="AT623" s="227"/>
      <c r="AU623" s="227"/>
      <c r="AV623" s="227"/>
      <c r="AW623" s="227"/>
      <c r="AX623" s="227"/>
      <c r="AY623" s="227"/>
      <c r="AZ623" s="227"/>
      <c r="BA623" s="227"/>
      <c r="BB623" s="227"/>
      <c r="BC623" s="227"/>
      <c r="BD623" s="100"/>
      <c r="BE623" s="100"/>
      <c r="BF623" s="100"/>
      <c r="BG623" s="100"/>
      <c r="BH623" s="100"/>
      <c r="BI623" s="100"/>
      <c r="BJ623" s="100"/>
      <c r="BK623" s="12"/>
      <c r="BL623" s="12"/>
    </row>
    <row r="624" spans="1:64" hidden="1" outlineLevel="1">
      <c r="A624" s="9"/>
      <c r="B624" s="9"/>
      <c r="C624" s="46"/>
      <c r="D624" s="129">
        <f>Asset27</f>
        <v>0</v>
      </c>
      <c r="E624" s="9"/>
      <c r="F624" s="9"/>
      <c r="G624" s="196">
        <f>'Adjustment for previous period'!G520</f>
        <v>0</v>
      </c>
      <c r="H624" s="111"/>
      <c r="I624" s="111"/>
      <c r="J624" s="111"/>
      <c r="K624" s="111"/>
      <c r="L624" s="111"/>
      <c r="M624" s="111"/>
      <c r="N624" s="29"/>
      <c r="O624" s="29"/>
      <c r="P624" s="29"/>
      <c r="Q624" s="29"/>
      <c r="R624" s="29"/>
      <c r="S624" s="100"/>
      <c r="T624" s="100"/>
      <c r="U624" s="100"/>
      <c r="V624" s="100"/>
      <c r="W624" s="100"/>
      <c r="X624" s="100"/>
      <c r="Y624" s="100"/>
      <c r="Z624" s="100"/>
      <c r="AA624" s="100"/>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100"/>
      <c r="BE624" s="100"/>
      <c r="BF624" s="100"/>
      <c r="BG624" s="100"/>
      <c r="BH624" s="100"/>
      <c r="BI624" s="100"/>
      <c r="BJ624" s="100"/>
      <c r="BK624" s="12"/>
      <c r="BL624" s="12"/>
    </row>
    <row r="625" spans="1:64" hidden="1" outlineLevel="1">
      <c r="A625" s="9"/>
      <c r="B625" s="9"/>
      <c r="C625" s="46"/>
      <c r="D625" s="129">
        <f>Asset28</f>
        <v>0</v>
      </c>
      <c r="E625" s="9"/>
      <c r="F625" s="9"/>
      <c r="G625" s="196">
        <f>'Adjustment for previous period'!G521</f>
        <v>0</v>
      </c>
      <c r="H625" s="111"/>
      <c r="I625" s="111"/>
      <c r="J625" s="111"/>
      <c r="K625" s="111"/>
      <c r="L625" s="111"/>
      <c r="M625" s="111"/>
      <c r="N625" s="29"/>
      <c r="O625" s="29"/>
      <c r="P625" s="29"/>
      <c r="Q625" s="29"/>
      <c r="R625" s="29"/>
      <c r="S625" s="100"/>
      <c r="T625" s="100"/>
      <c r="U625" s="100"/>
      <c r="V625" s="100"/>
      <c r="W625" s="100"/>
      <c r="X625" s="100"/>
      <c r="Y625" s="100"/>
      <c r="Z625" s="100"/>
      <c r="AA625" s="100"/>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100"/>
      <c r="BE625" s="100"/>
      <c r="BF625" s="100"/>
      <c r="BG625" s="100"/>
      <c r="BH625" s="100"/>
      <c r="BI625" s="100"/>
      <c r="BJ625" s="100"/>
      <c r="BK625" s="12"/>
      <c r="BL625" s="12"/>
    </row>
    <row r="626" spans="1:64" hidden="1" outlineLevel="1">
      <c r="A626" s="9"/>
      <c r="B626" s="9"/>
      <c r="C626" s="46"/>
      <c r="D626" s="129">
        <f>Asset29</f>
        <v>0</v>
      </c>
      <c r="E626" s="9"/>
      <c r="F626" s="9"/>
      <c r="G626" s="196">
        <f>'Adjustment for previous period'!G522</f>
        <v>0</v>
      </c>
      <c r="H626" s="111"/>
      <c r="I626" s="111"/>
      <c r="J626" s="111"/>
      <c r="K626" s="111"/>
      <c r="L626" s="111"/>
      <c r="M626" s="111"/>
      <c r="N626" s="29"/>
      <c r="O626" s="29"/>
      <c r="P626" s="29"/>
      <c r="Q626" s="29"/>
      <c r="R626" s="29"/>
      <c r="S626" s="100"/>
      <c r="T626" s="100"/>
      <c r="U626" s="100"/>
      <c r="V626" s="100"/>
      <c r="W626" s="100"/>
      <c r="X626" s="100"/>
      <c r="Y626" s="100"/>
      <c r="Z626" s="100"/>
      <c r="AA626" s="100"/>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100"/>
      <c r="BE626" s="100"/>
      <c r="BF626" s="100"/>
      <c r="BG626" s="100"/>
      <c r="BH626" s="100"/>
      <c r="BI626" s="100"/>
      <c r="BJ626" s="100"/>
      <c r="BK626" s="12"/>
      <c r="BL626" s="12"/>
    </row>
    <row r="627" spans="1:64" hidden="1" outlineLevel="1">
      <c r="A627" s="9"/>
      <c r="B627" s="9"/>
      <c r="C627" s="46"/>
      <c r="D627" s="129">
        <f>Asset30</f>
        <v>0</v>
      </c>
      <c r="E627" s="9"/>
      <c r="F627" s="9"/>
      <c r="G627" s="196">
        <f>'Adjustment for previous period'!G523</f>
        <v>0</v>
      </c>
      <c r="H627" s="111"/>
      <c r="I627" s="111"/>
      <c r="J627" s="111"/>
      <c r="K627" s="111"/>
      <c r="L627" s="111"/>
      <c r="M627" s="111"/>
      <c r="N627" s="29"/>
      <c r="O627" s="29"/>
      <c r="P627" s="29"/>
      <c r="Q627" s="29"/>
      <c r="R627" s="29"/>
      <c r="S627" s="100"/>
      <c r="T627" s="100"/>
      <c r="U627" s="100"/>
      <c r="V627" s="100"/>
      <c r="W627" s="100"/>
      <c r="X627" s="100"/>
      <c r="Y627" s="100"/>
      <c r="Z627" s="100"/>
      <c r="AA627" s="100"/>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100"/>
      <c r="BE627" s="100"/>
      <c r="BF627" s="100"/>
      <c r="BG627" s="100"/>
      <c r="BH627" s="100"/>
      <c r="BI627" s="100"/>
      <c r="BJ627" s="100"/>
      <c r="BK627" s="12"/>
      <c r="BL627" s="12"/>
    </row>
    <row r="628" spans="1:64" collapsed="1">
      <c r="A628" s="9"/>
      <c r="B628" s="9"/>
      <c r="C628" s="46"/>
      <c r="D628" s="129"/>
      <c r="E628" s="9"/>
      <c r="F628" s="9"/>
      <c r="G628" s="28"/>
      <c r="H628" s="111"/>
      <c r="I628" s="111"/>
      <c r="J628" s="111"/>
      <c r="K628" s="111"/>
      <c r="L628" s="111"/>
      <c r="M628" s="111"/>
      <c r="N628" s="29"/>
      <c r="O628" s="29"/>
      <c r="P628" s="29"/>
      <c r="Q628" s="29"/>
      <c r="R628" s="29"/>
      <c r="S628" s="100"/>
      <c r="T628" s="100"/>
      <c r="U628" s="100"/>
      <c r="V628" s="100"/>
      <c r="W628" s="100"/>
      <c r="X628" s="100"/>
      <c r="Y628" s="100"/>
      <c r="Z628" s="100"/>
      <c r="AA628" s="100"/>
      <c r="AB628" s="227"/>
      <c r="AC628" s="227"/>
      <c r="AD628" s="227"/>
      <c r="AE628" s="227"/>
      <c r="AF628" s="227"/>
      <c r="AG628" s="227"/>
      <c r="AH628" s="227"/>
      <c r="AI628" s="227"/>
      <c r="AJ628" s="227"/>
      <c r="AK628" s="227"/>
      <c r="AL628" s="227"/>
      <c r="AM628" s="227"/>
      <c r="AN628" s="227"/>
      <c r="AO628" s="227"/>
      <c r="AP628" s="227"/>
      <c r="AQ628" s="227"/>
      <c r="AR628" s="227"/>
      <c r="AS628" s="227"/>
      <c r="AT628" s="227"/>
      <c r="AU628" s="227"/>
      <c r="AV628" s="227"/>
      <c r="AW628" s="227"/>
      <c r="AX628" s="227"/>
      <c r="AY628" s="227"/>
      <c r="AZ628" s="227"/>
      <c r="BA628" s="227"/>
      <c r="BB628" s="227"/>
      <c r="BC628" s="227"/>
      <c r="BD628" s="100"/>
      <c r="BE628" s="100"/>
      <c r="BF628" s="100"/>
      <c r="BG628" s="100"/>
      <c r="BH628" s="100"/>
      <c r="BI628" s="100"/>
      <c r="BJ628" s="100"/>
      <c r="BK628" s="12"/>
      <c r="BL628" s="12"/>
    </row>
    <row r="629" spans="1:64">
      <c r="A629" s="124"/>
      <c r="B629" s="124"/>
      <c r="C629" s="124"/>
      <c r="D629" s="125"/>
      <c r="E629" s="108"/>
      <c r="F629" s="108"/>
      <c r="G629" s="126"/>
      <c r="H629" s="127"/>
      <c r="I629" s="127"/>
      <c r="J629" s="127"/>
      <c r="K629" s="127"/>
      <c r="L629" s="127"/>
      <c r="M629" s="127"/>
      <c r="N629" s="128"/>
      <c r="O629" s="128"/>
      <c r="P629" s="128"/>
      <c r="Q629" s="128"/>
      <c r="R629" s="128"/>
      <c r="S629" s="128"/>
      <c r="T629" s="100"/>
      <c r="U629" s="100"/>
      <c r="V629" s="100"/>
      <c r="W629" s="100"/>
      <c r="X629" s="100"/>
      <c r="Y629" s="100"/>
      <c r="Z629" s="100"/>
      <c r="AA629" s="100"/>
      <c r="AB629" s="227"/>
      <c r="AC629" s="227"/>
      <c r="AD629" s="227"/>
      <c r="AE629" s="227"/>
      <c r="AF629" s="227"/>
      <c r="AG629" s="227"/>
      <c r="AH629" s="227"/>
      <c r="AI629" s="227"/>
      <c r="AJ629" s="227"/>
      <c r="AK629" s="227"/>
      <c r="AL629" s="227"/>
      <c r="AM629" s="227"/>
      <c r="AN629" s="227"/>
      <c r="AO629" s="227"/>
      <c r="AP629" s="227"/>
      <c r="AQ629" s="227"/>
      <c r="AR629" s="227"/>
      <c r="AS629" s="227"/>
      <c r="AT629" s="227"/>
      <c r="AU629" s="227"/>
      <c r="AV629" s="227"/>
      <c r="AW629" s="227"/>
      <c r="AX629" s="227"/>
      <c r="AY629" s="227"/>
      <c r="AZ629" s="227"/>
      <c r="BA629" s="227"/>
      <c r="BB629" s="227"/>
      <c r="BC629" s="227"/>
      <c r="BD629" s="100"/>
      <c r="BE629" s="100"/>
      <c r="BF629" s="100"/>
      <c r="BG629" s="100"/>
      <c r="BH629" s="100"/>
      <c r="BI629" s="100"/>
      <c r="BJ629" s="100"/>
      <c r="BK629" s="12"/>
      <c r="BL629" s="12"/>
    </row>
    <row r="630" spans="1:64">
      <c r="A630" s="9"/>
      <c r="B630" s="12"/>
      <c r="C630" s="89"/>
      <c r="D630" s="114"/>
      <c r="E630" s="12"/>
      <c r="F630" s="12"/>
      <c r="G630" s="142"/>
      <c r="H630" s="143"/>
      <c r="I630" s="143"/>
      <c r="J630" s="143"/>
      <c r="K630" s="143"/>
      <c r="L630" s="143"/>
      <c r="M630" s="143"/>
      <c r="N630" s="100"/>
      <c r="O630" s="100"/>
      <c r="P630" s="100"/>
      <c r="Q630" s="100"/>
      <c r="R630" s="100"/>
      <c r="S630" s="100"/>
      <c r="T630" s="100"/>
      <c r="U630" s="100"/>
      <c r="V630" s="100"/>
      <c r="W630" s="100"/>
      <c r="X630" s="100"/>
      <c r="Y630" s="100"/>
      <c r="Z630" s="100"/>
      <c r="AA630" s="100"/>
      <c r="AB630" s="227"/>
      <c r="AC630" s="227"/>
      <c r="AD630" s="227"/>
      <c r="AE630" s="227"/>
      <c r="AF630" s="227"/>
      <c r="AG630" s="227"/>
      <c r="AH630" s="227"/>
      <c r="AI630" s="227"/>
      <c r="AJ630" s="227"/>
      <c r="AK630" s="227"/>
      <c r="AL630" s="227"/>
      <c r="AM630" s="227"/>
      <c r="AN630" s="227"/>
      <c r="AO630" s="227"/>
      <c r="AP630" s="227"/>
      <c r="AQ630" s="227"/>
      <c r="AR630" s="227"/>
      <c r="AS630" s="227"/>
      <c r="AT630" s="227"/>
      <c r="AU630" s="227"/>
      <c r="AV630" s="227"/>
      <c r="AW630" s="227"/>
      <c r="AX630" s="227"/>
      <c r="AY630" s="227"/>
      <c r="AZ630" s="227"/>
      <c r="BA630" s="227"/>
      <c r="BB630" s="227"/>
      <c r="BC630" s="227"/>
      <c r="BD630" s="100"/>
      <c r="BE630" s="100"/>
      <c r="BF630" s="100"/>
      <c r="BG630" s="100"/>
      <c r="BH630" s="100"/>
      <c r="BI630" s="100"/>
      <c r="BJ630" s="100"/>
      <c r="BK630" s="12"/>
      <c r="BL630" s="12"/>
    </row>
    <row r="631" spans="1:64" s="9" customFormat="1">
      <c r="B631" s="12"/>
      <c r="C631" s="586" t="s">
        <v>223</v>
      </c>
      <c r="D631" s="12"/>
      <c r="E631" s="12"/>
      <c r="F631" s="12"/>
      <c r="G631" s="195">
        <f>SUM(G632:G661)</f>
        <v>-45.770942247219779</v>
      </c>
      <c r="H631" s="117">
        <f>SUM(H632:H661)</f>
        <v>-39.920728211212328</v>
      </c>
      <c r="I631" s="117">
        <f t="shared" ref="I631:Q631" si="29">SUM(I632:I661)</f>
        <v>-43.91652411152748</v>
      </c>
      <c r="J631" s="117">
        <f t="shared" si="29"/>
        <v>-49.465556040894434</v>
      </c>
      <c r="K631" s="117">
        <f t="shared" si="29"/>
        <v>-53.242655394776463</v>
      </c>
      <c r="L631" s="117">
        <f t="shared" si="29"/>
        <v>-56.589197019838956</v>
      </c>
      <c r="M631" s="117">
        <f t="shared" si="29"/>
        <v>0</v>
      </c>
      <c r="N631" s="117">
        <f t="shared" si="29"/>
        <v>0</v>
      </c>
      <c r="O631" s="117">
        <f t="shared" si="29"/>
        <v>0</v>
      </c>
      <c r="P631" s="117">
        <f t="shared" si="29"/>
        <v>0</v>
      </c>
      <c r="Q631" s="117">
        <f t="shared" si="29"/>
        <v>0</v>
      </c>
      <c r="R631" s="106"/>
      <c r="S631" s="106"/>
      <c r="T631" s="106">
        <f>+SUM(H631:L631)</f>
        <v>-243.13466077824964</v>
      </c>
      <c r="U631" s="106">
        <v>-216.09368678571389</v>
      </c>
      <c r="V631" s="106"/>
      <c r="W631" s="106"/>
      <c r="X631" s="106"/>
      <c r="Y631" s="106"/>
      <c r="Z631" s="106"/>
      <c r="AA631" s="106"/>
      <c r="AB631" s="214"/>
      <c r="AC631" s="214"/>
      <c r="AD631" s="214"/>
      <c r="AE631" s="214"/>
      <c r="AF631" s="214"/>
      <c r="AG631" s="214"/>
      <c r="AH631" s="214"/>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106"/>
      <c r="BE631" s="106"/>
      <c r="BF631" s="106"/>
      <c r="BG631" s="106"/>
      <c r="BH631" s="106"/>
      <c r="BI631" s="106"/>
      <c r="BJ631" s="106"/>
      <c r="BK631" s="12"/>
      <c r="BL631" s="12"/>
    </row>
    <row r="632" spans="1:64" ht="12" hidden="1" customHeight="1" outlineLevel="1">
      <c r="A632" s="9"/>
      <c r="B632" s="9"/>
      <c r="C632" s="9"/>
      <c r="D632" s="129" t="str">
        <f>Asset1</f>
        <v>Mains &amp; Services</v>
      </c>
      <c r="E632" s="9"/>
      <c r="F632" s="9"/>
      <c r="G632" s="193">
        <f t="shared" ref="G632:G639" si="30">-(G666-G502)</f>
        <v>-28.883603852068852</v>
      </c>
      <c r="H632" s="111">
        <f t="shared" ref="H632:Q632" si="31">H$56*H$7</f>
        <v>-24.496955317833169</v>
      </c>
      <c r="I632" s="111">
        <f t="shared" si="31"/>
        <v>-26.263530386139784</v>
      </c>
      <c r="J632" s="111">
        <f t="shared" si="31"/>
        <v>-27.939188314331403</v>
      </c>
      <c r="K632" s="111">
        <f t="shared" si="31"/>
        <v>-29.397645346656553</v>
      </c>
      <c r="L632" s="111">
        <f t="shared" si="31"/>
        <v>-30.964542576184503</v>
      </c>
      <c r="M632" s="111">
        <f t="shared" si="31"/>
        <v>0</v>
      </c>
      <c r="N632" s="111">
        <f t="shared" si="31"/>
        <v>0</v>
      </c>
      <c r="O632" s="111">
        <f t="shared" si="31"/>
        <v>0</v>
      </c>
      <c r="P632" s="111">
        <f t="shared" si="31"/>
        <v>0</v>
      </c>
      <c r="Q632" s="111">
        <f t="shared" si="31"/>
        <v>0</v>
      </c>
      <c r="R632" s="9"/>
      <c r="S632" s="12"/>
      <c r="T632" s="106">
        <f t="shared" ref="T632:T663" si="32">+SUM(H632:L632)</f>
        <v>-139.06186194114542</v>
      </c>
      <c r="U632" s="12"/>
      <c r="V632" s="12"/>
      <c r="W632" s="12"/>
      <c r="X632" s="12"/>
      <c r="Y632" s="12"/>
      <c r="Z632" s="12"/>
      <c r="AA632" s="12"/>
      <c r="AB632" s="220"/>
      <c r="AC632" s="220"/>
      <c r="AD632" s="220"/>
      <c r="AE632" s="220"/>
      <c r="AF632" s="220"/>
      <c r="AG632" s="220"/>
      <c r="AH632" s="220"/>
      <c r="AI632" s="220"/>
      <c r="AJ632" s="220"/>
      <c r="AK632" s="220"/>
      <c r="AL632" s="220"/>
      <c r="AM632" s="220"/>
      <c r="AN632" s="220"/>
      <c r="AO632" s="220"/>
      <c r="AP632" s="220"/>
      <c r="AQ632" s="220"/>
      <c r="AR632" s="220"/>
      <c r="AS632" s="220"/>
      <c r="AT632" s="220"/>
      <c r="AU632" s="220"/>
      <c r="AV632" s="220"/>
      <c r="AW632" s="220"/>
      <c r="AX632" s="220"/>
      <c r="AY632" s="220"/>
      <c r="AZ632" s="220"/>
      <c r="BA632" s="220"/>
      <c r="BB632" s="220"/>
      <c r="BC632" s="220"/>
      <c r="BD632" s="12"/>
      <c r="BE632" s="12"/>
      <c r="BF632" s="12"/>
      <c r="BG632" s="12"/>
      <c r="BH632" s="12"/>
      <c r="BI632" s="12"/>
      <c r="BJ632" s="12"/>
      <c r="BK632" s="12"/>
      <c r="BL632" s="12"/>
    </row>
    <row r="633" spans="1:64" ht="12" hidden="1" customHeight="1" outlineLevel="1">
      <c r="A633" s="9"/>
      <c r="B633" s="9"/>
      <c r="C633" s="9"/>
      <c r="D633" s="129" t="str">
        <f>Asset2</f>
        <v>Meters</v>
      </c>
      <c r="E633" s="9"/>
      <c r="F633" s="9"/>
      <c r="G633" s="193">
        <f t="shared" si="30"/>
        <v>-12.892657302138739</v>
      </c>
      <c r="H633" s="111">
        <f t="shared" ref="H633:Q633" si="33">H$69*H$7</f>
        <v>-12.165214141698176</v>
      </c>
      <c r="I633" s="111">
        <f t="shared" si="33"/>
        <v>-13.002380362120906</v>
      </c>
      <c r="J633" s="111">
        <f t="shared" si="33"/>
        <v>-14.20304805104521</v>
      </c>
      <c r="K633" s="111">
        <f t="shared" si="33"/>
        <v>-15.24904028418724</v>
      </c>
      <c r="L633" s="111">
        <f t="shared" si="33"/>
        <v>-16.684604457653013</v>
      </c>
      <c r="M633" s="111">
        <f t="shared" si="33"/>
        <v>0</v>
      </c>
      <c r="N633" s="111">
        <f t="shared" si="33"/>
        <v>0</v>
      </c>
      <c r="O633" s="111">
        <f t="shared" si="33"/>
        <v>0</v>
      </c>
      <c r="P633" s="111">
        <f t="shared" si="33"/>
        <v>0</v>
      </c>
      <c r="Q633" s="111">
        <f t="shared" si="33"/>
        <v>0</v>
      </c>
      <c r="R633" s="9"/>
      <c r="S633" s="12"/>
      <c r="T633" s="106">
        <f t="shared" si="32"/>
        <v>-71.304287296704544</v>
      </c>
      <c r="U633" s="12"/>
      <c r="V633" s="12"/>
      <c r="W633" s="12"/>
      <c r="X633" s="12"/>
      <c r="Y633" s="12"/>
      <c r="Z633" s="12"/>
      <c r="AA633" s="12"/>
      <c r="AB633" s="220"/>
      <c r="AC633" s="220"/>
      <c r="AD633" s="220"/>
      <c r="AE633" s="220"/>
      <c r="AF633" s="220"/>
      <c r="AG633" s="220"/>
      <c r="AH633" s="220"/>
      <c r="AI633" s="220"/>
      <c r="AJ633" s="220"/>
      <c r="AK633" s="220"/>
      <c r="AL633" s="220"/>
      <c r="AM633" s="220"/>
      <c r="AN633" s="220"/>
      <c r="AO633" s="220"/>
      <c r="AP633" s="220"/>
      <c r="AQ633" s="220"/>
      <c r="AR633" s="220"/>
      <c r="AS633" s="220"/>
      <c r="AT633" s="220"/>
      <c r="AU633" s="220"/>
      <c r="AV633" s="220"/>
      <c r="AW633" s="220"/>
      <c r="AX633" s="220"/>
      <c r="AY633" s="220"/>
      <c r="AZ633" s="220"/>
      <c r="BA633" s="220"/>
      <c r="BB633" s="220"/>
      <c r="BC633" s="220"/>
      <c r="BD633" s="12"/>
      <c r="BE633" s="12"/>
      <c r="BF633" s="12"/>
      <c r="BG633" s="12"/>
      <c r="BH633" s="12"/>
      <c r="BI633" s="12"/>
      <c r="BJ633" s="12"/>
      <c r="BK633" s="12"/>
      <c r="BL633" s="12"/>
    </row>
    <row r="634" spans="1:64" ht="12" hidden="1" customHeight="1" outlineLevel="1">
      <c r="A634" s="9"/>
      <c r="B634" s="9"/>
      <c r="C634" s="9"/>
      <c r="D634" s="129" t="str">
        <f>Asset3</f>
        <v>Buildings</v>
      </c>
      <c r="E634" s="9"/>
      <c r="F634" s="9"/>
      <c r="G634" s="193">
        <f t="shared" si="30"/>
        <v>-0.45887521375014678</v>
      </c>
      <c r="H634" s="111">
        <f t="shared" ref="H634:Q634" si="34">H$82*H$7</f>
        <v>-0.42949574598525531</v>
      </c>
      <c r="I634" s="111">
        <f t="shared" si="34"/>
        <v>-0.43877757939554562</v>
      </c>
      <c r="J634" s="111">
        <f t="shared" si="34"/>
        <v>-0.44890321584313525</v>
      </c>
      <c r="K634" s="111">
        <f t="shared" si="34"/>
        <v>-0.4556536401415282</v>
      </c>
      <c r="L634" s="111">
        <f t="shared" si="34"/>
        <v>-0.46156026140262213</v>
      </c>
      <c r="M634" s="111">
        <f t="shared" si="34"/>
        <v>0</v>
      </c>
      <c r="N634" s="111">
        <f t="shared" si="34"/>
        <v>0</v>
      </c>
      <c r="O634" s="111">
        <f t="shared" si="34"/>
        <v>0</v>
      </c>
      <c r="P634" s="111">
        <f t="shared" si="34"/>
        <v>0</v>
      </c>
      <c r="Q634" s="111">
        <f t="shared" si="34"/>
        <v>0</v>
      </c>
      <c r="R634" s="9"/>
      <c r="S634" s="12"/>
      <c r="T634" s="106">
        <f t="shared" si="32"/>
        <v>-2.2343904427680865</v>
      </c>
      <c r="U634" s="12"/>
      <c r="V634" s="12"/>
      <c r="W634" s="12"/>
      <c r="X634" s="12"/>
      <c r="Y634" s="12"/>
      <c r="Z634" s="12"/>
      <c r="AA634" s="12"/>
      <c r="AB634" s="220"/>
      <c r="AC634" s="220"/>
      <c r="AD634" s="220"/>
      <c r="AE634" s="220"/>
      <c r="AF634" s="220"/>
      <c r="AG634" s="220"/>
      <c r="AH634" s="220"/>
      <c r="AI634" s="220"/>
      <c r="AJ634" s="220"/>
      <c r="AK634" s="220"/>
      <c r="AL634" s="220"/>
      <c r="AM634" s="220"/>
      <c r="AN634" s="220"/>
      <c r="AO634" s="220"/>
      <c r="AP634" s="220"/>
      <c r="AQ634" s="220"/>
      <c r="AR634" s="220"/>
      <c r="AS634" s="220"/>
      <c r="AT634" s="220"/>
      <c r="AU634" s="220"/>
      <c r="AV634" s="220"/>
      <c r="AW634" s="220"/>
      <c r="AX634" s="220"/>
      <c r="AY634" s="220"/>
      <c r="AZ634" s="220"/>
      <c r="BA634" s="220"/>
      <c r="BB634" s="220"/>
      <c r="BC634" s="220"/>
      <c r="BD634" s="12"/>
      <c r="BE634" s="12"/>
      <c r="BF634" s="12"/>
      <c r="BG634" s="12"/>
      <c r="BH634" s="12"/>
      <c r="BI634" s="12"/>
      <c r="BJ634" s="12"/>
      <c r="BK634" s="12"/>
      <c r="BL634" s="12"/>
    </row>
    <row r="635" spans="1:64" ht="12" hidden="1" customHeight="1" outlineLevel="1">
      <c r="A635" s="9"/>
      <c r="B635" s="9"/>
      <c r="C635" s="9"/>
      <c r="D635" s="129" t="str">
        <f>Asset4</f>
        <v>SCADA</v>
      </c>
      <c r="E635" s="9"/>
      <c r="F635" s="9"/>
      <c r="G635" s="193">
        <f t="shared" si="30"/>
        <v>-0.11629715210638181</v>
      </c>
      <c r="H635" s="111">
        <f t="shared" ref="H635:Q635" si="35">H$95*H$7</f>
        <v>-0.12092630253398183</v>
      </c>
      <c r="I635" s="111">
        <f t="shared" si="35"/>
        <v>-0.13912938017157617</v>
      </c>
      <c r="J635" s="111">
        <f t="shared" si="35"/>
        <v>-0.15985639796508619</v>
      </c>
      <c r="K635" s="111">
        <f t="shared" si="35"/>
        <v>-0.18055227199094964</v>
      </c>
      <c r="L635" s="111">
        <f t="shared" si="35"/>
        <v>-0.20169148343761209</v>
      </c>
      <c r="M635" s="111">
        <f t="shared" si="35"/>
        <v>0</v>
      </c>
      <c r="N635" s="111">
        <f t="shared" si="35"/>
        <v>0</v>
      </c>
      <c r="O635" s="111">
        <f t="shared" si="35"/>
        <v>0</v>
      </c>
      <c r="P635" s="111">
        <f t="shared" si="35"/>
        <v>0</v>
      </c>
      <c r="Q635" s="111">
        <f t="shared" si="35"/>
        <v>0</v>
      </c>
      <c r="R635" s="9"/>
      <c r="S635" s="12"/>
      <c r="T635" s="106">
        <f t="shared" si="32"/>
        <v>-0.80215583609920593</v>
      </c>
      <c r="U635" s="12"/>
      <c r="V635" s="12"/>
      <c r="W635" s="12"/>
      <c r="X635" s="12"/>
      <c r="Y635" s="12"/>
      <c r="Z635" s="12"/>
      <c r="AA635" s="12"/>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c r="AY635" s="220"/>
      <c r="AZ635" s="220"/>
      <c r="BA635" s="220"/>
      <c r="BB635" s="220"/>
      <c r="BC635" s="220"/>
      <c r="BD635" s="12"/>
      <c r="BE635" s="12"/>
      <c r="BF635" s="12"/>
      <c r="BG635" s="12"/>
      <c r="BH635" s="12"/>
      <c r="BI635" s="12"/>
      <c r="BJ635" s="12"/>
      <c r="BK635" s="12"/>
      <c r="BL635" s="12"/>
    </row>
    <row r="636" spans="1:64" ht="12" hidden="1" customHeight="1" outlineLevel="1">
      <c r="A636" s="9"/>
      <c r="B636" s="9"/>
      <c r="C636" s="9"/>
      <c r="D636" s="129" t="str">
        <f>Asset5</f>
        <v>Computer Equipment</v>
      </c>
      <c r="E636" s="9"/>
      <c r="F636" s="9"/>
      <c r="G636" s="193">
        <f t="shared" si="30"/>
        <v>-0.29110702125304688</v>
      </c>
      <c r="H636" s="111">
        <f t="shared" ref="H636:Q636" si="36">H$108*H$7</f>
        <v>-0.24228663432286004</v>
      </c>
      <c r="I636" s="111">
        <f t="shared" si="36"/>
        <v>-1.2075030282575718</v>
      </c>
      <c r="J636" s="111">
        <f t="shared" si="36"/>
        <v>-3.1715386133297181</v>
      </c>
      <c r="K636" s="111">
        <f t="shared" si="36"/>
        <v>-3.9067105765000556</v>
      </c>
      <c r="L636" s="111">
        <f t="shared" si="36"/>
        <v>-3.8761927270530299</v>
      </c>
      <c r="M636" s="111">
        <f t="shared" si="36"/>
        <v>0</v>
      </c>
      <c r="N636" s="111">
        <f t="shared" si="36"/>
        <v>0</v>
      </c>
      <c r="O636" s="111">
        <f t="shared" si="36"/>
        <v>0</v>
      </c>
      <c r="P636" s="111">
        <f t="shared" si="36"/>
        <v>0</v>
      </c>
      <c r="Q636" s="111">
        <f t="shared" si="36"/>
        <v>0</v>
      </c>
      <c r="R636" s="9"/>
      <c r="S636" s="12"/>
      <c r="T636" s="106">
        <f t="shared" si="32"/>
        <v>-12.404231579463236</v>
      </c>
      <c r="U636" s="12"/>
      <c r="V636" s="12"/>
      <c r="W636" s="12"/>
      <c r="X636" s="12"/>
      <c r="Y636" s="12"/>
      <c r="Z636" s="12"/>
      <c r="AA636" s="12"/>
      <c r="AB636" s="220"/>
      <c r="AC636" s="220"/>
      <c r="AD636" s="220"/>
      <c r="AE636" s="220"/>
      <c r="AF636" s="220"/>
      <c r="AG636" s="220"/>
      <c r="AH636" s="220"/>
      <c r="AI636" s="220"/>
      <c r="AJ636" s="220"/>
      <c r="AK636" s="220"/>
      <c r="AL636" s="220"/>
      <c r="AM636" s="220"/>
      <c r="AN636" s="220"/>
      <c r="AO636" s="220"/>
      <c r="AP636" s="220"/>
      <c r="AQ636" s="220"/>
      <c r="AR636" s="220"/>
      <c r="AS636" s="220"/>
      <c r="AT636" s="220"/>
      <c r="AU636" s="220"/>
      <c r="AV636" s="220"/>
      <c r="AW636" s="220"/>
      <c r="AX636" s="220"/>
      <c r="AY636" s="220"/>
      <c r="AZ636" s="220"/>
      <c r="BA636" s="220"/>
      <c r="BB636" s="220"/>
      <c r="BC636" s="220"/>
      <c r="BD636" s="12"/>
      <c r="BE636" s="12"/>
      <c r="BF636" s="12"/>
      <c r="BG636" s="12"/>
      <c r="BH636" s="12"/>
      <c r="BI636" s="12"/>
      <c r="BJ636" s="12"/>
      <c r="BK636" s="12"/>
      <c r="BL636" s="12"/>
    </row>
    <row r="637" spans="1:64" ht="12" hidden="1" customHeight="1" outlineLevel="1">
      <c r="A637" s="9"/>
      <c r="B637" s="9"/>
      <c r="C637" s="9"/>
      <c r="D637" s="129" t="str">
        <f>Asset6</f>
        <v>Other Assets</v>
      </c>
      <c r="E637" s="9"/>
      <c r="F637" s="9"/>
      <c r="G637" s="193">
        <f t="shared" si="30"/>
        <v>-3.128401705902609</v>
      </c>
      <c r="H637" s="111">
        <f t="shared" ref="H637:Q637" si="37">H$121*H$7</f>
        <v>-2.465850068838888</v>
      </c>
      <c r="I637" s="111">
        <f t="shared" si="37"/>
        <v>-2.8652033754420962</v>
      </c>
      <c r="J637" s="111">
        <f t="shared" si="37"/>
        <v>-3.5430214483798808</v>
      </c>
      <c r="K637" s="111">
        <f t="shared" si="37"/>
        <v>-4.0530532753001456</v>
      </c>
      <c r="L637" s="111">
        <f t="shared" si="37"/>
        <v>-4.4006055141081735</v>
      </c>
      <c r="M637" s="111">
        <f t="shared" si="37"/>
        <v>0</v>
      </c>
      <c r="N637" s="111">
        <f t="shared" si="37"/>
        <v>0</v>
      </c>
      <c r="O637" s="111">
        <f t="shared" si="37"/>
        <v>0</v>
      </c>
      <c r="P637" s="111">
        <f t="shared" si="37"/>
        <v>0</v>
      </c>
      <c r="Q637" s="111">
        <f t="shared" si="37"/>
        <v>0</v>
      </c>
      <c r="R637" s="9"/>
      <c r="S637" s="12"/>
      <c r="T637" s="106">
        <f t="shared" si="32"/>
        <v>-17.327733682069184</v>
      </c>
      <c r="U637" s="12"/>
      <c r="V637" s="12"/>
      <c r="W637" s="12"/>
      <c r="X637" s="12"/>
      <c r="Y637" s="12"/>
      <c r="Z637" s="12"/>
      <c r="AA637" s="12"/>
      <c r="AB637" s="220"/>
      <c r="AC637" s="220"/>
      <c r="AD637" s="220"/>
      <c r="AE637" s="220"/>
      <c r="AF637" s="220"/>
      <c r="AG637" s="220"/>
      <c r="AH637" s="220"/>
      <c r="AI637" s="220"/>
      <c r="AJ637" s="220"/>
      <c r="AK637" s="220"/>
      <c r="AL637" s="220"/>
      <c r="AM637" s="220"/>
      <c r="AN637" s="220"/>
      <c r="AO637" s="220"/>
      <c r="AP637" s="220"/>
      <c r="AQ637" s="220"/>
      <c r="AR637" s="220"/>
      <c r="AS637" s="220"/>
      <c r="AT637" s="220"/>
      <c r="AU637" s="220"/>
      <c r="AV637" s="220"/>
      <c r="AW637" s="220"/>
      <c r="AX637" s="220"/>
      <c r="AY637" s="220"/>
      <c r="AZ637" s="220"/>
      <c r="BA637" s="220"/>
      <c r="BB637" s="220"/>
      <c r="BC637" s="220"/>
      <c r="BD637" s="12"/>
      <c r="BE637" s="12"/>
      <c r="BF637" s="12"/>
      <c r="BG637" s="12"/>
      <c r="BH637" s="12"/>
      <c r="BI637" s="12"/>
      <c r="BJ637" s="12"/>
      <c r="BK637" s="12"/>
      <c r="BL637" s="12"/>
    </row>
    <row r="638" spans="1:64" ht="12" hidden="1" customHeight="1" outlineLevel="1">
      <c r="A638" s="9"/>
      <c r="B638" s="9"/>
      <c r="C638" s="9"/>
      <c r="D638" s="129" t="str">
        <f>Asset7</f>
        <v>Equity Raising Costs</v>
      </c>
      <c r="E638" s="9"/>
      <c r="F638" s="9"/>
      <c r="G638" s="193">
        <f t="shared" si="30"/>
        <v>0</v>
      </c>
      <c r="H638" s="111">
        <f t="shared" ref="H638:Q638" si="38">H$134*H$7</f>
        <v>0</v>
      </c>
      <c r="I638" s="111">
        <f t="shared" si="38"/>
        <v>0</v>
      </c>
      <c r="J638" s="111">
        <f t="shared" si="38"/>
        <v>0</v>
      </c>
      <c r="K638" s="111">
        <f t="shared" si="38"/>
        <v>0</v>
      </c>
      <c r="L638" s="111">
        <f t="shared" si="38"/>
        <v>0</v>
      </c>
      <c r="M638" s="111">
        <f t="shared" si="38"/>
        <v>0</v>
      </c>
      <c r="N638" s="111">
        <f t="shared" si="38"/>
        <v>0</v>
      </c>
      <c r="O638" s="111">
        <f t="shared" si="38"/>
        <v>0</v>
      </c>
      <c r="P638" s="111">
        <f t="shared" si="38"/>
        <v>0</v>
      </c>
      <c r="Q638" s="111">
        <f t="shared" si="38"/>
        <v>0</v>
      </c>
      <c r="R638" s="9"/>
      <c r="S638" s="12"/>
      <c r="T638" s="106">
        <f t="shared" si="32"/>
        <v>0</v>
      </c>
      <c r="U638" s="12"/>
      <c r="V638" s="12"/>
      <c r="W638" s="12"/>
      <c r="X638" s="12"/>
      <c r="Y638" s="12"/>
      <c r="Z638" s="12"/>
      <c r="AA638" s="12"/>
      <c r="AB638" s="220"/>
      <c r="AC638" s="220"/>
      <c r="AD638" s="220"/>
      <c r="AE638" s="220"/>
      <c r="AF638" s="220"/>
      <c r="AG638" s="220"/>
      <c r="AH638" s="220"/>
      <c r="AI638" s="220"/>
      <c r="AJ638" s="220"/>
      <c r="AK638" s="220"/>
      <c r="AL638" s="220"/>
      <c r="AM638" s="220"/>
      <c r="AN638" s="220"/>
      <c r="AO638" s="220"/>
      <c r="AP638" s="220"/>
      <c r="AQ638" s="220"/>
      <c r="AR638" s="220"/>
      <c r="AS638" s="220"/>
      <c r="AT638" s="220"/>
      <c r="AU638" s="220"/>
      <c r="AV638" s="220"/>
      <c r="AW638" s="220"/>
      <c r="AX638" s="220"/>
      <c r="AY638" s="220"/>
      <c r="AZ638" s="220"/>
      <c r="BA638" s="220"/>
      <c r="BB638" s="220"/>
      <c r="BC638" s="220"/>
      <c r="BD638" s="12"/>
      <c r="BE638" s="12"/>
      <c r="BF638" s="12"/>
      <c r="BG638" s="12"/>
      <c r="BH638" s="12"/>
      <c r="BI638" s="12"/>
      <c r="BJ638" s="12"/>
      <c r="BK638" s="12"/>
      <c r="BL638" s="12"/>
    </row>
    <row r="639" spans="1:64" ht="12" hidden="1" customHeight="1" outlineLevel="1">
      <c r="A639" s="9"/>
      <c r="B639" s="9"/>
      <c r="C639" s="9"/>
      <c r="D639" s="129" t="str">
        <f>Asset8</f>
        <v>Land</v>
      </c>
      <c r="E639" s="9"/>
      <c r="F639" s="9"/>
      <c r="G639" s="193">
        <f t="shared" si="30"/>
        <v>0</v>
      </c>
      <c r="H639" s="111">
        <f t="shared" ref="H639:Q639" si="39">H$147*H$7</f>
        <v>0</v>
      </c>
      <c r="I639" s="111">
        <f t="shared" si="39"/>
        <v>0</v>
      </c>
      <c r="J639" s="111">
        <f t="shared" si="39"/>
        <v>0</v>
      </c>
      <c r="K639" s="111">
        <f t="shared" si="39"/>
        <v>0</v>
      </c>
      <c r="L639" s="111">
        <f t="shared" si="39"/>
        <v>0</v>
      </c>
      <c r="M639" s="111">
        <f t="shared" si="39"/>
        <v>0</v>
      </c>
      <c r="N639" s="111">
        <f t="shared" si="39"/>
        <v>0</v>
      </c>
      <c r="O639" s="111">
        <f t="shared" si="39"/>
        <v>0</v>
      </c>
      <c r="P639" s="111">
        <f t="shared" si="39"/>
        <v>0</v>
      </c>
      <c r="Q639" s="111">
        <f t="shared" si="39"/>
        <v>0</v>
      </c>
      <c r="R639" s="9"/>
      <c r="S639" s="12"/>
      <c r="T639" s="106">
        <f t="shared" si="32"/>
        <v>0</v>
      </c>
      <c r="U639" s="12"/>
      <c r="V639" s="12"/>
      <c r="W639" s="12"/>
      <c r="X639" s="12"/>
      <c r="Y639" s="12"/>
      <c r="Z639" s="12"/>
      <c r="AA639" s="12"/>
      <c r="AB639" s="220"/>
      <c r="AC639" s="220"/>
      <c r="AD639" s="220"/>
      <c r="AE639" s="220"/>
      <c r="AF639" s="220"/>
      <c r="AG639" s="220"/>
      <c r="AH639" s="220"/>
      <c r="AI639" s="220"/>
      <c r="AJ639" s="220"/>
      <c r="AK639" s="220"/>
      <c r="AL639" s="220"/>
      <c r="AM639" s="220"/>
      <c r="AN639" s="220"/>
      <c r="AO639" s="220"/>
      <c r="AP639" s="220"/>
      <c r="AQ639" s="220"/>
      <c r="AR639" s="220"/>
      <c r="AS639" s="220"/>
      <c r="AT639" s="220"/>
      <c r="AU639" s="220"/>
      <c r="AV639" s="220"/>
      <c r="AW639" s="220"/>
      <c r="AX639" s="220"/>
      <c r="AY639" s="220"/>
      <c r="AZ639" s="220"/>
      <c r="BA639" s="220"/>
      <c r="BB639" s="220"/>
      <c r="BC639" s="220"/>
      <c r="BD639" s="12"/>
      <c r="BE639" s="12"/>
      <c r="BF639" s="12"/>
      <c r="BG639" s="12"/>
      <c r="BH639" s="12"/>
      <c r="BI639" s="12"/>
      <c r="BJ639" s="12"/>
      <c r="BK639" s="12"/>
      <c r="BL639" s="12"/>
    </row>
    <row r="640" spans="1:64" ht="12" hidden="1" customHeight="1" outlineLevel="1">
      <c r="A640" s="9"/>
      <c r="B640" s="9"/>
      <c r="C640" s="9"/>
      <c r="D640" s="129">
        <f>Asset9</f>
        <v>0</v>
      </c>
      <c r="E640" s="9"/>
      <c r="F640" s="9"/>
      <c r="G640" s="193">
        <f>-(G674-G510)</f>
        <v>0</v>
      </c>
      <c r="H640" s="111">
        <f t="shared" ref="H640:Q640" si="40">H$160*H$7</f>
        <v>0</v>
      </c>
      <c r="I640" s="111">
        <f t="shared" si="40"/>
        <v>0</v>
      </c>
      <c r="J640" s="111">
        <f t="shared" si="40"/>
        <v>0</v>
      </c>
      <c r="K640" s="111">
        <f t="shared" si="40"/>
        <v>0</v>
      </c>
      <c r="L640" s="111">
        <f t="shared" si="40"/>
        <v>0</v>
      </c>
      <c r="M640" s="111">
        <f t="shared" si="40"/>
        <v>0</v>
      </c>
      <c r="N640" s="111">
        <f t="shared" si="40"/>
        <v>0</v>
      </c>
      <c r="O640" s="111">
        <f t="shared" si="40"/>
        <v>0</v>
      </c>
      <c r="P640" s="111">
        <f t="shared" si="40"/>
        <v>0</v>
      </c>
      <c r="Q640" s="111">
        <f t="shared" si="40"/>
        <v>0</v>
      </c>
      <c r="R640" s="9"/>
      <c r="S640" s="12"/>
      <c r="T640" s="106">
        <f t="shared" si="32"/>
        <v>0</v>
      </c>
      <c r="U640" s="12"/>
      <c r="V640" s="12"/>
      <c r="W640" s="12"/>
      <c r="X640" s="12"/>
      <c r="Y640" s="12"/>
      <c r="Z640" s="12"/>
      <c r="AA640" s="12"/>
      <c r="AB640" s="220"/>
      <c r="AC640" s="220"/>
      <c r="AD640" s="220"/>
      <c r="AE640" s="220"/>
      <c r="AF640" s="220"/>
      <c r="AG640" s="220"/>
      <c r="AH640" s="220"/>
      <c r="AI640" s="220"/>
      <c r="AJ640" s="220"/>
      <c r="AK640" s="220"/>
      <c r="AL640" s="220"/>
      <c r="AM640" s="220"/>
      <c r="AN640" s="220"/>
      <c r="AO640" s="220"/>
      <c r="AP640" s="220"/>
      <c r="AQ640" s="220"/>
      <c r="AR640" s="220"/>
      <c r="AS640" s="220"/>
      <c r="AT640" s="220"/>
      <c r="AU640" s="220"/>
      <c r="AV640" s="220"/>
      <c r="AW640" s="220"/>
      <c r="AX640" s="220"/>
      <c r="AY640" s="220"/>
      <c r="AZ640" s="220"/>
      <c r="BA640" s="220"/>
      <c r="BB640" s="220"/>
      <c r="BC640" s="220"/>
      <c r="BD640" s="12"/>
      <c r="BE640" s="12"/>
      <c r="BF640" s="12"/>
      <c r="BG640" s="12"/>
      <c r="BH640" s="12"/>
      <c r="BI640" s="12"/>
      <c r="BJ640" s="12"/>
      <c r="BK640" s="12"/>
      <c r="BL640" s="12"/>
    </row>
    <row r="641" spans="1:64" ht="12" hidden="1" customHeight="1" outlineLevel="1">
      <c r="A641" s="9"/>
      <c r="B641" s="9"/>
      <c r="C641" s="9"/>
      <c r="D641" s="129">
        <f>Asset10</f>
        <v>0</v>
      </c>
      <c r="E641" s="9"/>
      <c r="F641" s="9"/>
      <c r="G641" s="193">
        <f t="shared" ref="G641:G651" si="41">-(G675-G511)</f>
        <v>0</v>
      </c>
      <c r="H641" s="111">
        <f t="shared" ref="H641:Q641" si="42">H$173*H$7</f>
        <v>0</v>
      </c>
      <c r="I641" s="111">
        <f t="shared" si="42"/>
        <v>0</v>
      </c>
      <c r="J641" s="111">
        <f t="shared" si="42"/>
        <v>0</v>
      </c>
      <c r="K641" s="111">
        <f t="shared" si="42"/>
        <v>0</v>
      </c>
      <c r="L641" s="111">
        <f t="shared" si="42"/>
        <v>0</v>
      </c>
      <c r="M641" s="111">
        <f t="shared" si="42"/>
        <v>0</v>
      </c>
      <c r="N641" s="111">
        <f t="shared" si="42"/>
        <v>0</v>
      </c>
      <c r="O641" s="111">
        <f t="shared" si="42"/>
        <v>0</v>
      </c>
      <c r="P641" s="111">
        <f t="shared" si="42"/>
        <v>0</v>
      </c>
      <c r="Q641" s="111">
        <f t="shared" si="42"/>
        <v>0</v>
      </c>
      <c r="R641" s="9"/>
      <c r="S641" s="12"/>
      <c r="T641" s="106">
        <f t="shared" si="32"/>
        <v>0</v>
      </c>
      <c r="U641" s="12"/>
      <c r="V641" s="12"/>
      <c r="W641" s="12"/>
      <c r="X641" s="12"/>
      <c r="Y641" s="12"/>
      <c r="Z641" s="12"/>
      <c r="AA641" s="12"/>
      <c r="AB641" s="220"/>
      <c r="AC641" s="220"/>
      <c r="AD641" s="220"/>
      <c r="AE641" s="220"/>
      <c r="AF641" s="220"/>
      <c r="AG641" s="220"/>
      <c r="AH641" s="220"/>
      <c r="AI641" s="220"/>
      <c r="AJ641" s="220"/>
      <c r="AK641" s="220"/>
      <c r="AL641" s="220"/>
      <c r="AM641" s="220"/>
      <c r="AN641" s="220"/>
      <c r="AO641" s="220"/>
      <c r="AP641" s="220"/>
      <c r="AQ641" s="220"/>
      <c r="AR641" s="220"/>
      <c r="AS641" s="220"/>
      <c r="AT641" s="220"/>
      <c r="AU641" s="220"/>
      <c r="AV641" s="220"/>
      <c r="AW641" s="220"/>
      <c r="AX641" s="220"/>
      <c r="AY641" s="220"/>
      <c r="AZ641" s="220"/>
      <c r="BA641" s="220"/>
      <c r="BB641" s="220"/>
      <c r="BC641" s="220"/>
      <c r="BD641" s="12"/>
      <c r="BE641" s="12"/>
      <c r="BF641" s="12"/>
      <c r="BG641" s="12"/>
      <c r="BH641" s="12"/>
      <c r="BI641" s="12"/>
      <c r="BJ641" s="12"/>
      <c r="BK641" s="12"/>
      <c r="BL641" s="12"/>
    </row>
    <row r="642" spans="1:64" ht="12" hidden="1" customHeight="1" outlineLevel="1">
      <c r="A642" s="9"/>
      <c r="B642" s="9"/>
      <c r="C642" s="9"/>
      <c r="D642" s="129">
        <f>Asset11</f>
        <v>0</v>
      </c>
      <c r="E642" s="9"/>
      <c r="F642" s="9"/>
      <c r="G642" s="193">
        <f t="shared" si="41"/>
        <v>0</v>
      </c>
      <c r="H642" s="111">
        <f t="shared" ref="H642:Q642" si="43">H$186*H$7</f>
        <v>0</v>
      </c>
      <c r="I642" s="111">
        <f t="shared" si="43"/>
        <v>0</v>
      </c>
      <c r="J642" s="111">
        <f t="shared" si="43"/>
        <v>0</v>
      </c>
      <c r="K642" s="111">
        <f t="shared" si="43"/>
        <v>0</v>
      </c>
      <c r="L642" s="111">
        <f t="shared" si="43"/>
        <v>0</v>
      </c>
      <c r="M642" s="111">
        <f t="shared" si="43"/>
        <v>0</v>
      </c>
      <c r="N642" s="111">
        <f t="shared" si="43"/>
        <v>0</v>
      </c>
      <c r="O642" s="111">
        <f t="shared" si="43"/>
        <v>0</v>
      </c>
      <c r="P642" s="111">
        <f t="shared" si="43"/>
        <v>0</v>
      </c>
      <c r="Q642" s="111">
        <f t="shared" si="43"/>
        <v>0</v>
      </c>
      <c r="R642" s="9"/>
      <c r="S642" s="12"/>
      <c r="T642" s="106">
        <f t="shared" si="32"/>
        <v>0</v>
      </c>
      <c r="U642" s="12"/>
      <c r="V642" s="12"/>
      <c r="W642" s="12"/>
      <c r="X642" s="12"/>
      <c r="Y642" s="12"/>
      <c r="Z642" s="12"/>
      <c r="AA642" s="12"/>
      <c r="AB642" s="220"/>
      <c r="AC642" s="220"/>
      <c r="AD642" s="220"/>
      <c r="AE642" s="220"/>
      <c r="AF642" s="220"/>
      <c r="AG642" s="220"/>
      <c r="AH642" s="220"/>
      <c r="AI642" s="220"/>
      <c r="AJ642" s="220"/>
      <c r="AK642" s="220"/>
      <c r="AL642" s="220"/>
      <c r="AM642" s="220"/>
      <c r="AN642" s="220"/>
      <c r="AO642" s="220"/>
      <c r="AP642" s="220"/>
      <c r="AQ642" s="220"/>
      <c r="AR642" s="220"/>
      <c r="AS642" s="220"/>
      <c r="AT642" s="220"/>
      <c r="AU642" s="220"/>
      <c r="AV642" s="220"/>
      <c r="AW642" s="220"/>
      <c r="AX642" s="220"/>
      <c r="AY642" s="220"/>
      <c r="AZ642" s="220"/>
      <c r="BA642" s="220"/>
      <c r="BB642" s="220"/>
      <c r="BC642" s="220"/>
      <c r="BD642" s="12"/>
      <c r="BE642" s="12"/>
      <c r="BF642" s="12"/>
      <c r="BG642" s="12"/>
      <c r="BH642" s="12"/>
      <c r="BI642" s="12"/>
      <c r="BJ642" s="12"/>
      <c r="BK642" s="12"/>
      <c r="BL642" s="12"/>
    </row>
    <row r="643" spans="1:64" ht="12" hidden="1" customHeight="1" outlineLevel="1">
      <c r="A643" s="9"/>
      <c r="B643" s="9"/>
      <c r="C643" s="9"/>
      <c r="D643" s="129">
        <f>Asset12</f>
        <v>0</v>
      </c>
      <c r="E643" s="9"/>
      <c r="F643" s="9"/>
      <c r="G643" s="193">
        <f t="shared" si="41"/>
        <v>0</v>
      </c>
      <c r="H643" s="111">
        <f t="shared" ref="H643:Q643" si="44">H$199*H$7</f>
        <v>0</v>
      </c>
      <c r="I643" s="111">
        <f t="shared" si="44"/>
        <v>0</v>
      </c>
      <c r="J643" s="111">
        <f t="shared" si="44"/>
        <v>0</v>
      </c>
      <c r="K643" s="111">
        <f t="shared" si="44"/>
        <v>0</v>
      </c>
      <c r="L643" s="111">
        <f t="shared" si="44"/>
        <v>0</v>
      </c>
      <c r="M643" s="111">
        <f t="shared" si="44"/>
        <v>0</v>
      </c>
      <c r="N643" s="111">
        <f t="shared" si="44"/>
        <v>0</v>
      </c>
      <c r="O643" s="111">
        <f t="shared" si="44"/>
        <v>0</v>
      </c>
      <c r="P643" s="111">
        <f t="shared" si="44"/>
        <v>0</v>
      </c>
      <c r="Q643" s="111">
        <f t="shared" si="44"/>
        <v>0</v>
      </c>
      <c r="R643" s="9"/>
      <c r="S643" s="12"/>
      <c r="T643" s="106">
        <f t="shared" si="32"/>
        <v>0</v>
      </c>
      <c r="U643" s="12"/>
      <c r="V643" s="12"/>
      <c r="W643" s="12"/>
      <c r="X643" s="12"/>
      <c r="Y643" s="12"/>
      <c r="Z643" s="12"/>
      <c r="AA643" s="12"/>
      <c r="AB643" s="220"/>
      <c r="AC643" s="220"/>
      <c r="AD643" s="220"/>
      <c r="AE643" s="220"/>
      <c r="AF643" s="220"/>
      <c r="AG643" s="220"/>
      <c r="AH643" s="220"/>
      <c r="AI643" s="220"/>
      <c r="AJ643" s="220"/>
      <c r="AK643" s="220"/>
      <c r="AL643" s="220"/>
      <c r="AM643" s="220"/>
      <c r="AN643" s="220"/>
      <c r="AO643" s="220"/>
      <c r="AP643" s="220"/>
      <c r="AQ643" s="220"/>
      <c r="AR643" s="220"/>
      <c r="AS643" s="220"/>
      <c r="AT643" s="220"/>
      <c r="AU643" s="220"/>
      <c r="AV643" s="220"/>
      <c r="AW643" s="220"/>
      <c r="AX643" s="220"/>
      <c r="AY643" s="220"/>
      <c r="AZ643" s="220"/>
      <c r="BA643" s="220"/>
      <c r="BB643" s="220"/>
      <c r="BC643" s="220"/>
      <c r="BD643" s="12"/>
      <c r="BE643" s="12"/>
      <c r="BF643" s="12"/>
      <c r="BG643" s="12"/>
      <c r="BH643" s="12"/>
      <c r="BI643" s="12"/>
      <c r="BJ643" s="12"/>
      <c r="BK643" s="12"/>
      <c r="BL643" s="12"/>
    </row>
    <row r="644" spans="1:64" ht="12" hidden="1" customHeight="1" outlineLevel="1">
      <c r="A644" s="9"/>
      <c r="B644" s="9"/>
      <c r="C644" s="9"/>
      <c r="D644" s="129">
        <f>Asset13</f>
        <v>0</v>
      </c>
      <c r="E644" s="9"/>
      <c r="F644" s="9"/>
      <c r="G644" s="193">
        <f t="shared" si="41"/>
        <v>0</v>
      </c>
      <c r="H644" s="111">
        <f t="shared" ref="H644:Q644" si="45">H$212*H$7</f>
        <v>0</v>
      </c>
      <c r="I644" s="111">
        <f t="shared" si="45"/>
        <v>0</v>
      </c>
      <c r="J644" s="111">
        <f t="shared" si="45"/>
        <v>0</v>
      </c>
      <c r="K644" s="111">
        <f t="shared" si="45"/>
        <v>0</v>
      </c>
      <c r="L644" s="111">
        <f t="shared" si="45"/>
        <v>0</v>
      </c>
      <c r="M644" s="111">
        <f t="shared" si="45"/>
        <v>0</v>
      </c>
      <c r="N644" s="111">
        <f t="shared" si="45"/>
        <v>0</v>
      </c>
      <c r="O644" s="111">
        <f t="shared" si="45"/>
        <v>0</v>
      </c>
      <c r="P644" s="111">
        <f t="shared" si="45"/>
        <v>0</v>
      </c>
      <c r="Q644" s="111">
        <f t="shared" si="45"/>
        <v>0</v>
      </c>
      <c r="R644" s="9"/>
      <c r="S644" s="12"/>
      <c r="T644" s="106">
        <f t="shared" si="32"/>
        <v>0</v>
      </c>
      <c r="U644" s="12"/>
      <c r="V644" s="12"/>
      <c r="W644" s="12"/>
      <c r="X644" s="12"/>
      <c r="Y644" s="12"/>
      <c r="Z644" s="12"/>
      <c r="AA644" s="12"/>
      <c r="AB644" s="220"/>
      <c r="AC644" s="220"/>
      <c r="AD644" s="220"/>
      <c r="AE644" s="220"/>
      <c r="AF644" s="220"/>
      <c r="AG644" s="220"/>
      <c r="AH644" s="220"/>
      <c r="AI644" s="220"/>
      <c r="AJ644" s="220"/>
      <c r="AK644" s="220"/>
      <c r="AL644" s="220"/>
      <c r="AM644" s="220"/>
      <c r="AN644" s="220"/>
      <c r="AO644" s="220"/>
      <c r="AP644" s="220"/>
      <c r="AQ644" s="220"/>
      <c r="AR644" s="220"/>
      <c r="AS644" s="220"/>
      <c r="AT644" s="220"/>
      <c r="AU644" s="220"/>
      <c r="AV644" s="220"/>
      <c r="AW644" s="220"/>
      <c r="AX644" s="220"/>
      <c r="AY644" s="220"/>
      <c r="AZ644" s="220"/>
      <c r="BA644" s="220"/>
      <c r="BB644" s="220"/>
      <c r="BC644" s="220"/>
      <c r="BD644" s="12"/>
      <c r="BE644" s="12"/>
      <c r="BF644" s="12"/>
      <c r="BG644" s="12"/>
      <c r="BH644" s="12"/>
      <c r="BI644" s="12"/>
      <c r="BJ644" s="12"/>
      <c r="BK644" s="12"/>
      <c r="BL644" s="12"/>
    </row>
    <row r="645" spans="1:64" ht="12" hidden="1" customHeight="1" outlineLevel="1">
      <c r="A645" s="9"/>
      <c r="B645" s="9"/>
      <c r="C645" s="9"/>
      <c r="D645" s="129">
        <f>Asset14</f>
        <v>0</v>
      </c>
      <c r="E645" s="9"/>
      <c r="F645" s="9"/>
      <c r="G645" s="193">
        <f t="shared" si="41"/>
        <v>0</v>
      </c>
      <c r="H645" s="111">
        <f t="shared" ref="H645:Q645" si="46">H$225*H$7</f>
        <v>0</v>
      </c>
      <c r="I645" s="111">
        <f t="shared" si="46"/>
        <v>0</v>
      </c>
      <c r="J645" s="111">
        <f t="shared" si="46"/>
        <v>0</v>
      </c>
      <c r="K645" s="111">
        <f t="shared" si="46"/>
        <v>0</v>
      </c>
      <c r="L645" s="111">
        <f t="shared" si="46"/>
        <v>0</v>
      </c>
      <c r="M645" s="111">
        <f t="shared" si="46"/>
        <v>0</v>
      </c>
      <c r="N645" s="111">
        <f t="shared" si="46"/>
        <v>0</v>
      </c>
      <c r="O645" s="111">
        <f t="shared" si="46"/>
        <v>0</v>
      </c>
      <c r="P645" s="111">
        <f t="shared" si="46"/>
        <v>0</v>
      </c>
      <c r="Q645" s="111">
        <f t="shared" si="46"/>
        <v>0</v>
      </c>
      <c r="R645" s="9"/>
      <c r="S645" s="12"/>
      <c r="T645" s="106">
        <f t="shared" si="32"/>
        <v>0</v>
      </c>
      <c r="U645" s="12"/>
      <c r="V645" s="12"/>
      <c r="W645" s="12"/>
      <c r="X645" s="12"/>
      <c r="Y645" s="12"/>
      <c r="Z645" s="12"/>
      <c r="AA645" s="12"/>
      <c r="AB645" s="220"/>
      <c r="AC645" s="220"/>
      <c r="AD645" s="220"/>
      <c r="AE645" s="220"/>
      <c r="AF645" s="220"/>
      <c r="AG645" s="220"/>
      <c r="AH645" s="220"/>
      <c r="AI645" s="220"/>
      <c r="AJ645" s="220"/>
      <c r="AK645" s="220"/>
      <c r="AL645" s="220"/>
      <c r="AM645" s="220"/>
      <c r="AN645" s="220"/>
      <c r="AO645" s="220"/>
      <c r="AP645" s="220"/>
      <c r="AQ645" s="220"/>
      <c r="AR645" s="220"/>
      <c r="AS645" s="220"/>
      <c r="AT645" s="220"/>
      <c r="AU645" s="220"/>
      <c r="AV645" s="220"/>
      <c r="AW645" s="220"/>
      <c r="AX645" s="220"/>
      <c r="AY645" s="220"/>
      <c r="AZ645" s="220"/>
      <c r="BA645" s="220"/>
      <c r="BB645" s="220"/>
      <c r="BC645" s="220"/>
      <c r="BD645" s="12"/>
      <c r="BE645" s="12"/>
      <c r="BF645" s="12"/>
      <c r="BG645" s="12"/>
      <c r="BH645" s="12"/>
      <c r="BI645" s="12"/>
      <c r="BJ645" s="12"/>
      <c r="BK645" s="12"/>
      <c r="BL645" s="12"/>
    </row>
    <row r="646" spans="1:64" ht="12" hidden="1" customHeight="1" outlineLevel="1">
      <c r="A646" s="9"/>
      <c r="B646" s="9"/>
      <c r="C646" s="9"/>
      <c r="D646" s="129">
        <f>Asset15</f>
        <v>0</v>
      </c>
      <c r="E646" s="9"/>
      <c r="F646" s="9"/>
      <c r="G646" s="193">
        <f t="shared" si="41"/>
        <v>0</v>
      </c>
      <c r="H646" s="111">
        <f t="shared" ref="H646:Q646" si="47">H$238*H$7</f>
        <v>0</v>
      </c>
      <c r="I646" s="111">
        <f t="shared" si="47"/>
        <v>0</v>
      </c>
      <c r="J646" s="111">
        <f t="shared" si="47"/>
        <v>0</v>
      </c>
      <c r="K646" s="111">
        <f t="shared" si="47"/>
        <v>0</v>
      </c>
      <c r="L646" s="111">
        <f t="shared" si="47"/>
        <v>0</v>
      </c>
      <c r="M646" s="111">
        <f t="shared" si="47"/>
        <v>0</v>
      </c>
      <c r="N646" s="111">
        <f t="shared" si="47"/>
        <v>0</v>
      </c>
      <c r="O646" s="111">
        <f t="shared" si="47"/>
        <v>0</v>
      </c>
      <c r="P646" s="111">
        <f t="shared" si="47"/>
        <v>0</v>
      </c>
      <c r="Q646" s="111">
        <f t="shared" si="47"/>
        <v>0</v>
      </c>
      <c r="R646" s="9"/>
      <c r="S646" s="12"/>
      <c r="T646" s="106">
        <f t="shared" si="32"/>
        <v>0</v>
      </c>
      <c r="U646" s="12"/>
      <c r="V646" s="12"/>
      <c r="W646" s="12"/>
      <c r="X646" s="12"/>
      <c r="Y646" s="12"/>
      <c r="Z646" s="12"/>
      <c r="AA646" s="12"/>
      <c r="AB646" s="220"/>
      <c r="AC646" s="220"/>
      <c r="AD646" s="220"/>
      <c r="AE646" s="220"/>
      <c r="AF646" s="220"/>
      <c r="AG646" s="220"/>
      <c r="AH646" s="220"/>
      <c r="AI646" s="220"/>
      <c r="AJ646" s="220"/>
      <c r="AK646" s="220"/>
      <c r="AL646" s="220"/>
      <c r="AM646" s="220"/>
      <c r="AN646" s="220"/>
      <c r="AO646" s="220"/>
      <c r="AP646" s="220"/>
      <c r="AQ646" s="220"/>
      <c r="AR646" s="220"/>
      <c r="AS646" s="220"/>
      <c r="AT646" s="220"/>
      <c r="AU646" s="220"/>
      <c r="AV646" s="220"/>
      <c r="AW646" s="220"/>
      <c r="AX646" s="220"/>
      <c r="AY646" s="220"/>
      <c r="AZ646" s="220"/>
      <c r="BA646" s="220"/>
      <c r="BB646" s="220"/>
      <c r="BC646" s="220"/>
      <c r="BD646" s="12"/>
      <c r="BE646" s="12"/>
      <c r="BF646" s="12"/>
      <c r="BG646" s="12"/>
      <c r="BH646" s="12"/>
      <c r="BI646" s="12"/>
      <c r="BJ646" s="12"/>
      <c r="BK646" s="12"/>
      <c r="BL646" s="12"/>
    </row>
    <row r="647" spans="1:64" ht="12" hidden="1" customHeight="1" outlineLevel="1">
      <c r="A647" s="9"/>
      <c r="B647" s="9"/>
      <c r="C647" s="9"/>
      <c r="D647" s="129">
        <f>Asset16</f>
        <v>0</v>
      </c>
      <c r="E647" s="9"/>
      <c r="F647" s="9"/>
      <c r="G647" s="193">
        <f t="shared" si="41"/>
        <v>0</v>
      </c>
      <c r="H647" s="111">
        <f t="shared" ref="H647:Q647" si="48">H$251*H$7</f>
        <v>0</v>
      </c>
      <c r="I647" s="111">
        <f t="shared" si="48"/>
        <v>0</v>
      </c>
      <c r="J647" s="111">
        <f t="shared" si="48"/>
        <v>0</v>
      </c>
      <c r="K647" s="111">
        <f t="shared" si="48"/>
        <v>0</v>
      </c>
      <c r="L647" s="111">
        <f t="shared" si="48"/>
        <v>0</v>
      </c>
      <c r="M647" s="111">
        <f t="shared" si="48"/>
        <v>0</v>
      </c>
      <c r="N647" s="111">
        <f t="shared" si="48"/>
        <v>0</v>
      </c>
      <c r="O647" s="111">
        <f t="shared" si="48"/>
        <v>0</v>
      </c>
      <c r="P647" s="111">
        <f t="shared" si="48"/>
        <v>0</v>
      </c>
      <c r="Q647" s="111">
        <f t="shared" si="48"/>
        <v>0</v>
      </c>
      <c r="R647" s="9"/>
      <c r="S647" s="12"/>
      <c r="T647" s="106">
        <f t="shared" si="32"/>
        <v>0</v>
      </c>
      <c r="U647" s="12"/>
      <c r="V647" s="12"/>
      <c r="W647" s="12"/>
      <c r="X647" s="12"/>
      <c r="Y647" s="12"/>
      <c r="Z647" s="12"/>
      <c r="AA647" s="12"/>
      <c r="AB647" s="220"/>
      <c r="AC647" s="220"/>
      <c r="AD647" s="220"/>
      <c r="AE647" s="220"/>
      <c r="AF647" s="220"/>
      <c r="AG647" s="220"/>
      <c r="AH647" s="220"/>
      <c r="AI647" s="220"/>
      <c r="AJ647" s="220"/>
      <c r="AK647" s="220"/>
      <c r="AL647" s="220"/>
      <c r="AM647" s="220"/>
      <c r="AN647" s="220"/>
      <c r="AO647" s="220"/>
      <c r="AP647" s="220"/>
      <c r="AQ647" s="220"/>
      <c r="AR647" s="220"/>
      <c r="AS647" s="220"/>
      <c r="AT647" s="220"/>
      <c r="AU647" s="220"/>
      <c r="AV647" s="220"/>
      <c r="AW647" s="220"/>
      <c r="AX647" s="220"/>
      <c r="AY647" s="220"/>
      <c r="AZ647" s="220"/>
      <c r="BA647" s="220"/>
      <c r="BB647" s="220"/>
      <c r="BC647" s="220"/>
      <c r="BD647" s="12"/>
      <c r="BE647" s="12"/>
      <c r="BF647" s="12"/>
      <c r="BG647" s="12"/>
      <c r="BH647" s="12"/>
      <c r="BI647" s="12"/>
      <c r="BJ647" s="12"/>
      <c r="BK647" s="12"/>
      <c r="BL647" s="12"/>
    </row>
    <row r="648" spans="1:64" ht="12" hidden="1" customHeight="1" outlineLevel="1">
      <c r="A648" s="9"/>
      <c r="B648" s="9"/>
      <c r="C648" s="9"/>
      <c r="D648" s="129">
        <f>Asset17</f>
        <v>0</v>
      </c>
      <c r="E648" s="9"/>
      <c r="F648" s="9"/>
      <c r="G648" s="193">
        <f t="shared" si="41"/>
        <v>0</v>
      </c>
      <c r="H648" s="111">
        <f t="shared" ref="H648:Q648" si="49">H$264*H$7</f>
        <v>0</v>
      </c>
      <c r="I648" s="111">
        <f t="shared" si="49"/>
        <v>0</v>
      </c>
      <c r="J648" s="111">
        <f t="shared" si="49"/>
        <v>0</v>
      </c>
      <c r="K648" s="111">
        <f t="shared" si="49"/>
        <v>0</v>
      </c>
      <c r="L648" s="111">
        <f t="shared" si="49"/>
        <v>0</v>
      </c>
      <c r="M648" s="111">
        <f t="shared" si="49"/>
        <v>0</v>
      </c>
      <c r="N648" s="111">
        <f t="shared" si="49"/>
        <v>0</v>
      </c>
      <c r="O648" s="111">
        <f t="shared" si="49"/>
        <v>0</v>
      </c>
      <c r="P648" s="111">
        <f t="shared" si="49"/>
        <v>0</v>
      </c>
      <c r="Q648" s="111">
        <f t="shared" si="49"/>
        <v>0</v>
      </c>
      <c r="R648" s="9"/>
      <c r="S648" s="12"/>
      <c r="T648" s="106">
        <f t="shared" si="32"/>
        <v>0</v>
      </c>
      <c r="U648" s="12"/>
      <c r="V648" s="12"/>
      <c r="W648" s="12"/>
      <c r="X648" s="12"/>
      <c r="Y648" s="12"/>
      <c r="Z648" s="12"/>
      <c r="AA648" s="12"/>
      <c r="AB648" s="220"/>
      <c r="AC648" s="220"/>
      <c r="AD648" s="220"/>
      <c r="AE648" s="220"/>
      <c r="AF648" s="220"/>
      <c r="AG648" s="220"/>
      <c r="AH648" s="220"/>
      <c r="AI648" s="220"/>
      <c r="AJ648" s="220"/>
      <c r="AK648" s="220"/>
      <c r="AL648" s="220"/>
      <c r="AM648" s="220"/>
      <c r="AN648" s="220"/>
      <c r="AO648" s="220"/>
      <c r="AP648" s="220"/>
      <c r="AQ648" s="220"/>
      <c r="AR648" s="220"/>
      <c r="AS648" s="220"/>
      <c r="AT648" s="220"/>
      <c r="AU648" s="220"/>
      <c r="AV648" s="220"/>
      <c r="AW648" s="220"/>
      <c r="AX648" s="220"/>
      <c r="AY648" s="220"/>
      <c r="AZ648" s="220"/>
      <c r="BA648" s="220"/>
      <c r="BB648" s="220"/>
      <c r="BC648" s="220"/>
      <c r="BD648" s="12"/>
      <c r="BE648" s="12"/>
      <c r="BF648" s="12"/>
      <c r="BG648" s="12"/>
      <c r="BH648" s="12"/>
      <c r="BI648" s="12"/>
      <c r="BJ648" s="12"/>
      <c r="BK648" s="12"/>
      <c r="BL648" s="12"/>
    </row>
    <row r="649" spans="1:64" ht="12" hidden="1" customHeight="1" outlineLevel="1">
      <c r="A649" s="9"/>
      <c r="B649" s="9"/>
      <c r="C649" s="9"/>
      <c r="D649" s="129">
        <f>Asset18</f>
        <v>0</v>
      </c>
      <c r="E649" s="9"/>
      <c r="F649" s="9"/>
      <c r="G649" s="193">
        <f t="shared" si="41"/>
        <v>0</v>
      </c>
      <c r="H649" s="111">
        <f t="shared" ref="H649:Q649" si="50">H$277*H$7</f>
        <v>0</v>
      </c>
      <c r="I649" s="111">
        <f t="shared" si="50"/>
        <v>0</v>
      </c>
      <c r="J649" s="111">
        <f t="shared" si="50"/>
        <v>0</v>
      </c>
      <c r="K649" s="111">
        <f t="shared" si="50"/>
        <v>0</v>
      </c>
      <c r="L649" s="111">
        <f t="shared" si="50"/>
        <v>0</v>
      </c>
      <c r="M649" s="111">
        <f t="shared" si="50"/>
        <v>0</v>
      </c>
      <c r="N649" s="111">
        <f t="shared" si="50"/>
        <v>0</v>
      </c>
      <c r="O649" s="111">
        <f t="shared" si="50"/>
        <v>0</v>
      </c>
      <c r="P649" s="111">
        <f t="shared" si="50"/>
        <v>0</v>
      </c>
      <c r="Q649" s="111">
        <f t="shared" si="50"/>
        <v>0</v>
      </c>
      <c r="R649" s="9"/>
      <c r="S649" s="12"/>
      <c r="T649" s="106">
        <f t="shared" si="32"/>
        <v>0</v>
      </c>
      <c r="U649" s="12"/>
      <c r="V649" s="12"/>
      <c r="W649" s="12"/>
      <c r="X649" s="12"/>
      <c r="Y649" s="12"/>
      <c r="Z649" s="12"/>
      <c r="AA649" s="12"/>
      <c r="AB649" s="220"/>
      <c r="AC649" s="220"/>
      <c r="AD649" s="220"/>
      <c r="AE649" s="220"/>
      <c r="AF649" s="220"/>
      <c r="AG649" s="220"/>
      <c r="AH649" s="220"/>
      <c r="AI649" s="220"/>
      <c r="AJ649" s="220"/>
      <c r="AK649" s="220"/>
      <c r="AL649" s="220"/>
      <c r="AM649" s="220"/>
      <c r="AN649" s="220"/>
      <c r="AO649" s="220"/>
      <c r="AP649" s="220"/>
      <c r="AQ649" s="220"/>
      <c r="AR649" s="220"/>
      <c r="AS649" s="220"/>
      <c r="AT649" s="220"/>
      <c r="AU649" s="220"/>
      <c r="AV649" s="220"/>
      <c r="AW649" s="220"/>
      <c r="AX649" s="220"/>
      <c r="AY649" s="220"/>
      <c r="AZ649" s="220"/>
      <c r="BA649" s="220"/>
      <c r="BB649" s="220"/>
      <c r="BC649" s="220"/>
      <c r="BD649" s="12"/>
      <c r="BE649" s="12"/>
      <c r="BF649" s="12"/>
      <c r="BG649" s="12"/>
      <c r="BH649" s="12"/>
      <c r="BI649" s="12"/>
      <c r="BJ649" s="12"/>
      <c r="BK649" s="12"/>
      <c r="BL649" s="12"/>
    </row>
    <row r="650" spans="1:64" ht="12" hidden="1" customHeight="1" outlineLevel="1">
      <c r="A650" s="9"/>
      <c r="B650" s="9"/>
      <c r="C650" s="9"/>
      <c r="D650" s="129">
        <f>Asset19</f>
        <v>0</v>
      </c>
      <c r="E650" s="9"/>
      <c r="F650" s="9"/>
      <c r="G650" s="193">
        <f t="shared" si="41"/>
        <v>0</v>
      </c>
      <c r="H650" s="111">
        <f t="shared" ref="H650:Q650" si="51">H$290*H$7</f>
        <v>0</v>
      </c>
      <c r="I650" s="111">
        <f t="shared" si="51"/>
        <v>0</v>
      </c>
      <c r="J650" s="111">
        <f t="shared" si="51"/>
        <v>0</v>
      </c>
      <c r="K650" s="111">
        <f t="shared" si="51"/>
        <v>0</v>
      </c>
      <c r="L650" s="111">
        <f t="shared" si="51"/>
        <v>0</v>
      </c>
      <c r="M650" s="111">
        <f t="shared" si="51"/>
        <v>0</v>
      </c>
      <c r="N650" s="111">
        <f t="shared" si="51"/>
        <v>0</v>
      </c>
      <c r="O650" s="111">
        <f t="shared" si="51"/>
        <v>0</v>
      </c>
      <c r="P650" s="111">
        <f t="shared" si="51"/>
        <v>0</v>
      </c>
      <c r="Q650" s="111">
        <f t="shared" si="51"/>
        <v>0</v>
      </c>
      <c r="R650" s="9"/>
      <c r="S650" s="12"/>
      <c r="T650" s="106">
        <f t="shared" si="32"/>
        <v>0</v>
      </c>
      <c r="U650" s="12"/>
      <c r="V650" s="12"/>
      <c r="W650" s="12"/>
      <c r="X650" s="12"/>
      <c r="Y650" s="12"/>
      <c r="Z650" s="12"/>
      <c r="AA650" s="12"/>
      <c r="AB650" s="220"/>
      <c r="AC650" s="220"/>
      <c r="AD650" s="220"/>
      <c r="AE650" s="220"/>
      <c r="AF650" s="220"/>
      <c r="AG650" s="220"/>
      <c r="AH650" s="220"/>
      <c r="AI650" s="220"/>
      <c r="AJ650" s="220"/>
      <c r="AK650" s="220"/>
      <c r="AL650" s="220"/>
      <c r="AM650" s="220"/>
      <c r="AN650" s="220"/>
      <c r="AO650" s="220"/>
      <c r="AP650" s="220"/>
      <c r="AQ650" s="220"/>
      <c r="AR650" s="220"/>
      <c r="AS650" s="220"/>
      <c r="AT650" s="220"/>
      <c r="AU650" s="220"/>
      <c r="AV650" s="220"/>
      <c r="AW650" s="220"/>
      <c r="AX650" s="220"/>
      <c r="AY650" s="220"/>
      <c r="AZ650" s="220"/>
      <c r="BA650" s="220"/>
      <c r="BB650" s="220"/>
      <c r="BC650" s="220"/>
      <c r="BD650" s="12"/>
      <c r="BE650" s="12"/>
      <c r="BF650" s="12"/>
      <c r="BG650" s="12"/>
      <c r="BH650" s="12"/>
      <c r="BI650" s="12"/>
      <c r="BJ650" s="12"/>
      <c r="BK650" s="12"/>
      <c r="BL650" s="12"/>
    </row>
    <row r="651" spans="1:64" ht="12" hidden="1" customHeight="1" outlineLevel="1">
      <c r="A651" s="9"/>
      <c r="B651" s="9"/>
      <c r="C651" s="9"/>
      <c r="D651" s="129">
        <f>Asset20</f>
        <v>0</v>
      </c>
      <c r="E651" s="9"/>
      <c r="F651" s="9"/>
      <c r="G651" s="193">
        <f t="shared" si="41"/>
        <v>0</v>
      </c>
      <c r="H651" s="111">
        <f t="shared" ref="H651:Q651" si="52">H$303*H$7</f>
        <v>0</v>
      </c>
      <c r="I651" s="111">
        <f t="shared" si="52"/>
        <v>0</v>
      </c>
      <c r="J651" s="111">
        <f t="shared" si="52"/>
        <v>0</v>
      </c>
      <c r="K651" s="111">
        <f t="shared" si="52"/>
        <v>0</v>
      </c>
      <c r="L651" s="111">
        <f t="shared" si="52"/>
        <v>0</v>
      </c>
      <c r="M651" s="111">
        <f t="shared" si="52"/>
        <v>0</v>
      </c>
      <c r="N651" s="111">
        <f t="shared" si="52"/>
        <v>0</v>
      </c>
      <c r="O651" s="111">
        <f t="shared" si="52"/>
        <v>0</v>
      </c>
      <c r="P651" s="111">
        <f t="shared" si="52"/>
        <v>0</v>
      </c>
      <c r="Q651" s="111">
        <f t="shared" si="52"/>
        <v>0</v>
      </c>
      <c r="R651" s="9"/>
      <c r="S651" s="12"/>
      <c r="T651" s="106">
        <f t="shared" si="32"/>
        <v>0</v>
      </c>
      <c r="U651" s="12"/>
      <c r="V651" s="12"/>
      <c r="W651" s="12"/>
      <c r="X651" s="12"/>
      <c r="Y651" s="12"/>
      <c r="Z651" s="12"/>
      <c r="AA651" s="12"/>
      <c r="AB651" s="220"/>
      <c r="AC651" s="220"/>
      <c r="AD651" s="220"/>
      <c r="AE651" s="220"/>
      <c r="AF651" s="220"/>
      <c r="AG651" s="220"/>
      <c r="AH651" s="220"/>
      <c r="AI651" s="220"/>
      <c r="AJ651" s="220"/>
      <c r="AK651" s="220"/>
      <c r="AL651" s="220"/>
      <c r="AM651" s="220"/>
      <c r="AN651" s="220"/>
      <c r="AO651" s="220"/>
      <c r="AP651" s="220"/>
      <c r="AQ651" s="220"/>
      <c r="AR651" s="220"/>
      <c r="AS651" s="220"/>
      <c r="AT651" s="220"/>
      <c r="AU651" s="220"/>
      <c r="AV651" s="220"/>
      <c r="AW651" s="220"/>
      <c r="AX651" s="220"/>
      <c r="AY651" s="220"/>
      <c r="AZ651" s="220"/>
      <c r="BA651" s="220"/>
      <c r="BB651" s="220"/>
      <c r="BC651" s="220"/>
      <c r="BD651" s="12"/>
      <c r="BE651" s="12"/>
      <c r="BF651" s="12"/>
      <c r="BG651" s="12"/>
      <c r="BH651" s="12"/>
      <c r="BI651" s="12"/>
      <c r="BJ651" s="12"/>
      <c r="BK651" s="12"/>
      <c r="BL651" s="12"/>
    </row>
    <row r="652" spans="1:64" hidden="1" outlineLevel="1">
      <c r="A652" s="9"/>
      <c r="B652" s="9"/>
      <c r="C652" s="9"/>
      <c r="D652" s="129">
        <f>Asset21</f>
        <v>0</v>
      </c>
      <c r="E652" s="9"/>
      <c r="F652" s="9"/>
      <c r="G652" s="193">
        <f t="shared" ref="G652:G661" si="53">-(G696-G522)</f>
        <v>0</v>
      </c>
      <c r="H652" s="111">
        <f>H$316*H$7</f>
        <v>0</v>
      </c>
      <c r="I652" s="111">
        <f t="shared" ref="I652:Q652" si="54">I$316*I$7</f>
        <v>0</v>
      </c>
      <c r="J652" s="111">
        <f t="shared" si="54"/>
        <v>0</v>
      </c>
      <c r="K652" s="111">
        <f t="shared" si="54"/>
        <v>0</v>
      </c>
      <c r="L652" s="111">
        <f t="shared" si="54"/>
        <v>0</v>
      </c>
      <c r="M652" s="111">
        <f t="shared" si="54"/>
        <v>0</v>
      </c>
      <c r="N652" s="111">
        <f t="shared" si="54"/>
        <v>0</v>
      </c>
      <c r="O652" s="111">
        <f t="shared" si="54"/>
        <v>0</v>
      </c>
      <c r="P652" s="111">
        <f t="shared" si="54"/>
        <v>0</v>
      </c>
      <c r="Q652" s="111">
        <f t="shared" si="54"/>
        <v>0</v>
      </c>
      <c r="R652" s="9"/>
      <c r="S652" s="9"/>
      <c r="T652" s="106">
        <f t="shared" si="32"/>
        <v>0</v>
      </c>
      <c r="U652" s="9"/>
      <c r="V652" s="9"/>
      <c r="W652" s="9"/>
      <c r="X652" s="9"/>
      <c r="Y652" s="9"/>
      <c r="Z652" s="9"/>
      <c r="AA652" s="9"/>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9"/>
      <c r="BE652" s="9"/>
      <c r="BF652" s="9"/>
      <c r="BG652" s="9"/>
      <c r="BH652" s="9"/>
      <c r="BI652" s="9"/>
      <c r="BJ652" s="9"/>
      <c r="BK652" s="9"/>
      <c r="BL652" s="9"/>
    </row>
    <row r="653" spans="1:64" hidden="1" outlineLevel="1">
      <c r="A653" s="9"/>
      <c r="B653" s="9"/>
      <c r="C653" s="9"/>
      <c r="D653" s="129">
        <f>Asset22</f>
        <v>0</v>
      </c>
      <c r="E653" s="9"/>
      <c r="F653" s="9"/>
      <c r="G653" s="193">
        <f t="shared" si="53"/>
        <v>0</v>
      </c>
      <c r="H653" s="111">
        <f>H$329*H$7</f>
        <v>0</v>
      </c>
      <c r="I653" s="111">
        <f t="shared" ref="I653:Q653" si="55">I$329*I$7</f>
        <v>0</v>
      </c>
      <c r="J653" s="111">
        <f t="shared" si="55"/>
        <v>0</v>
      </c>
      <c r="K653" s="111">
        <f t="shared" si="55"/>
        <v>0</v>
      </c>
      <c r="L653" s="111">
        <f t="shared" si="55"/>
        <v>0</v>
      </c>
      <c r="M653" s="111">
        <f t="shared" si="55"/>
        <v>0</v>
      </c>
      <c r="N653" s="111">
        <f t="shared" si="55"/>
        <v>0</v>
      </c>
      <c r="O653" s="111">
        <f t="shared" si="55"/>
        <v>0</v>
      </c>
      <c r="P653" s="111">
        <f t="shared" si="55"/>
        <v>0</v>
      </c>
      <c r="Q653" s="111">
        <f t="shared" si="55"/>
        <v>0</v>
      </c>
      <c r="R653" s="9"/>
      <c r="S653" s="9"/>
      <c r="T653" s="106">
        <f t="shared" si="32"/>
        <v>0</v>
      </c>
      <c r="U653" s="9"/>
      <c r="V653" s="9"/>
      <c r="W653" s="9"/>
      <c r="X653" s="9"/>
      <c r="Y653" s="9"/>
      <c r="Z653" s="9"/>
      <c r="AA653" s="9"/>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9"/>
      <c r="BE653" s="9"/>
      <c r="BF653" s="9"/>
      <c r="BG653" s="9"/>
      <c r="BH653" s="9"/>
      <c r="BI653" s="9"/>
      <c r="BJ653" s="9"/>
      <c r="BK653" s="9"/>
      <c r="BL653" s="9"/>
    </row>
    <row r="654" spans="1:64" hidden="1" outlineLevel="1">
      <c r="A654" s="9"/>
      <c r="B654" s="9"/>
      <c r="C654" s="9"/>
      <c r="D654" s="129">
        <f>Asset23</f>
        <v>0</v>
      </c>
      <c r="E654" s="9"/>
      <c r="F654" s="9"/>
      <c r="G654" s="193">
        <f t="shared" si="53"/>
        <v>0</v>
      </c>
      <c r="H654" s="111">
        <f>H$342*H$7</f>
        <v>0</v>
      </c>
      <c r="I654" s="111">
        <f t="shared" ref="I654:Q654" si="56">I$342*I$7</f>
        <v>0</v>
      </c>
      <c r="J654" s="111">
        <f t="shared" si="56"/>
        <v>0</v>
      </c>
      <c r="K654" s="111">
        <f t="shared" si="56"/>
        <v>0</v>
      </c>
      <c r="L654" s="111">
        <f t="shared" si="56"/>
        <v>0</v>
      </c>
      <c r="M654" s="111">
        <f t="shared" si="56"/>
        <v>0</v>
      </c>
      <c r="N654" s="111">
        <f t="shared" si="56"/>
        <v>0</v>
      </c>
      <c r="O654" s="111">
        <f t="shared" si="56"/>
        <v>0</v>
      </c>
      <c r="P654" s="111">
        <f t="shared" si="56"/>
        <v>0</v>
      </c>
      <c r="Q654" s="111">
        <f t="shared" si="56"/>
        <v>0</v>
      </c>
      <c r="R654" s="9"/>
      <c r="S654" s="9"/>
      <c r="T654" s="106">
        <f t="shared" si="32"/>
        <v>0</v>
      </c>
      <c r="U654" s="9"/>
      <c r="V654" s="9"/>
      <c r="W654" s="9"/>
      <c r="X654" s="9"/>
      <c r="Y654" s="9"/>
      <c r="Z654" s="9"/>
      <c r="AA654" s="9"/>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9"/>
      <c r="BE654" s="9"/>
      <c r="BF654" s="9"/>
      <c r="BG654" s="9"/>
      <c r="BH654" s="9"/>
      <c r="BI654" s="9"/>
      <c r="BJ654" s="9"/>
      <c r="BK654" s="9"/>
      <c r="BL654" s="9"/>
    </row>
    <row r="655" spans="1:64" hidden="1" outlineLevel="1">
      <c r="A655" s="9"/>
      <c r="B655" s="9"/>
      <c r="C655" s="9"/>
      <c r="D655" s="129">
        <f>Asset24</f>
        <v>0</v>
      </c>
      <c r="E655" s="9"/>
      <c r="F655" s="9"/>
      <c r="G655" s="193">
        <f t="shared" si="53"/>
        <v>0</v>
      </c>
      <c r="H655" s="111">
        <f>H$355*H$7</f>
        <v>0</v>
      </c>
      <c r="I655" s="111">
        <f t="shared" ref="I655:Q655" si="57">I$355*I$7</f>
        <v>0</v>
      </c>
      <c r="J655" s="111">
        <f t="shared" si="57"/>
        <v>0</v>
      </c>
      <c r="K655" s="111">
        <f t="shared" si="57"/>
        <v>0</v>
      </c>
      <c r="L655" s="111">
        <f t="shared" si="57"/>
        <v>0</v>
      </c>
      <c r="M655" s="111">
        <f t="shared" si="57"/>
        <v>0</v>
      </c>
      <c r="N655" s="111">
        <f t="shared" si="57"/>
        <v>0</v>
      </c>
      <c r="O655" s="111">
        <f t="shared" si="57"/>
        <v>0</v>
      </c>
      <c r="P655" s="111">
        <f t="shared" si="57"/>
        <v>0</v>
      </c>
      <c r="Q655" s="111">
        <f t="shared" si="57"/>
        <v>0</v>
      </c>
      <c r="R655" s="9"/>
      <c r="S655" s="9"/>
      <c r="T655" s="106">
        <f t="shared" si="32"/>
        <v>0</v>
      </c>
      <c r="U655" s="9"/>
      <c r="V655" s="9"/>
      <c r="W655" s="9"/>
      <c r="X655" s="9"/>
      <c r="Y655" s="9"/>
      <c r="Z655" s="9"/>
      <c r="AA655" s="9"/>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9"/>
      <c r="BE655" s="9"/>
      <c r="BF655" s="9"/>
      <c r="BG655" s="9"/>
      <c r="BH655" s="9"/>
      <c r="BI655" s="9"/>
      <c r="BJ655" s="9"/>
      <c r="BK655" s="9"/>
      <c r="BL655" s="9"/>
    </row>
    <row r="656" spans="1:64" hidden="1" outlineLevel="1">
      <c r="A656" s="9"/>
      <c r="B656" s="9"/>
      <c r="C656" s="9"/>
      <c r="D656" s="129">
        <f>Asset25</f>
        <v>0</v>
      </c>
      <c r="E656" s="9"/>
      <c r="F656" s="9"/>
      <c r="G656" s="193">
        <f t="shared" si="53"/>
        <v>0</v>
      </c>
      <c r="H656" s="111">
        <f>H$368*H$7</f>
        <v>0</v>
      </c>
      <c r="I656" s="111">
        <f t="shared" ref="I656:Q656" si="58">I$368*I$7</f>
        <v>0</v>
      </c>
      <c r="J656" s="111">
        <f t="shared" si="58"/>
        <v>0</v>
      </c>
      <c r="K656" s="111">
        <f t="shared" si="58"/>
        <v>0</v>
      </c>
      <c r="L656" s="111">
        <f t="shared" si="58"/>
        <v>0</v>
      </c>
      <c r="M656" s="111">
        <f t="shared" si="58"/>
        <v>0</v>
      </c>
      <c r="N656" s="111">
        <f t="shared" si="58"/>
        <v>0</v>
      </c>
      <c r="O656" s="111">
        <f t="shared" si="58"/>
        <v>0</v>
      </c>
      <c r="P656" s="111">
        <f t="shared" si="58"/>
        <v>0</v>
      </c>
      <c r="Q656" s="111">
        <f t="shared" si="58"/>
        <v>0</v>
      </c>
      <c r="R656" s="9"/>
      <c r="S656" s="9"/>
      <c r="T656" s="106">
        <f t="shared" si="32"/>
        <v>0</v>
      </c>
      <c r="U656" s="9"/>
      <c r="V656" s="9"/>
      <c r="W656" s="9"/>
      <c r="X656" s="9"/>
      <c r="Y656" s="9"/>
      <c r="Z656" s="9"/>
      <c r="AA656" s="9"/>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9"/>
      <c r="BE656" s="9"/>
      <c r="BF656" s="9"/>
      <c r="BG656" s="9"/>
      <c r="BH656" s="9"/>
      <c r="BI656" s="9"/>
      <c r="BJ656" s="9"/>
      <c r="BK656" s="9"/>
      <c r="BL656" s="9"/>
    </row>
    <row r="657" spans="1:64" hidden="1" outlineLevel="1">
      <c r="A657" s="9"/>
      <c r="B657" s="9"/>
      <c r="C657" s="9"/>
      <c r="D657" s="129">
        <f>Asset26</f>
        <v>0</v>
      </c>
      <c r="E657" s="9"/>
      <c r="F657" s="9"/>
      <c r="G657" s="193">
        <f t="shared" si="53"/>
        <v>0</v>
      </c>
      <c r="H657" s="111">
        <f>H$381*H$7</f>
        <v>0</v>
      </c>
      <c r="I657" s="111">
        <f t="shared" ref="I657:Q657" si="59">I$381*I$7</f>
        <v>0</v>
      </c>
      <c r="J657" s="111">
        <f t="shared" si="59"/>
        <v>0</v>
      </c>
      <c r="K657" s="111">
        <f t="shared" si="59"/>
        <v>0</v>
      </c>
      <c r="L657" s="111">
        <f t="shared" si="59"/>
        <v>0</v>
      </c>
      <c r="M657" s="111">
        <f t="shared" si="59"/>
        <v>0</v>
      </c>
      <c r="N657" s="111">
        <f t="shared" si="59"/>
        <v>0</v>
      </c>
      <c r="O657" s="111">
        <f t="shared" si="59"/>
        <v>0</v>
      </c>
      <c r="P657" s="111">
        <f t="shared" si="59"/>
        <v>0</v>
      </c>
      <c r="Q657" s="111">
        <f t="shared" si="59"/>
        <v>0</v>
      </c>
      <c r="R657" s="9"/>
      <c r="S657" s="9"/>
      <c r="T657" s="106">
        <f t="shared" si="32"/>
        <v>0</v>
      </c>
      <c r="U657" s="9"/>
      <c r="V657" s="9"/>
      <c r="W657" s="9"/>
      <c r="X657" s="9"/>
      <c r="Y657" s="9"/>
      <c r="Z657" s="9"/>
      <c r="AA657" s="9"/>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9"/>
      <c r="BE657" s="9"/>
      <c r="BF657" s="9"/>
      <c r="BG657" s="9"/>
      <c r="BH657" s="9"/>
      <c r="BI657" s="9"/>
      <c r="BJ657" s="9"/>
      <c r="BK657" s="9"/>
      <c r="BL657" s="9"/>
    </row>
    <row r="658" spans="1:64" hidden="1" outlineLevel="1">
      <c r="A658" s="9"/>
      <c r="B658" s="9"/>
      <c r="C658" s="9"/>
      <c r="D658" s="129">
        <f>Asset27</f>
        <v>0</v>
      </c>
      <c r="E658" s="9"/>
      <c r="F658" s="9"/>
      <c r="G658" s="193">
        <f t="shared" si="53"/>
        <v>0</v>
      </c>
      <c r="H658" s="111">
        <f>H$394*H$7</f>
        <v>0</v>
      </c>
      <c r="I658" s="111">
        <f t="shared" ref="I658:Q658" si="60">I$394*I$7</f>
        <v>0</v>
      </c>
      <c r="J658" s="111">
        <f t="shared" si="60"/>
        <v>0</v>
      </c>
      <c r="K658" s="111">
        <f t="shared" si="60"/>
        <v>0</v>
      </c>
      <c r="L658" s="111">
        <f t="shared" si="60"/>
        <v>0</v>
      </c>
      <c r="M658" s="111">
        <f t="shared" si="60"/>
        <v>0</v>
      </c>
      <c r="N658" s="111">
        <f t="shared" si="60"/>
        <v>0</v>
      </c>
      <c r="O658" s="111">
        <f t="shared" si="60"/>
        <v>0</v>
      </c>
      <c r="P658" s="111">
        <f t="shared" si="60"/>
        <v>0</v>
      </c>
      <c r="Q658" s="111">
        <f t="shared" si="60"/>
        <v>0</v>
      </c>
      <c r="R658" s="9"/>
      <c r="S658" s="9"/>
      <c r="T658" s="106">
        <f t="shared" si="32"/>
        <v>0</v>
      </c>
      <c r="U658" s="9"/>
      <c r="V658" s="9"/>
      <c r="W658" s="9"/>
      <c r="X658" s="9"/>
      <c r="Y658" s="9"/>
      <c r="Z658" s="9"/>
      <c r="AA658" s="9"/>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9"/>
      <c r="BE658" s="9"/>
      <c r="BF658" s="9"/>
      <c r="BG658" s="9"/>
      <c r="BH658" s="9"/>
      <c r="BI658" s="9"/>
      <c r="BJ658" s="9"/>
      <c r="BK658" s="9"/>
      <c r="BL658" s="9"/>
    </row>
    <row r="659" spans="1:64" hidden="1" outlineLevel="1">
      <c r="A659" s="9"/>
      <c r="B659" s="9"/>
      <c r="C659" s="9"/>
      <c r="D659" s="129">
        <f>Asset28</f>
        <v>0</v>
      </c>
      <c r="E659" s="9"/>
      <c r="F659" s="9"/>
      <c r="G659" s="193">
        <f t="shared" si="53"/>
        <v>0</v>
      </c>
      <c r="H659" s="111">
        <f>H$407*H$7</f>
        <v>0</v>
      </c>
      <c r="I659" s="111">
        <f t="shared" ref="I659:Q659" si="61">I$407*I$7</f>
        <v>0</v>
      </c>
      <c r="J659" s="111">
        <f t="shared" si="61"/>
        <v>0</v>
      </c>
      <c r="K659" s="111">
        <f t="shared" si="61"/>
        <v>0</v>
      </c>
      <c r="L659" s="111">
        <f t="shared" si="61"/>
        <v>0</v>
      </c>
      <c r="M659" s="111">
        <f t="shared" si="61"/>
        <v>0</v>
      </c>
      <c r="N659" s="111">
        <f t="shared" si="61"/>
        <v>0</v>
      </c>
      <c r="O659" s="111">
        <f t="shared" si="61"/>
        <v>0</v>
      </c>
      <c r="P659" s="111">
        <f t="shared" si="61"/>
        <v>0</v>
      </c>
      <c r="Q659" s="111">
        <f t="shared" si="61"/>
        <v>0</v>
      </c>
      <c r="R659" s="9"/>
      <c r="S659" s="9"/>
      <c r="T659" s="106">
        <f t="shared" si="32"/>
        <v>0</v>
      </c>
      <c r="U659" s="9"/>
      <c r="V659" s="9"/>
      <c r="W659" s="9"/>
      <c r="X659" s="9"/>
      <c r="Y659" s="9"/>
      <c r="Z659" s="9"/>
      <c r="AA659" s="9"/>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9"/>
      <c r="BE659" s="9"/>
      <c r="BF659" s="9"/>
      <c r="BG659" s="9"/>
      <c r="BH659" s="9"/>
      <c r="BI659" s="9"/>
      <c r="BJ659" s="9"/>
      <c r="BK659" s="9"/>
      <c r="BL659" s="9"/>
    </row>
    <row r="660" spans="1:64" hidden="1" outlineLevel="1">
      <c r="A660" s="9"/>
      <c r="B660" s="9"/>
      <c r="C660" s="9"/>
      <c r="D660" s="129">
        <f>Asset29</f>
        <v>0</v>
      </c>
      <c r="E660" s="9"/>
      <c r="F660" s="9"/>
      <c r="G660" s="193">
        <f t="shared" si="53"/>
        <v>0</v>
      </c>
      <c r="H660" s="111">
        <f>H$420*H$7</f>
        <v>0</v>
      </c>
      <c r="I660" s="111">
        <f t="shared" ref="I660:Q660" si="62">I$420*I$7</f>
        <v>0</v>
      </c>
      <c r="J660" s="111">
        <f t="shared" si="62"/>
        <v>0</v>
      </c>
      <c r="K660" s="111">
        <f t="shared" si="62"/>
        <v>0</v>
      </c>
      <c r="L660" s="111">
        <f t="shared" si="62"/>
        <v>0</v>
      </c>
      <c r="M660" s="111">
        <f t="shared" si="62"/>
        <v>0</v>
      </c>
      <c r="N660" s="111">
        <f t="shared" si="62"/>
        <v>0</v>
      </c>
      <c r="O660" s="111">
        <f t="shared" si="62"/>
        <v>0</v>
      </c>
      <c r="P660" s="111">
        <f t="shared" si="62"/>
        <v>0</v>
      </c>
      <c r="Q660" s="111">
        <f t="shared" si="62"/>
        <v>0</v>
      </c>
      <c r="R660" s="9"/>
      <c r="S660" s="9"/>
      <c r="T660" s="106">
        <f t="shared" si="32"/>
        <v>0</v>
      </c>
      <c r="U660" s="9"/>
      <c r="V660" s="9"/>
      <c r="W660" s="9"/>
      <c r="X660" s="9"/>
      <c r="Y660" s="9"/>
      <c r="Z660" s="9"/>
      <c r="AA660" s="9"/>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9"/>
      <c r="BE660" s="9"/>
      <c r="BF660" s="9"/>
      <c r="BG660" s="9"/>
      <c r="BH660" s="9"/>
      <c r="BI660" s="9"/>
      <c r="BJ660" s="9"/>
      <c r="BK660" s="9"/>
      <c r="BL660" s="9"/>
    </row>
    <row r="661" spans="1:64" hidden="1" outlineLevel="1">
      <c r="A661" s="9"/>
      <c r="B661" s="9"/>
      <c r="C661" s="9"/>
      <c r="D661" s="129">
        <f>Asset30</f>
        <v>0</v>
      </c>
      <c r="E661" s="9"/>
      <c r="F661" s="9"/>
      <c r="G661" s="193">
        <f t="shared" si="53"/>
        <v>0</v>
      </c>
      <c r="H661" s="111">
        <f>H$433*H$7</f>
        <v>0</v>
      </c>
      <c r="I661" s="111">
        <f t="shared" ref="I661:Q661" si="63">I$433*I$7</f>
        <v>0</v>
      </c>
      <c r="J661" s="111">
        <f t="shared" si="63"/>
        <v>0</v>
      </c>
      <c r="K661" s="111">
        <f t="shared" si="63"/>
        <v>0</v>
      </c>
      <c r="L661" s="111">
        <f t="shared" si="63"/>
        <v>0</v>
      </c>
      <c r="M661" s="111">
        <f t="shared" si="63"/>
        <v>0</v>
      </c>
      <c r="N661" s="111">
        <f t="shared" si="63"/>
        <v>0</v>
      </c>
      <c r="O661" s="111">
        <f t="shared" si="63"/>
        <v>0</v>
      </c>
      <c r="P661" s="111">
        <f t="shared" si="63"/>
        <v>0</v>
      </c>
      <c r="Q661" s="111">
        <f t="shared" si="63"/>
        <v>0</v>
      </c>
      <c r="R661" s="9"/>
      <c r="S661" s="9"/>
      <c r="T661" s="106">
        <f t="shared" si="32"/>
        <v>0</v>
      </c>
      <c r="U661" s="9"/>
      <c r="V661" s="9"/>
      <c r="W661" s="9"/>
      <c r="X661" s="9"/>
      <c r="Y661" s="9"/>
      <c r="Z661" s="9"/>
      <c r="AA661" s="9"/>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9"/>
      <c r="BE661" s="9"/>
      <c r="BF661" s="9"/>
      <c r="BG661" s="9"/>
      <c r="BH661" s="9"/>
      <c r="BI661" s="9"/>
      <c r="BJ661" s="9"/>
      <c r="BK661" s="9"/>
      <c r="BL661" s="9"/>
    </row>
    <row r="662" spans="1:64" hidden="1" outlineLevel="1">
      <c r="A662" s="9"/>
      <c r="B662" s="9"/>
      <c r="C662" s="9"/>
      <c r="D662" s="129"/>
      <c r="E662" s="9"/>
      <c r="F662" s="9"/>
      <c r="G662" s="193"/>
      <c r="H662" s="111"/>
      <c r="I662" s="111"/>
      <c r="J662" s="111"/>
      <c r="K662" s="111"/>
      <c r="L662" s="111"/>
      <c r="M662" s="111"/>
      <c r="N662" s="111"/>
      <c r="O662" s="111"/>
      <c r="P662" s="111"/>
      <c r="Q662" s="111"/>
      <c r="R662" s="9"/>
      <c r="S662" s="9"/>
      <c r="T662" s="106">
        <f t="shared" si="32"/>
        <v>0</v>
      </c>
      <c r="U662" s="9"/>
      <c r="V662" s="9"/>
      <c r="W662" s="9"/>
      <c r="X662" s="9"/>
      <c r="Y662" s="9"/>
      <c r="Z662" s="9"/>
      <c r="AA662" s="9"/>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9"/>
      <c r="BE662" s="9"/>
      <c r="BF662" s="9"/>
      <c r="BG662" s="9"/>
      <c r="BH662" s="9"/>
      <c r="BI662" s="9"/>
      <c r="BJ662" s="9"/>
      <c r="BK662" s="9"/>
      <c r="BL662" s="9"/>
    </row>
    <row r="663" spans="1:64" hidden="1" outlineLevel="1">
      <c r="A663" s="9"/>
      <c r="B663" s="9"/>
      <c r="C663" s="9"/>
      <c r="D663" s="129"/>
      <c r="E663" s="9"/>
      <c r="F663" s="9"/>
      <c r="G663" s="193"/>
      <c r="H663" s="111"/>
      <c r="I663" s="111"/>
      <c r="J663" s="111"/>
      <c r="K663" s="111"/>
      <c r="L663" s="111"/>
      <c r="M663" s="111"/>
      <c r="N663" s="111"/>
      <c r="O663" s="111"/>
      <c r="P663" s="111"/>
      <c r="Q663" s="111"/>
      <c r="R663" s="9"/>
      <c r="S663" s="9"/>
      <c r="T663" s="106">
        <f t="shared" si="32"/>
        <v>0</v>
      </c>
      <c r="U663" s="9"/>
      <c r="V663" s="9"/>
      <c r="W663" s="9"/>
      <c r="X663" s="9"/>
      <c r="Y663" s="9"/>
      <c r="Z663" s="9"/>
      <c r="AA663" s="9"/>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V664" s="9"/>
      <c r="W664" s="9"/>
      <c r="X664" s="9"/>
      <c r="Y664" s="9"/>
      <c r="Z664" s="9"/>
      <c r="AA664" s="9"/>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9"/>
      <c r="BE664" s="9"/>
      <c r="BF664" s="9"/>
      <c r="BG664" s="9"/>
      <c r="BH664" s="9"/>
      <c r="BI664" s="9"/>
      <c r="BJ664" s="9"/>
      <c r="BK664" s="9"/>
      <c r="BL664" s="9"/>
    </row>
    <row r="665" spans="1:64" ht="12" customHeight="1">
      <c r="A665" s="9"/>
      <c r="B665" s="12"/>
      <c r="C665" s="89" t="s">
        <v>45</v>
      </c>
      <c r="D665" s="12"/>
      <c r="E665" s="12"/>
      <c r="F665" s="12"/>
      <c r="G665" s="197">
        <f>SUM(G666:G695)</f>
        <v>36.299891051858552</v>
      </c>
      <c r="H665" s="120">
        <f>SUM(H666:H695)</f>
        <v>22.392779012300796</v>
      </c>
      <c r="I665" s="120">
        <f>SUM(I666:I695)</f>
        <v>25.96831174421213</v>
      </c>
      <c r="J665" s="120">
        <f t="shared" ref="J665:Q665" si="64">SUM(J666:J695)</f>
        <v>29.899628565226905</v>
      </c>
      <c r="K665" s="120">
        <f t="shared" si="64"/>
        <v>21.102595195345884</v>
      </c>
      <c r="L665" s="120">
        <f t="shared" si="64"/>
        <v>18.933396712129934</v>
      </c>
      <c r="M665" s="120">
        <f t="shared" si="64"/>
        <v>37.69425832304799</v>
      </c>
      <c r="N665" s="120">
        <f t="shared" si="64"/>
        <v>0</v>
      </c>
      <c r="O665" s="120">
        <f t="shared" si="64"/>
        <v>0</v>
      </c>
      <c r="P665" s="120">
        <f t="shared" si="64"/>
        <v>0</v>
      </c>
      <c r="Q665" s="120">
        <f t="shared" si="64"/>
        <v>0</v>
      </c>
      <c r="R665" s="9"/>
      <c r="S665" s="12"/>
      <c r="T665" s="106">
        <f>+SUM(H665:L665)</f>
        <v>118.29671122921565</v>
      </c>
      <c r="U665" s="37">
        <v>125.40560278182187</v>
      </c>
      <c r="V665" s="12"/>
      <c r="W665" s="12"/>
      <c r="X665" s="12"/>
      <c r="Y665" s="12"/>
      <c r="Z665" s="12"/>
      <c r="AA665" s="12"/>
      <c r="AB665" s="220"/>
      <c r="AC665" s="220"/>
      <c r="AD665" s="220"/>
      <c r="AE665" s="220"/>
      <c r="AF665" s="220"/>
      <c r="AG665" s="220"/>
      <c r="AH665" s="220"/>
      <c r="AI665" s="220"/>
      <c r="AJ665" s="220"/>
      <c r="AK665" s="220"/>
      <c r="AL665" s="220"/>
      <c r="AM665" s="220"/>
      <c r="AN665" s="220"/>
      <c r="AO665" s="220"/>
      <c r="AP665" s="220"/>
      <c r="AQ665" s="220"/>
      <c r="AR665" s="220"/>
      <c r="AS665" s="220"/>
      <c r="AT665" s="220"/>
      <c r="AU665" s="220"/>
      <c r="AV665" s="220"/>
      <c r="AW665" s="220"/>
      <c r="AX665" s="220"/>
      <c r="AY665" s="220"/>
      <c r="AZ665" s="220"/>
      <c r="BA665" s="220"/>
      <c r="BB665" s="220"/>
      <c r="BC665" s="220"/>
      <c r="BD665" s="12"/>
      <c r="BE665" s="12"/>
      <c r="BF665" s="12"/>
      <c r="BG665" s="12"/>
      <c r="BH665" s="12"/>
      <c r="BI665" s="12"/>
      <c r="BJ665" s="12"/>
      <c r="BK665" s="12"/>
      <c r="BL665" s="12"/>
    </row>
    <row r="666" spans="1:64" ht="12" hidden="1" customHeight="1" outlineLevel="1">
      <c r="A666" s="9"/>
      <c r="B666" s="9"/>
      <c r="C666" s="9"/>
      <c r="D666" s="129" t="str">
        <f>Asset1</f>
        <v>Mains &amp; Services</v>
      </c>
      <c r="E666" s="9"/>
      <c r="F666" s="9"/>
      <c r="G666" s="193">
        <f>G438*G$6</f>
        <v>31.696769209916077</v>
      </c>
      <c r="H666" s="111">
        <f>H438*H$6</f>
        <v>19.732049202084433</v>
      </c>
      <c r="I666" s="111">
        <f t="shared" ref="I666:Q666" si="65">I438*I$6</f>
        <v>23.085441838165476</v>
      </c>
      <c r="J666" s="111">
        <f t="shared" si="65"/>
        <v>26.799245680490358</v>
      </c>
      <c r="K666" s="111">
        <f t="shared" si="65"/>
        <v>18.993675253318141</v>
      </c>
      <c r="L666" s="111">
        <f t="shared" si="65"/>
        <v>17.207450025688448</v>
      </c>
      <c r="M666" s="111">
        <f t="shared" si="65"/>
        <v>34.268398812172883</v>
      </c>
      <c r="N666" s="111">
        <f t="shared" si="65"/>
        <v>0</v>
      </c>
      <c r="O666" s="111">
        <f t="shared" si="65"/>
        <v>0</v>
      </c>
      <c r="P666" s="111">
        <f t="shared" si="65"/>
        <v>0</v>
      </c>
      <c r="Q666" s="111">
        <f t="shared" si="65"/>
        <v>0</v>
      </c>
      <c r="R666" s="9"/>
      <c r="S666" s="12"/>
      <c r="T666" s="12"/>
      <c r="U666" s="12"/>
      <c r="V666" s="12"/>
      <c r="W666" s="12"/>
      <c r="X666" s="12"/>
      <c r="Y666" s="12"/>
      <c r="Z666" s="12"/>
      <c r="AA666" s="12"/>
      <c r="AB666" s="220"/>
      <c r="AC666" s="220"/>
      <c r="AD666" s="220"/>
      <c r="AE666" s="220"/>
      <c r="AF666" s="220"/>
      <c r="AG666" s="220"/>
      <c r="AH666" s="220"/>
      <c r="AI666" s="220"/>
      <c r="AJ666" s="220"/>
      <c r="AK666" s="220"/>
      <c r="AL666" s="220"/>
      <c r="AM666" s="220"/>
      <c r="AN666" s="220"/>
      <c r="AO666" s="220"/>
      <c r="AP666" s="220"/>
      <c r="AQ666" s="220"/>
      <c r="AR666" s="220"/>
      <c r="AS666" s="220"/>
      <c r="AT666" s="220"/>
      <c r="AU666" s="220"/>
      <c r="AV666" s="220"/>
      <c r="AW666" s="220"/>
      <c r="AX666" s="220"/>
      <c r="AY666" s="220"/>
      <c r="AZ666" s="220"/>
      <c r="BA666" s="220"/>
      <c r="BB666" s="220"/>
      <c r="BC666" s="220"/>
      <c r="BD666" s="12"/>
      <c r="BE666" s="12"/>
      <c r="BF666" s="12"/>
      <c r="BG666" s="12"/>
      <c r="BH666" s="12"/>
      <c r="BI666" s="12"/>
      <c r="BJ666" s="12"/>
      <c r="BK666" s="12"/>
      <c r="BL666" s="12"/>
    </row>
    <row r="667" spans="1:64" hidden="1" outlineLevel="1">
      <c r="A667" s="9"/>
      <c r="B667" s="9"/>
      <c r="C667" s="9"/>
      <c r="D667" s="129" t="str">
        <f>Asset2</f>
        <v>Meters</v>
      </c>
      <c r="E667" s="9"/>
      <c r="F667" s="9"/>
      <c r="G667" s="193">
        <f t="shared" ref="G667:H695" si="66">G439*G$6</f>
        <v>3.3671806320438211</v>
      </c>
      <c r="H667" s="111">
        <f t="shared" si="66"/>
        <v>1.9175860897445673</v>
      </c>
      <c r="I667" s="111">
        <f t="shared" ref="I667:Q667" si="67">I439*I$6</f>
        <v>2.0366794793234129</v>
      </c>
      <c r="J667" s="111">
        <f t="shared" si="67"/>
        <v>2.1726883219049822</v>
      </c>
      <c r="K667" s="111">
        <f t="shared" si="67"/>
        <v>1.3844922866372509</v>
      </c>
      <c r="L667" s="111">
        <f t="shared" si="67"/>
        <v>1.1649642149880926</v>
      </c>
      <c r="M667" s="111">
        <f t="shared" si="67"/>
        <v>2.2254840812469503</v>
      </c>
      <c r="N667" s="111">
        <f t="shared" si="67"/>
        <v>0</v>
      </c>
      <c r="O667" s="111">
        <f t="shared" si="67"/>
        <v>0</v>
      </c>
      <c r="P667" s="111">
        <f t="shared" si="67"/>
        <v>0</v>
      </c>
      <c r="Q667" s="111">
        <f t="shared" si="67"/>
        <v>0</v>
      </c>
      <c r="R667" s="29"/>
      <c r="S667" s="100"/>
      <c r="T667" s="100"/>
      <c r="U667" s="100"/>
      <c r="V667" s="100"/>
      <c r="W667" s="100"/>
      <c r="X667" s="100"/>
      <c r="Y667" s="100"/>
      <c r="Z667" s="100"/>
      <c r="AA667" s="100"/>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100"/>
      <c r="BE667" s="100"/>
      <c r="BF667" s="100"/>
      <c r="BG667" s="100"/>
      <c r="BH667" s="100"/>
      <c r="BI667" s="100"/>
      <c r="BJ667" s="100"/>
      <c r="BK667" s="12"/>
      <c r="BL667" s="12"/>
    </row>
    <row r="668" spans="1:64" ht="12" hidden="1" customHeight="1" outlineLevel="1">
      <c r="A668" s="9"/>
      <c r="B668" s="9"/>
      <c r="C668" s="9"/>
      <c r="D668" s="129" t="str">
        <f>Asset3</f>
        <v>Buildings</v>
      </c>
      <c r="E668" s="9"/>
      <c r="F668" s="9"/>
      <c r="G668" s="193">
        <f t="shared" si="66"/>
        <v>0.31625770442478712</v>
      </c>
      <c r="H668" s="111">
        <f t="shared" si="66"/>
        <v>0.17719863783281672</v>
      </c>
      <c r="I668" s="111">
        <f t="shared" ref="I668:Q668" si="68">I440*I$6</f>
        <v>0.16867578615802617</v>
      </c>
      <c r="J668" s="111">
        <f t="shared" si="68"/>
        <v>0.17388431208844043</v>
      </c>
      <c r="K668" s="111">
        <f t="shared" si="68"/>
        <v>0.10917245042723245</v>
      </c>
      <c r="L668" s="111">
        <f t="shared" si="68"/>
        <v>8.961927286273591E-2</v>
      </c>
      <c r="M668" s="111">
        <f t="shared" si="68"/>
        <v>0.16157618064637372</v>
      </c>
      <c r="N668" s="111">
        <f t="shared" si="68"/>
        <v>0</v>
      </c>
      <c r="O668" s="111">
        <f t="shared" si="68"/>
        <v>0</v>
      </c>
      <c r="P668" s="111">
        <f t="shared" si="68"/>
        <v>0</v>
      </c>
      <c r="Q668" s="111">
        <f t="shared" si="68"/>
        <v>0</v>
      </c>
      <c r="R668" s="9"/>
      <c r="S668" s="12"/>
      <c r="T668" s="12"/>
      <c r="U668" s="12"/>
      <c r="V668" s="12"/>
      <c r="W668" s="12"/>
      <c r="X668" s="12"/>
      <c r="Y668" s="12"/>
      <c r="Z668" s="12"/>
      <c r="AA668" s="12"/>
      <c r="AB668" s="220"/>
      <c r="AC668" s="220"/>
      <c r="AD668" s="220"/>
      <c r="AE668" s="220"/>
      <c r="AF668" s="220"/>
      <c r="AG668" s="220"/>
      <c r="AH668" s="220"/>
      <c r="AI668" s="220"/>
      <c r="AJ668" s="220"/>
      <c r="AK668" s="220"/>
      <c r="AL668" s="220"/>
      <c r="AM668" s="220"/>
      <c r="AN668" s="220"/>
      <c r="AO668" s="220"/>
      <c r="AP668" s="220"/>
      <c r="AQ668" s="220"/>
      <c r="AR668" s="220"/>
      <c r="AS668" s="220"/>
      <c r="AT668" s="220"/>
      <c r="AU668" s="220"/>
      <c r="AV668" s="220"/>
      <c r="AW668" s="220"/>
      <c r="AX668" s="220"/>
      <c r="AY668" s="220"/>
      <c r="AZ668" s="220"/>
      <c r="BA668" s="220"/>
      <c r="BB668" s="220"/>
      <c r="BC668" s="220"/>
      <c r="BD668" s="12"/>
      <c r="BE668" s="12"/>
      <c r="BF668" s="12"/>
      <c r="BG668" s="12"/>
      <c r="BH668" s="12"/>
      <c r="BI668" s="12"/>
      <c r="BJ668" s="12"/>
      <c r="BK668" s="12"/>
      <c r="BL668" s="12"/>
    </row>
    <row r="669" spans="1:64" ht="12" hidden="1" customHeight="1" outlineLevel="1">
      <c r="A669" s="9"/>
      <c r="B669" s="9"/>
      <c r="C669" s="9"/>
      <c r="D669" s="129" t="str">
        <f>Asset4</f>
        <v>SCADA</v>
      </c>
      <c r="E669" s="9"/>
      <c r="F669" s="9"/>
      <c r="G669" s="193">
        <f t="shared" si="66"/>
        <v>2.3262964429069763E-2</v>
      </c>
      <c r="H669" s="111">
        <f t="shared" si="66"/>
        <v>1.8814257950736456E-2</v>
      </c>
      <c r="I669" s="111">
        <f t="shared" ref="I669:Q669" si="69">I441*I$6</f>
        <v>2.1443039647874335E-2</v>
      </c>
      <c r="J669" s="111">
        <f t="shared" si="69"/>
        <v>2.9605318042505133E-2</v>
      </c>
      <c r="K669" s="111">
        <f t="shared" si="69"/>
        <v>2.3704584067777812E-2</v>
      </c>
      <c r="L669" s="111">
        <f t="shared" si="69"/>
        <v>2.1583789607355314E-2</v>
      </c>
      <c r="M669" s="111">
        <f t="shared" si="69"/>
        <v>4.9654961067498803E-2</v>
      </c>
      <c r="N669" s="111">
        <f t="shared" si="69"/>
        <v>0</v>
      </c>
      <c r="O669" s="111">
        <f t="shared" si="69"/>
        <v>0</v>
      </c>
      <c r="P669" s="111">
        <f t="shared" si="69"/>
        <v>0</v>
      </c>
      <c r="Q669" s="111">
        <f t="shared" si="69"/>
        <v>0</v>
      </c>
      <c r="R669" s="9"/>
      <c r="S669" s="12"/>
      <c r="T669" s="12"/>
      <c r="U669" s="12"/>
      <c r="V669" s="12"/>
      <c r="W669" s="12"/>
      <c r="X669" s="12"/>
      <c r="Y669" s="12"/>
      <c r="Z669" s="12"/>
      <c r="AA669" s="12"/>
      <c r="AB669" s="220"/>
      <c r="AC669" s="220"/>
      <c r="AD669" s="220"/>
      <c r="AE669" s="220"/>
      <c r="AF669" s="220"/>
      <c r="AG669" s="220"/>
      <c r="AH669" s="220"/>
      <c r="AI669" s="220"/>
      <c r="AJ669" s="220"/>
      <c r="AK669" s="220"/>
      <c r="AL669" s="220"/>
      <c r="AM669" s="220"/>
      <c r="AN669" s="220"/>
      <c r="AO669" s="220"/>
      <c r="AP669" s="220"/>
      <c r="AQ669" s="220"/>
      <c r="AR669" s="220"/>
      <c r="AS669" s="220"/>
      <c r="AT669" s="220"/>
      <c r="AU669" s="220"/>
      <c r="AV669" s="220"/>
      <c r="AW669" s="220"/>
      <c r="AX669" s="220"/>
      <c r="AY669" s="220"/>
      <c r="AZ669" s="220"/>
      <c r="BA669" s="220"/>
      <c r="BB669" s="220"/>
      <c r="BC669" s="220"/>
      <c r="BD669" s="12"/>
      <c r="BE669" s="12"/>
      <c r="BF669" s="12"/>
      <c r="BG669" s="12"/>
      <c r="BH669" s="12"/>
      <c r="BI669" s="12"/>
      <c r="BJ669" s="12"/>
      <c r="BK669" s="12"/>
      <c r="BL669" s="12"/>
    </row>
    <row r="670" spans="1:64" ht="12" hidden="1" customHeight="1" outlineLevel="1">
      <c r="A670" s="9"/>
      <c r="B670" s="9"/>
      <c r="C670" s="9"/>
      <c r="D670" s="129" t="str">
        <f>Asset5</f>
        <v>Computer Equipment</v>
      </c>
      <c r="E670" s="9"/>
      <c r="F670" s="9"/>
      <c r="G670" s="193">
        <f t="shared" si="66"/>
        <v>2.355506318433687E-2</v>
      </c>
      <c r="H670" s="111">
        <f t="shared" si="66"/>
        <v>1.6628465491968943E-2</v>
      </c>
      <c r="I670" s="111">
        <f t="shared" ref="I670:Q670" si="70">I442*I$6</f>
        <v>3.2561202391392881E-2</v>
      </c>
      <c r="J670" s="111">
        <f t="shared" si="70"/>
        <v>1.7387566210112601E-2</v>
      </c>
      <c r="K670" s="111">
        <f t="shared" si="70"/>
        <v>0.13960902784126505</v>
      </c>
      <c r="L670" s="111">
        <f t="shared" si="70"/>
        <v>7.8518987111247274E-2</v>
      </c>
      <c r="M670" s="111">
        <f t="shared" si="70"/>
        <v>0.27540523542982792</v>
      </c>
      <c r="N670" s="111">
        <f t="shared" si="70"/>
        <v>0</v>
      </c>
      <c r="O670" s="111">
        <f t="shared" si="70"/>
        <v>0</v>
      </c>
      <c r="P670" s="111">
        <f t="shared" si="70"/>
        <v>0</v>
      </c>
      <c r="Q670" s="111">
        <f t="shared" si="70"/>
        <v>0</v>
      </c>
      <c r="R670" s="9"/>
      <c r="S670" s="12"/>
      <c r="T670" s="12"/>
      <c r="U670" s="12"/>
      <c r="V670" s="12"/>
      <c r="W670" s="12"/>
      <c r="X670" s="12"/>
      <c r="Y670" s="12"/>
      <c r="Z670" s="12"/>
      <c r="AA670" s="12"/>
      <c r="AB670" s="220"/>
      <c r="AC670" s="220"/>
      <c r="AD670" s="220"/>
      <c r="AE670" s="220"/>
      <c r="AF670" s="220"/>
      <c r="AG670" s="220"/>
      <c r="AH670" s="220"/>
      <c r="AI670" s="220"/>
      <c r="AJ670" s="220"/>
      <c r="AK670" s="220"/>
      <c r="AL670" s="220"/>
      <c r="AM670" s="220"/>
      <c r="AN670" s="220"/>
      <c r="AO670" s="220"/>
      <c r="AP670" s="220"/>
      <c r="AQ670" s="220"/>
      <c r="AR670" s="220"/>
      <c r="AS670" s="220"/>
      <c r="AT670" s="220"/>
      <c r="AU670" s="220"/>
      <c r="AV670" s="220"/>
      <c r="AW670" s="220"/>
      <c r="AX670" s="220"/>
      <c r="AY670" s="220"/>
      <c r="AZ670" s="220"/>
      <c r="BA670" s="220"/>
      <c r="BB670" s="220"/>
      <c r="BC670" s="220"/>
      <c r="BD670" s="12"/>
      <c r="BE670" s="12"/>
      <c r="BF670" s="12"/>
      <c r="BG670" s="12"/>
      <c r="BH670" s="12"/>
      <c r="BI670" s="12"/>
      <c r="BJ670" s="12"/>
      <c r="BK670" s="12"/>
      <c r="BL670" s="12"/>
    </row>
    <row r="671" spans="1:64" hidden="1" outlineLevel="1">
      <c r="A671" s="9"/>
      <c r="B671" s="9"/>
      <c r="C671" s="9"/>
      <c r="D671" s="129" t="str">
        <f>Asset6</f>
        <v>Other Assets</v>
      </c>
      <c r="E671" s="9"/>
      <c r="F671" s="9"/>
      <c r="G671" s="193">
        <f t="shared" si="66"/>
        <v>0.87286547786045532</v>
      </c>
      <c r="H671" s="111">
        <f t="shared" si="66"/>
        <v>0.53050235919627253</v>
      </c>
      <c r="I671" s="111">
        <f t="shared" ref="I671:Q671" si="71">I443*I$6</f>
        <v>0.6235103985259467</v>
      </c>
      <c r="J671" s="111">
        <f t="shared" si="71"/>
        <v>0.7068173664905083</v>
      </c>
      <c r="K671" s="111">
        <f t="shared" si="71"/>
        <v>0.45194159305421716</v>
      </c>
      <c r="L671" s="111">
        <f t="shared" si="71"/>
        <v>0.37126042187205244</v>
      </c>
      <c r="M671" s="111">
        <f t="shared" si="71"/>
        <v>0.7137390524844589</v>
      </c>
      <c r="N671" s="111">
        <f t="shared" si="71"/>
        <v>0</v>
      </c>
      <c r="O671" s="111">
        <f t="shared" si="71"/>
        <v>0</v>
      </c>
      <c r="P671" s="111">
        <f t="shared" si="71"/>
        <v>0</v>
      </c>
      <c r="Q671" s="111">
        <f t="shared" si="71"/>
        <v>0</v>
      </c>
      <c r="R671" s="9"/>
      <c r="S671" s="12"/>
      <c r="T671" s="12"/>
      <c r="U671" s="12"/>
      <c r="V671" s="12"/>
      <c r="W671" s="12"/>
      <c r="X671" s="12"/>
      <c r="Y671" s="12"/>
      <c r="Z671" s="12"/>
      <c r="AA671" s="12"/>
      <c r="AB671" s="220"/>
      <c r="AC671" s="220"/>
      <c r="AD671" s="220"/>
      <c r="AE671" s="220"/>
      <c r="AF671" s="220"/>
      <c r="AG671" s="220"/>
      <c r="AH671" s="220"/>
      <c r="AI671" s="220"/>
      <c r="AJ671" s="220"/>
      <c r="AK671" s="220"/>
      <c r="AL671" s="220"/>
      <c r="AM671" s="220"/>
      <c r="AN671" s="220"/>
      <c r="AO671" s="220"/>
      <c r="AP671" s="220"/>
      <c r="AQ671" s="220"/>
      <c r="AR671" s="220"/>
      <c r="AS671" s="220"/>
      <c r="AT671" s="220"/>
      <c r="AU671" s="220"/>
      <c r="AV671" s="220"/>
      <c r="AW671" s="220"/>
      <c r="AX671" s="220"/>
      <c r="AY671" s="220"/>
      <c r="AZ671" s="220"/>
      <c r="BA671" s="220"/>
      <c r="BB671" s="220"/>
      <c r="BC671" s="220"/>
      <c r="BD671" s="12"/>
      <c r="BE671" s="12"/>
      <c r="BF671" s="12"/>
      <c r="BG671" s="12"/>
      <c r="BH671" s="12"/>
      <c r="BI671" s="12"/>
      <c r="BJ671" s="12"/>
      <c r="BK671" s="12"/>
      <c r="BL671" s="12"/>
    </row>
    <row r="672" spans="1:64" hidden="1" outlineLevel="1">
      <c r="A672" s="9"/>
      <c r="B672" s="9"/>
      <c r="C672" s="9"/>
      <c r="D672" s="129" t="str">
        <f>Asset7</f>
        <v>Equity Raising Costs</v>
      </c>
      <c r="E672" s="9"/>
      <c r="F672" s="9"/>
      <c r="G672" s="193">
        <f t="shared" si="66"/>
        <v>0</v>
      </c>
      <c r="H672" s="111">
        <f t="shared" si="66"/>
        <v>0</v>
      </c>
      <c r="I672" s="111">
        <f t="shared" ref="I672:Q672" si="72">I444*I$6</f>
        <v>0</v>
      </c>
      <c r="J672" s="111">
        <f t="shared" si="72"/>
        <v>0</v>
      </c>
      <c r="K672" s="111">
        <f t="shared" si="72"/>
        <v>0</v>
      </c>
      <c r="L672" s="111">
        <f t="shared" si="72"/>
        <v>0</v>
      </c>
      <c r="M672" s="111">
        <f t="shared" si="72"/>
        <v>0</v>
      </c>
      <c r="N672" s="111">
        <f t="shared" si="72"/>
        <v>0</v>
      </c>
      <c r="O672" s="111">
        <f t="shared" si="72"/>
        <v>0</v>
      </c>
      <c r="P672" s="111">
        <f t="shared" si="72"/>
        <v>0</v>
      </c>
      <c r="Q672" s="111">
        <f t="shared" si="72"/>
        <v>0</v>
      </c>
      <c r="R672" s="9"/>
      <c r="S672" s="9"/>
      <c r="T672" s="9"/>
      <c r="U672" s="9"/>
      <c r="V672" s="9"/>
      <c r="W672" s="9"/>
      <c r="X672" s="9"/>
      <c r="Y672" s="9"/>
      <c r="Z672" s="9"/>
      <c r="AA672" s="9"/>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9"/>
      <c r="BE672" s="9"/>
      <c r="BF672" s="9"/>
      <c r="BG672" s="9"/>
      <c r="BH672" s="9"/>
      <c r="BI672" s="9"/>
      <c r="BJ672" s="9"/>
      <c r="BK672" s="9"/>
      <c r="BL672" s="9"/>
    </row>
    <row r="673" spans="1:64" hidden="1" outlineLevel="1">
      <c r="A673" s="9"/>
      <c r="B673" s="9"/>
      <c r="C673" s="9"/>
      <c r="D673" s="129" t="str">
        <f>Asset8</f>
        <v>Land</v>
      </c>
      <c r="E673" s="9"/>
      <c r="F673" s="9"/>
      <c r="G673" s="193">
        <f t="shared" si="66"/>
        <v>0</v>
      </c>
      <c r="H673" s="111">
        <f t="shared" si="66"/>
        <v>0</v>
      </c>
      <c r="I673" s="111">
        <f t="shared" ref="I673:Q673" si="73">I445*I$6</f>
        <v>0</v>
      </c>
      <c r="J673" s="111">
        <f t="shared" si="73"/>
        <v>0</v>
      </c>
      <c r="K673" s="111">
        <f t="shared" si="73"/>
        <v>0</v>
      </c>
      <c r="L673" s="111">
        <f t="shared" si="73"/>
        <v>0</v>
      </c>
      <c r="M673" s="111">
        <f t="shared" si="73"/>
        <v>0</v>
      </c>
      <c r="N673" s="111">
        <f t="shared" si="73"/>
        <v>0</v>
      </c>
      <c r="O673" s="111">
        <f t="shared" si="73"/>
        <v>0</v>
      </c>
      <c r="P673" s="111">
        <f t="shared" si="73"/>
        <v>0</v>
      </c>
      <c r="Q673" s="111">
        <f t="shared" si="73"/>
        <v>0</v>
      </c>
      <c r="R673" s="9"/>
      <c r="S673" s="9"/>
      <c r="T673" s="9"/>
      <c r="U673" s="9"/>
      <c r="V673" s="9"/>
      <c r="W673" s="9"/>
      <c r="X673" s="9"/>
      <c r="Y673" s="9"/>
      <c r="Z673" s="9"/>
      <c r="AA673" s="9"/>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9"/>
      <c r="BE673" s="9"/>
      <c r="BF673" s="9"/>
      <c r="BG673" s="9"/>
      <c r="BH673" s="9"/>
      <c r="BI673" s="9"/>
      <c r="BJ673" s="9"/>
      <c r="BK673" s="9"/>
      <c r="BL673" s="9"/>
    </row>
    <row r="674" spans="1:64" hidden="1" outlineLevel="1">
      <c r="A674" s="9"/>
      <c r="B674" s="9"/>
      <c r="C674" s="9"/>
      <c r="D674" s="129">
        <f>Asset9</f>
        <v>0</v>
      </c>
      <c r="E674" s="9"/>
      <c r="F674" s="9"/>
      <c r="G674" s="193">
        <f t="shared" si="66"/>
        <v>0</v>
      </c>
      <c r="H674" s="111">
        <f t="shared" si="66"/>
        <v>0</v>
      </c>
      <c r="I674" s="111">
        <f t="shared" ref="I674:Q674" si="74">I446*I$6</f>
        <v>0</v>
      </c>
      <c r="J674" s="111">
        <f t="shared" si="74"/>
        <v>0</v>
      </c>
      <c r="K674" s="111">
        <f t="shared" si="74"/>
        <v>0</v>
      </c>
      <c r="L674" s="111">
        <f t="shared" si="74"/>
        <v>0</v>
      </c>
      <c r="M674" s="111">
        <f t="shared" si="74"/>
        <v>0</v>
      </c>
      <c r="N674" s="111">
        <f t="shared" si="74"/>
        <v>0</v>
      </c>
      <c r="O674" s="111">
        <f t="shared" si="74"/>
        <v>0</v>
      </c>
      <c r="P674" s="111">
        <f t="shared" si="74"/>
        <v>0</v>
      </c>
      <c r="Q674" s="111">
        <f t="shared" si="74"/>
        <v>0</v>
      </c>
      <c r="R674" s="9"/>
      <c r="S674" s="9"/>
      <c r="T674" s="9"/>
      <c r="U674" s="9"/>
      <c r="V674" s="9"/>
      <c r="W674" s="9"/>
      <c r="X674" s="9"/>
      <c r="Y674" s="9"/>
      <c r="Z674" s="9"/>
      <c r="AA674" s="9"/>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9"/>
      <c r="BE674" s="9"/>
      <c r="BF674" s="9"/>
      <c r="BG674" s="9"/>
      <c r="BH674" s="9"/>
      <c r="BI674" s="9"/>
      <c r="BJ674" s="9"/>
      <c r="BK674" s="9"/>
      <c r="BL674" s="9"/>
    </row>
    <row r="675" spans="1:64" hidden="1" outlineLevel="1">
      <c r="A675" s="9"/>
      <c r="B675" s="9"/>
      <c r="C675" s="9"/>
      <c r="D675" s="129">
        <f>Asset10</f>
        <v>0</v>
      </c>
      <c r="E675" s="9"/>
      <c r="F675" s="9"/>
      <c r="G675" s="193">
        <f t="shared" si="66"/>
        <v>0</v>
      </c>
      <c r="H675" s="111">
        <f t="shared" si="66"/>
        <v>0</v>
      </c>
      <c r="I675" s="111">
        <f t="shared" ref="I675:Q675" si="75">I447*I$6</f>
        <v>0</v>
      </c>
      <c r="J675" s="111">
        <f t="shared" si="75"/>
        <v>0</v>
      </c>
      <c r="K675" s="111">
        <f t="shared" si="75"/>
        <v>0</v>
      </c>
      <c r="L675" s="111">
        <f t="shared" si="75"/>
        <v>0</v>
      </c>
      <c r="M675" s="111">
        <f t="shared" si="75"/>
        <v>0</v>
      </c>
      <c r="N675" s="111">
        <f t="shared" si="75"/>
        <v>0</v>
      </c>
      <c r="O675" s="111">
        <f t="shared" si="75"/>
        <v>0</v>
      </c>
      <c r="P675" s="111">
        <f t="shared" si="75"/>
        <v>0</v>
      </c>
      <c r="Q675" s="111">
        <f t="shared" si="75"/>
        <v>0</v>
      </c>
      <c r="R675" s="9"/>
      <c r="S675" s="9"/>
      <c r="T675" s="9"/>
      <c r="U675" s="9"/>
      <c r="V675" s="9"/>
      <c r="W675" s="9"/>
      <c r="X675" s="9"/>
      <c r="Y675" s="9"/>
      <c r="Z675" s="9"/>
      <c r="AA675" s="9"/>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9"/>
      <c r="BE675" s="9"/>
      <c r="BF675" s="9"/>
      <c r="BG675" s="9"/>
      <c r="BH675" s="9"/>
      <c r="BI675" s="9"/>
      <c r="BJ675" s="9"/>
      <c r="BK675" s="9"/>
      <c r="BL675" s="9"/>
    </row>
    <row r="676" spans="1:64" hidden="1" outlineLevel="1">
      <c r="A676" s="9"/>
      <c r="B676" s="9"/>
      <c r="C676" s="9"/>
      <c r="D676" s="129">
        <f>Asset11</f>
        <v>0</v>
      </c>
      <c r="E676" s="9"/>
      <c r="F676" s="9"/>
      <c r="G676" s="193">
        <f t="shared" si="66"/>
        <v>0</v>
      </c>
      <c r="H676" s="111">
        <f t="shared" si="66"/>
        <v>0</v>
      </c>
      <c r="I676" s="111">
        <f t="shared" ref="I676:Q676" si="76">I448*I$6</f>
        <v>0</v>
      </c>
      <c r="J676" s="111">
        <f t="shared" si="76"/>
        <v>0</v>
      </c>
      <c r="K676" s="111">
        <f t="shared" si="76"/>
        <v>0</v>
      </c>
      <c r="L676" s="111">
        <f t="shared" si="76"/>
        <v>0</v>
      </c>
      <c r="M676" s="111">
        <f t="shared" si="76"/>
        <v>0</v>
      </c>
      <c r="N676" s="111">
        <f t="shared" si="76"/>
        <v>0</v>
      </c>
      <c r="O676" s="111">
        <f t="shared" si="76"/>
        <v>0</v>
      </c>
      <c r="P676" s="111">
        <f t="shared" si="76"/>
        <v>0</v>
      </c>
      <c r="Q676" s="111">
        <f t="shared" si="76"/>
        <v>0</v>
      </c>
      <c r="R676" s="9"/>
      <c r="S676" s="9"/>
      <c r="T676" s="9"/>
      <c r="U676" s="9"/>
      <c r="V676" s="9"/>
      <c r="W676" s="9"/>
      <c r="X676" s="9"/>
      <c r="Y676" s="9"/>
      <c r="Z676" s="9"/>
      <c r="AA676" s="9"/>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9"/>
      <c r="BE676" s="9"/>
      <c r="BF676" s="9"/>
      <c r="BG676" s="9"/>
      <c r="BH676" s="9"/>
      <c r="BI676" s="9"/>
      <c r="BJ676" s="9"/>
      <c r="BK676" s="9"/>
      <c r="BL676" s="9"/>
    </row>
    <row r="677" spans="1:64" hidden="1" outlineLevel="1">
      <c r="A677" s="9"/>
      <c r="B677" s="9"/>
      <c r="C677" s="9"/>
      <c r="D677" s="129">
        <f>Asset12</f>
        <v>0</v>
      </c>
      <c r="E677" s="9"/>
      <c r="F677" s="9"/>
      <c r="G677" s="193">
        <f t="shared" si="66"/>
        <v>0</v>
      </c>
      <c r="H677" s="111">
        <f t="shared" si="66"/>
        <v>0</v>
      </c>
      <c r="I677" s="111">
        <f t="shared" ref="I677:Q677" si="77">I449*I$6</f>
        <v>0</v>
      </c>
      <c r="J677" s="111">
        <f t="shared" si="77"/>
        <v>0</v>
      </c>
      <c r="K677" s="111">
        <f t="shared" si="77"/>
        <v>0</v>
      </c>
      <c r="L677" s="111">
        <f t="shared" si="77"/>
        <v>0</v>
      </c>
      <c r="M677" s="111">
        <f t="shared" si="77"/>
        <v>0</v>
      </c>
      <c r="N677" s="111">
        <f t="shared" si="77"/>
        <v>0</v>
      </c>
      <c r="O677" s="111">
        <f t="shared" si="77"/>
        <v>0</v>
      </c>
      <c r="P677" s="111">
        <f t="shared" si="77"/>
        <v>0</v>
      </c>
      <c r="Q677" s="111">
        <f t="shared" si="77"/>
        <v>0</v>
      </c>
      <c r="R677" s="9"/>
      <c r="S677" s="9"/>
      <c r="T677" s="9"/>
      <c r="U677" s="9"/>
      <c r="V677" s="9"/>
      <c r="W677" s="9"/>
      <c r="X677" s="9"/>
      <c r="Y677" s="9"/>
      <c r="Z677" s="9"/>
      <c r="AA677" s="9"/>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9"/>
      <c r="BE677" s="9"/>
      <c r="BF677" s="9"/>
      <c r="BG677" s="9"/>
      <c r="BH677" s="9"/>
      <c r="BI677" s="9"/>
      <c r="BJ677" s="9"/>
      <c r="BK677" s="9"/>
      <c r="BL677" s="9"/>
    </row>
    <row r="678" spans="1:64" hidden="1" outlineLevel="1">
      <c r="A678" s="9"/>
      <c r="B678" s="9"/>
      <c r="C678" s="9"/>
      <c r="D678" s="129">
        <f>Asset13</f>
        <v>0</v>
      </c>
      <c r="E678" s="9"/>
      <c r="F678" s="9"/>
      <c r="G678" s="193">
        <f t="shared" si="66"/>
        <v>0</v>
      </c>
      <c r="H678" s="111">
        <f t="shared" si="66"/>
        <v>0</v>
      </c>
      <c r="I678" s="111">
        <f t="shared" ref="I678:Q678" si="78">I450*I$6</f>
        <v>0</v>
      </c>
      <c r="J678" s="111">
        <f t="shared" si="78"/>
        <v>0</v>
      </c>
      <c r="K678" s="111">
        <f t="shared" si="78"/>
        <v>0</v>
      </c>
      <c r="L678" s="111">
        <f t="shared" si="78"/>
        <v>0</v>
      </c>
      <c r="M678" s="111">
        <f t="shared" si="78"/>
        <v>0</v>
      </c>
      <c r="N678" s="111">
        <f t="shared" si="78"/>
        <v>0</v>
      </c>
      <c r="O678" s="111">
        <f t="shared" si="78"/>
        <v>0</v>
      </c>
      <c r="P678" s="111">
        <f t="shared" si="78"/>
        <v>0</v>
      </c>
      <c r="Q678" s="111">
        <f t="shared" si="78"/>
        <v>0</v>
      </c>
      <c r="R678" s="9"/>
      <c r="S678" s="9"/>
      <c r="T678" s="9"/>
      <c r="U678" s="9"/>
      <c r="V678" s="9"/>
      <c r="W678" s="9"/>
      <c r="X678" s="9"/>
      <c r="Y678" s="9"/>
      <c r="Z678" s="9"/>
      <c r="AA678" s="9"/>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9"/>
      <c r="BE678" s="9"/>
      <c r="BF678" s="9"/>
      <c r="BG678" s="9"/>
      <c r="BH678" s="9"/>
      <c r="BI678" s="9"/>
      <c r="BJ678" s="9"/>
      <c r="BK678" s="9"/>
      <c r="BL678" s="9"/>
    </row>
    <row r="679" spans="1:64" hidden="1" outlineLevel="1">
      <c r="A679" s="9"/>
      <c r="B679" s="9"/>
      <c r="C679" s="9"/>
      <c r="D679" s="129">
        <f>Asset14</f>
        <v>0</v>
      </c>
      <c r="E679" s="9"/>
      <c r="F679" s="9"/>
      <c r="G679" s="193">
        <f t="shared" si="66"/>
        <v>0</v>
      </c>
      <c r="H679" s="111">
        <f t="shared" si="66"/>
        <v>0</v>
      </c>
      <c r="I679" s="111">
        <f t="shared" ref="I679:Q679" si="79">I451*I$6</f>
        <v>0</v>
      </c>
      <c r="J679" s="111">
        <f t="shared" si="79"/>
        <v>0</v>
      </c>
      <c r="K679" s="111">
        <f t="shared" si="79"/>
        <v>0</v>
      </c>
      <c r="L679" s="111">
        <f t="shared" si="79"/>
        <v>0</v>
      </c>
      <c r="M679" s="111">
        <f t="shared" si="79"/>
        <v>0</v>
      </c>
      <c r="N679" s="111">
        <f t="shared" si="79"/>
        <v>0</v>
      </c>
      <c r="O679" s="111">
        <f t="shared" si="79"/>
        <v>0</v>
      </c>
      <c r="P679" s="111">
        <f t="shared" si="79"/>
        <v>0</v>
      </c>
      <c r="Q679" s="111">
        <f t="shared" si="79"/>
        <v>0</v>
      </c>
      <c r="R679" s="9"/>
      <c r="S679" s="9"/>
      <c r="T679" s="9"/>
      <c r="U679" s="9"/>
      <c r="V679" s="9"/>
      <c r="W679" s="9"/>
      <c r="X679" s="9"/>
      <c r="Y679" s="9"/>
      <c r="Z679" s="9"/>
      <c r="AA679" s="9"/>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9"/>
      <c r="BE679" s="9"/>
      <c r="BF679" s="9"/>
      <c r="BG679" s="9"/>
      <c r="BH679" s="9"/>
      <c r="BI679" s="9"/>
      <c r="BJ679" s="9"/>
      <c r="BK679" s="9"/>
      <c r="BL679" s="9"/>
    </row>
    <row r="680" spans="1:64" hidden="1" outlineLevel="1">
      <c r="A680" s="9"/>
      <c r="B680" s="9"/>
      <c r="C680" s="9"/>
      <c r="D680" s="129">
        <f>Asset15</f>
        <v>0</v>
      </c>
      <c r="E680" s="9"/>
      <c r="F680" s="9"/>
      <c r="G680" s="193">
        <f t="shared" si="66"/>
        <v>0</v>
      </c>
      <c r="H680" s="111">
        <f t="shared" si="66"/>
        <v>0</v>
      </c>
      <c r="I680" s="111">
        <f t="shared" ref="I680:Q680" si="80">I452*I$6</f>
        <v>0</v>
      </c>
      <c r="J680" s="111">
        <f t="shared" si="80"/>
        <v>0</v>
      </c>
      <c r="K680" s="111">
        <f t="shared" si="80"/>
        <v>0</v>
      </c>
      <c r="L680" s="111">
        <f t="shared" si="80"/>
        <v>0</v>
      </c>
      <c r="M680" s="111">
        <f t="shared" si="80"/>
        <v>0</v>
      </c>
      <c r="N680" s="111">
        <f t="shared" si="80"/>
        <v>0</v>
      </c>
      <c r="O680" s="111">
        <f t="shared" si="80"/>
        <v>0</v>
      </c>
      <c r="P680" s="111">
        <f t="shared" si="80"/>
        <v>0</v>
      </c>
      <c r="Q680" s="111">
        <f t="shared" si="80"/>
        <v>0</v>
      </c>
      <c r="R680" s="9"/>
      <c r="S680" s="9"/>
      <c r="T680" s="9"/>
      <c r="U680" s="9"/>
      <c r="V680" s="9"/>
      <c r="W680" s="9"/>
      <c r="X680" s="9"/>
      <c r="Y680" s="9"/>
      <c r="Z680" s="9"/>
      <c r="AA680" s="9"/>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9"/>
      <c r="BE680" s="9"/>
      <c r="BF680" s="9"/>
      <c r="BG680" s="9"/>
      <c r="BH680" s="9"/>
      <c r="BI680" s="9"/>
      <c r="BJ680" s="9"/>
      <c r="BK680" s="9"/>
      <c r="BL680" s="9"/>
    </row>
    <row r="681" spans="1:64" hidden="1" outlineLevel="1">
      <c r="A681" s="9"/>
      <c r="B681" s="9"/>
      <c r="C681" s="9"/>
      <c r="D681" s="129">
        <f>Asset16</f>
        <v>0</v>
      </c>
      <c r="E681" s="9"/>
      <c r="F681" s="9"/>
      <c r="G681" s="193">
        <f t="shared" si="66"/>
        <v>0</v>
      </c>
      <c r="H681" s="111">
        <f t="shared" si="66"/>
        <v>0</v>
      </c>
      <c r="I681" s="111">
        <f t="shared" ref="I681:Q681" si="81">I453*I$6</f>
        <v>0</v>
      </c>
      <c r="J681" s="111">
        <f t="shared" si="81"/>
        <v>0</v>
      </c>
      <c r="K681" s="111">
        <f t="shared" si="81"/>
        <v>0</v>
      </c>
      <c r="L681" s="111">
        <f t="shared" si="81"/>
        <v>0</v>
      </c>
      <c r="M681" s="111">
        <f t="shared" si="81"/>
        <v>0</v>
      </c>
      <c r="N681" s="111">
        <f t="shared" si="81"/>
        <v>0</v>
      </c>
      <c r="O681" s="111">
        <f t="shared" si="81"/>
        <v>0</v>
      </c>
      <c r="P681" s="111">
        <f t="shared" si="81"/>
        <v>0</v>
      </c>
      <c r="Q681" s="111">
        <f t="shared" si="81"/>
        <v>0</v>
      </c>
      <c r="R681" s="9"/>
      <c r="S681" s="9"/>
      <c r="T681" s="9"/>
      <c r="U681" s="9"/>
      <c r="V681" s="9"/>
      <c r="W681" s="9"/>
      <c r="X681" s="9"/>
      <c r="Y681" s="9"/>
      <c r="Z681" s="9"/>
      <c r="AA681" s="9"/>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9"/>
      <c r="BE681" s="9"/>
      <c r="BF681" s="9"/>
      <c r="BG681" s="9"/>
      <c r="BH681" s="9"/>
      <c r="BI681" s="9"/>
      <c r="BJ681" s="9"/>
      <c r="BK681" s="9"/>
      <c r="BL681" s="9"/>
    </row>
    <row r="682" spans="1:64" hidden="1" outlineLevel="1">
      <c r="A682" s="9"/>
      <c r="B682" s="9"/>
      <c r="C682" s="9"/>
      <c r="D682" s="129">
        <f>Asset17</f>
        <v>0</v>
      </c>
      <c r="E682" s="9"/>
      <c r="F682" s="9"/>
      <c r="G682" s="193">
        <f t="shared" si="66"/>
        <v>0</v>
      </c>
      <c r="H682" s="111">
        <f t="shared" si="66"/>
        <v>0</v>
      </c>
      <c r="I682" s="111">
        <f t="shared" ref="I682:Q682" si="82">I454*I$6</f>
        <v>0</v>
      </c>
      <c r="J682" s="111">
        <f t="shared" si="82"/>
        <v>0</v>
      </c>
      <c r="K682" s="111">
        <f t="shared" si="82"/>
        <v>0</v>
      </c>
      <c r="L682" s="111">
        <f t="shared" si="82"/>
        <v>0</v>
      </c>
      <c r="M682" s="111">
        <f t="shared" si="82"/>
        <v>0</v>
      </c>
      <c r="N682" s="111">
        <f t="shared" si="82"/>
        <v>0</v>
      </c>
      <c r="O682" s="111">
        <f t="shared" si="82"/>
        <v>0</v>
      </c>
      <c r="P682" s="111">
        <f t="shared" si="82"/>
        <v>0</v>
      </c>
      <c r="Q682" s="111">
        <f t="shared" si="82"/>
        <v>0</v>
      </c>
      <c r="R682" s="9"/>
      <c r="S682" s="9"/>
      <c r="T682" s="9"/>
      <c r="U682" s="9"/>
      <c r="V682" s="9"/>
      <c r="W682" s="9"/>
      <c r="X682" s="9"/>
      <c r="Y682" s="9"/>
      <c r="Z682" s="9"/>
      <c r="AA682" s="9"/>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9"/>
      <c r="BE682" s="9"/>
      <c r="BF682" s="9"/>
      <c r="BG682" s="9"/>
      <c r="BH682" s="9"/>
      <c r="BI682" s="9"/>
      <c r="BJ682" s="9"/>
      <c r="BK682" s="9"/>
      <c r="BL682" s="9"/>
    </row>
    <row r="683" spans="1:64" hidden="1" outlineLevel="1">
      <c r="A683" s="9"/>
      <c r="B683" s="9"/>
      <c r="C683" s="9"/>
      <c r="D683" s="129">
        <f>Asset18</f>
        <v>0</v>
      </c>
      <c r="E683" s="9"/>
      <c r="F683" s="9"/>
      <c r="G683" s="193">
        <f t="shared" si="66"/>
        <v>0</v>
      </c>
      <c r="H683" s="111">
        <f t="shared" si="66"/>
        <v>0</v>
      </c>
      <c r="I683" s="111">
        <f t="shared" ref="I683:Q683" si="83">I455*I$6</f>
        <v>0</v>
      </c>
      <c r="J683" s="111">
        <f t="shared" si="83"/>
        <v>0</v>
      </c>
      <c r="K683" s="111">
        <f t="shared" si="83"/>
        <v>0</v>
      </c>
      <c r="L683" s="111">
        <f t="shared" si="83"/>
        <v>0</v>
      </c>
      <c r="M683" s="111">
        <f t="shared" si="83"/>
        <v>0</v>
      </c>
      <c r="N683" s="111">
        <f t="shared" si="83"/>
        <v>0</v>
      </c>
      <c r="O683" s="111">
        <f t="shared" si="83"/>
        <v>0</v>
      </c>
      <c r="P683" s="111">
        <f t="shared" si="83"/>
        <v>0</v>
      </c>
      <c r="Q683" s="111">
        <f t="shared" si="83"/>
        <v>0</v>
      </c>
      <c r="R683" s="9"/>
      <c r="S683" s="9"/>
      <c r="T683" s="9"/>
      <c r="U683" s="9"/>
      <c r="V683" s="9"/>
      <c r="W683" s="9"/>
      <c r="X683" s="9"/>
      <c r="Y683" s="9"/>
      <c r="Z683" s="9"/>
      <c r="AA683" s="9"/>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9"/>
      <c r="BE683" s="9"/>
      <c r="BF683" s="9"/>
      <c r="BG683" s="9"/>
      <c r="BH683" s="9"/>
      <c r="BI683" s="9"/>
      <c r="BJ683" s="9"/>
      <c r="BK683" s="9"/>
      <c r="BL683" s="9"/>
    </row>
    <row r="684" spans="1:64" hidden="1" outlineLevel="1">
      <c r="A684" s="9"/>
      <c r="B684" s="9"/>
      <c r="C684" s="9"/>
      <c r="D684" s="129">
        <f>Asset19</f>
        <v>0</v>
      </c>
      <c r="E684" s="9"/>
      <c r="F684" s="9"/>
      <c r="G684" s="193">
        <f t="shared" si="66"/>
        <v>0</v>
      </c>
      <c r="H684" s="111">
        <f t="shared" si="66"/>
        <v>0</v>
      </c>
      <c r="I684" s="111">
        <f t="shared" ref="I684:Q684" si="84">I456*I$6</f>
        <v>0</v>
      </c>
      <c r="J684" s="111">
        <f t="shared" si="84"/>
        <v>0</v>
      </c>
      <c r="K684" s="111">
        <f t="shared" si="84"/>
        <v>0</v>
      </c>
      <c r="L684" s="111">
        <f t="shared" si="84"/>
        <v>0</v>
      </c>
      <c r="M684" s="111">
        <f t="shared" si="84"/>
        <v>0</v>
      </c>
      <c r="N684" s="111">
        <f t="shared" si="84"/>
        <v>0</v>
      </c>
      <c r="O684" s="111">
        <f t="shared" si="84"/>
        <v>0</v>
      </c>
      <c r="P684" s="111">
        <f t="shared" si="84"/>
        <v>0</v>
      </c>
      <c r="Q684" s="111">
        <f t="shared" si="84"/>
        <v>0</v>
      </c>
      <c r="R684" s="9"/>
      <c r="S684" s="9"/>
      <c r="T684" s="9"/>
      <c r="U684" s="9"/>
      <c r="V684" s="9"/>
      <c r="W684" s="9"/>
      <c r="X684" s="9"/>
      <c r="Y684" s="9"/>
      <c r="Z684" s="9"/>
      <c r="AA684" s="9"/>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9"/>
      <c r="BE684" s="9"/>
      <c r="BF684" s="9"/>
      <c r="BG684" s="9"/>
      <c r="BH684" s="9"/>
      <c r="BI684" s="9"/>
      <c r="BJ684" s="9"/>
      <c r="BK684" s="9"/>
      <c r="BL684" s="9"/>
    </row>
    <row r="685" spans="1:64" hidden="1" outlineLevel="1">
      <c r="A685" s="9"/>
      <c r="B685" s="9"/>
      <c r="C685" s="9"/>
      <c r="D685" s="129">
        <f>Asset20</f>
        <v>0</v>
      </c>
      <c r="E685" s="9"/>
      <c r="F685" s="9"/>
      <c r="G685" s="193">
        <f t="shared" si="66"/>
        <v>0</v>
      </c>
      <c r="H685" s="111">
        <f t="shared" si="66"/>
        <v>0</v>
      </c>
      <c r="I685" s="111">
        <f t="shared" ref="I685:Q685" si="85">I457*I$6</f>
        <v>0</v>
      </c>
      <c r="J685" s="111">
        <f t="shared" si="85"/>
        <v>0</v>
      </c>
      <c r="K685" s="111">
        <f t="shared" si="85"/>
        <v>0</v>
      </c>
      <c r="L685" s="111">
        <f t="shared" si="85"/>
        <v>0</v>
      </c>
      <c r="M685" s="111">
        <f t="shared" si="85"/>
        <v>0</v>
      </c>
      <c r="N685" s="111">
        <f t="shared" si="85"/>
        <v>0</v>
      </c>
      <c r="O685" s="111">
        <f t="shared" si="85"/>
        <v>0</v>
      </c>
      <c r="P685" s="111">
        <f t="shared" si="85"/>
        <v>0</v>
      </c>
      <c r="Q685" s="111">
        <f t="shared" si="85"/>
        <v>0</v>
      </c>
      <c r="R685" s="9"/>
      <c r="S685" s="9"/>
      <c r="T685" s="9"/>
      <c r="U685" s="9"/>
      <c r="V685" s="9"/>
      <c r="W685" s="9"/>
      <c r="X685" s="9"/>
      <c r="Y685" s="9"/>
      <c r="Z685" s="9"/>
      <c r="AA685" s="9"/>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9"/>
      <c r="BE685" s="9"/>
      <c r="BF685" s="9"/>
      <c r="BG685" s="9"/>
      <c r="BH685" s="9"/>
      <c r="BI685" s="9"/>
      <c r="BJ685" s="9"/>
      <c r="BK685" s="9"/>
      <c r="BL685" s="9"/>
    </row>
    <row r="686" spans="1:64" hidden="1" outlineLevel="1">
      <c r="A686" s="9"/>
      <c r="B686" s="9"/>
      <c r="C686" s="9"/>
      <c r="D686" s="129">
        <f>Asset21</f>
        <v>0</v>
      </c>
      <c r="E686" s="9"/>
      <c r="F686" s="9"/>
      <c r="G686" s="193">
        <f t="shared" si="66"/>
        <v>0</v>
      </c>
      <c r="H686" s="111">
        <f t="shared" si="66"/>
        <v>0</v>
      </c>
      <c r="I686" s="111">
        <f t="shared" ref="I686:Q686" si="86">I458*I$6</f>
        <v>0</v>
      </c>
      <c r="J686" s="111">
        <f t="shared" si="86"/>
        <v>0</v>
      </c>
      <c r="K686" s="111">
        <f t="shared" si="86"/>
        <v>0</v>
      </c>
      <c r="L686" s="111">
        <f t="shared" si="86"/>
        <v>0</v>
      </c>
      <c r="M686" s="111">
        <f t="shared" si="86"/>
        <v>0</v>
      </c>
      <c r="N686" s="111">
        <f t="shared" si="86"/>
        <v>0</v>
      </c>
      <c r="O686" s="111">
        <f t="shared" si="86"/>
        <v>0</v>
      </c>
      <c r="P686" s="111">
        <f t="shared" si="86"/>
        <v>0</v>
      </c>
      <c r="Q686" s="111">
        <f t="shared" si="86"/>
        <v>0</v>
      </c>
      <c r="R686" s="9"/>
      <c r="S686" s="9"/>
      <c r="T686" s="9"/>
      <c r="U686" s="9"/>
      <c r="V686" s="9"/>
      <c r="W686" s="9"/>
      <c r="X686" s="9"/>
      <c r="Y686" s="9"/>
      <c r="Z686" s="9"/>
      <c r="AA686" s="9"/>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9"/>
      <c r="BE686" s="9"/>
      <c r="BF686" s="9"/>
      <c r="BG686" s="9"/>
      <c r="BH686" s="9"/>
      <c r="BI686" s="9"/>
      <c r="BJ686" s="9"/>
      <c r="BK686" s="9"/>
      <c r="BL686" s="9"/>
    </row>
    <row r="687" spans="1:64" hidden="1" outlineLevel="1">
      <c r="A687" s="9"/>
      <c r="B687" s="9"/>
      <c r="C687" s="9"/>
      <c r="D687" s="129">
        <f>Asset22</f>
        <v>0</v>
      </c>
      <c r="E687" s="9"/>
      <c r="F687" s="9"/>
      <c r="G687" s="193">
        <f t="shared" si="66"/>
        <v>0</v>
      </c>
      <c r="H687" s="111">
        <f t="shared" si="66"/>
        <v>0</v>
      </c>
      <c r="I687" s="111">
        <f t="shared" ref="I687:Q687" si="87">I459*I$6</f>
        <v>0</v>
      </c>
      <c r="J687" s="111">
        <f t="shared" si="87"/>
        <v>0</v>
      </c>
      <c r="K687" s="111">
        <f t="shared" si="87"/>
        <v>0</v>
      </c>
      <c r="L687" s="111">
        <f t="shared" si="87"/>
        <v>0</v>
      </c>
      <c r="M687" s="111">
        <f t="shared" si="87"/>
        <v>0</v>
      </c>
      <c r="N687" s="111">
        <f t="shared" si="87"/>
        <v>0</v>
      </c>
      <c r="O687" s="111">
        <f t="shared" si="87"/>
        <v>0</v>
      </c>
      <c r="P687" s="111">
        <f t="shared" si="87"/>
        <v>0</v>
      </c>
      <c r="Q687" s="111">
        <f t="shared" si="87"/>
        <v>0</v>
      </c>
      <c r="R687" s="9"/>
      <c r="S687" s="9"/>
      <c r="T687" s="9"/>
      <c r="U687" s="9"/>
      <c r="V687" s="9"/>
      <c r="W687" s="9"/>
      <c r="X687" s="9"/>
      <c r="Y687" s="9"/>
      <c r="Z687" s="9"/>
      <c r="AA687" s="9"/>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9"/>
      <c r="BE687" s="9"/>
      <c r="BF687" s="9"/>
      <c r="BG687" s="9"/>
      <c r="BH687" s="9"/>
      <c r="BI687" s="9"/>
      <c r="BJ687" s="9"/>
      <c r="BK687" s="9"/>
      <c r="BL687" s="9"/>
    </row>
    <row r="688" spans="1:64" hidden="1" outlineLevel="1">
      <c r="A688" s="9"/>
      <c r="B688" s="9"/>
      <c r="C688" s="9"/>
      <c r="D688" s="129">
        <f>Asset23</f>
        <v>0</v>
      </c>
      <c r="E688" s="9"/>
      <c r="F688" s="9"/>
      <c r="G688" s="193">
        <f t="shared" si="66"/>
        <v>0</v>
      </c>
      <c r="H688" s="111">
        <f t="shared" si="66"/>
        <v>0</v>
      </c>
      <c r="I688" s="111">
        <f t="shared" ref="I688:Q688" si="88">I460*I$6</f>
        <v>0</v>
      </c>
      <c r="J688" s="111">
        <f t="shared" si="88"/>
        <v>0</v>
      </c>
      <c r="K688" s="111">
        <f t="shared" si="88"/>
        <v>0</v>
      </c>
      <c r="L688" s="111">
        <f t="shared" si="88"/>
        <v>0</v>
      </c>
      <c r="M688" s="111">
        <f t="shared" si="88"/>
        <v>0</v>
      </c>
      <c r="N688" s="111">
        <f t="shared" si="88"/>
        <v>0</v>
      </c>
      <c r="O688" s="111">
        <f t="shared" si="88"/>
        <v>0</v>
      </c>
      <c r="P688" s="111">
        <f t="shared" si="88"/>
        <v>0</v>
      </c>
      <c r="Q688" s="111">
        <f t="shared" si="88"/>
        <v>0</v>
      </c>
      <c r="R688" s="9"/>
      <c r="S688" s="9"/>
      <c r="T688" s="9"/>
      <c r="U688" s="9"/>
      <c r="V688" s="9"/>
      <c r="W688" s="9"/>
      <c r="X688" s="9"/>
      <c r="Y688" s="9"/>
      <c r="Z688" s="9"/>
      <c r="AA688" s="9"/>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9"/>
      <c r="BE688" s="9"/>
      <c r="BF688" s="9"/>
      <c r="BG688" s="9"/>
      <c r="BH688" s="9"/>
      <c r="BI688" s="9"/>
      <c r="BJ688" s="9"/>
      <c r="BK688" s="9"/>
      <c r="BL688" s="9"/>
    </row>
    <row r="689" spans="1:64" hidden="1" outlineLevel="1">
      <c r="A689" s="9"/>
      <c r="B689" s="9"/>
      <c r="C689" s="9"/>
      <c r="D689" s="129">
        <f>Asset24</f>
        <v>0</v>
      </c>
      <c r="E689" s="9"/>
      <c r="F689" s="9"/>
      <c r="G689" s="193">
        <f t="shared" si="66"/>
        <v>0</v>
      </c>
      <c r="H689" s="111">
        <f t="shared" si="66"/>
        <v>0</v>
      </c>
      <c r="I689" s="111">
        <f t="shared" ref="I689:Q689" si="89">I461*I$6</f>
        <v>0</v>
      </c>
      <c r="J689" s="111">
        <f t="shared" si="89"/>
        <v>0</v>
      </c>
      <c r="K689" s="111">
        <f t="shared" si="89"/>
        <v>0</v>
      </c>
      <c r="L689" s="111">
        <f t="shared" si="89"/>
        <v>0</v>
      </c>
      <c r="M689" s="111">
        <f t="shared" si="89"/>
        <v>0</v>
      </c>
      <c r="N689" s="111">
        <f t="shared" si="89"/>
        <v>0</v>
      </c>
      <c r="O689" s="111">
        <f t="shared" si="89"/>
        <v>0</v>
      </c>
      <c r="P689" s="111">
        <f t="shared" si="89"/>
        <v>0</v>
      </c>
      <c r="Q689" s="111">
        <f t="shared" si="89"/>
        <v>0</v>
      </c>
      <c r="R689" s="9"/>
      <c r="S689" s="9"/>
      <c r="T689" s="9"/>
      <c r="U689" s="9"/>
      <c r="V689" s="9"/>
      <c r="W689" s="9"/>
      <c r="X689" s="9"/>
      <c r="Y689" s="9"/>
      <c r="Z689" s="9"/>
      <c r="AA689" s="9"/>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9"/>
      <c r="BE689" s="9"/>
      <c r="BF689" s="9"/>
      <c r="BG689" s="9"/>
      <c r="BH689" s="9"/>
      <c r="BI689" s="9"/>
      <c r="BJ689" s="9"/>
      <c r="BK689" s="9"/>
      <c r="BL689" s="9"/>
    </row>
    <row r="690" spans="1:64" hidden="1" outlineLevel="1">
      <c r="A690" s="9"/>
      <c r="B690" s="9"/>
      <c r="C690" s="9"/>
      <c r="D690" s="129">
        <f>Asset25</f>
        <v>0</v>
      </c>
      <c r="E690" s="9"/>
      <c r="F690" s="9"/>
      <c r="G690" s="193">
        <f t="shared" si="66"/>
        <v>0</v>
      </c>
      <c r="H690" s="111">
        <f t="shared" si="66"/>
        <v>0</v>
      </c>
      <c r="I690" s="111">
        <f t="shared" ref="I690:Q690" si="90">I462*I$6</f>
        <v>0</v>
      </c>
      <c r="J690" s="111">
        <f t="shared" si="90"/>
        <v>0</v>
      </c>
      <c r="K690" s="111">
        <f t="shared" si="90"/>
        <v>0</v>
      </c>
      <c r="L690" s="111">
        <f t="shared" si="90"/>
        <v>0</v>
      </c>
      <c r="M690" s="111">
        <f t="shared" si="90"/>
        <v>0</v>
      </c>
      <c r="N690" s="111">
        <f t="shared" si="90"/>
        <v>0</v>
      </c>
      <c r="O690" s="111">
        <f t="shared" si="90"/>
        <v>0</v>
      </c>
      <c r="P690" s="111">
        <f t="shared" si="90"/>
        <v>0</v>
      </c>
      <c r="Q690" s="111">
        <f t="shared" si="90"/>
        <v>0</v>
      </c>
      <c r="R690" s="9"/>
      <c r="S690" s="9"/>
      <c r="T690" s="9"/>
      <c r="U690" s="9"/>
      <c r="V690" s="9"/>
      <c r="W690" s="9"/>
      <c r="X690" s="9"/>
      <c r="Y690" s="9"/>
      <c r="Z690" s="9"/>
      <c r="AA690" s="9"/>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9"/>
      <c r="BE690" s="9"/>
      <c r="BF690" s="9"/>
      <c r="BG690" s="9"/>
      <c r="BH690" s="9"/>
      <c r="BI690" s="9"/>
      <c r="BJ690" s="9"/>
      <c r="BK690" s="9"/>
      <c r="BL690" s="9"/>
    </row>
    <row r="691" spans="1:64" hidden="1" outlineLevel="1">
      <c r="A691" s="9"/>
      <c r="B691" s="9"/>
      <c r="C691" s="9"/>
      <c r="D691" s="129">
        <f>Asset26</f>
        <v>0</v>
      </c>
      <c r="E691" s="9"/>
      <c r="F691" s="9"/>
      <c r="G691" s="193">
        <f t="shared" si="66"/>
        <v>0</v>
      </c>
      <c r="H691" s="111">
        <f t="shared" si="66"/>
        <v>0</v>
      </c>
      <c r="I691" s="111">
        <f t="shared" ref="I691:Q691" si="91">I463*I$6</f>
        <v>0</v>
      </c>
      <c r="J691" s="111">
        <f t="shared" si="91"/>
        <v>0</v>
      </c>
      <c r="K691" s="111">
        <f t="shared" si="91"/>
        <v>0</v>
      </c>
      <c r="L691" s="111">
        <f t="shared" si="91"/>
        <v>0</v>
      </c>
      <c r="M691" s="111">
        <f t="shared" si="91"/>
        <v>0</v>
      </c>
      <c r="N691" s="111">
        <f t="shared" si="91"/>
        <v>0</v>
      </c>
      <c r="O691" s="111">
        <f t="shared" si="91"/>
        <v>0</v>
      </c>
      <c r="P691" s="111">
        <f t="shared" si="91"/>
        <v>0</v>
      </c>
      <c r="Q691" s="111">
        <f t="shared" si="91"/>
        <v>0</v>
      </c>
      <c r="R691" s="9"/>
      <c r="S691" s="9"/>
      <c r="T691" s="9"/>
      <c r="U691" s="9"/>
      <c r="V691" s="9"/>
      <c r="W691" s="9"/>
      <c r="X691" s="9"/>
      <c r="Y691" s="9"/>
      <c r="Z691" s="9"/>
      <c r="AA691" s="9"/>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9"/>
      <c r="BE691" s="9"/>
      <c r="BF691" s="9"/>
      <c r="BG691" s="9"/>
      <c r="BH691" s="9"/>
      <c r="BI691" s="9"/>
      <c r="BJ691" s="9"/>
      <c r="BK691" s="9"/>
      <c r="BL691" s="9"/>
    </row>
    <row r="692" spans="1:64" hidden="1" outlineLevel="1">
      <c r="A692" s="9"/>
      <c r="B692" s="9"/>
      <c r="C692" s="9"/>
      <c r="D692" s="129">
        <f>Asset27</f>
        <v>0</v>
      </c>
      <c r="E692" s="9"/>
      <c r="F692" s="9"/>
      <c r="G692" s="193">
        <f t="shared" si="66"/>
        <v>0</v>
      </c>
      <c r="H692" s="111">
        <f t="shared" si="66"/>
        <v>0</v>
      </c>
      <c r="I692" s="111">
        <f t="shared" ref="I692:Q692" si="92">I464*I$6</f>
        <v>0</v>
      </c>
      <c r="J692" s="111">
        <f t="shared" si="92"/>
        <v>0</v>
      </c>
      <c r="K692" s="111">
        <f t="shared" si="92"/>
        <v>0</v>
      </c>
      <c r="L692" s="111">
        <f t="shared" si="92"/>
        <v>0</v>
      </c>
      <c r="M692" s="111">
        <f t="shared" si="92"/>
        <v>0</v>
      </c>
      <c r="N692" s="111">
        <f t="shared" si="92"/>
        <v>0</v>
      </c>
      <c r="O692" s="111">
        <f t="shared" si="92"/>
        <v>0</v>
      </c>
      <c r="P692" s="111">
        <f t="shared" si="92"/>
        <v>0</v>
      </c>
      <c r="Q692" s="111">
        <f t="shared" si="92"/>
        <v>0</v>
      </c>
      <c r="R692" s="9"/>
      <c r="S692" s="9"/>
      <c r="T692" s="9"/>
      <c r="U692" s="9"/>
      <c r="V692" s="9"/>
      <c r="W692" s="9"/>
      <c r="X692" s="9"/>
      <c r="Y692" s="9"/>
      <c r="Z692" s="9"/>
      <c r="AA692" s="9"/>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9"/>
      <c r="BE692" s="9"/>
      <c r="BF692" s="9"/>
      <c r="BG692" s="9"/>
      <c r="BH692" s="9"/>
      <c r="BI692" s="9"/>
      <c r="BJ692" s="9"/>
      <c r="BK692" s="9"/>
      <c r="BL692" s="9"/>
    </row>
    <row r="693" spans="1:64" hidden="1" outlineLevel="1">
      <c r="A693" s="9"/>
      <c r="B693" s="9"/>
      <c r="C693" s="9"/>
      <c r="D693" s="129">
        <f>Asset28</f>
        <v>0</v>
      </c>
      <c r="E693" s="9"/>
      <c r="F693" s="9"/>
      <c r="G693" s="193">
        <f t="shared" si="66"/>
        <v>0</v>
      </c>
      <c r="H693" s="111">
        <f t="shared" si="66"/>
        <v>0</v>
      </c>
      <c r="I693" s="111">
        <f t="shared" ref="I693:Q693" si="93">I465*I$6</f>
        <v>0</v>
      </c>
      <c r="J693" s="111">
        <f t="shared" si="93"/>
        <v>0</v>
      </c>
      <c r="K693" s="111">
        <f t="shared" si="93"/>
        <v>0</v>
      </c>
      <c r="L693" s="111">
        <f t="shared" si="93"/>
        <v>0</v>
      </c>
      <c r="M693" s="111">
        <f t="shared" si="93"/>
        <v>0</v>
      </c>
      <c r="N693" s="111">
        <f t="shared" si="93"/>
        <v>0</v>
      </c>
      <c r="O693" s="111">
        <f t="shared" si="93"/>
        <v>0</v>
      </c>
      <c r="P693" s="111">
        <f t="shared" si="93"/>
        <v>0</v>
      </c>
      <c r="Q693" s="111">
        <f t="shared" si="93"/>
        <v>0</v>
      </c>
      <c r="R693" s="9"/>
      <c r="S693" s="9"/>
      <c r="T693" s="9"/>
      <c r="U693" s="9"/>
      <c r="V693" s="9"/>
      <c r="W693" s="9"/>
      <c r="X693" s="9"/>
      <c r="Y693" s="9"/>
      <c r="Z693" s="9"/>
      <c r="AA693" s="9"/>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9"/>
      <c r="BE693" s="9"/>
      <c r="BF693" s="9"/>
      <c r="BG693" s="9"/>
      <c r="BH693" s="9"/>
      <c r="BI693" s="9"/>
      <c r="BJ693" s="9"/>
      <c r="BK693" s="9"/>
      <c r="BL693" s="9"/>
    </row>
    <row r="694" spans="1:64" hidden="1" outlineLevel="1">
      <c r="A694" s="9"/>
      <c r="B694" s="9"/>
      <c r="C694" s="9"/>
      <c r="D694" s="129">
        <f>Asset29</f>
        <v>0</v>
      </c>
      <c r="E694" s="9"/>
      <c r="F694" s="9"/>
      <c r="G694" s="193">
        <f t="shared" si="66"/>
        <v>0</v>
      </c>
      <c r="H694" s="111">
        <f t="shared" si="66"/>
        <v>0</v>
      </c>
      <c r="I694" s="111">
        <f t="shared" ref="I694:Q694" si="94">I466*I$6</f>
        <v>0</v>
      </c>
      <c r="J694" s="111">
        <f t="shared" si="94"/>
        <v>0</v>
      </c>
      <c r="K694" s="111">
        <f t="shared" si="94"/>
        <v>0</v>
      </c>
      <c r="L694" s="111">
        <f t="shared" si="94"/>
        <v>0</v>
      </c>
      <c r="M694" s="111">
        <f t="shared" si="94"/>
        <v>0</v>
      </c>
      <c r="N694" s="111">
        <f t="shared" si="94"/>
        <v>0</v>
      </c>
      <c r="O694" s="111">
        <f t="shared" si="94"/>
        <v>0</v>
      </c>
      <c r="P694" s="111">
        <f t="shared" si="94"/>
        <v>0</v>
      </c>
      <c r="Q694" s="111">
        <f t="shared" si="94"/>
        <v>0</v>
      </c>
      <c r="R694" s="9"/>
      <c r="S694" s="9"/>
      <c r="T694" s="9"/>
      <c r="U694" s="9"/>
      <c r="V694" s="9"/>
      <c r="W694" s="9"/>
      <c r="X694" s="9"/>
      <c r="Y694" s="9"/>
      <c r="Z694" s="9"/>
      <c r="AA694" s="9"/>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9"/>
      <c r="BE694" s="9"/>
      <c r="BF694" s="9"/>
      <c r="BG694" s="9"/>
      <c r="BH694" s="9"/>
      <c r="BI694" s="9"/>
      <c r="BJ694" s="9"/>
      <c r="BK694" s="9"/>
      <c r="BL694" s="9"/>
    </row>
    <row r="695" spans="1:64" hidden="1" outlineLevel="1">
      <c r="A695" s="9"/>
      <c r="B695" s="9"/>
      <c r="C695" s="9"/>
      <c r="D695" s="129">
        <f>Asset30</f>
        <v>0</v>
      </c>
      <c r="E695" s="9"/>
      <c r="F695" s="9"/>
      <c r="G695" s="193">
        <f t="shared" si="66"/>
        <v>0</v>
      </c>
      <c r="H695" s="111">
        <f t="shared" si="66"/>
        <v>0</v>
      </c>
      <c r="I695" s="111">
        <f t="shared" ref="I695:Q695" si="95">I467*I$6</f>
        <v>0</v>
      </c>
      <c r="J695" s="111">
        <f t="shared" si="95"/>
        <v>0</v>
      </c>
      <c r="K695" s="111">
        <f t="shared" si="95"/>
        <v>0</v>
      </c>
      <c r="L695" s="111">
        <f t="shared" si="95"/>
        <v>0</v>
      </c>
      <c r="M695" s="111">
        <f t="shared" si="95"/>
        <v>0</v>
      </c>
      <c r="N695" s="111">
        <f t="shared" si="95"/>
        <v>0</v>
      </c>
      <c r="O695" s="111">
        <f t="shared" si="95"/>
        <v>0</v>
      </c>
      <c r="P695" s="111">
        <f t="shared" si="95"/>
        <v>0</v>
      </c>
      <c r="Q695" s="111">
        <f t="shared" si="95"/>
        <v>0</v>
      </c>
      <c r="R695" s="9"/>
      <c r="S695" s="9"/>
      <c r="T695" s="9"/>
      <c r="U695" s="9"/>
      <c r="V695" s="9"/>
      <c r="W695" s="9"/>
      <c r="X695" s="9"/>
      <c r="Y695" s="9"/>
      <c r="Z695" s="9"/>
      <c r="AA695" s="9"/>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9"/>
      <c r="BE695" s="9"/>
      <c r="BF695" s="9"/>
      <c r="BG695" s="9"/>
      <c r="BH695" s="9"/>
      <c r="BI695" s="9"/>
      <c r="BJ695" s="9"/>
      <c r="BK695" s="9"/>
      <c r="BL695" s="9"/>
    </row>
    <row r="696" spans="1:64" collapsed="1">
      <c r="A696" s="9"/>
      <c r="B696" s="9"/>
      <c r="C696" s="9"/>
      <c r="D696" s="9"/>
      <c r="E696" s="9"/>
      <c r="F696" s="9"/>
      <c r="G696" s="193"/>
      <c r="H696" s="111"/>
      <c r="I696" s="111"/>
      <c r="J696" s="111"/>
      <c r="K696" s="111"/>
      <c r="L696" s="111"/>
      <c r="M696" s="111"/>
      <c r="N696" s="111"/>
      <c r="O696" s="111"/>
      <c r="P696" s="111"/>
      <c r="Q696" s="111"/>
      <c r="R696" s="9"/>
      <c r="S696" s="9"/>
      <c r="T696" s="9"/>
      <c r="U696" s="9"/>
      <c r="V696" s="9"/>
      <c r="W696" s="9"/>
      <c r="X696" s="9"/>
      <c r="Y696" s="9"/>
      <c r="Z696" s="9"/>
      <c r="AA696" s="9"/>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9"/>
      <c r="BE696" s="9"/>
      <c r="BF696" s="9"/>
      <c r="BG696" s="9"/>
      <c r="BH696" s="9"/>
      <c r="BI696" s="9"/>
      <c r="BJ696" s="9"/>
      <c r="BK696" s="9"/>
      <c r="BL696" s="9"/>
    </row>
    <row r="697" spans="1:64">
      <c r="A697" s="9"/>
      <c r="B697" s="9"/>
      <c r="C697" s="9"/>
      <c r="D697" s="9"/>
      <c r="E697" s="9"/>
      <c r="F697" s="9"/>
      <c r="G697" s="9"/>
      <c r="H697" s="37">
        <f>+H631+H665</f>
        <v>-17.527949198911532</v>
      </c>
      <c r="I697" s="37">
        <f>+I631+I665</f>
        <v>-17.94821236731535</v>
      </c>
      <c r="J697" s="37">
        <f>+J631+J665</f>
        <v>-19.565927475667529</v>
      </c>
      <c r="K697" s="37">
        <f>+K631+K665</f>
        <v>-32.140060199430579</v>
      </c>
      <c r="L697" s="37">
        <f>+L631+L665</f>
        <v>-37.655800307709022</v>
      </c>
      <c r="M697" s="9"/>
      <c r="N697" s="9"/>
      <c r="O697" s="9"/>
      <c r="P697" s="9"/>
      <c r="Q697" s="9"/>
      <c r="R697" s="9"/>
      <c r="S697" s="9"/>
      <c r="T697" s="106">
        <f>+SUM(H697:L697)</f>
        <v>-124.83794954903402</v>
      </c>
      <c r="U697" s="37">
        <v>-90.688084003892016</v>
      </c>
      <c r="V697" s="9"/>
      <c r="W697" s="9"/>
      <c r="X697" s="9"/>
      <c r="Y697" s="9"/>
      <c r="Z697" s="9"/>
      <c r="AA697" s="9"/>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9"/>
      <c r="BE698" s="9"/>
      <c r="BF698" s="9"/>
      <c r="BG698" s="9"/>
      <c r="BH698" s="9"/>
      <c r="BI698" s="9"/>
      <c r="BJ698" s="9"/>
      <c r="BK698" s="9"/>
      <c r="BL698" s="9"/>
    </row>
    <row r="699" spans="1:64">
      <c r="A699" s="9"/>
      <c r="B699" s="9"/>
      <c r="C699" s="9"/>
      <c r="D699" s="9"/>
      <c r="E699" s="9"/>
      <c r="F699" s="9"/>
      <c r="G699" s="9"/>
      <c r="H699" s="9"/>
      <c r="I699" s="9"/>
      <c r="J699" s="9"/>
      <c r="K699" s="9"/>
      <c r="L699" s="37">
        <f>+SUM(H697:L697)</f>
        <v>-124.83794954903402</v>
      </c>
      <c r="M699" s="37">
        <v>-90.688084003892016</v>
      </c>
      <c r="N699" s="9"/>
      <c r="O699" s="9"/>
      <c r="P699" s="9"/>
      <c r="Q699" s="9"/>
      <c r="R699" s="9"/>
      <c r="S699" s="9"/>
      <c r="T699" s="9"/>
      <c r="U699" s="9"/>
      <c r="V699" s="9"/>
      <c r="W699" s="9"/>
      <c r="X699" s="9"/>
      <c r="Y699" s="9"/>
      <c r="Z699" s="9"/>
      <c r="AA699" s="9"/>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9"/>
      <c r="BE710" s="9"/>
      <c r="BF710" s="9"/>
      <c r="BG710" s="9"/>
      <c r="BH710" s="9"/>
      <c r="BI710" s="9"/>
      <c r="BJ710" s="9"/>
      <c r="BK710" s="9"/>
      <c r="BL710" s="9"/>
    </row>
    <row r="711" spans="1:64">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9"/>
      <c r="BE711" s="9"/>
      <c r="BF711" s="9"/>
      <c r="BG711" s="9"/>
      <c r="BH711" s="9"/>
      <c r="BI711" s="9"/>
      <c r="BJ711" s="9"/>
      <c r="BK711" s="9"/>
      <c r="BL711" s="9"/>
    </row>
    <row r="712" spans="1:64">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9"/>
      <c r="BE712" s="9"/>
      <c r="BF712" s="9"/>
      <c r="BG712" s="9"/>
      <c r="BH712" s="9"/>
      <c r="BI712" s="9"/>
      <c r="BJ712" s="9"/>
      <c r="BK712" s="9"/>
      <c r="BL712" s="9"/>
    </row>
    <row r="713" spans="1:64">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9"/>
      <c r="BE713" s="9"/>
      <c r="BF713" s="9"/>
      <c r="BG713" s="9"/>
      <c r="BH713" s="9"/>
      <c r="BI713" s="9"/>
      <c r="BJ713" s="9"/>
      <c r="BK713" s="9"/>
      <c r="BL713" s="9"/>
    </row>
    <row r="714" spans="1:64">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9"/>
      <c r="BE714" s="9"/>
      <c r="BF714" s="9"/>
      <c r="BG714" s="9"/>
      <c r="BH714" s="9"/>
      <c r="BI714" s="9"/>
      <c r="BJ714" s="9"/>
      <c r="BK714" s="9"/>
      <c r="BL714" s="9"/>
    </row>
    <row r="715" spans="1:64">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9"/>
      <c r="BE715" s="9"/>
      <c r="BF715" s="9"/>
      <c r="BG715" s="9"/>
      <c r="BH715" s="9"/>
      <c r="BI715" s="9"/>
      <c r="BJ715" s="9"/>
      <c r="BK715" s="9"/>
      <c r="BL715" s="9"/>
    </row>
    <row r="716" spans="1:64">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9"/>
      <c r="BE716" s="9"/>
      <c r="BF716" s="9"/>
      <c r="BG716" s="9"/>
      <c r="BH716" s="9"/>
      <c r="BI716" s="9"/>
      <c r="BJ716" s="9"/>
      <c r="BK716" s="9"/>
      <c r="BL716" s="9"/>
    </row>
    <row r="717" spans="1:64">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9"/>
      <c r="BE717" s="9"/>
      <c r="BF717" s="9"/>
      <c r="BG717" s="9"/>
      <c r="BH717" s="9"/>
      <c r="BI717" s="9"/>
      <c r="BJ717" s="9"/>
      <c r="BK717" s="9"/>
      <c r="BL717" s="9"/>
    </row>
    <row r="718" spans="1:64">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9"/>
      <c r="BE718" s="9"/>
      <c r="BF718" s="9"/>
      <c r="BG718" s="9"/>
      <c r="BH718" s="9"/>
      <c r="BI718" s="9"/>
      <c r="BJ718" s="9"/>
      <c r="BK718" s="9"/>
      <c r="BL718" s="9"/>
    </row>
    <row r="719" spans="1:64">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9"/>
      <c r="BE719" s="9"/>
      <c r="BF719" s="9"/>
      <c r="BG719" s="9"/>
      <c r="BH719" s="9"/>
      <c r="BI719" s="9"/>
      <c r="BJ719" s="9"/>
      <c r="BK719" s="9"/>
      <c r="BL719" s="9"/>
    </row>
    <row r="720" spans="1:64">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9"/>
      <c r="BE720" s="9"/>
      <c r="BF720" s="9"/>
      <c r="BG720" s="9"/>
      <c r="BH720" s="9"/>
      <c r="BI720" s="9"/>
      <c r="BJ720" s="9"/>
      <c r="BK720" s="9"/>
      <c r="BL720" s="9"/>
    </row>
    <row r="721" spans="2:64">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9"/>
      <c r="BE721" s="9"/>
      <c r="BF721" s="9"/>
      <c r="BG721" s="9"/>
      <c r="BH721" s="9"/>
      <c r="BI721" s="9"/>
      <c r="BJ721" s="9"/>
      <c r="BK721" s="9"/>
      <c r="BL721" s="9"/>
    </row>
    <row r="722" spans="2:64">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9"/>
      <c r="BE722" s="9"/>
      <c r="BF722" s="9"/>
      <c r="BG722" s="9"/>
      <c r="BH722" s="9"/>
      <c r="BI722" s="9"/>
      <c r="BJ722" s="9"/>
      <c r="BK722" s="9"/>
      <c r="BL722" s="9"/>
    </row>
    <row r="723" spans="2:64">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9"/>
      <c r="BE723" s="9"/>
      <c r="BF723" s="9"/>
      <c r="BG723" s="9"/>
      <c r="BH723" s="9"/>
      <c r="BI723" s="9"/>
      <c r="BJ723" s="9"/>
      <c r="BK723" s="9"/>
      <c r="BL723" s="9"/>
    </row>
    <row r="724" spans="2:64">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9"/>
      <c r="BE724" s="9"/>
      <c r="BF724" s="9"/>
      <c r="BG724" s="9"/>
      <c r="BH724" s="9"/>
      <c r="BI724" s="9"/>
      <c r="BJ724" s="9"/>
      <c r="BK724" s="9"/>
      <c r="BL724" s="9"/>
    </row>
    <row r="725" spans="2:64">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9"/>
      <c r="BE725" s="9"/>
      <c r="BF725" s="9"/>
      <c r="BG725" s="9"/>
      <c r="BH725" s="9"/>
      <c r="BI725" s="9"/>
      <c r="BJ725" s="9"/>
      <c r="BK725" s="9"/>
      <c r="BL725" s="9"/>
    </row>
    <row r="726" spans="2:64">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9"/>
      <c r="BE726" s="9"/>
      <c r="BF726" s="9"/>
      <c r="BG726" s="9"/>
      <c r="BH726" s="9"/>
      <c r="BI726" s="9"/>
      <c r="BJ726" s="9"/>
      <c r="BK726" s="9"/>
      <c r="BL726" s="9"/>
    </row>
    <row r="727" spans="2:64">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row>
    <row r="728" spans="2:64">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row>
    <row r="729" spans="2:64">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row>
    <row r="730" spans="2:64">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row>
    <row r="731" spans="2:64">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row>
    <row r="732" spans="2:64">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row>
    <row r="733" spans="2:64">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row>
    <row r="734" spans="2:64">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row>
    <row r="735" spans="2:64">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row>
    <row r="736" spans="2:64">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row>
    <row r="737" spans="2:55">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row>
    <row r="738" spans="2:55">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row>
    <row r="739" spans="2:55">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row>
    <row r="740" spans="2:55">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row>
    <row r="741" spans="2:55">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row>
    <row r="742" spans="2:55">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row>
    <row r="743" spans="2:55">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row>
    <row r="744" spans="2:55">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row>
    <row r="745" spans="2:55">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row>
    <row r="746" spans="2:55">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row>
    <row r="747" spans="2:55">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row>
    <row r="748" spans="2:55">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row>
    <row r="749" spans="2:55">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row>
    <row r="750" spans="2:55">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row>
    <row r="751" spans="2:55">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row>
    <row r="752" spans="2:55">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row>
    <row r="753" spans="2:55">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row>
    <row r="754" spans="2:55">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row>
    <row r="755" spans="2:55">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row>
    <row r="756" spans="2:55">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row>
    <row r="757" spans="2:55">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row>
    <row r="758" spans="2:55">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row>
    <row r="759" spans="2:55">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row>
    <row r="760" spans="2:55">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row>
    <row r="761" spans="2:55">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row>
    <row r="762" spans="2:55">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row>
    <row r="763" spans="2:55">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row>
    <row r="764" spans="2:55">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row>
    <row r="765" spans="2:55">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row>
    <row r="766" spans="2:55">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row>
    <row r="767" spans="2:55">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row>
    <row r="768" spans="2:55">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row>
    <row r="769" spans="28:55">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row>
    <row r="770" spans="28:55">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row>
    <row r="771" spans="28:55">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row>
    <row r="772" spans="28:55">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row>
    <row r="773" spans="28:55">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row>
    <row r="774" spans="28:55">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row>
    <row r="775" spans="28:55">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row>
    <row r="776" spans="28:55">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row>
    <row r="777" spans="28:55">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row>
    <row r="778" spans="28:55">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row>
    <row r="779" spans="28:55">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row>
    <row r="780" spans="28:55">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row>
    <row r="781" spans="28:55">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row>
    <row r="782" spans="28:55">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row>
    <row r="783" spans="28:55">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row>
    <row r="784" spans="28:55">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row>
    <row r="785" spans="28:55">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row>
    <row r="786" spans="28:55">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row>
    <row r="787" spans="28:55">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row>
    <row r="788" spans="28:55">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row>
    <row r="789" spans="28:55">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row>
    <row r="790" spans="28:55">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row>
    <row r="791" spans="28:55">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row>
    <row r="792" spans="28:55">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row>
    <row r="793" spans="28:55">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row>
    <row r="794" spans="28:55">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row>
    <row r="795" spans="28:55">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row>
    <row r="796" spans="28:55">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row>
    <row r="797" spans="28:55">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row>
    <row r="798" spans="28:55">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row>
    <row r="799" spans="28:55">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row>
    <row r="800" spans="28:55">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row>
    <row r="801" spans="28:55">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row>
    <row r="802" spans="28:55">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row>
    <row r="803" spans="28:55">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row>
    <row r="804" spans="28:55">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row>
    <row r="805" spans="28:55">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row>
    <row r="806" spans="28:55">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row>
    <row r="807" spans="28:55">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row>
    <row r="808" spans="28:55">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row>
    <row r="809" spans="28:55">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row>
    <row r="810" spans="28:55">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row>
    <row r="811" spans="28:55">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row>
    <row r="812" spans="28:55">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row>
    <row r="813" spans="28:55">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row>
    <row r="814" spans="28:55">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row>
    <row r="815" spans="28:55">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row>
    <row r="816" spans="28:55">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row>
    <row r="817" spans="28:55">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row>
    <row r="818" spans="28:55">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row>
    <row r="819" spans="28:55">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row>
    <row r="820" spans="28:55">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row>
    <row r="821" spans="28:55">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row>
    <row r="822" spans="28:55">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row>
    <row r="823" spans="28:55">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row>
    <row r="824" spans="28:55">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row>
    <row r="825" spans="28:55">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row>
    <row r="826" spans="28:55">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row>
    <row r="827" spans="28:55">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row>
    <row r="828" spans="28:55">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row>
    <row r="829" spans="28:55">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row>
    <row r="830" spans="28:55">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row>
    <row r="831" spans="28:55">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row>
    <row r="832" spans="28:55">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row>
    <row r="833" spans="28:55">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row>
    <row r="834" spans="28:55">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row>
    <row r="835" spans="28:55">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row>
    <row r="836" spans="28:55">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row>
    <row r="837" spans="28:55">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row>
    <row r="838" spans="28:55">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row>
    <row r="839" spans="28:55">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row>
    <row r="840" spans="28:55">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row>
    <row r="841" spans="28:55">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row>
    <row r="842" spans="28:55">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row>
    <row r="843" spans="28:55">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row>
    <row r="844" spans="28:55">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row>
    <row r="845" spans="28:55">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row>
    <row r="846" spans="28:55">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row>
    <row r="847" spans="28:55">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row>
    <row r="848" spans="28:55">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row>
    <row r="849" spans="28:55">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row>
    <row r="850" spans="28:55">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row>
    <row r="851" spans="28:55">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row>
    <row r="852" spans="28:55">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row>
    <row r="853" spans="28:55">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row>
    <row r="854" spans="28:55">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row>
    <row r="855" spans="28:55">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row>
    <row r="856" spans="28:55">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row>
    <row r="857" spans="28:55">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row>
    <row r="858" spans="28:55">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row>
    <row r="859" spans="28:55">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row>
    <row r="860" spans="28:55">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row>
    <row r="861" spans="28:55">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row>
    <row r="862" spans="28:55">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row>
    <row r="863" spans="28:55">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row>
    <row r="864" spans="28:55">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row>
    <row r="865" spans="28:55">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row>
    <row r="866" spans="28:55">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row>
    <row r="867" spans="28:55">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row>
    <row r="868" spans="28:55">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row>
    <row r="869" spans="28:55">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row>
    <row r="870" spans="28:55">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row>
    <row r="871" spans="28:55">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row>
    <row r="872" spans="28:55">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row>
    <row r="873" spans="28:55">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row>
    <row r="874" spans="28:55">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row>
    <row r="875" spans="28:55">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row>
    <row r="876" spans="28:55">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row>
    <row r="877" spans="28:55">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row>
    <row r="878" spans="28:55">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row>
    <row r="879" spans="28:55">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row>
    <row r="880" spans="28:55">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row>
    <row r="881" spans="28:55">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row>
    <row r="882" spans="28:55">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row>
    <row r="883" spans="28:55">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row>
    <row r="884" spans="28:55">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row>
    <row r="885" spans="28:55">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row>
    <row r="886" spans="28:55">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row>
    <row r="887" spans="28:55">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row>
    <row r="888" spans="28:55">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row>
    <row r="889" spans="28:55">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row>
    <row r="890" spans="28:55">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row>
    <row r="891" spans="28:55">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row>
    <row r="892" spans="28:55">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row>
    <row r="893" spans="28:55">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row>
    <row r="894" spans="28:55">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row>
    <row r="895" spans="28:55">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row>
    <row r="896" spans="28:55">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row>
    <row r="897" spans="28:55">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row>
    <row r="898" spans="28:55">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row>
    <row r="899" spans="28:55">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row>
    <row r="900" spans="28:55">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row>
    <row r="901" spans="28:55">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row>
    <row r="902" spans="28:55">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row>
    <row r="903" spans="28:55">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row>
    <row r="904" spans="28:55">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row>
    <row r="905" spans="28:55">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row>
    <row r="906" spans="28:55">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row>
    <row r="907" spans="28:55">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row>
    <row r="908" spans="28:55">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row>
    <row r="909" spans="28:55">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row>
    <row r="910" spans="28:55">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row>
    <row r="911" spans="28:55">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row>
    <row r="912" spans="28:55">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row>
    <row r="913" spans="28:55">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row>
    <row r="914" spans="28:55">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row>
    <row r="915" spans="28:55">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row>
    <row r="916" spans="28:55">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row>
    <row r="917" spans="28:55">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row>
    <row r="918" spans="28:55">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row>
    <row r="919" spans="28:55">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row>
    <row r="920" spans="28:55">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row>
    <row r="921" spans="28:55">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row>
    <row r="922" spans="28:55">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row>
    <row r="923" spans="28:55">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row>
    <row r="924" spans="28:55">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row>
    <row r="925" spans="28:55">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row>
    <row r="926" spans="28:55">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row>
    <row r="927" spans="28:55">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row>
    <row r="928" spans="28:55">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row>
    <row r="929" spans="28:55">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row>
    <row r="930" spans="28:55">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row>
    <row r="931" spans="28:55">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row>
    <row r="932" spans="28:55">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row>
    <row r="933" spans="28:55">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row>
    <row r="934" spans="28:55">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row>
    <row r="935" spans="28:55">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row>
    <row r="936" spans="28:55">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row>
    <row r="937" spans="28:55">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row>
    <row r="938" spans="28:55">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row>
    <row r="939" spans="28:55">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row>
    <row r="940" spans="28:55">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row>
    <row r="941" spans="28:55">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row>
    <row r="942" spans="28:55">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row>
    <row r="943" spans="28:55">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row>
    <row r="944" spans="28:55">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row>
    <row r="945" spans="28:55">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row>
    <row r="946" spans="28:55">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row>
    <row r="947" spans="28:55">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row>
    <row r="948" spans="28:55">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row>
    <row r="949" spans="28:55">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row>
    <row r="950" spans="28:55">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row>
    <row r="951" spans="28:55">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row>
    <row r="952" spans="28:55">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row>
    <row r="953" spans="28:55">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row>
    <row r="954" spans="28:55">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row>
    <row r="955" spans="28:55">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row>
    <row r="956" spans="28:55">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row>
    <row r="957" spans="28:55">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row>
    <row r="958" spans="28:55">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row>
    <row r="959" spans="28:55">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row>
    <row r="960" spans="28:55">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row>
    <row r="961" spans="28:55">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row>
    <row r="962" spans="28:55">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row>
    <row r="963" spans="28:55">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row>
    <row r="964" spans="28:55">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row>
    <row r="965" spans="28:55">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row>
    <row r="966" spans="28:55">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row>
    <row r="967" spans="28:55">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row>
    <row r="968" spans="28:55">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row>
    <row r="969" spans="28:55">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row>
    <row r="970" spans="28:55">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row>
    <row r="971" spans="28:55">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row>
    <row r="972" spans="28:55">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row>
    <row r="973" spans="28:55">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row>
    <row r="974" spans="28:55">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row>
    <row r="975" spans="28:55">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row>
    <row r="976" spans="28:55">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row>
    <row r="977" spans="28:55">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row>
    <row r="978" spans="28:55">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row>
    <row r="979" spans="28:55">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row>
    <row r="980" spans="28:55">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row>
    <row r="981" spans="28:55">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row>
    <row r="982" spans="28:55">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row>
    <row r="983" spans="28:55">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row>
    <row r="984" spans="28:55">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row>
    <row r="985" spans="28:55">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row>
    <row r="986" spans="28:55">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row>
    <row r="987" spans="28:55">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row>
    <row r="988" spans="28:55">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row>
    <row r="989" spans="28:55">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row>
    <row r="990" spans="28:55">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row>
    <row r="991" spans="28:55">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row>
    <row r="992" spans="28:55">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row>
    <row r="993" spans="28:55">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row>
    <row r="994" spans="28:55">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row>
    <row r="995" spans="28:55">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row>
    <row r="996" spans="28:55">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row>
    <row r="997" spans="28:55">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row>
    <row r="998" spans="28:55">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row>
    <row r="999" spans="28:55">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row>
    <row r="1000" spans="28:55">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row>
    <row r="1001" spans="28:55">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row>
    <row r="1002" spans="28:55">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row>
    <row r="1003" spans="28:55">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row>
    <row r="1004" spans="28:55">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row>
    <row r="1005" spans="28:55">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row>
    <row r="1006" spans="28:55">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row>
    <row r="1007" spans="28:55">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row>
    <row r="1008" spans="28:55">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row>
    <row r="1009" spans="28:55">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row>
    <row r="1010" spans="28:55">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row>
    <row r="1011" spans="28:55">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row>
    <row r="1012" spans="28:55">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row>
    <row r="1013" spans="28:55">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row>
    <row r="1014" spans="28:55">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row>
    <row r="1015" spans="28:55">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row>
    <row r="1016" spans="28:55">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row>
    <row r="1017" spans="28:55">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row>
    <row r="1018" spans="28:55">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row>
    <row r="1019" spans="28:55">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row>
    <row r="1020" spans="28:55">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row>
    <row r="1021" spans="28:55">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row>
    <row r="1022" spans="28:55">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row>
    <row r="1023" spans="28:55">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row>
    <row r="1024" spans="28:55">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row>
    <row r="1025" spans="28:55">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row>
    <row r="1026" spans="28:55">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row>
    <row r="1027" spans="28:55">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row>
    <row r="1028" spans="28:55">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row>
    <row r="1029" spans="28:55">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row>
    <row r="1030" spans="28:55">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row>
    <row r="1031" spans="28:55">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row>
    <row r="1032" spans="28:55">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row>
    <row r="1033" spans="28:55">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row>
    <row r="1034" spans="28:55">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row>
    <row r="1035" spans="28:55">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row>
    <row r="1036" spans="28:55">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row>
    <row r="1037" spans="28:55">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row>
    <row r="1038" spans="28:55">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row>
    <row r="1039" spans="28:55">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row>
    <row r="1040" spans="28:55">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row>
    <row r="1041" spans="28:55">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row>
    <row r="1042" spans="28:55">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row>
    <row r="1043" spans="28:55">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row>
    <row r="1044" spans="28:55">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row>
    <row r="1045" spans="28:55">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row>
    <row r="1046" spans="28:55">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row>
    <row r="1047" spans="28:55">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row>
    <row r="1048" spans="28:55">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row>
    <row r="1049" spans="28:55">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row>
    <row r="1050" spans="28:55">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row>
    <row r="1051" spans="28:55">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row>
    <row r="1052" spans="28:55">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row>
    <row r="1053" spans="28:55">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row>
    <row r="1054" spans="28:55">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row>
    <row r="1055" spans="28:55">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row>
    <row r="1056" spans="28:55">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row>
    <row r="1057" spans="28:55">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8:55">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8:55">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8:55">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8:55">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8:55">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8:55">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8:55">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8:55">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8:55">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8:55">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8:55">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8:55">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8:55">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8:55">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8:55">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8:55">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8:55">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8:55">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8:55">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8:55">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8:55">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8:55">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8:55">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8:55">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8:55">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8:55">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8:55">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8:55">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8:55">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8:55">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8:55">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8:55">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8:55">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8:55">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8:55">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8:55">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8:55">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8:55">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8:55">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8:55">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8:55">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8: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8: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8: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8: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8: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8: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70" zoomScaleNormal="70" workbookViewId="0">
      <pane ySplit="4" topLeftCell="A5" activePane="bottomLeft" state="frozen"/>
      <selection activeCell="D13" sqref="D13"/>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11" width="13.28515625" customWidth="1"/>
    <col min="12" max="12" width="14.7109375" customWidth="1"/>
    <col min="13"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20"/>
      <c r="BL1" s="220"/>
    </row>
    <row r="2" spans="1:256" ht="15.75">
      <c r="A2" s="9"/>
      <c r="B2" s="9"/>
      <c r="C2" s="56" t="s">
        <v>39</v>
      </c>
      <c r="D2" s="9"/>
      <c r="E2" s="9"/>
      <c r="F2" s="9"/>
      <c r="G2" s="9"/>
      <c r="H2" s="9"/>
      <c r="I2" s="9"/>
      <c r="J2" s="9"/>
      <c r="K2" s="9"/>
      <c r="L2" s="9"/>
      <c r="M2" s="9"/>
      <c r="N2" s="9"/>
      <c r="O2" s="9"/>
      <c r="P2" s="9"/>
      <c r="Q2" s="9"/>
      <c r="R2" s="9"/>
      <c r="S2" s="12"/>
      <c r="T2" s="12"/>
      <c r="U2" s="12"/>
      <c r="V2" s="12"/>
      <c r="W2" s="12"/>
      <c r="X2" s="12"/>
      <c r="Y2" s="12"/>
      <c r="Z2" s="12"/>
      <c r="AA2" s="12"/>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row>
    <row r="3" spans="1:256" s="1" customFormat="1">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25"/>
      <c r="BL3" s="225"/>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17"/>
      <c r="T4" s="17"/>
      <c r="U4" s="17"/>
      <c r="V4" s="17"/>
      <c r="W4" s="17"/>
      <c r="X4" s="17"/>
      <c r="Y4" s="17"/>
      <c r="Z4" s="17"/>
      <c r="AA4" s="17"/>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20"/>
      <c r="BL4" s="22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20"/>
      <c r="BL5" s="22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44</v>
      </c>
      <c r="D6" s="9"/>
      <c r="E6" s="9"/>
      <c r="F6" s="9"/>
      <c r="G6" s="192">
        <f>SUM(G7:G36)</f>
        <v>1031.2739539814918</v>
      </c>
      <c r="H6" s="140">
        <f>SUM(H7:H36)</f>
        <v>1117.3996727138085</v>
      </c>
      <c r="I6" s="140">
        <f t="shared" ref="I6:Q6" si="1">SUM(I7:I36)</f>
        <v>1201.6246070730906</v>
      </c>
      <c r="J6" s="140">
        <f t="shared" si="1"/>
        <v>1295.6505711598247</v>
      </c>
      <c r="K6" s="140">
        <f t="shared" si="1"/>
        <v>1403.3225804905117</v>
      </c>
      <c r="L6" s="140">
        <f t="shared" si="1"/>
        <v>1460.5763177928691</v>
      </c>
      <c r="M6" s="140">
        <f t="shared" si="1"/>
        <v>0</v>
      </c>
      <c r="N6" s="140">
        <f t="shared" si="1"/>
        <v>0</v>
      </c>
      <c r="O6" s="140">
        <f t="shared" si="1"/>
        <v>0</v>
      </c>
      <c r="P6" s="140">
        <f t="shared" si="1"/>
        <v>0</v>
      </c>
      <c r="Q6" s="140">
        <f t="shared" si="1"/>
        <v>0</v>
      </c>
      <c r="R6" s="140"/>
      <c r="S6" s="139"/>
      <c r="T6" s="139"/>
      <c r="U6" s="139"/>
      <c r="V6" s="139"/>
      <c r="W6" s="139"/>
      <c r="X6" s="139"/>
      <c r="Y6" s="139"/>
      <c r="Z6" s="139"/>
      <c r="AA6" s="139"/>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0"/>
      <c r="BL6" s="220"/>
    </row>
    <row r="7" spans="1:256" hidden="1" outlineLevel="1">
      <c r="A7" s="9"/>
      <c r="B7" s="9"/>
      <c r="C7" s="9"/>
      <c r="D7" s="129" t="str">
        <f>Asset1</f>
        <v>Mains &amp; Services</v>
      </c>
      <c r="E7" s="9"/>
      <c r="F7" s="9"/>
      <c r="G7" s="193">
        <f>'Actual RAB roll forward'!G438</f>
        <v>900.50001706204387</v>
      </c>
      <c r="H7" s="111">
        <f t="shared" ref="H7:H26" si="2">G7+G39+G71+G103+G135+G167</f>
        <v>984.62925518401221</v>
      </c>
      <c r="I7" s="111">
        <f t="shared" ref="I7:L34" si="3">H7+H39+H71</f>
        <v>1068.226354147841</v>
      </c>
      <c r="J7" s="111">
        <f t="shared" si="3"/>
        <v>1161.3006461545751</v>
      </c>
      <c r="K7" s="111">
        <f t="shared" si="3"/>
        <v>1263.0794043456658</v>
      </c>
      <c r="L7" s="111">
        <f t="shared" si="3"/>
        <v>1327.4318591245271</v>
      </c>
      <c r="M7" s="111">
        <f>IF(Input!M$173&gt;0, L7+L39+L71, 0)</f>
        <v>0</v>
      </c>
      <c r="N7" s="111">
        <f>IF(Input!N$173&gt;0, M7+M39+M71, 0)</f>
        <v>0</v>
      </c>
      <c r="O7" s="111">
        <f>IF(Input!O$173&gt;0, N7+N39+N71, 0)</f>
        <v>0</v>
      </c>
      <c r="P7" s="111">
        <f>IF(Input!P$173&gt;0, O7+O39+O71, 0)</f>
        <v>0</v>
      </c>
      <c r="Q7" s="111">
        <f>IF(Input!Q$173&gt;0, P7+P39+P71, 0)</f>
        <v>0</v>
      </c>
      <c r="R7" s="111"/>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hidden="1" outlineLevel="1">
      <c r="A8" s="9"/>
      <c r="B8" s="9"/>
      <c r="C8" s="46"/>
      <c r="D8" s="129" t="str">
        <f>Asset2</f>
        <v>Meters</v>
      </c>
      <c r="E8" s="9"/>
      <c r="F8" s="9"/>
      <c r="G8" s="193">
        <f>'Actual RAB roll forward'!G439</f>
        <v>95.661049759540234</v>
      </c>
      <c r="H8" s="111">
        <f t="shared" si="2"/>
        <v>95.687545878253815</v>
      </c>
      <c r="I8" s="111">
        <f t="shared" si="3"/>
        <v>94.242714088692651</v>
      </c>
      <c r="J8" s="111">
        <f t="shared" si="3"/>
        <v>94.149827282548657</v>
      </c>
      <c r="K8" s="111">
        <f t="shared" si="3"/>
        <v>92.068737061377874</v>
      </c>
      <c r="L8" s="111">
        <f t="shared" si="3"/>
        <v>89.868668013366431</v>
      </c>
      <c r="M8" s="111">
        <f>IF(Input!M$173&gt;0, L8+L40+L72, 0)</f>
        <v>0</v>
      </c>
      <c r="N8" s="111">
        <f>IF(Input!N$173&gt;0, M8+M40+M72, 0)</f>
        <v>0</v>
      </c>
      <c r="O8" s="111">
        <f>IF(Input!O$173&gt;0, N8+N40+N72, 0)</f>
        <v>0</v>
      </c>
      <c r="P8" s="111">
        <f>IF(Input!P$173&gt;0, O8+O40+O72, 0)</f>
        <v>0</v>
      </c>
      <c r="Q8" s="111">
        <f>IF(Input!Q$173&gt;0, P8+P40+P72, 0)</f>
        <v>0</v>
      </c>
      <c r="R8" s="111"/>
      <c r="S8" s="100"/>
      <c r="T8" s="100"/>
      <c r="U8" s="100"/>
      <c r="V8" s="100"/>
      <c r="W8" s="100"/>
      <c r="X8" s="100"/>
      <c r="Y8" s="100"/>
      <c r="Z8" s="100"/>
      <c r="AA8" s="100"/>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0"/>
      <c r="BL8" s="220"/>
    </row>
    <row r="9" spans="1:256" hidden="1" outlineLevel="1">
      <c r="A9" s="9"/>
      <c r="B9" s="9"/>
      <c r="C9" s="46"/>
      <c r="D9" s="129" t="str">
        <f>Asset3</f>
        <v>Buildings</v>
      </c>
      <c r="E9" s="9"/>
      <c r="F9" s="9"/>
      <c r="G9" s="193">
        <f>'Actual RAB roll forward'!G440</f>
        <v>8.9848295371829057</v>
      </c>
      <c r="H9" s="111">
        <f t="shared" si="2"/>
        <v>8.8422120278575456</v>
      </c>
      <c r="I9" s="111">
        <f t="shared" si="3"/>
        <v>7.805088650403226</v>
      </c>
      <c r="J9" s="111">
        <f t="shared" si="3"/>
        <v>7.5349868571657064</v>
      </c>
      <c r="K9" s="111">
        <f t="shared" si="3"/>
        <v>7.259967953411012</v>
      </c>
      <c r="L9" s="111">
        <f t="shared" si="3"/>
        <v>6.9134867636967163</v>
      </c>
      <c r="M9" s="111">
        <f>IF(Input!M$173&gt;0, L9+L41+L73, 0)</f>
        <v>0</v>
      </c>
      <c r="N9" s="111">
        <f>IF(Input!N$173&gt;0, M9+M41+M73, 0)</f>
        <v>0</v>
      </c>
      <c r="O9" s="111">
        <f>IF(Input!O$173&gt;0, N9+N41+N73, 0)</f>
        <v>0</v>
      </c>
      <c r="P9" s="111">
        <f>IF(Input!P$173&gt;0, O9+O41+O73, 0)</f>
        <v>0</v>
      </c>
      <c r="Q9" s="111">
        <f>IF(Input!Q$173&gt;0, P9+P41+P73, 0)</f>
        <v>0</v>
      </c>
      <c r="R9" s="111"/>
      <c r="S9" s="100"/>
      <c r="T9" s="100"/>
      <c r="U9" s="100"/>
      <c r="V9" s="100"/>
      <c r="W9" s="100"/>
      <c r="X9" s="100"/>
      <c r="Y9" s="100"/>
      <c r="Z9" s="100"/>
      <c r="AA9" s="100"/>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0"/>
      <c r="BL9" s="220"/>
    </row>
    <row r="10" spans="1:256" hidden="1" outlineLevel="1">
      <c r="A10" s="9"/>
      <c r="B10" s="9"/>
      <c r="C10" s="46"/>
      <c r="D10" s="129" t="str">
        <f>Asset4</f>
        <v>SCADA</v>
      </c>
      <c r="E10" s="9"/>
      <c r="F10" s="9"/>
      <c r="G10" s="193">
        <f>'Actual RAB roll forward'!G441</f>
        <v>0.66089700582914723</v>
      </c>
      <c r="H10" s="111">
        <f t="shared" si="2"/>
        <v>0.93883147174174819</v>
      </c>
      <c r="I10" s="111">
        <f t="shared" si="3"/>
        <v>0.99222792552436878</v>
      </c>
      <c r="J10" s="111">
        <f t="shared" si="3"/>
        <v>1.2828971151752147</v>
      </c>
      <c r="K10" s="111">
        <f t="shared" si="3"/>
        <v>1.5763548405072363</v>
      </c>
      <c r="L10" s="111">
        <f t="shared" si="3"/>
        <v>1.6650351982816827</v>
      </c>
      <c r="M10" s="111">
        <f>IF(Input!M$173&gt;0, L10+L42+L74, 0)</f>
        <v>0</v>
      </c>
      <c r="N10" s="111">
        <f>IF(Input!N$173&gt;0, M10+M42+M74, 0)</f>
        <v>0</v>
      </c>
      <c r="O10" s="111">
        <f>IF(Input!O$173&gt;0, N10+N42+N74, 0)</f>
        <v>0</v>
      </c>
      <c r="P10" s="111">
        <f>IF(Input!P$173&gt;0, O10+O42+O74, 0)</f>
        <v>0</v>
      </c>
      <c r="Q10" s="111">
        <f>IF(Input!Q$173&gt;0, P10+P42+P74, 0)</f>
        <v>0</v>
      </c>
      <c r="R10" s="111"/>
      <c r="S10" s="100"/>
      <c r="T10" s="100"/>
      <c r="U10" s="100"/>
      <c r="V10" s="100"/>
      <c r="W10" s="100"/>
      <c r="X10" s="100"/>
      <c r="Y10" s="100"/>
      <c r="Z10" s="100"/>
      <c r="AA10" s="100"/>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0"/>
      <c r="BL10" s="220"/>
    </row>
    <row r="11" spans="1:256" hidden="1" outlineLevel="1">
      <c r="A11" s="9"/>
      <c r="B11" s="9"/>
      <c r="C11" s="46"/>
      <c r="D11" s="129" t="str">
        <f>Asset5</f>
        <v>Computer Equipment</v>
      </c>
      <c r="E11" s="9"/>
      <c r="F11" s="9"/>
      <c r="G11" s="193">
        <f>'Actual RAB roll forward'!G442</f>
        <v>0.66919548358124392</v>
      </c>
      <c r="H11" s="111">
        <f t="shared" si="2"/>
        <v>0.82976042804924943</v>
      </c>
      <c r="I11" s="111">
        <f t="shared" si="3"/>
        <v>1.5066956379290009</v>
      </c>
      <c r="J11" s="111">
        <f t="shared" si="3"/>
        <v>0.75346120243820813</v>
      </c>
      <c r="K11" s="111">
        <f t="shared" si="3"/>
        <v>9.2840003514441953</v>
      </c>
      <c r="L11" s="111">
        <f t="shared" si="3"/>
        <v>6.0571790057247421</v>
      </c>
      <c r="M11" s="111">
        <f>IF(Input!M$173&gt;0, L11+L43+L75, 0)</f>
        <v>0</v>
      </c>
      <c r="N11" s="111">
        <f>IF(Input!N$173&gt;0, M11+M43+M75, 0)</f>
        <v>0</v>
      </c>
      <c r="O11" s="111">
        <f>IF(Input!O$173&gt;0, N11+N43+N75, 0)</f>
        <v>0</v>
      </c>
      <c r="P11" s="111">
        <f>IF(Input!P$173&gt;0, O11+O43+O75, 0)</f>
        <v>0</v>
      </c>
      <c r="Q11" s="111">
        <f>IF(Input!Q$173&gt;0, P11+P43+P75, 0)</f>
        <v>0</v>
      </c>
      <c r="R11" s="111"/>
      <c r="S11" s="100"/>
      <c r="T11" s="100"/>
      <c r="U11" s="100"/>
      <c r="V11" s="100"/>
      <c r="W11" s="100"/>
      <c r="X11" s="100"/>
      <c r="Y11" s="100"/>
      <c r="Z11" s="100"/>
      <c r="AA11" s="100"/>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0"/>
      <c r="BL11" s="220"/>
    </row>
    <row r="12" spans="1:256" hidden="1" outlineLevel="1">
      <c r="A12" s="9"/>
      <c r="B12" s="9"/>
      <c r="C12" s="46"/>
      <c r="D12" s="129" t="str">
        <f>Asset6</f>
        <v>Other Assets</v>
      </c>
      <c r="E12" s="9"/>
      <c r="F12" s="9"/>
      <c r="G12" s="193">
        <f>'Actual RAB roll forward'!G443</f>
        <v>24.7979651333143</v>
      </c>
      <c r="H12" s="111">
        <f t="shared" si="2"/>
        <v>26.472067723893975</v>
      </c>
      <c r="I12" s="111">
        <f t="shared" si="3"/>
        <v>28.851526622700682</v>
      </c>
      <c r="J12" s="111">
        <f t="shared" si="3"/>
        <v>30.628752547921842</v>
      </c>
      <c r="K12" s="111">
        <f t="shared" si="3"/>
        <v>30.054115938105664</v>
      </c>
      <c r="L12" s="111">
        <f t="shared" si="3"/>
        <v>28.640089687272393</v>
      </c>
      <c r="M12" s="111">
        <f>IF(Input!M$173&gt;0, L12+L44+L76, 0)</f>
        <v>0</v>
      </c>
      <c r="N12" s="111">
        <f>IF(Input!N$173&gt;0, M12+M44+M76, 0)</f>
        <v>0</v>
      </c>
      <c r="O12" s="111">
        <f>IF(Input!O$173&gt;0, N12+N44+N76, 0)</f>
        <v>0</v>
      </c>
      <c r="P12" s="111">
        <f>IF(Input!P$173&gt;0, O12+O44+O76, 0)</f>
        <v>0</v>
      </c>
      <c r="Q12" s="111">
        <f>IF(Input!Q$173&gt;0, P12+P44+P76, 0)</f>
        <v>0</v>
      </c>
      <c r="R12" s="111"/>
      <c r="S12" s="100"/>
      <c r="T12" s="100"/>
      <c r="U12" s="100"/>
      <c r="V12" s="100"/>
      <c r="W12" s="100"/>
      <c r="X12" s="100"/>
      <c r="Y12" s="100"/>
      <c r="Z12" s="100"/>
      <c r="AA12" s="100"/>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0"/>
      <c r="BL12" s="220"/>
    </row>
    <row r="13" spans="1:256" hidden="1" outlineLevel="1">
      <c r="A13" s="9"/>
      <c r="B13" s="9"/>
      <c r="C13" s="46"/>
      <c r="D13" s="129" t="str">
        <f>Asset7</f>
        <v>Equity Raising Costs</v>
      </c>
      <c r="E13" s="9"/>
      <c r="F13" s="9"/>
      <c r="G13" s="193">
        <f>'Actual RAB roll forward'!G444</f>
        <v>0</v>
      </c>
      <c r="H13" s="111">
        <f t="shared" si="2"/>
        <v>0</v>
      </c>
      <c r="I13" s="111">
        <f t="shared" si="3"/>
        <v>0</v>
      </c>
      <c r="J13" s="111">
        <f t="shared" si="3"/>
        <v>0</v>
      </c>
      <c r="K13" s="111">
        <f t="shared" si="3"/>
        <v>0</v>
      </c>
      <c r="L13" s="111">
        <f t="shared" si="3"/>
        <v>0</v>
      </c>
      <c r="M13" s="111">
        <f>IF(Input!M$173&gt;0, L13+L45+L77, 0)</f>
        <v>0</v>
      </c>
      <c r="N13" s="111">
        <f>IF(Input!N$173&gt;0, M13+M45+M77, 0)</f>
        <v>0</v>
      </c>
      <c r="O13" s="111">
        <f>IF(Input!O$173&gt;0, N13+N45+N77, 0)</f>
        <v>0</v>
      </c>
      <c r="P13" s="111">
        <f>IF(Input!P$173&gt;0, O13+O45+O77, 0)</f>
        <v>0</v>
      </c>
      <c r="Q13" s="111">
        <f>IF(Input!Q$173&gt;0, P13+P45+P77, 0)</f>
        <v>0</v>
      </c>
      <c r="R13" s="111"/>
      <c r="S13" s="100"/>
      <c r="T13" s="100"/>
      <c r="U13" s="100"/>
      <c r="V13" s="100"/>
      <c r="W13" s="100"/>
      <c r="X13" s="100"/>
      <c r="Y13" s="100"/>
      <c r="Z13" s="100"/>
      <c r="AA13" s="100"/>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0"/>
      <c r="BL13" s="220"/>
    </row>
    <row r="14" spans="1:256" hidden="1" outlineLevel="1">
      <c r="A14" s="9"/>
      <c r="B14" s="9"/>
      <c r="C14" s="46"/>
      <c r="D14" s="129" t="str">
        <f>Asset8</f>
        <v>Land</v>
      </c>
      <c r="E14" s="9"/>
      <c r="F14" s="9"/>
      <c r="G14" s="193">
        <f>'Actual RAB roll forward'!G445</f>
        <v>0</v>
      </c>
      <c r="H14" s="111">
        <f t="shared" si="2"/>
        <v>0</v>
      </c>
      <c r="I14" s="111">
        <f t="shared" si="3"/>
        <v>0</v>
      </c>
      <c r="J14" s="111">
        <f t="shared" si="3"/>
        <v>0</v>
      </c>
      <c r="K14" s="111">
        <f t="shared" si="3"/>
        <v>0</v>
      </c>
      <c r="L14" s="111">
        <f t="shared" si="3"/>
        <v>0</v>
      </c>
      <c r="M14" s="111">
        <f>IF(Input!M$173&gt;0, L14+L46+L78, 0)</f>
        <v>0</v>
      </c>
      <c r="N14" s="111">
        <f>IF(Input!N$173&gt;0, M14+M46+M78, 0)</f>
        <v>0</v>
      </c>
      <c r="O14" s="111">
        <f>IF(Input!O$173&gt;0, N14+N46+N78, 0)</f>
        <v>0</v>
      </c>
      <c r="P14" s="111">
        <f>IF(Input!P$173&gt;0, O14+O46+O78, 0)</f>
        <v>0</v>
      </c>
      <c r="Q14" s="111">
        <f>IF(Input!Q$173&gt;0, P14+P46+P78, 0)</f>
        <v>0</v>
      </c>
      <c r="R14" s="111"/>
      <c r="S14" s="100"/>
      <c r="T14" s="100"/>
      <c r="U14" s="100"/>
      <c r="V14" s="100"/>
      <c r="W14" s="100"/>
      <c r="X14" s="100"/>
      <c r="Y14" s="100"/>
      <c r="Z14" s="100"/>
      <c r="AA14" s="100"/>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0"/>
      <c r="BL14" s="220"/>
    </row>
    <row r="15" spans="1:256" hidden="1" outlineLevel="1">
      <c r="A15" s="9"/>
      <c r="B15" s="9"/>
      <c r="C15" s="46"/>
      <c r="D15" s="129">
        <f>Asset9</f>
        <v>0</v>
      </c>
      <c r="E15" s="9"/>
      <c r="F15" s="9"/>
      <c r="G15" s="193">
        <f>'Actual RAB roll forward'!G446</f>
        <v>0</v>
      </c>
      <c r="H15" s="111">
        <f t="shared" si="2"/>
        <v>0</v>
      </c>
      <c r="I15" s="111">
        <f t="shared" si="3"/>
        <v>0</v>
      </c>
      <c r="J15" s="111">
        <f t="shared" si="3"/>
        <v>0</v>
      </c>
      <c r="K15" s="111">
        <f t="shared" si="3"/>
        <v>0</v>
      </c>
      <c r="L15" s="111">
        <f t="shared" si="3"/>
        <v>0</v>
      </c>
      <c r="M15" s="111">
        <f>IF(Input!M$173&gt;0, L15+L47+L79, 0)</f>
        <v>0</v>
      </c>
      <c r="N15" s="111">
        <f>IF(Input!N$173&gt;0, M15+M47+M79, 0)</f>
        <v>0</v>
      </c>
      <c r="O15" s="111">
        <f>IF(Input!O$173&gt;0, N15+N47+N79, 0)</f>
        <v>0</v>
      </c>
      <c r="P15" s="111">
        <f>IF(Input!P$173&gt;0, O15+O47+O79, 0)</f>
        <v>0</v>
      </c>
      <c r="Q15" s="111">
        <f>IF(Input!Q$173&gt;0, P15+P47+P79, 0)</f>
        <v>0</v>
      </c>
      <c r="R15" s="111"/>
      <c r="S15" s="100"/>
      <c r="T15" s="100"/>
      <c r="U15" s="100"/>
      <c r="V15" s="100"/>
      <c r="W15" s="100"/>
      <c r="X15" s="100"/>
      <c r="Y15" s="100"/>
      <c r="Z15" s="100"/>
      <c r="AA15" s="100"/>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0"/>
      <c r="BL15" s="220"/>
    </row>
    <row r="16" spans="1:256" hidden="1" outlineLevel="1">
      <c r="A16" s="9"/>
      <c r="B16" s="9"/>
      <c r="C16" s="46"/>
      <c r="D16" s="129">
        <f>Asset10</f>
        <v>0</v>
      </c>
      <c r="E16" s="9"/>
      <c r="F16" s="9"/>
      <c r="G16" s="193">
        <f>'Actual RAB roll forward'!G447</f>
        <v>0</v>
      </c>
      <c r="H16" s="111">
        <f t="shared" si="2"/>
        <v>0</v>
      </c>
      <c r="I16" s="111">
        <f t="shared" si="3"/>
        <v>0</v>
      </c>
      <c r="J16" s="111">
        <f t="shared" si="3"/>
        <v>0</v>
      </c>
      <c r="K16" s="111">
        <f t="shared" si="3"/>
        <v>0</v>
      </c>
      <c r="L16" s="111">
        <f t="shared" si="3"/>
        <v>0</v>
      </c>
      <c r="M16" s="111">
        <f>IF(Input!M$173&gt;0, L16+L48+L80, 0)</f>
        <v>0</v>
      </c>
      <c r="N16" s="111">
        <f>IF(Input!N$173&gt;0, M16+M48+M80, 0)</f>
        <v>0</v>
      </c>
      <c r="O16" s="111">
        <f>IF(Input!O$173&gt;0, N16+N48+N80, 0)</f>
        <v>0</v>
      </c>
      <c r="P16" s="111">
        <f>IF(Input!P$173&gt;0, O16+O48+O80, 0)</f>
        <v>0</v>
      </c>
      <c r="Q16" s="111">
        <f>IF(Input!Q$173&gt;0, P16+P48+P80, 0)</f>
        <v>0</v>
      </c>
      <c r="R16" s="111"/>
      <c r="S16" s="100"/>
      <c r="T16" s="100"/>
      <c r="U16" s="100"/>
      <c r="V16" s="100"/>
      <c r="W16" s="100"/>
      <c r="X16" s="100"/>
      <c r="Y16" s="100"/>
      <c r="Z16" s="100"/>
      <c r="AA16" s="100"/>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0"/>
      <c r="BL16" s="220"/>
    </row>
    <row r="17" spans="1:64" hidden="1" outlineLevel="1">
      <c r="A17" s="9"/>
      <c r="B17" s="9"/>
      <c r="C17" s="46"/>
      <c r="D17" s="129">
        <f>Asset11</f>
        <v>0</v>
      </c>
      <c r="E17" s="9"/>
      <c r="F17" s="9"/>
      <c r="G17" s="193">
        <f>'Actual RAB roll forward'!G448</f>
        <v>0</v>
      </c>
      <c r="H17" s="111">
        <f t="shared" si="2"/>
        <v>0</v>
      </c>
      <c r="I17" s="111">
        <f t="shared" si="3"/>
        <v>0</v>
      </c>
      <c r="J17" s="111">
        <f t="shared" si="3"/>
        <v>0</v>
      </c>
      <c r="K17" s="111">
        <f t="shared" si="3"/>
        <v>0</v>
      </c>
      <c r="L17" s="111">
        <f t="shared" si="3"/>
        <v>0</v>
      </c>
      <c r="M17" s="111">
        <f>IF(Input!M$173&gt;0, L17+L49+L81, 0)</f>
        <v>0</v>
      </c>
      <c r="N17" s="111">
        <f>IF(Input!N$173&gt;0, M17+M49+M81, 0)</f>
        <v>0</v>
      </c>
      <c r="O17" s="111">
        <f>IF(Input!O$173&gt;0, N17+N49+N81, 0)</f>
        <v>0</v>
      </c>
      <c r="P17" s="111">
        <f>IF(Input!P$173&gt;0, O17+O49+O81, 0)</f>
        <v>0</v>
      </c>
      <c r="Q17" s="111">
        <f>IF(Input!Q$173&gt;0, P17+P49+P81, 0)</f>
        <v>0</v>
      </c>
      <c r="R17" s="111"/>
      <c r="S17" s="100"/>
      <c r="T17" s="100"/>
      <c r="U17" s="100"/>
      <c r="V17" s="100"/>
      <c r="W17" s="100"/>
      <c r="X17" s="100"/>
      <c r="Y17" s="100"/>
      <c r="Z17" s="100"/>
      <c r="AA17" s="100"/>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0"/>
      <c r="BL17" s="220"/>
    </row>
    <row r="18" spans="1:64" hidden="1" outlineLevel="1">
      <c r="A18" s="9"/>
      <c r="B18" s="9"/>
      <c r="C18" s="46"/>
      <c r="D18" s="129">
        <f>Asset12</f>
        <v>0</v>
      </c>
      <c r="E18" s="9"/>
      <c r="F18" s="9"/>
      <c r="G18" s="193">
        <f>'Actual RAB roll forward'!G449</f>
        <v>0</v>
      </c>
      <c r="H18" s="111">
        <f t="shared" si="2"/>
        <v>0</v>
      </c>
      <c r="I18" s="111">
        <f t="shared" si="3"/>
        <v>0</v>
      </c>
      <c r="J18" s="111">
        <f t="shared" si="3"/>
        <v>0</v>
      </c>
      <c r="K18" s="111">
        <f t="shared" si="3"/>
        <v>0</v>
      </c>
      <c r="L18" s="111">
        <f t="shared" si="3"/>
        <v>0</v>
      </c>
      <c r="M18" s="111">
        <f>IF(Input!M$173&gt;0, L18+L50+L82, 0)</f>
        <v>0</v>
      </c>
      <c r="N18" s="111">
        <f>IF(Input!N$173&gt;0, M18+M50+M82, 0)</f>
        <v>0</v>
      </c>
      <c r="O18" s="111">
        <f>IF(Input!O$173&gt;0, N18+N50+N82, 0)</f>
        <v>0</v>
      </c>
      <c r="P18" s="111">
        <f>IF(Input!P$173&gt;0, O18+O50+O82, 0)</f>
        <v>0</v>
      </c>
      <c r="Q18" s="111">
        <f>IF(Input!Q$173&gt;0, P18+P50+P82, 0)</f>
        <v>0</v>
      </c>
      <c r="R18" s="111"/>
      <c r="S18" s="100"/>
      <c r="T18" s="100"/>
      <c r="U18" s="100"/>
      <c r="V18" s="100"/>
      <c r="W18" s="100"/>
      <c r="X18" s="100"/>
      <c r="Y18" s="100"/>
      <c r="Z18" s="100"/>
      <c r="AA18" s="100"/>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0"/>
      <c r="BL18" s="220"/>
    </row>
    <row r="19" spans="1:64" hidden="1" outlineLevel="1">
      <c r="A19" s="9"/>
      <c r="B19" s="9"/>
      <c r="C19" s="46"/>
      <c r="D19" s="129">
        <f>Asset13</f>
        <v>0</v>
      </c>
      <c r="E19" s="9"/>
      <c r="F19" s="9"/>
      <c r="G19" s="193">
        <f>'Actual RAB roll forward'!G450</f>
        <v>0</v>
      </c>
      <c r="H19" s="111">
        <f t="shared" si="2"/>
        <v>0</v>
      </c>
      <c r="I19" s="111">
        <f t="shared" si="3"/>
        <v>0</v>
      </c>
      <c r="J19" s="111">
        <f t="shared" si="3"/>
        <v>0</v>
      </c>
      <c r="K19" s="111">
        <f t="shared" si="3"/>
        <v>0</v>
      </c>
      <c r="L19" s="111">
        <f t="shared" si="3"/>
        <v>0</v>
      </c>
      <c r="M19" s="111">
        <f>IF(Input!M$173&gt;0, L19+L51+L83, 0)</f>
        <v>0</v>
      </c>
      <c r="N19" s="111">
        <f>IF(Input!N$173&gt;0, M19+M51+M83, 0)</f>
        <v>0</v>
      </c>
      <c r="O19" s="111">
        <f>IF(Input!O$173&gt;0, N19+N51+N83, 0)</f>
        <v>0</v>
      </c>
      <c r="P19" s="111">
        <f>IF(Input!P$173&gt;0, O19+O51+O83, 0)</f>
        <v>0</v>
      </c>
      <c r="Q19" s="111">
        <f>IF(Input!Q$173&gt;0, P19+P51+P83, 0)</f>
        <v>0</v>
      </c>
      <c r="R19" s="111"/>
      <c r="S19" s="100"/>
      <c r="T19" s="100"/>
      <c r="U19" s="100"/>
      <c r="V19" s="100"/>
      <c r="W19" s="100"/>
      <c r="X19" s="100"/>
      <c r="Y19" s="100"/>
      <c r="Z19" s="100"/>
      <c r="AA19" s="100"/>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0"/>
      <c r="BL19" s="220"/>
    </row>
    <row r="20" spans="1:64" hidden="1" outlineLevel="1">
      <c r="A20" s="9"/>
      <c r="B20" s="9"/>
      <c r="C20" s="46"/>
      <c r="D20" s="129">
        <f>Asset14</f>
        <v>0</v>
      </c>
      <c r="E20" s="9"/>
      <c r="F20" s="9"/>
      <c r="G20" s="193">
        <f>'Actual RAB roll forward'!G451</f>
        <v>0</v>
      </c>
      <c r="H20" s="111">
        <f t="shared" si="2"/>
        <v>0</v>
      </c>
      <c r="I20" s="111">
        <f t="shared" si="3"/>
        <v>0</v>
      </c>
      <c r="J20" s="111">
        <f t="shared" si="3"/>
        <v>0</v>
      </c>
      <c r="K20" s="111">
        <f t="shared" si="3"/>
        <v>0</v>
      </c>
      <c r="L20" s="111">
        <f t="shared" si="3"/>
        <v>0</v>
      </c>
      <c r="M20" s="111">
        <f>IF(Input!M$173&gt;0, L20+L52+L84, 0)</f>
        <v>0</v>
      </c>
      <c r="N20" s="111">
        <f>IF(Input!N$173&gt;0, M20+M52+M84, 0)</f>
        <v>0</v>
      </c>
      <c r="O20" s="111">
        <f>IF(Input!O$173&gt;0, N20+N52+N84, 0)</f>
        <v>0</v>
      </c>
      <c r="P20" s="111">
        <f>IF(Input!P$173&gt;0, O20+O52+O84, 0)</f>
        <v>0</v>
      </c>
      <c r="Q20" s="111">
        <f>IF(Input!Q$173&gt;0, P20+P52+P84, 0)</f>
        <v>0</v>
      </c>
      <c r="R20" s="111"/>
      <c r="S20" s="100"/>
      <c r="T20" s="100"/>
      <c r="U20" s="100"/>
      <c r="V20" s="100"/>
      <c r="W20" s="100"/>
      <c r="X20" s="100"/>
      <c r="Y20" s="100"/>
      <c r="Z20" s="100"/>
      <c r="AA20" s="100"/>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0"/>
      <c r="BL20" s="220"/>
    </row>
    <row r="21" spans="1:64" hidden="1" outlineLevel="1">
      <c r="A21" s="9"/>
      <c r="B21" s="9"/>
      <c r="C21" s="46"/>
      <c r="D21" s="129">
        <f>Asset15</f>
        <v>0</v>
      </c>
      <c r="E21" s="9"/>
      <c r="F21" s="9"/>
      <c r="G21" s="193">
        <f>'Actual RAB roll forward'!G452</f>
        <v>0</v>
      </c>
      <c r="H21" s="111">
        <f t="shared" si="2"/>
        <v>0</v>
      </c>
      <c r="I21" s="111">
        <f t="shared" si="3"/>
        <v>0</v>
      </c>
      <c r="J21" s="111">
        <f t="shared" si="3"/>
        <v>0</v>
      </c>
      <c r="K21" s="111">
        <f t="shared" si="3"/>
        <v>0</v>
      </c>
      <c r="L21" s="111">
        <f t="shared" si="3"/>
        <v>0</v>
      </c>
      <c r="M21" s="111">
        <f>IF(Input!M$173&gt;0, L21+L53+L85, 0)</f>
        <v>0</v>
      </c>
      <c r="N21" s="111">
        <f>IF(Input!N$173&gt;0, M21+M53+M85, 0)</f>
        <v>0</v>
      </c>
      <c r="O21" s="111">
        <f>IF(Input!O$173&gt;0, N21+N53+N85, 0)</f>
        <v>0</v>
      </c>
      <c r="P21" s="111">
        <f>IF(Input!P$173&gt;0, O21+O53+O85, 0)</f>
        <v>0</v>
      </c>
      <c r="Q21" s="111">
        <f>IF(Input!Q$173&gt;0, P21+P53+P85, 0)</f>
        <v>0</v>
      </c>
      <c r="R21" s="111"/>
      <c r="S21" s="100"/>
      <c r="T21" s="100"/>
      <c r="U21" s="100"/>
      <c r="V21" s="100"/>
      <c r="W21" s="100"/>
      <c r="X21" s="100"/>
      <c r="Y21" s="100"/>
      <c r="Z21" s="100"/>
      <c r="AA21" s="100"/>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0"/>
      <c r="BL21" s="220"/>
    </row>
    <row r="22" spans="1:64" hidden="1" outlineLevel="1">
      <c r="A22" s="9"/>
      <c r="B22" s="9"/>
      <c r="C22" s="46"/>
      <c r="D22" s="129">
        <f>Asset16</f>
        <v>0</v>
      </c>
      <c r="E22" s="9"/>
      <c r="F22" s="9"/>
      <c r="G22" s="193">
        <f>'Actual RAB roll forward'!G453</f>
        <v>0</v>
      </c>
      <c r="H22" s="111">
        <f t="shared" si="2"/>
        <v>0</v>
      </c>
      <c r="I22" s="111">
        <f t="shared" si="3"/>
        <v>0</v>
      </c>
      <c r="J22" s="111">
        <f t="shared" si="3"/>
        <v>0</v>
      </c>
      <c r="K22" s="111">
        <f t="shared" si="3"/>
        <v>0</v>
      </c>
      <c r="L22" s="111">
        <f t="shared" si="3"/>
        <v>0</v>
      </c>
      <c r="M22" s="111">
        <f>IF(Input!M$173&gt;0, L22+L54+L86, 0)</f>
        <v>0</v>
      </c>
      <c r="N22" s="111">
        <f>IF(Input!N$173&gt;0, M22+M54+M86, 0)</f>
        <v>0</v>
      </c>
      <c r="O22" s="111">
        <f>IF(Input!O$173&gt;0, N22+N54+N86, 0)</f>
        <v>0</v>
      </c>
      <c r="P22" s="111">
        <f>IF(Input!P$173&gt;0, O22+O54+O86, 0)</f>
        <v>0</v>
      </c>
      <c r="Q22" s="111">
        <f>IF(Input!Q$173&gt;0, P22+P54+P86, 0)</f>
        <v>0</v>
      </c>
      <c r="R22" s="111"/>
      <c r="S22" s="100"/>
      <c r="T22" s="100"/>
      <c r="U22" s="100"/>
      <c r="V22" s="100"/>
      <c r="W22" s="100"/>
      <c r="X22" s="100"/>
      <c r="Y22" s="100"/>
      <c r="Z22" s="100"/>
      <c r="AA22" s="100"/>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0"/>
      <c r="BL22" s="220"/>
    </row>
    <row r="23" spans="1:64" hidden="1" outlineLevel="1">
      <c r="A23" s="9"/>
      <c r="B23" s="9"/>
      <c r="C23" s="46"/>
      <c r="D23" s="129">
        <f>Asset17</f>
        <v>0</v>
      </c>
      <c r="E23" s="9"/>
      <c r="F23" s="9"/>
      <c r="G23" s="193">
        <f>'Actual RAB roll forward'!G454</f>
        <v>0</v>
      </c>
      <c r="H23" s="111">
        <f t="shared" si="2"/>
        <v>0</v>
      </c>
      <c r="I23" s="111">
        <f t="shared" si="3"/>
        <v>0</v>
      </c>
      <c r="J23" s="111">
        <f t="shared" si="3"/>
        <v>0</v>
      </c>
      <c r="K23" s="111">
        <f t="shared" si="3"/>
        <v>0</v>
      </c>
      <c r="L23" s="111">
        <f t="shared" si="3"/>
        <v>0</v>
      </c>
      <c r="M23" s="111">
        <f>IF(Input!M$173&gt;0, L23+L55+L87, 0)</f>
        <v>0</v>
      </c>
      <c r="N23" s="111">
        <f>IF(Input!N$173&gt;0, M23+M55+M87, 0)</f>
        <v>0</v>
      </c>
      <c r="O23" s="111">
        <f>IF(Input!O$173&gt;0, N23+N55+N87, 0)</f>
        <v>0</v>
      </c>
      <c r="P23" s="111">
        <f>IF(Input!P$173&gt;0, O23+O55+O87, 0)</f>
        <v>0</v>
      </c>
      <c r="Q23" s="111">
        <f>IF(Input!Q$173&gt;0, P23+P55+P87, 0)</f>
        <v>0</v>
      </c>
      <c r="R23" s="111"/>
      <c r="S23" s="100"/>
      <c r="T23" s="100"/>
      <c r="U23" s="100"/>
      <c r="V23" s="100"/>
      <c r="W23" s="100"/>
      <c r="X23" s="100"/>
      <c r="Y23" s="100"/>
      <c r="Z23" s="100"/>
      <c r="AA23" s="100"/>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0"/>
      <c r="BL23" s="220"/>
    </row>
    <row r="24" spans="1:64" hidden="1" outlineLevel="1">
      <c r="A24" s="9"/>
      <c r="B24" s="9"/>
      <c r="C24" s="46"/>
      <c r="D24" s="129">
        <f>Asset18</f>
        <v>0</v>
      </c>
      <c r="E24" s="9"/>
      <c r="F24" s="9"/>
      <c r="G24" s="193">
        <f>'Actual RAB roll forward'!G455</f>
        <v>0</v>
      </c>
      <c r="H24" s="111">
        <f t="shared" si="2"/>
        <v>0</v>
      </c>
      <c r="I24" s="111">
        <f t="shared" si="3"/>
        <v>0</v>
      </c>
      <c r="J24" s="111">
        <f t="shared" si="3"/>
        <v>0</v>
      </c>
      <c r="K24" s="111">
        <f t="shared" si="3"/>
        <v>0</v>
      </c>
      <c r="L24" s="111">
        <f t="shared" si="3"/>
        <v>0</v>
      </c>
      <c r="M24" s="111">
        <f>IF(Input!M$173&gt;0, L24+L56+L88, 0)</f>
        <v>0</v>
      </c>
      <c r="N24" s="111">
        <f>IF(Input!N$173&gt;0, M24+M56+M88, 0)</f>
        <v>0</v>
      </c>
      <c r="O24" s="111">
        <f>IF(Input!O$173&gt;0, N24+N56+N88, 0)</f>
        <v>0</v>
      </c>
      <c r="P24" s="111">
        <f>IF(Input!P$173&gt;0, O24+O56+O88, 0)</f>
        <v>0</v>
      </c>
      <c r="Q24" s="111">
        <f>IF(Input!Q$173&gt;0, P24+P56+P88, 0)</f>
        <v>0</v>
      </c>
      <c r="R24" s="111"/>
      <c r="S24" s="100"/>
      <c r="T24" s="100"/>
      <c r="U24" s="100"/>
      <c r="V24" s="100"/>
      <c r="W24" s="100"/>
      <c r="X24" s="100"/>
      <c r="Y24" s="100"/>
      <c r="Z24" s="100"/>
      <c r="AA24" s="100"/>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0"/>
      <c r="BL24" s="220"/>
    </row>
    <row r="25" spans="1:64" hidden="1" outlineLevel="1">
      <c r="A25" s="9"/>
      <c r="B25" s="9"/>
      <c r="C25" s="46"/>
      <c r="D25" s="129">
        <f>Asset19</f>
        <v>0</v>
      </c>
      <c r="E25" s="9"/>
      <c r="F25" s="9"/>
      <c r="G25" s="193">
        <f>'Actual RAB roll forward'!G456</f>
        <v>0</v>
      </c>
      <c r="H25" s="111">
        <f t="shared" si="2"/>
        <v>0</v>
      </c>
      <c r="I25" s="111">
        <f t="shared" si="3"/>
        <v>0</v>
      </c>
      <c r="J25" s="111">
        <f t="shared" si="3"/>
        <v>0</v>
      </c>
      <c r="K25" s="111">
        <f t="shared" si="3"/>
        <v>0</v>
      </c>
      <c r="L25" s="111">
        <f t="shared" si="3"/>
        <v>0</v>
      </c>
      <c r="M25" s="111">
        <f>IF(Input!M$173&gt;0, L25+L57+L89, 0)</f>
        <v>0</v>
      </c>
      <c r="N25" s="111">
        <f>IF(Input!N$173&gt;0, M25+M57+M89, 0)</f>
        <v>0</v>
      </c>
      <c r="O25" s="111">
        <f>IF(Input!O$173&gt;0, N25+N57+N89, 0)</f>
        <v>0</v>
      </c>
      <c r="P25" s="111">
        <f>IF(Input!P$173&gt;0, O25+O57+O89, 0)</f>
        <v>0</v>
      </c>
      <c r="Q25" s="111">
        <f>IF(Input!Q$173&gt;0, P25+P57+P89, 0)</f>
        <v>0</v>
      </c>
      <c r="R25" s="111"/>
      <c r="S25" s="100"/>
      <c r="T25" s="100"/>
      <c r="U25" s="100"/>
      <c r="V25" s="100"/>
      <c r="W25" s="100"/>
      <c r="X25" s="100"/>
      <c r="Y25" s="100"/>
      <c r="Z25" s="100"/>
      <c r="AA25" s="100"/>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0"/>
      <c r="BL25" s="220"/>
    </row>
    <row r="26" spans="1:64" hidden="1" outlineLevel="1">
      <c r="A26" s="9"/>
      <c r="B26" s="9"/>
      <c r="C26" s="46"/>
      <c r="D26" s="129">
        <f>Asset20</f>
        <v>0</v>
      </c>
      <c r="E26" s="9"/>
      <c r="F26" s="9"/>
      <c r="G26" s="193">
        <f>'Actual RAB roll forward'!G457</f>
        <v>0</v>
      </c>
      <c r="H26" s="111">
        <f t="shared" si="2"/>
        <v>0</v>
      </c>
      <c r="I26" s="111">
        <f t="shared" si="3"/>
        <v>0</v>
      </c>
      <c r="J26" s="111">
        <f t="shared" si="3"/>
        <v>0</v>
      </c>
      <c r="K26" s="111">
        <f t="shared" si="3"/>
        <v>0</v>
      </c>
      <c r="L26" s="111">
        <f t="shared" si="3"/>
        <v>0</v>
      </c>
      <c r="M26" s="111">
        <f>IF(Input!M$173&gt;0, L26+L58+L90, 0)</f>
        <v>0</v>
      </c>
      <c r="N26" s="111">
        <f>IF(Input!N$173&gt;0, M26+M58+M90, 0)</f>
        <v>0</v>
      </c>
      <c r="O26" s="111">
        <f>IF(Input!O$173&gt;0, N26+N58+N90, 0)</f>
        <v>0</v>
      </c>
      <c r="P26" s="111">
        <f>IF(Input!P$173&gt;0, O26+O58+O90, 0)</f>
        <v>0</v>
      </c>
      <c r="Q26" s="111">
        <f>IF(Input!Q$173&gt;0, P26+P58+P90, 0)</f>
        <v>0</v>
      </c>
      <c r="R26" s="111"/>
      <c r="S26" s="100"/>
      <c r="T26" s="100"/>
      <c r="U26" s="100"/>
      <c r="V26" s="100"/>
      <c r="W26" s="100"/>
      <c r="X26" s="100"/>
      <c r="Y26" s="100"/>
      <c r="Z26" s="100"/>
      <c r="AA26" s="100"/>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0"/>
      <c r="BL26" s="220"/>
    </row>
    <row r="27" spans="1:64" hidden="1" outlineLevel="1">
      <c r="A27" s="9"/>
      <c r="B27" s="9"/>
      <c r="C27" s="46"/>
      <c r="D27" s="129">
        <f>Asset21</f>
        <v>0</v>
      </c>
      <c r="E27" s="9"/>
      <c r="F27" s="9"/>
      <c r="G27" s="193">
        <f>'Actual RAB roll forward'!G458</f>
        <v>0</v>
      </c>
      <c r="H27" s="111">
        <f t="shared" ref="H27:H36" si="4">G27+G59+G91+G123+G155+G187</f>
        <v>0</v>
      </c>
      <c r="I27" s="111">
        <f t="shared" si="3"/>
        <v>0</v>
      </c>
      <c r="J27" s="111">
        <f t="shared" si="3"/>
        <v>0</v>
      </c>
      <c r="K27" s="111">
        <f t="shared" si="3"/>
        <v>0</v>
      </c>
      <c r="L27" s="111">
        <f t="shared" si="3"/>
        <v>0</v>
      </c>
      <c r="M27" s="111">
        <f>IF(Input!M$173&gt;0, L27+L59+L91, 0)</f>
        <v>0</v>
      </c>
      <c r="N27" s="111">
        <f>IF(Input!N$173&gt;0, M27+M59+M91, 0)</f>
        <v>0</v>
      </c>
      <c r="O27" s="111">
        <f>IF(Input!O$173&gt;0, N27+N59+N91, 0)</f>
        <v>0</v>
      </c>
      <c r="P27" s="111">
        <f>IF(Input!P$173&gt;0, O27+O59+O91, 0)</f>
        <v>0</v>
      </c>
      <c r="Q27" s="111">
        <f>IF(Input!Q$173&gt;0, P27+P59+P91, 0)</f>
        <v>0</v>
      </c>
      <c r="R27" s="111"/>
      <c r="S27" s="100"/>
      <c r="T27" s="100"/>
      <c r="U27" s="100"/>
      <c r="V27" s="100"/>
      <c r="W27" s="100"/>
      <c r="X27" s="100"/>
      <c r="Y27" s="100"/>
      <c r="Z27" s="100"/>
      <c r="AA27" s="100"/>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0"/>
      <c r="BL27" s="220"/>
    </row>
    <row r="28" spans="1:64" hidden="1" outlineLevel="1">
      <c r="A28" s="9"/>
      <c r="B28" s="9"/>
      <c r="C28" s="46"/>
      <c r="D28" s="129">
        <f>Asset22</f>
        <v>0</v>
      </c>
      <c r="E28" s="9"/>
      <c r="F28" s="9"/>
      <c r="G28" s="193">
        <f>'Actual RAB roll forward'!G459</f>
        <v>0</v>
      </c>
      <c r="H28" s="111">
        <f t="shared" si="4"/>
        <v>0</v>
      </c>
      <c r="I28" s="111">
        <f t="shared" si="3"/>
        <v>0</v>
      </c>
      <c r="J28" s="111">
        <f t="shared" si="3"/>
        <v>0</v>
      </c>
      <c r="K28" s="111">
        <f t="shared" si="3"/>
        <v>0</v>
      </c>
      <c r="L28" s="111">
        <f t="shared" si="3"/>
        <v>0</v>
      </c>
      <c r="M28" s="111">
        <f>IF(Input!M$173&gt;0, L28+L60+L92, 0)</f>
        <v>0</v>
      </c>
      <c r="N28" s="111">
        <f>IF(Input!N$173&gt;0, M28+M60+M92, 0)</f>
        <v>0</v>
      </c>
      <c r="O28" s="111">
        <f>IF(Input!O$173&gt;0, N28+N60+N92, 0)</f>
        <v>0</v>
      </c>
      <c r="P28" s="111">
        <f>IF(Input!P$173&gt;0, O28+O60+O92, 0)</f>
        <v>0</v>
      </c>
      <c r="Q28" s="111">
        <f>IF(Input!Q$173&gt;0, P28+P60+P92, 0)</f>
        <v>0</v>
      </c>
      <c r="R28" s="111"/>
      <c r="S28" s="100"/>
      <c r="T28" s="100"/>
      <c r="U28" s="100"/>
      <c r="V28" s="100"/>
      <c r="W28" s="100"/>
      <c r="X28" s="100"/>
      <c r="Y28" s="100"/>
      <c r="Z28" s="100"/>
      <c r="AA28" s="100"/>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0"/>
      <c r="BL28" s="220"/>
    </row>
    <row r="29" spans="1:64" hidden="1" outlineLevel="1">
      <c r="A29" s="9"/>
      <c r="B29" s="9"/>
      <c r="C29" s="46"/>
      <c r="D29" s="129">
        <f>Asset23</f>
        <v>0</v>
      </c>
      <c r="E29" s="9"/>
      <c r="F29" s="9"/>
      <c r="G29" s="193">
        <f>'Actual RAB roll forward'!G460</f>
        <v>0</v>
      </c>
      <c r="H29" s="111">
        <f t="shared" si="4"/>
        <v>0</v>
      </c>
      <c r="I29" s="111">
        <f t="shared" si="3"/>
        <v>0</v>
      </c>
      <c r="J29" s="111">
        <f t="shared" si="3"/>
        <v>0</v>
      </c>
      <c r="K29" s="111">
        <f t="shared" si="3"/>
        <v>0</v>
      </c>
      <c r="L29" s="111">
        <f t="shared" si="3"/>
        <v>0</v>
      </c>
      <c r="M29" s="111">
        <f>IF(Input!M$173&gt;0, L29+L61+L93, 0)</f>
        <v>0</v>
      </c>
      <c r="N29" s="111">
        <f>IF(Input!N$173&gt;0, M29+M61+M93, 0)</f>
        <v>0</v>
      </c>
      <c r="O29" s="111">
        <f>IF(Input!O$173&gt;0, N29+N61+N93, 0)</f>
        <v>0</v>
      </c>
      <c r="P29" s="111">
        <f>IF(Input!P$173&gt;0, O29+O61+O93, 0)</f>
        <v>0</v>
      </c>
      <c r="Q29" s="111">
        <f>IF(Input!Q$173&gt;0, P29+P61+P93, 0)</f>
        <v>0</v>
      </c>
      <c r="R29" s="111"/>
      <c r="S29" s="100"/>
      <c r="T29" s="100"/>
      <c r="U29" s="100"/>
      <c r="V29" s="100"/>
      <c r="W29" s="100"/>
      <c r="X29" s="100"/>
      <c r="Y29" s="100"/>
      <c r="Z29" s="100"/>
      <c r="AA29" s="100"/>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0"/>
      <c r="BL29" s="220"/>
    </row>
    <row r="30" spans="1:64" hidden="1" outlineLevel="1">
      <c r="A30" s="9"/>
      <c r="B30" s="9"/>
      <c r="C30" s="46"/>
      <c r="D30" s="129">
        <f>Asset24</f>
        <v>0</v>
      </c>
      <c r="E30" s="9"/>
      <c r="F30" s="9"/>
      <c r="G30" s="193">
        <f>'Actual RAB roll forward'!G461</f>
        <v>0</v>
      </c>
      <c r="H30" s="111">
        <f t="shared" si="4"/>
        <v>0</v>
      </c>
      <c r="I30" s="111">
        <f t="shared" si="3"/>
        <v>0</v>
      </c>
      <c r="J30" s="111">
        <f t="shared" si="3"/>
        <v>0</v>
      </c>
      <c r="K30" s="111">
        <f t="shared" si="3"/>
        <v>0</v>
      </c>
      <c r="L30" s="111">
        <f t="shared" si="3"/>
        <v>0</v>
      </c>
      <c r="M30" s="111">
        <f>IF(Input!M$173&gt;0, L30+L62+L94, 0)</f>
        <v>0</v>
      </c>
      <c r="N30" s="111">
        <f>IF(Input!N$173&gt;0, M30+M62+M94, 0)</f>
        <v>0</v>
      </c>
      <c r="O30" s="111">
        <f>IF(Input!O$173&gt;0, N30+N62+N94, 0)</f>
        <v>0</v>
      </c>
      <c r="P30" s="111">
        <f>IF(Input!P$173&gt;0, O30+O62+O94, 0)</f>
        <v>0</v>
      </c>
      <c r="Q30" s="111">
        <f>IF(Input!Q$173&gt;0, P30+P62+P94, 0)</f>
        <v>0</v>
      </c>
      <c r="R30" s="111"/>
      <c r="S30" s="100"/>
      <c r="T30" s="100"/>
      <c r="U30" s="100"/>
      <c r="V30" s="100"/>
      <c r="W30" s="100"/>
      <c r="X30" s="100"/>
      <c r="Y30" s="100"/>
      <c r="Z30" s="100"/>
      <c r="AA30" s="100"/>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0"/>
      <c r="BL30" s="220"/>
    </row>
    <row r="31" spans="1:64" hidden="1" outlineLevel="1">
      <c r="A31" s="9"/>
      <c r="B31" s="9"/>
      <c r="C31" s="46"/>
      <c r="D31" s="129">
        <f>Asset25</f>
        <v>0</v>
      </c>
      <c r="E31" s="9"/>
      <c r="F31" s="9"/>
      <c r="G31" s="193">
        <f>'Actual RAB roll forward'!G462</f>
        <v>0</v>
      </c>
      <c r="H31" s="111">
        <f t="shared" si="4"/>
        <v>0</v>
      </c>
      <c r="I31" s="111">
        <f t="shared" si="3"/>
        <v>0</v>
      </c>
      <c r="J31" s="111">
        <f t="shared" si="3"/>
        <v>0</v>
      </c>
      <c r="K31" s="111">
        <f t="shared" si="3"/>
        <v>0</v>
      </c>
      <c r="L31" s="111">
        <f t="shared" si="3"/>
        <v>0</v>
      </c>
      <c r="M31" s="111">
        <f>IF(Input!M$173&gt;0, L31+L63+L95, 0)</f>
        <v>0</v>
      </c>
      <c r="N31" s="111">
        <f>IF(Input!N$173&gt;0, M31+M63+M95, 0)</f>
        <v>0</v>
      </c>
      <c r="O31" s="111">
        <f>IF(Input!O$173&gt;0, N31+N63+N95, 0)</f>
        <v>0</v>
      </c>
      <c r="P31" s="111">
        <f>IF(Input!P$173&gt;0, O31+O63+O95, 0)</f>
        <v>0</v>
      </c>
      <c r="Q31" s="111">
        <f>IF(Input!Q$173&gt;0, P31+P63+P95, 0)</f>
        <v>0</v>
      </c>
      <c r="R31" s="111"/>
      <c r="S31" s="100"/>
      <c r="T31" s="100"/>
      <c r="U31" s="100"/>
      <c r="V31" s="100"/>
      <c r="W31" s="100"/>
      <c r="X31" s="100"/>
      <c r="Y31" s="100"/>
      <c r="Z31" s="100"/>
      <c r="AA31" s="100"/>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0"/>
      <c r="BL31" s="220"/>
    </row>
    <row r="32" spans="1:64" hidden="1" outlineLevel="1">
      <c r="A32" s="9"/>
      <c r="B32" s="9"/>
      <c r="C32" s="46"/>
      <c r="D32" s="129">
        <f>Asset26</f>
        <v>0</v>
      </c>
      <c r="E32" s="9"/>
      <c r="F32" s="9"/>
      <c r="G32" s="193">
        <f>'Actual RAB roll forward'!G463</f>
        <v>0</v>
      </c>
      <c r="H32" s="111">
        <f t="shared" si="4"/>
        <v>0</v>
      </c>
      <c r="I32" s="111">
        <f t="shared" si="3"/>
        <v>0</v>
      </c>
      <c r="J32" s="111">
        <f t="shared" si="3"/>
        <v>0</v>
      </c>
      <c r="K32" s="111">
        <f t="shared" si="3"/>
        <v>0</v>
      </c>
      <c r="L32" s="111">
        <f t="shared" si="3"/>
        <v>0</v>
      </c>
      <c r="M32" s="111">
        <f>IF(Input!M$173&gt;0, L32+L64+L96, 0)</f>
        <v>0</v>
      </c>
      <c r="N32" s="111">
        <f>IF(Input!N$173&gt;0, M32+M64+M96, 0)</f>
        <v>0</v>
      </c>
      <c r="O32" s="111">
        <f>IF(Input!O$173&gt;0, N32+N64+N96, 0)</f>
        <v>0</v>
      </c>
      <c r="P32" s="111">
        <f>IF(Input!P$173&gt;0, O32+O64+O96, 0)</f>
        <v>0</v>
      </c>
      <c r="Q32" s="111">
        <f>IF(Input!Q$173&gt;0, P32+P64+P96, 0)</f>
        <v>0</v>
      </c>
      <c r="R32" s="111"/>
      <c r="S32" s="100"/>
      <c r="T32" s="100"/>
      <c r="U32" s="100"/>
      <c r="V32" s="100"/>
      <c r="W32" s="100"/>
      <c r="X32" s="100"/>
      <c r="Y32" s="100"/>
      <c r="Z32" s="100"/>
      <c r="AA32" s="100"/>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0"/>
      <c r="BL32" s="220"/>
    </row>
    <row r="33" spans="1:64" hidden="1" outlineLevel="1">
      <c r="A33" s="9"/>
      <c r="B33" s="9"/>
      <c r="C33" s="46"/>
      <c r="D33" s="129">
        <f>Asset27</f>
        <v>0</v>
      </c>
      <c r="E33" s="9"/>
      <c r="F33" s="9"/>
      <c r="G33" s="193">
        <f>'Actual RAB roll forward'!G464</f>
        <v>0</v>
      </c>
      <c r="H33" s="111">
        <f t="shared" si="4"/>
        <v>0</v>
      </c>
      <c r="I33" s="111">
        <f t="shared" si="3"/>
        <v>0</v>
      </c>
      <c r="J33" s="111">
        <f t="shared" si="3"/>
        <v>0</v>
      </c>
      <c r="K33" s="111">
        <f t="shared" si="3"/>
        <v>0</v>
      </c>
      <c r="L33" s="111">
        <f t="shared" si="3"/>
        <v>0</v>
      </c>
      <c r="M33" s="111">
        <f>IF(Input!M$173&gt;0, L33+L65+L97, 0)</f>
        <v>0</v>
      </c>
      <c r="N33" s="111">
        <f>IF(Input!N$173&gt;0, M33+M65+M97, 0)</f>
        <v>0</v>
      </c>
      <c r="O33" s="111">
        <f>IF(Input!O$173&gt;0, N33+N65+N97, 0)</f>
        <v>0</v>
      </c>
      <c r="P33" s="111">
        <f>IF(Input!P$173&gt;0, O33+O65+O97, 0)</f>
        <v>0</v>
      </c>
      <c r="Q33" s="111">
        <f>IF(Input!Q$173&gt;0, P33+P65+P97, 0)</f>
        <v>0</v>
      </c>
      <c r="R33" s="111"/>
      <c r="S33" s="100"/>
      <c r="T33" s="100"/>
      <c r="U33" s="100"/>
      <c r="V33" s="100"/>
      <c r="W33" s="100"/>
      <c r="X33" s="100"/>
      <c r="Y33" s="100"/>
      <c r="Z33" s="100"/>
      <c r="AA33" s="100"/>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0"/>
      <c r="BL33" s="220"/>
    </row>
    <row r="34" spans="1:64" hidden="1" outlineLevel="1">
      <c r="A34" s="9"/>
      <c r="B34" s="9"/>
      <c r="C34" s="46"/>
      <c r="D34" s="129">
        <f>Asset28</f>
        <v>0</v>
      </c>
      <c r="E34" s="9"/>
      <c r="F34" s="9"/>
      <c r="G34" s="193">
        <f>'Actual RAB roll forward'!G465</f>
        <v>0</v>
      </c>
      <c r="H34" s="111">
        <f t="shared" si="4"/>
        <v>0</v>
      </c>
      <c r="I34" s="111">
        <f t="shared" si="3"/>
        <v>0</v>
      </c>
      <c r="J34" s="111">
        <f t="shared" si="3"/>
        <v>0</v>
      </c>
      <c r="K34" s="111">
        <f t="shared" si="3"/>
        <v>0</v>
      </c>
      <c r="L34" s="111">
        <f t="shared" si="3"/>
        <v>0</v>
      </c>
      <c r="M34" s="111">
        <f>IF(Input!M$173&gt;0, L34+L66+L98, 0)</f>
        <v>0</v>
      </c>
      <c r="N34" s="111">
        <f>IF(Input!N$173&gt;0, M34+M66+M98, 0)</f>
        <v>0</v>
      </c>
      <c r="O34" s="111">
        <f>IF(Input!O$173&gt;0, N34+N66+N98, 0)</f>
        <v>0</v>
      </c>
      <c r="P34" s="111">
        <f>IF(Input!P$173&gt;0, O34+O66+O98, 0)</f>
        <v>0</v>
      </c>
      <c r="Q34" s="111">
        <f>IF(Input!Q$173&gt;0, P34+P66+P98, 0)</f>
        <v>0</v>
      </c>
      <c r="R34" s="111"/>
      <c r="S34" s="100"/>
      <c r="T34" s="100"/>
      <c r="U34" s="100"/>
      <c r="V34" s="100"/>
      <c r="W34" s="100"/>
      <c r="X34" s="100"/>
      <c r="Y34" s="100"/>
      <c r="Z34" s="100"/>
      <c r="AA34" s="100"/>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0"/>
      <c r="BL34" s="220"/>
    </row>
    <row r="35" spans="1:64" hidden="1" outlineLevel="1">
      <c r="A35" s="9"/>
      <c r="B35" s="9"/>
      <c r="C35" s="46"/>
      <c r="D35" s="129">
        <f>Asset29</f>
        <v>0</v>
      </c>
      <c r="E35" s="9"/>
      <c r="F35" s="9"/>
      <c r="G35" s="193">
        <f>'Actual RAB roll forward'!G466</f>
        <v>0</v>
      </c>
      <c r="H35" s="111">
        <f t="shared" si="4"/>
        <v>0</v>
      </c>
      <c r="I35" s="111">
        <f t="shared" ref="I35:L36" si="5">H35+H67+H99</f>
        <v>0</v>
      </c>
      <c r="J35" s="111">
        <f t="shared" si="5"/>
        <v>0</v>
      </c>
      <c r="K35" s="111">
        <f t="shared" si="5"/>
        <v>0</v>
      </c>
      <c r="L35" s="111">
        <f t="shared" si="5"/>
        <v>0</v>
      </c>
      <c r="M35" s="111">
        <f>IF(Input!M$173&gt;0, L35+L67+L99, 0)</f>
        <v>0</v>
      </c>
      <c r="N35" s="111">
        <f>IF(Input!N$173&gt;0, M35+M67+M99, 0)</f>
        <v>0</v>
      </c>
      <c r="O35" s="111">
        <f>IF(Input!O$173&gt;0, N35+N67+N99, 0)</f>
        <v>0</v>
      </c>
      <c r="P35" s="111">
        <f>IF(Input!P$173&gt;0, O35+O67+O99, 0)</f>
        <v>0</v>
      </c>
      <c r="Q35" s="111">
        <f>IF(Input!Q$173&gt;0, P35+P67+P99, 0)</f>
        <v>0</v>
      </c>
      <c r="R35" s="111"/>
      <c r="S35" s="100"/>
      <c r="T35" s="100"/>
      <c r="U35" s="100"/>
      <c r="V35" s="100"/>
      <c r="W35" s="100"/>
      <c r="X35" s="100"/>
      <c r="Y35" s="100"/>
      <c r="Z35" s="100"/>
      <c r="AA35" s="100"/>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0"/>
      <c r="BL35" s="220"/>
    </row>
    <row r="36" spans="1:64" hidden="1" outlineLevel="1">
      <c r="A36" s="9"/>
      <c r="B36" s="9"/>
      <c r="C36" s="46"/>
      <c r="D36" s="129">
        <f>Asset30</f>
        <v>0</v>
      </c>
      <c r="E36" s="9"/>
      <c r="F36" s="9"/>
      <c r="G36" s="193">
        <f>'Actual RAB roll forward'!G467</f>
        <v>0</v>
      </c>
      <c r="H36" s="111">
        <f t="shared" si="4"/>
        <v>0</v>
      </c>
      <c r="I36" s="111">
        <f t="shared" si="5"/>
        <v>0</v>
      </c>
      <c r="J36" s="111">
        <f t="shared" si="5"/>
        <v>0</v>
      </c>
      <c r="K36" s="111">
        <f t="shared" si="5"/>
        <v>0</v>
      </c>
      <c r="L36" s="111">
        <f t="shared" si="5"/>
        <v>0</v>
      </c>
      <c r="M36" s="111">
        <f>IF(Input!M$173&gt;0, L36+L68+L100, 0)</f>
        <v>0</v>
      </c>
      <c r="N36" s="111">
        <f>IF(Input!N$173&gt;0, M36+M68+M100, 0)</f>
        <v>0</v>
      </c>
      <c r="O36" s="111">
        <f>IF(Input!O$173&gt;0, N36+N68+N100, 0)</f>
        <v>0</v>
      </c>
      <c r="P36" s="111">
        <f>IF(Input!P$173&gt;0, O36+O68+O100, 0)</f>
        <v>0</v>
      </c>
      <c r="Q36" s="111">
        <f>IF(Input!Q$173&gt;0, P36+P68+P100, 0)</f>
        <v>0</v>
      </c>
      <c r="R36" s="111"/>
      <c r="S36" s="100"/>
      <c r="T36" s="100"/>
      <c r="U36" s="100"/>
      <c r="V36" s="100"/>
      <c r="W36" s="100"/>
      <c r="X36" s="100"/>
      <c r="Y36" s="100"/>
      <c r="Z36" s="100"/>
      <c r="AA36" s="100"/>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0"/>
      <c r="BL36" s="220"/>
    </row>
    <row r="37" spans="1:64" collapsed="1">
      <c r="A37" s="9"/>
      <c r="B37" s="9"/>
      <c r="C37" s="46"/>
      <c r="D37" s="114"/>
      <c r="E37" s="9"/>
      <c r="F37" s="9"/>
      <c r="G37" s="203"/>
      <c r="H37" s="37"/>
      <c r="I37" s="37"/>
      <c r="J37" s="37"/>
      <c r="K37" s="37"/>
      <c r="L37" s="37"/>
      <c r="M37" s="37"/>
      <c r="N37" s="100"/>
      <c r="O37" s="29"/>
      <c r="P37" s="29"/>
      <c r="Q37" s="29"/>
      <c r="R37" s="29"/>
      <c r="S37" s="100"/>
      <c r="T37" s="100"/>
      <c r="U37" s="100"/>
      <c r="V37" s="100"/>
      <c r="W37" s="100"/>
      <c r="X37" s="100"/>
      <c r="Y37" s="100"/>
      <c r="Z37" s="100"/>
      <c r="AA37" s="100"/>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0"/>
      <c r="BL37" s="220"/>
    </row>
    <row r="38" spans="1:64">
      <c r="A38" s="9"/>
      <c r="B38" s="9"/>
      <c r="C38" s="46" t="s">
        <v>34</v>
      </c>
      <c r="D38" s="9"/>
      <c r="E38" s="9"/>
      <c r="F38" s="9"/>
      <c r="G38" s="194">
        <f>SUM(G39:G68)</f>
        <v>95.596769927678125</v>
      </c>
      <c r="H38" s="37">
        <f>SUM(H39:H68)</f>
        <v>101.75288355819396</v>
      </c>
      <c r="I38" s="37">
        <f t="shared" ref="I38:Q38" si="6">SUM(I39:I68)</f>
        <v>111.97417645404924</v>
      </c>
      <c r="J38" s="37">
        <f t="shared" si="6"/>
        <v>127.2379368063544</v>
      </c>
      <c r="K38" s="37">
        <f t="shared" si="6"/>
        <v>89.393797501787873</v>
      </c>
      <c r="L38" s="37">
        <f t="shared" si="6"/>
        <v>103.16281543176274</v>
      </c>
      <c r="M38" s="37">
        <f t="shared" si="6"/>
        <v>0</v>
      </c>
      <c r="N38" s="37">
        <f t="shared" si="6"/>
        <v>0</v>
      </c>
      <c r="O38" s="37">
        <f t="shared" si="6"/>
        <v>0</v>
      </c>
      <c r="P38" s="37">
        <f t="shared" si="6"/>
        <v>0</v>
      </c>
      <c r="Q38" s="37">
        <f t="shared" si="6"/>
        <v>0</v>
      </c>
      <c r="R38" s="29"/>
      <c r="S38" s="100"/>
      <c r="T38" s="100"/>
      <c r="U38" s="100"/>
      <c r="V38" s="100"/>
      <c r="W38" s="100"/>
      <c r="X38" s="100"/>
      <c r="Y38" s="100"/>
      <c r="Z38" s="100"/>
      <c r="AA38" s="100"/>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0"/>
      <c r="BL38" s="220"/>
    </row>
    <row r="39" spans="1:64" hidden="1" outlineLevel="1">
      <c r="A39" s="9"/>
      <c r="B39" s="9"/>
      <c r="C39" s="46"/>
      <c r="D39" s="129" t="str">
        <f>Asset1</f>
        <v>Mains &amp; Services</v>
      </c>
      <c r="E39" s="9"/>
      <c r="F39" s="9"/>
      <c r="G39" s="193">
        <f>'Actual RAB roll forward'!G470</f>
        <v>81.316072764121174</v>
      </c>
      <c r="H39" s="111">
        <f>'Actual RAB roll forward'!H470</f>
        <v>88.362005079577557</v>
      </c>
      <c r="I39" s="111">
        <f>'Actual RAB roll forward'!I470</f>
        <v>96.252380554708509</v>
      </c>
      <c r="J39" s="111">
        <f>'Actual RAB roll forward'!J470</f>
        <v>102.91870082493155</v>
      </c>
      <c r="K39" s="111">
        <f>'Actual RAB roll forward'!K470</f>
        <v>74.756424872199702</v>
      </c>
      <c r="L39" s="111">
        <f>'Actual RAB roll forward'!L470</f>
        <v>73.709800720417647</v>
      </c>
      <c r="M39" s="111">
        <f>'Actual RAB roll forward'!M470</f>
        <v>0</v>
      </c>
      <c r="N39" s="111">
        <f>'Actual RAB roll forward'!N470</f>
        <v>0</v>
      </c>
      <c r="O39" s="111">
        <f>'Actual RAB roll forward'!O470</f>
        <v>0</v>
      </c>
      <c r="P39" s="111">
        <f>'Actual RAB roll forward'!P470</f>
        <v>0</v>
      </c>
      <c r="Q39" s="111">
        <f>'Actual RAB roll forward'!Q470</f>
        <v>0</v>
      </c>
      <c r="R39" s="29"/>
      <c r="S39" s="100"/>
      <c r="T39" s="100"/>
      <c r="U39" s="100"/>
      <c r="V39" s="100"/>
      <c r="W39" s="100"/>
      <c r="X39" s="100"/>
      <c r="Y39" s="100"/>
      <c r="Z39" s="100"/>
      <c r="AA39" s="100"/>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0"/>
      <c r="BL39" s="220"/>
    </row>
    <row r="40" spans="1:64" hidden="1" outlineLevel="1">
      <c r="A40" s="9"/>
      <c r="B40" s="9"/>
      <c r="C40" s="46"/>
      <c r="D40" s="129" t="str">
        <f>Asset2</f>
        <v>Meters</v>
      </c>
      <c r="E40" s="9"/>
      <c r="F40" s="9"/>
      <c r="G40" s="193">
        <f>'Actual RAB roll forward'!G471</f>
        <v>9.5519727888084951</v>
      </c>
      <c r="H40" s="111">
        <f>'Actual RAB roll forward'!H471</f>
        <v>8.8027962623924463</v>
      </c>
      <c r="I40" s="111">
        <f>'Actual RAB roll forward'!I471</f>
        <v>10.872814076653498</v>
      </c>
      <c r="J40" s="111">
        <f>'Actual RAB roll forward'!J471</f>
        <v>9.9492695079694471</v>
      </c>
      <c r="K40" s="111">
        <f>'Actual RAB roll forward'!K471</f>
        <v>11.664478949538553</v>
      </c>
      <c r="L40" s="111">
        <f>'Actual RAB roll forward'!L471</f>
        <v>15.751542320268149</v>
      </c>
      <c r="M40" s="111">
        <f>'Actual RAB roll forward'!M471</f>
        <v>0</v>
      </c>
      <c r="N40" s="111">
        <f>'Actual RAB roll forward'!N471</f>
        <v>0</v>
      </c>
      <c r="O40" s="111">
        <f>'Actual RAB roll forward'!O471</f>
        <v>0</v>
      </c>
      <c r="P40" s="111">
        <f>'Actual RAB roll forward'!P471</f>
        <v>0</v>
      </c>
      <c r="Q40" s="111">
        <f>'Actual RAB roll forward'!Q471</f>
        <v>0</v>
      </c>
      <c r="R40" s="29"/>
      <c r="S40" s="100"/>
      <c r="T40" s="100"/>
      <c r="U40" s="100"/>
      <c r="V40" s="100"/>
      <c r="W40" s="100"/>
      <c r="X40" s="100"/>
      <c r="Y40" s="100"/>
      <c r="Z40" s="100"/>
      <c r="AA40" s="100"/>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0"/>
      <c r="BL40" s="220"/>
    </row>
    <row r="41" spans="1:64" hidden="1" outlineLevel="1">
      <c r="A41" s="9"/>
      <c r="B41" s="9"/>
      <c r="C41" s="46"/>
      <c r="D41" s="129" t="str">
        <f>Asset3</f>
        <v>Buildings</v>
      </c>
      <c r="E41" s="9"/>
      <c r="F41" s="9"/>
      <c r="G41" s="193">
        <f>'Actual RAB roll forward'!G472</f>
        <v>0</v>
      </c>
      <c r="H41" s="111">
        <f>'Actual RAB roll forward'!H472</f>
        <v>-0.7848262693018806</v>
      </c>
      <c r="I41" s="111">
        <f>'Actual RAB roll forward'!I472</f>
        <v>0</v>
      </c>
      <c r="J41" s="111">
        <f>'Actual RAB roll forward'!J472</f>
        <v>0</v>
      </c>
      <c r="K41" s="111">
        <f>'Actual RAB roll forward'!K472</f>
        <v>0</v>
      </c>
      <c r="L41" s="111">
        <f>'Actual RAB roll forward'!L472</f>
        <v>0</v>
      </c>
      <c r="M41" s="111">
        <f>'Actual RAB roll forward'!M472</f>
        <v>0</v>
      </c>
      <c r="N41" s="111">
        <f>'Actual RAB roll forward'!N472</f>
        <v>0</v>
      </c>
      <c r="O41" s="111">
        <f>'Actual RAB roll forward'!O472</f>
        <v>0</v>
      </c>
      <c r="P41" s="111">
        <f>'Actual RAB roll forward'!P472</f>
        <v>0</v>
      </c>
      <c r="Q41" s="111">
        <f>'Actual RAB roll forward'!Q472</f>
        <v>0</v>
      </c>
      <c r="R41" s="29"/>
      <c r="S41" s="100"/>
      <c r="T41" s="100"/>
      <c r="U41" s="100"/>
      <c r="V41" s="100"/>
      <c r="W41" s="100"/>
      <c r="X41" s="100"/>
      <c r="Y41" s="100"/>
      <c r="Z41" s="100"/>
      <c r="AA41" s="100"/>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0"/>
      <c r="BL41" s="220"/>
    </row>
    <row r="42" spans="1:64" hidden="1" outlineLevel="1">
      <c r="A42" s="9"/>
      <c r="B42" s="9"/>
      <c r="C42" s="46"/>
      <c r="D42" s="129" t="str">
        <f>Asset4</f>
        <v>SCADA</v>
      </c>
      <c r="E42" s="9"/>
      <c r="F42" s="9"/>
      <c r="G42" s="193">
        <f>'Actual RAB roll forward'!G473</f>
        <v>0.37096865358991299</v>
      </c>
      <c r="H42" s="111">
        <f>'Actual RAB roll forward'!H473</f>
        <v>0.15550849836586603</v>
      </c>
      <c r="I42" s="111">
        <f>'Actual RAB roll forward'!I473</f>
        <v>0.40835553017454779</v>
      </c>
      <c r="J42" s="111">
        <f>'Actual RAB roll forward'!J473</f>
        <v>0.42370880525460275</v>
      </c>
      <c r="K42" s="111">
        <f>'Actual RAB roll forward'!K473</f>
        <v>0.24552804569761835</v>
      </c>
      <c r="L42" s="111">
        <f>'Actual RAB roll forward'!L473</f>
        <v>0.52539480597362698</v>
      </c>
      <c r="M42" s="111">
        <f>'Actual RAB roll forward'!M473</f>
        <v>0</v>
      </c>
      <c r="N42" s="111">
        <f>'Actual RAB roll forward'!N473</f>
        <v>0</v>
      </c>
      <c r="O42" s="111">
        <f>'Actual RAB roll forward'!O473</f>
        <v>0</v>
      </c>
      <c r="P42" s="111">
        <f>'Actual RAB roll forward'!P473</f>
        <v>0</v>
      </c>
      <c r="Q42" s="111">
        <f>'Actual RAB roll forward'!Q473</f>
        <v>0</v>
      </c>
      <c r="R42" s="29"/>
      <c r="S42" s="100"/>
      <c r="T42" s="100"/>
      <c r="U42" s="100"/>
      <c r="V42" s="100"/>
      <c r="W42" s="100"/>
      <c r="X42" s="100"/>
      <c r="Y42" s="100"/>
      <c r="Z42" s="100"/>
      <c r="AA42" s="100"/>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0"/>
      <c r="BL42" s="220"/>
    </row>
    <row r="43" spans="1:64" hidden="1" outlineLevel="1">
      <c r="A43" s="9"/>
      <c r="B43" s="9"/>
      <c r="C43" s="46"/>
      <c r="D43" s="129" t="str">
        <f>Asset5</f>
        <v>Computer Equipment</v>
      </c>
      <c r="E43" s="9"/>
      <c r="F43" s="9"/>
      <c r="G43" s="193">
        <f>'Actual RAB roll forward'!G474</f>
        <v>0.42811690253671564</v>
      </c>
      <c r="H43" s="111">
        <f>'Actual RAB roll forward'!H474</f>
        <v>0.90259337871064249</v>
      </c>
      <c r="I43" s="111">
        <f>'Actual RAB roll forward'!I474</f>
        <v>0.42170739037538624</v>
      </c>
      <c r="J43" s="111">
        <f>'Actual RAB roll forward'!J474</f>
        <v>11.684690196125594</v>
      </c>
      <c r="K43" s="111">
        <f>'Actual RAB roll forward'!K474</f>
        <v>0.54028020293933754</v>
      </c>
      <c r="L43" s="111">
        <f>'Actual RAB roll forward'!L474</f>
        <v>8.8905042657890228</v>
      </c>
      <c r="M43" s="111">
        <f>'Actual RAB roll forward'!M474</f>
        <v>0</v>
      </c>
      <c r="N43" s="111">
        <f>'Actual RAB roll forward'!N474</f>
        <v>0</v>
      </c>
      <c r="O43" s="111">
        <f>'Actual RAB roll forward'!O474</f>
        <v>0</v>
      </c>
      <c r="P43" s="111">
        <f>'Actual RAB roll forward'!P474</f>
        <v>0</v>
      </c>
      <c r="Q43" s="111">
        <f>'Actual RAB roll forward'!Q474</f>
        <v>0</v>
      </c>
      <c r="R43" s="29"/>
      <c r="S43" s="100"/>
      <c r="T43" s="100"/>
      <c r="U43" s="100"/>
      <c r="V43" s="100"/>
      <c r="W43" s="100"/>
      <c r="X43" s="100"/>
      <c r="Y43" s="100"/>
      <c r="Z43" s="100"/>
      <c r="AA43" s="100"/>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0"/>
      <c r="BL43" s="220"/>
    </row>
    <row r="44" spans="1:64" hidden="1" outlineLevel="1">
      <c r="A44" s="9"/>
      <c r="B44" s="9"/>
      <c r="C44" s="46"/>
      <c r="D44" s="129" t="str">
        <f>Asset6</f>
        <v>Other Assets</v>
      </c>
      <c r="E44" s="9"/>
      <c r="F44" s="9"/>
      <c r="G44" s="193">
        <f>'Actual RAB roll forward'!G475</f>
        <v>3.9296388186218278</v>
      </c>
      <c r="H44" s="111">
        <f>'Actual RAB roll forward'!H475</f>
        <v>4.3148066084493228</v>
      </c>
      <c r="I44" s="111">
        <f>'Actual RAB roll forward'!I475</f>
        <v>4.0189189021373055</v>
      </c>
      <c r="J44" s="111">
        <f>'Actual RAB roll forward'!J475</f>
        <v>2.2615674720731964</v>
      </c>
      <c r="K44" s="111">
        <f>'Actual RAB roll forward'!K475</f>
        <v>2.1870854314126587</v>
      </c>
      <c r="L44" s="111">
        <f>'Actual RAB roll forward'!L475</f>
        <v>4.2855733193142909</v>
      </c>
      <c r="M44" s="111">
        <f>'Actual RAB roll forward'!M475</f>
        <v>0</v>
      </c>
      <c r="N44" s="111">
        <f>'Actual RAB roll forward'!N475</f>
        <v>0</v>
      </c>
      <c r="O44" s="111">
        <f>'Actual RAB roll forward'!O475</f>
        <v>0</v>
      </c>
      <c r="P44" s="111">
        <f>'Actual RAB roll forward'!P475</f>
        <v>0</v>
      </c>
      <c r="Q44" s="111">
        <f>'Actual RAB roll forward'!Q475</f>
        <v>0</v>
      </c>
      <c r="R44" s="29"/>
      <c r="S44" s="100"/>
      <c r="T44" s="100"/>
      <c r="U44" s="100"/>
      <c r="V44" s="100"/>
      <c r="W44" s="100"/>
      <c r="X44" s="100"/>
      <c r="Y44" s="100"/>
      <c r="Z44" s="100"/>
      <c r="AA44" s="100"/>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0"/>
      <c r="BL44" s="220"/>
    </row>
    <row r="45" spans="1:64" hidden="1" outlineLevel="1">
      <c r="A45" s="9"/>
      <c r="B45" s="9"/>
      <c r="C45" s="46"/>
      <c r="D45" s="129" t="str">
        <f>Asset7</f>
        <v>Equity Raising Costs</v>
      </c>
      <c r="E45" s="9"/>
      <c r="F45" s="9"/>
      <c r="G45" s="193">
        <f>'Actual RAB roll forward'!G476</f>
        <v>0</v>
      </c>
      <c r="H45" s="111">
        <f>'Actual RAB roll forward'!H476</f>
        <v>0</v>
      </c>
      <c r="I45" s="111">
        <f>'Actual RAB roll forward'!I476</f>
        <v>0</v>
      </c>
      <c r="J45" s="111">
        <f>'Actual RAB roll forward'!J476</f>
        <v>0</v>
      </c>
      <c r="K45" s="111">
        <f>'Actual RAB roll forward'!K476</f>
        <v>0</v>
      </c>
      <c r="L45" s="111">
        <f>'Actual RAB roll forward'!L476</f>
        <v>0</v>
      </c>
      <c r="M45" s="111">
        <f>'Actual RAB roll forward'!M476</f>
        <v>0</v>
      </c>
      <c r="N45" s="111">
        <f>'Actual RAB roll forward'!N476</f>
        <v>0</v>
      </c>
      <c r="O45" s="111">
        <f>'Actual RAB roll forward'!O476</f>
        <v>0</v>
      </c>
      <c r="P45" s="111">
        <f>'Actual RAB roll forward'!P476</f>
        <v>0</v>
      </c>
      <c r="Q45" s="111">
        <f>'Actual RAB roll forward'!Q476</f>
        <v>0</v>
      </c>
      <c r="R45" s="29"/>
      <c r="S45" s="100"/>
      <c r="T45" s="100"/>
      <c r="U45" s="100"/>
      <c r="V45" s="100"/>
      <c r="W45" s="100"/>
      <c r="X45" s="100"/>
      <c r="Y45" s="100"/>
      <c r="Z45" s="100"/>
      <c r="AA45" s="100"/>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0"/>
      <c r="BL45" s="220"/>
    </row>
    <row r="46" spans="1:64" hidden="1" outlineLevel="1">
      <c r="A46" s="9"/>
      <c r="B46" s="9"/>
      <c r="C46" s="46"/>
      <c r="D46" s="129" t="str">
        <f>Asset8</f>
        <v>Land</v>
      </c>
      <c r="E46" s="9"/>
      <c r="F46" s="9"/>
      <c r="G46" s="193">
        <f>'Actual RAB roll forward'!G477</f>
        <v>0</v>
      </c>
      <c r="H46" s="111">
        <f>'Actual RAB roll forward'!H477</f>
        <v>0</v>
      </c>
      <c r="I46" s="111">
        <f>'Actual RAB roll forward'!I477</f>
        <v>0</v>
      </c>
      <c r="J46" s="111">
        <f>'Actual RAB roll forward'!J477</f>
        <v>0</v>
      </c>
      <c r="K46" s="111">
        <f>'Actual RAB roll forward'!K477</f>
        <v>0</v>
      </c>
      <c r="L46" s="111">
        <f>'Actual RAB roll forward'!L477</f>
        <v>0</v>
      </c>
      <c r="M46" s="111">
        <f>'Actual RAB roll forward'!M477</f>
        <v>0</v>
      </c>
      <c r="N46" s="111">
        <f>'Actual RAB roll forward'!N477</f>
        <v>0</v>
      </c>
      <c r="O46" s="111">
        <f>'Actual RAB roll forward'!O477</f>
        <v>0</v>
      </c>
      <c r="P46" s="111">
        <f>'Actual RAB roll forward'!P477</f>
        <v>0</v>
      </c>
      <c r="Q46" s="111">
        <f>'Actual RAB roll forward'!Q477</f>
        <v>0</v>
      </c>
      <c r="R46" s="29"/>
      <c r="S46" s="100"/>
      <c r="T46" s="100"/>
      <c r="U46" s="100"/>
      <c r="V46" s="100"/>
      <c r="W46" s="100"/>
      <c r="X46" s="100"/>
      <c r="Y46" s="100"/>
      <c r="Z46" s="100"/>
      <c r="AA46" s="100"/>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0"/>
      <c r="BL46" s="220"/>
    </row>
    <row r="47" spans="1:64" hidden="1" outlineLevel="1">
      <c r="A47" s="9"/>
      <c r="B47" s="9"/>
      <c r="C47" s="46"/>
      <c r="D47" s="129">
        <f>Asset9</f>
        <v>0</v>
      </c>
      <c r="E47" s="9"/>
      <c r="F47" s="9"/>
      <c r="G47" s="193">
        <f>'Actual RAB roll forward'!G478</f>
        <v>0</v>
      </c>
      <c r="H47" s="111">
        <f>'Actual RAB roll forward'!H478</f>
        <v>0</v>
      </c>
      <c r="I47" s="111">
        <f>'Actual RAB roll forward'!I478</f>
        <v>0</v>
      </c>
      <c r="J47" s="111">
        <f>'Actual RAB roll forward'!J478</f>
        <v>0</v>
      </c>
      <c r="K47" s="111">
        <f>'Actual RAB roll forward'!K478</f>
        <v>0</v>
      </c>
      <c r="L47" s="111">
        <f>'Actual RAB roll forward'!L478</f>
        <v>0</v>
      </c>
      <c r="M47" s="111">
        <f>'Actual RAB roll forward'!M478</f>
        <v>0</v>
      </c>
      <c r="N47" s="111">
        <f>'Actual RAB roll forward'!N478</f>
        <v>0</v>
      </c>
      <c r="O47" s="111">
        <f>'Actual RAB roll forward'!O478</f>
        <v>0</v>
      </c>
      <c r="P47" s="111">
        <f>'Actual RAB roll forward'!P478</f>
        <v>0</v>
      </c>
      <c r="Q47" s="111">
        <f>'Actual RAB roll forward'!Q478</f>
        <v>0</v>
      </c>
      <c r="R47" s="29"/>
      <c r="S47" s="100"/>
      <c r="T47" s="100"/>
      <c r="U47" s="100"/>
      <c r="V47" s="100"/>
      <c r="W47" s="100"/>
      <c r="X47" s="100"/>
      <c r="Y47" s="100"/>
      <c r="Z47" s="100"/>
      <c r="AA47" s="100"/>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0"/>
      <c r="BL47" s="220"/>
    </row>
    <row r="48" spans="1:64" hidden="1" outlineLevel="1">
      <c r="A48" s="9"/>
      <c r="B48" s="9"/>
      <c r="C48" s="46"/>
      <c r="D48" s="129">
        <f>Asset10</f>
        <v>0</v>
      </c>
      <c r="E48" s="9"/>
      <c r="F48" s="9"/>
      <c r="G48" s="193">
        <f>'Actual RAB roll forward'!G479</f>
        <v>0</v>
      </c>
      <c r="H48" s="111">
        <f>'Actual RAB roll forward'!H479</f>
        <v>0</v>
      </c>
      <c r="I48" s="111">
        <f>'Actual RAB roll forward'!I479</f>
        <v>0</v>
      </c>
      <c r="J48" s="111">
        <f>'Actual RAB roll forward'!J479</f>
        <v>0</v>
      </c>
      <c r="K48" s="111">
        <f>'Actual RAB roll forward'!K479</f>
        <v>0</v>
      </c>
      <c r="L48" s="111">
        <f>'Actual RAB roll forward'!L479</f>
        <v>0</v>
      </c>
      <c r="M48" s="111">
        <f>'Actual RAB roll forward'!M479</f>
        <v>0</v>
      </c>
      <c r="N48" s="111">
        <f>'Actual RAB roll forward'!N479</f>
        <v>0</v>
      </c>
      <c r="O48" s="111">
        <f>'Actual RAB roll forward'!O479</f>
        <v>0</v>
      </c>
      <c r="P48" s="111">
        <f>'Actual RAB roll forward'!P479</f>
        <v>0</v>
      </c>
      <c r="Q48" s="111">
        <f>'Actual RAB roll forward'!Q479</f>
        <v>0</v>
      </c>
      <c r="R48" s="29"/>
      <c r="S48" s="100"/>
      <c r="T48" s="100"/>
      <c r="U48" s="100"/>
      <c r="V48" s="100"/>
      <c r="W48" s="100"/>
      <c r="X48" s="100"/>
      <c r="Y48" s="100"/>
      <c r="Z48" s="100"/>
      <c r="AA48" s="100"/>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0"/>
      <c r="BL48" s="220"/>
    </row>
    <row r="49" spans="1:64" hidden="1" outlineLevel="1">
      <c r="A49" s="9"/>
      <c r="B49" s="9"/>
      <c r="C49" s="46"/>
      <c r="D49" s="129">
        <f>Asset11</f>
        <v>0</v>
      </c>
      <c r="E49" s="9"/>
      <c r="F49" s="9"/>
      <c r="G49" s="193">
        <f>'Actual RAB roll forward'!G480</f>
        <v>0</v>
      </c>
      <c r="H49" s="111">
        <f>'Actual RAB roll forward'!H480</f>
        <v>0</v>
      </c>
      <c r="I49" s="111">
        <f>'Actual RAB roll forward'!I480</f>
        <v>0</v>
      </c>
      <c r="J49" s="111">
        <f>'Actual RAB roll forward'!J480</f>
        <v>0</v>
      </c>
      <c r="K49" s="111">
        <f>'Actual RAB roll forward'!K480</f>
        <v>0</v>
      </c>
      <c r="L49" s="111">
        <f>'Actual RAB roll forward'!L480</f>
        <v>0</v>
      </c>
      <c r="M49" s="111">
        <f>'Actual RAB roll forward'!M480</f>
        <v>0</v>
      </c>
      <c r="N49" s="111">
        <f>'Actual RAB roll forward'!N480</f>
        <v>0</v>
      </c>
      <c r="O49" s="111">
        <f>'Actual RAB roll forward'!O480</f>
        <v>0</v>
      </c>
      <c r="P49" s="111">
        <f>'Actual RAB roll forward'!P480</f>
        <v>0</v>
      </c>
      <c r="Q49" s="111">
        <f>'Actual RAB roll forward'!Q480</f>
        <v>0</v>
      </c>
      <c r="R49" s="29"/>
      <c r="S49" s="100"/>
      <c r="T49" s="100"/>
      <c r="U49" s="100"/>
      <c r="V49" s="100"/>
      <c r="W49" s="100"/>
      <c r="X49" s="100"/>
      <c r="Y49" s="100"/>
      <c r="Z49" s="100"/>
      <c r="AA49" s="100"/>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0"/>
      <c r="BL49" s="220"/>
    </row>
    <row r="50" spans="1:64" hidden="1" outlineLevel="1">
      <c r="A50" s="9"/>
      <c r="B50" s="9"/>
      <c r="C50" s="46"/>
      <c r="D50" s="129">
        <f>Asset12</f>
        <v>0</v>
      </c>
      <c r="E50" s="9"/>
      <c r="F50" s="9"/>
      <c r="G50" s="193">
        <f>'Actual RAB roll forward'!G481</f>
        <v>0</v>
      </c>
      <c r="H50" s="111">
        <f>'Actual RAB roll forward'!H481</f>
        <v>0</v>
      </c>
      <c r="I50" s="111">
        <f>'Actual RAB roll forward'!I481</f>
        <v>0</v>
      </c>
      <c r="J50" s="111">
        <f>'Actual RAB roll forward'!J481</f>
        <v>0</v>
      </c>
      <c r="K50" s="111">
        <f>'Actual RAB roll forward'!K481</f>
        <v>0</v>
      </c>
      <c r="L50" s="111">
        <f>'Actual RAB roll forward'!L481</f>
        <v>0</v>
      </c>
      <c r="M50" s="111">
        <f>'Actual RAB roll forward'!M481</f>
        <v>0</v>
      </c>
      <c r="N50" s="111">
        <f>'Actual RAB roll forward'!N481</f>
        <v>0</v>
      </c>
      <c r="O50" s="111">
        <f>'Actual RAB roll forward'!O481</f>
        <v>0</v>
      </c>
      <c r="P50" s="111">
        <f>'Actual RAB roll forward'!P481</f>
        <v>0</v>
      </c>
      <c r="Q50" s="111">
        <f>'Actual RAB roll forward'!Q481</f>
        <v>0</v>
      </c>
      <c r="R50" s="29"/>
      <c r="S50" s="100"/>
      <c r="T50" s="100"/>
      <c r="U50" s="100"/>
      <c r="V50" s="100"/>
      <c r="W50" s="100"/>
      <c r="X50" s="100"/>
      <c r="Y50" s="100"/>
      <c r="Z50" s="100"/>
      <c r="AA50" s="100"/>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0"/>
      <c r="BL50" s="220"/>
    </row>
    <row r="51" spans="1:64" hidden="1" outlineLevel="1">
      <c r="A51" s="9"/>
      <c r="B51" s="9"/>
      <c r="C51" s="46"/>
      <c r="D51" s="129">
        <f>Asset13</f>
        <v>0</v>
      </c>
      <c r="E51" s="9"/>
      <c r="F51" s="9"/>
      <c r="G51" s="193">
        <f>'Actual RAB roll forward'!G482</f>
        <v>0</v>
      </c>
      <c r="H51" s="111">
        <f>'Actual RAB roll forward'!H482</f>
        <v>0</v>
      </c>
      <c r="I51" s="111">
        <f>'Actual RAB roll forward'!I482</f>
        <v>0</v>
      </c>
      <c r="J51" s="111">
        <f>'Actual RAB roll forward'!J482</f>
        <v>0</v>
      </c>
      <c r="K51" s="111">
        <f>'Actual RAB roll forward'!K482</f>
        <v>0</v>
      </c>
      <c r="L51" s="111">
        <f>'Actual RAB roll forward'!L482</f>
        <v>0</v>
      </c>
      <c r="M51" s="111">
        <f>'Actual RAB roll forward'!M482</f>
        <v>0</v>
      </c>
      <c r="N51" s="111">
        <f>'Actual RAB roll forward'!N482</f>
        <v>0</v>
      </c>
      <c r="O51" s="111">
        <f>'Actual RAB roll forward'!O482</f>
        <v>0</v>
      </c>
      <c r="P51" s="111">
        <f>'Actual RAB roll forward'!P482</f>
        <v>0</v>
      </c>
      <c r="Q51" s="111">
        <f>'Actual RAB roll forward'!Q482</f>
        <v>0</v>
      </c>
      <c r="R51" s="29"/>
      <c r="S51" s="100"/>
      <c r="T51" s="100"/>
      <c r="U51" s="100"/>
      <c r="V51" s="100"/>
      <c r="W51" s="100"/>
      <c r="X51" s="100"/>
      <c r="Y51" s="100"/>
      <c r="Z51" s="100"/>
      <c r="AA51" s="100"/>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0"/>
      <c r="BL51" s="220"/>
    </row>
    <row r="52" spans="1:64" hidden="1" outlineLevel="1">
      <c r="A52" s="9"/>
      <c r="B52" s="9"/>
      <c r="C52" s="46"/>
      <c r="D52" s="129">
        <f>Asset14</f>
        <v>0</v>
      </c>
      <c r="E52" s="9"/>
      <c r="F52" s="9"/>
      <c r="G52" s="193">
        <f>'Actual RAB roll forward'!G483</f>
        <v>0</v>
      </c>
      <c r="H52" s="111">
        <f>'Actual RAB roll forward'!H483</f>
        <v>0</v>
      </c>
      <c r="I52" s="111">
        <f>'Actual RAB roll forward'!I483</f>
        <v>0</v>
      </c>
      <c r="J52" s="111">
        <f>'Actual RAB roll forward'!J483</f>
        <v>0</v>
      </c>
      <c r="K52" s="111">
        <f>'Actual RAB roll forward'!K483</f>
        <v>0</v>
      </c>
      <c r="L52" s="111">
        <f>'Actual RAB roll forward'!L483</f>
        <v>0</v>
      </c>
      <c r="M52" s="111">
        <f>'Actual RAB roll forward'!M483</f>
        <v>0</v>
      </c>
      <c r="N52" s="111">
        <f>'Actual RAB roll forward'!N483</f>
        <v>0</v>
      </c>
      <c r="O52" s="111">
        <f>'Actual RAB roll forward'!O483</f>
        <v>0</v>
      </c>
      <c r="P52" s="111">
        <f>'Actual RAB roll forward'!P483</f>
        <v>0</v>
      </c>
      <c r="Q52" s="111">
        <f>'Actual RAB roll forward'!Q483</f>
        <v>0</v>
      </c>
      <c r="R52" s="29"/>
      <c r="S52" s="100"/>
      <c r="T52" s="100"/>
      <c r="U52" s="100"/>
      <c r="V52" s="100"/>
      <c r="W52" s="100"/>
      <c r="X52" s="100"/>
      <c r="Y52" s="100"/>
      <c r="Z52" s="100"/>
      <c r="AA52" s="100"/>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0"/>
      <c r="BL52" s="220"/>
    </row>
    <row r="53" spans="1:64" hidden="1" outlineLevel="1">
      <c r="A53" s="9"/>
      <c r="B53" s="9"/>
      <c r="C53" s="46"/>
      <c r="D53" s="129">
        <f>Asset15</f>
        <v>0</v>
      </c>
      <c r="E53" s="9"/>
      <c r="F53" s="9"/>
      <c r="G53" s="193">
        <f>'Actual RAB roll forward'!G484</f>
        <v>0</v>
      </c>
      <c r="H53" s="111">
        <f>'Actual RAB roll forward'!H484</f>
        <v>0</v>
      </c>
      <c r="I53" s="111">
        <f>'Actual RAB roll forward'!I484</f>
        <v>0</v>
      </c>
      <c r="J53" s="111">
        <f>'Actual RAB roll forward'!J484</f>
        <v>0</v>
      </c>
      <c r="K53" s="111">
        <f>'Actual RAB roll forward'!K484</f>
        <v>0</v>
      </c>
      <c r="L53" s="111">
        <f>'Actual RAB roll forward'!L484</f>
        <v>0</v>
      </c>
      <c r="M53" s="111">
        <f>'Actual RAB roll forward'!M484</f>
        <v>0</v>
      </c>
      <c r="N53" s="111">
        <f>'Actual RAB roll forward'!N484</f>
        <v>0</v>
      </c>
      <c r="O53" s="111">
        <f>'Actual RAB roll forward'!O484</f>
        <v>0</v>
      </c>
      <c r="P53" s="111">
        <f>'Actual RAB roll forward'!P484</f>
        <v>0</v>
      </c>
      <c r="Q53" s="111">
        <f>'Actual RAB roll forward'!Q484</f>
        <v>0</v>
      </c>
      <c r="R53" s="29"/>
      <c r="S53" s="100"/>
      <c r="T53" s="100"/>
      <c r="U53" s="100"/>
      <c r="V53" s="100"/>
      <c r="W53" s="100"/>
      <c r="X53" s="100"/>
      <c r="Y53" s="100"/>
      <c r="Z53" s="100"/>
      <c r="AA53" s="100"/>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0"/>
      <c r="BL53" s="220"/>
    </row>
    <row r="54" spans="1:64" hidden="1" outlineLevel="1">
      <c r="A54" s="9"/>
      <c r="B54" s="9"/>
      <c r="C54" s="46"/>
      <c r="D54" s="129">
        <f>Asset16</f>
        <v>0</v>
      </c>
      <c r="E54" s="9"/>
      <c r="F54" s="9"/>
      <c r="G54" s="193">
        <f>'Actual RAB roll forward'!G485</f>
        <v>0</v>
      </c>
      <c r="H54" s="111">
        <f>'Actual RAB roll forward'!H485</f>
        <v>0</v>
      </c>
      <c r="I54" s="111">
        <f>'Actual RAB roll forward'!I485</f>
        <v>0</v>
      </c>
      <c r="J54" s="111">
        <f>'Actual RAB roll forward'!J485</f>
        <v>0</v>
      </c>
      <c r="K54" s="111">
        <f>'Actual RAB roll forward'!K485</f>
        <v>0</v>
      </c>
      <c r="L54" s="111">
        <f>'Actual RAB roll forward'!L485</f>
        <v>0</v>
      </c>
      <c r="M54" s="111">
        <f>'Actual RAB roll forward'!M485</f>
        <v>0</v>
      </c>
      <c r="N54" s="111">
        <f>'Actual RAB roll forward'!N485</f>
        <v>0</v>
      </c>
      <c r="O54" s="111">
        <f>'Actual RAB roll forward'!O485</f>
        <v>0</v>
      </c>
      <c r="P54" s="111">
        <f>'Actual RAB roll forward'!P485</f>
        <v>0</v>
      </c>
      <c r="Q54" s="111">
        <f>'Actual RAB roll forward'!Q485</f>
        <v>0</v>
      </c>
      <c r="R54" s="29"/>
      <c r="S54" s="100"/>
      <c r="T54" s="100"/>
      <c r="U54" s="100"/>
      <c r="V54" s="100"/>
      <c r="W54" s="100"/>
      <c r="X54" s="100"/>
      <c r="Y54" s="100"/>
      <c r="Z54" s="100"/>
      <c r="AA54" s="100"/>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0"/>
      <c r="BL54" s="220"/>
    </row>
    <row r="55" spans="1:64" hidden="1" outlineLevel="1">
      <c r="A55" s="9"/>
      <c r="B55" s="9"/>
      <c r="C55" s="46"/>
      <c r="D55" s="129">
        <f>Asset17</f>
        <v>0</v>
      </c>
      <c r="E55" s="9"/>
      <c r="F55" s="9"/>
      <c r="G55" s="193">
        <f>'Actual RAB roll forward'!G486</f>
        <v>0</v>
      </c>
      <c r="H55" s="111">
        <f>'Actual RAB roll forward'!H486</f>
        <v>0</v>
      </c>
      <c r="I55" s="111">
        <f>'Actual RAB roll forward'!I486</f>
        <v>0</v>
      </c>
      <c r="J55" s="111">
        <f>'Actual RAB roll forward'!J486</f>
        <v>0</v>
      </c>
      <c r="K55" s="111">
        <f>'Actual RAB roll forward'!K486</f>
        <v>0</v>
      </c>
      <c r="L55" s="111">
        <f>'Actual RAB roll forward'!L486</f>
        <v>0</v>
      </c>
      <c r="M55" s="111">
        <f>'Actual RAB roll forward'!M486</f>
        <v>0</v>
      </c>
      <c r="N55" s="111">
        <f>'Actual RAB roll forward'!N486</f>
        <v>0</v>
      </c>
      <c r="O55" s="111">
        <f>'Actual RAB roll forward'!O486</f>
        <v>0</v>
      </c>
      <c r="P55" s="111">
        <f>'Actual RAB roll forward'!P486</f>
        <v>0</v>
      </c>
      <c r="Q55" s="111">
        <f>'Actual RAB roll forward'!Q486</f>
        <v>0</v>
      </c>
      <c r="R55" s="29"/>
      <c r="S55" s="100"/>
      <c r="T55" s="100"/>
      <c r="U55" s="100"/>
      <c r="V55" s="100"/>
      <c r="W55" s="100"/>
      <c r="X55" s="100"/>
      <c r="Y55" s="100"/>
      <c r="Z55" s="100"/>
      <c r="AA55" s="100"/>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0"/>
      <c r="BL55" s="220"/>
    </row>
    <row r="56" spans="1:64" hidden="1" outlineLevel="1">
      <c r="A56" s="9"/>
      <c r="B56" s="9"/>
      <c r="C56" s="46"/>
      <c r="D56" s="129">
        <f>Asset18</f>
        <v>0</v>
      </c>
      <c r="E56" s="9"/>
      <c r="F56" s="9"/>
      <c r="G56" s="193">
        <f>'Actual RAB roll forward'!G487</f>
        <v>0</v>
      </c>
      <c r="H56" s="111">
        <f>'Actual RAB roll forward'!H487</f>
        <v>0</v>
      </c>
      <c r="I56" s="111">
        <f>'Actual RAB roll forward'!I487</f>
        <v>0</v>
      </c>
      <c r="J56" s="111">
        <f>'Actual RAB roll forward'!J487</f>
        <v>0</v>
      </c>
      <c r="K56" s="111">
        <f>'Actual RAB roll forward'!K487</f>
        <v>0</v>
      </c>
      <c r="L56" s="111">
        <f>'Actual RAB roll forward'!L487</f>
        <v>0</v>
      </c>
      <c r="M56" s="111">
        <f>'Actual RAB roll forward'!M487</f>
        <v>0</v>
      </c>
      <c r="N56" s="111">
        <f>'Actual RAB roll forward'!N487</f>
        <v>0</v>
      </c>
      <c r="O56" s="111">
        <f>'Actual RAB roll forward'!O487</f>
        <v>0</v>
      </c>
      <c r="P56" s="111">
        <f>'Actual RAB roll forward'!P487</f>
        <v>0</v>
      </c>
      <c r="Q56" s="111">
        <f>'Actual RAB roll forward'!Q487</f>
        <v>0</v>
      </c>
      <c r="R56" s="29"/>
      <c r="S56" s="100"/>
      <c r="T56" s="100"/>
      <c r="U56" s="100"/>
      <c r="V56" s="100"/>
      <c r="W56" s="100"/>
      <c r="X56" s="100"/>
      <c r="Y56" s="100"/>
      <c r="Z56" s="100"/>
      <c r="AA56" s="100"/>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0"/>
      <c r="BL56" s="220"/>
    </row>
    <row r="57" spans="1:64" hidden="1" outlineLevel="1">
      <c r="A57" s="9"/>
      <c r="B57" s="9"/>
      <c r="C57" s="46"/>
      <c r="D57" s="129">
        <f>Asset19</f>
        <v>0</v>
      </c>
      <c r="E57" s="9"/>
      <c r="F57" s="9"/>
      <c r="G57" s="193">
        <f>'Actual RAB roll forward'!G488</f>
        <v>0</v>
      </c>
      <c r="H57" s="111">
        <f>'Actual RAB roll forward'!H488</f>
        <v>0</v>
      </c>
      <c r="I57" s="111">
        <f>'Actual RAB roll forward'!I488</f>
        <v>0</v>
      </c>
      <c r="J57" s="111">
        <f>'Actual RAB roll forward'!J488</f>
        <v>0</v>
      </c>
      <c r="K57" s="111">
        <f>'Actual RAB roll forward'!K488</f>
        <v>0</v>
      </c>
      <c r="L57" s="111">
        <f>'Actual RAB roll forward'!L488</f>
        <v>0</v>
      </c>
      <c r="M57" s="111">
        <f>'Actual RAB roll forward'!M488</f>
        <v>0</v>
      </c>
      <c r="N57" s="111">
        <f>'Actual RAB roll forward'!N488</f>
        <v>0</v>
      </c>
      <c r="O57" s="111">
        <f>'Actual RAB roll forward'!O488</f>
        <v>0</v>
      </c>
      <c r="P57" s="111">
        <f>'Actual RAB roll forward'!P488</f>
        <v>0</v>
      </c>
      <c r="Q57" s="111">
        <f>'Actual RAB roll forward'!Q488</f>
        <v>0</v>
      </c>
      <c r="R57" s="29"/>
      <c r="S57" s="100"/>
      <c r="T57" s="100"/>
      <c r="U57" s="100"/>
      <c r="V57" s="100"/>
      <c r="W57" s="100"/>
      <c r="X57" s="100"/>
      <c r="Y57" s="100"/>
      <c r="Z57" s="100"/>
      <c r="AA57" s="100"/>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0"/>
      <c r="BL57" s="220"/>
    </row>
    <row r="58" spans="1:64" hidden="1" outlineLevel="1">
      <c r="A58" s="9"/>
      <c r="B58" s="9"/>
      <c r="C58" s="46"/>
      <c r="D58" s="129">
        <f>Asset20</f>
        <v>0</v>
      </c>
      <c r="E58" s="9"/>
      <c r="F58" s="9"/>
      <c r="G58" s="193">
        <f>'Actual RAB roll forward'!G489</f>
        <v>0</v>
      </c>
      <c r="H58" s="111">
        <f>'Actual RAB roll forward'!H489</f>
        <v>0</v>
      </c>
      <c r="I58" s="111">
        <f>'Actual RAB roll forward'!I489</f>
        <v>0</v>
      </c>
      <c r="J58" s="111">
        <f>'Actual RAB roll forward'!J489</f>
        <v>0</v>
      </c>
      <c r="K58" s="111">
        <f>'Actual RAB roll forward'!K489</f>
        <v>0</v>
      </c>
      <c r="L58" s="111">
        <f>'Actual RAB roll forward'!L489</f>
        <v>0</v>
      </c>
      <c r="M58" s="111">
        <f>'Actual RAB roll forward'!M489</f>
        <v>0</v>
      </c>
      <c r="N58" s="111">
        <f>'Actual RAB roll forward'!N489</f>
        <v>0</v>
      </c>
      <c r="O58" s="111">
        <f>'Actual RAB roll forward'!O489</f>
        <v>0</v>
      </c>
      <c r="P58" s="111">
        <f>'Actual RAB roll forward'!P489</f>
        <v>0</v>
      </c>
      <c r="Q58" s="111">
        <f>'Actual RAB roll forward'!Q489</f>
        <v>0</v>
      </c>
      <c r="R58" s="29"/>
      <c r="S58" s="100"/>
      <c r="T58" s="100"/>
      <c r="U58" s="100"/>
      <c r="V58" s="100"/>
      <c r="W58" s="100"/>
      <c r="X58" s="100"/>
      <c r="Y58" s="100"/>
      <c r="Z58" s="100"/>
      <c r="AA58" s="100"/>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0"/>
      <c r="BL58" s="220"/>
    </row>
    <row r="59" spans="1:64" hidden="1" outlineLevel="1">
      <c r="A59" s="9"/>
      <c r="B59" s="9"/>
      <c r="C59" s="46"/>
      <c r="D59" s="129">
        <f>Asset21</f>
        <v>0</v>
      </c>
      <c r="E59" s="9"/>
      <c r="F59" s="9"/>
      <c r="G59" s="193">
        <f>'Actual RAB roll forward'!G490</f>
        <v>0</v>
      </c>
      <c r="H59" s="111">
        <f>'Actual RAB roll forward'!H490</f>
        <v>0</v>
      </c>
      <c r="I59" s="111">
        <f>'Actual RAB roll forward'!I490</f>
        <v>0</v>
      </c>
      <c r="J59" s="111">
        <f>'Actual RAB roll forward'!J490</f>
        <v>0</v>
      </c>
      <c r="K59" s="111">
        <f>'Actual RAB roll forward'!K490</f>
        <v>0</v>
      </c>
      <c r="L59" s="111">
        <f>'Actual RAB roll forward'!L490</f>
        <v>0</v>
      </c>
      <c r="M59" s="111">
        <f>'Actual RAB roll forward'!M490</f>
        <v>0</v>
      </c>
      <c r="N59" s="111">
        <f>'Actual RAB roll forward'!N490</f>
        <v>0</v>
      </c>
      <c r="O59" s="111">
        <f>'Actual RAB roll forward'!O490</f>
        <v>0</v>
      </c>
      <c r="P59" s="111">
        <f>'Actual RAB roll forward'!P490</f>
        <v>0</v>
      </c>
      <c r="Q59" s="111">
        <f>'Actual RAB roll forward'!Q490</f>
        <v>0</v>
      </c>
      <c r="R59" s="29"/>
      <c r="S59" s="100"/>
      <c r="T59" s="100"/>
      <c r="U59" s="100"/>
      <c r="V59" s="100"/>
      <c r="W59" s="100"/>
      <c r="X59" s="100"/>
      <c r="Y59" s="100"/>
      <c r="Z59" s="100"/>
      <c r="AA59" s="100"/>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0"/>
      <c r="BL59" s="220"/>
    </row>
    <row r="60" spans="1:64" hidden="1" outlineLevel="1">
      <c r="A60" s="9"/>
      <c r="B60" s="9"/>
      <c r="C60" s="46"/>
      <c r="D60" s="129">
        <f>Asset22</f>
        <v>0</v>
      </c>
      <c r="E60" s="9"/>
      <c r="F60" s="9"/>
      <c r="G60" s="193">
        <f>'Actual RAB roll forward'!G491</f>
        <v>0</v>
      </c>
      <c r="H60" s="111">
        <f>'Actual RAB roll forward'!H491</f>
        <v>0</v>
      </c>
      <c r="I60" s="111">
        <f>'Actual RAB roll forward'!I491</f>
        <v>0</v>
      </c>
      <c r="J60" s="111">
        <f>'Actual RAB roll forward'!J491</f>
        <v>0</v>
      </c>
      <c r="K60" s="111">
        <f>'Actual RAB roll forward'!K491</f>
        <v>0</v>
      </c>
      <c r="L60" s="111">
        <f>'Actual RAB roll forward'!L491</f>
        <v>0</v>
      </c>
      <c r="M60" s="111">
        <f>'Actual RAB roll forward'!M491</f>
        <v>0</v>
      </c>
      <c r="N60" s="111">
        <f>'Actual RAB roll forward'!N491</f>
        <v>0</v>
      </c>
      <c r="O60" s="111">
        <f>'Actual RAB roll forward'!O491</f>
        <v>0</v>
      </c>
      <c r="P60" s="111">
        <f>'Actual RAB roll forward'!P491</f>
        <v>0</v>
      </c>
      <c r="Q60" s="111">
        <f>'Actual RAB roll forward'!Q491</f>
        <v>0</v>
      </c>
      <c r="R60" s="29"/>
      <c r="S60" s="100"/>
      <c r="T60" s="100"/>
      <c r="U60" s="100"/>
      <c r="V60" s="100"/>
      <c r="W60" s="100"/>
      <c r="X60" s="100"/>
      <c r="Y60" s="100"/>
      <c r="Z60" s="100"/>
      <c r="AA60" s="100"/>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0"/>
      <c r="BL60" s="220"/>
    </row>
    <row r="61" spans="1:64" hidden="1" outlineLevel="1">
      <c r="A61" s="9"/>
      <c r="B61" s="9"/>
      <c r="C61" s="46"/>
      <c r="D61" s="129">
        <f>Asset23</f>
        <v>0</v>
      </c>
      <c r="E61" s="9"/>
      <c r="F61" s="9"/>
      <c r="G61" s="193">
        <f>'Actual RAB roll forward'!G492</f>
        <v>0</v>
      </c>
      <c r="H61" s="111">
        <f>'Actual RAB roll forward'!H492</f>
        <v>0</v>
      </c>
      <c r="I61" s="111">
        <f>'Actual RAB roll forward'!I492</f>
        <v>0</v>
      </c>
      <c r="J61" s="111">
        <f>'Actual RAB roll forward'!J492</f>
        <v>0</v>
      </c>
      <c r="K61" s="111">
        <f>'Actual RAB roll forward'!K492</f>
        <v>0</v>
      </c>
      <c r="L61" s="111">
        <f>'Actual RAB roll forward'!L492</f>
        <v>0</v>
      </c>
      <c r="M61" s="111">
        <f>'Actual RAB roll forward'!M492</f>
        <v>0</v>
      </c>
      <c r="N61" s="111">
        <f>'Actual RAB roll forward'!N492</f>
        <v>0</v>
      </c>
      <c r="O61" s="111">
        <f>'Actual RAB roll forward'!O492</f>
        <v>0</v>
      </c>
      <c r="P61" s="111">
        <f>'Actual RAB roll forward'!P492</f>
        <v>0</v>
      </c>
      <c r="Q61" s="111">
        <f>'Actual RAB roll forward'!Q492</f>
        <v>0</v>
      </c>
      <c r="R61" s="29"/>
      <c r="S61" s="100"/>
      <c r="T61" s="100"/>
      <c r="U61" s="100"/>
      <c r="V61" s="100"/>
      <c r="W61" s="100"/>
      <c r="X61" s="100"/>
      <c r="Y61" s="100"/>
      <c r="Z61" s="100"/>
      <c r="AA61" s="100"/>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0"/>
      <c r="BL61" s="220"/>
    </row>
    <row r="62" spans="1:64" hidden="1" outlineLevel="1">
      <c r="A62" s="9"/>
      <c r="B62" s="9"/>
      <c r="C62" s="46"/>
      <c r="D62" s="129">
        <f>Asset24</f>
        <v>0</v>
      </c>
      <c r="E62" s="9"/>
      <c r="F62" s="9"/>
      <c r="G62" s="193">
        <f>'Actual RAB roll forward'!G493</f>
        <v>0</v>
      </c>
      <c r="H62" s="111">
        <f>'Actual RAB roll forward'!H493</f>
        <v>0</v>
      </c>
      <c r="I62" s="111">
        <f>'Actual RAB roll forward'!I493</f>
        <v>0</v>
      </c>
      <c r="J62" s="111">
        <f>'Actual RAB roll forward'!J493</f>
        <v>0</v>
      </c>
      <c r="K62" s="111">
        <f>'Actual RAB roll forward'!K493</f>
        <v>0</v>
      </c>
      <c r="L62" s="111">
        <f>'Actual RAB roll forward'!L493</f>
        <v>0</v>
      </c>
      <c r="M62" s="111">
        <f>'Actual RAB roll forward'!M493</f>
        <v>0</v>
      </c>
      <c r="N62" s="111">
        <f>'Actual RAB roll forward'!N493</f>
        <v>0</v>
      </c>
      <c r="O62" s="111">
        <f>'Actual RAB roll forward'!O493</f>
        <v>0</v>
      </c>
      <c r="P62" s="111">
        <f>'Actual RAB roll forward'!P493</f>
        <v>0</v>
      </c>
      <c r="Q62" s="111">
        <f>'Actual RAB roll forward'!Q493</f>
        <v>0</v>
      </c>
      <c r="R62" s="29"/>
      <c r="S62" s="100"/>
      <c r="T62" s="100"/>
      <c r="U62" s="100"/>
      <c r="V62" s="100"/>
      <c r="W62" s="100"/>
      <c r="X62" s="100"/>
      <c r="Y62" s="100"/>
      <c r="Z62" s="100"/>
      <c r="AA62" s="100"/>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0"/>
      <c r="BL62" s="220"/>
    </row>
    <row r="63" spans="1:64" hidden="1" outlineLevel="1">
      <c r="A63" s="9"/>
      <c r="B63" s="9"/>
      <c r="C63" s="46"/>
      <c r="D63" s="129">
        <f>Asset25</f>
        <v>0</v>
      </c>
      <c r="E63" s="9"/>
      <c r="F63" s="9"/>
      <c r="G63" s="193">
        <f>'Actual RAB roll forward'!G494</f>
        <v>0</v>
      </c>
      <c r="H63" s="111">
        <f>'Actual RAB roll forward'!H494</f>
        <v>0</v>
      </c>
      <c r="I63" s="111">
        <f>'Actual RAB roll forward'!I494</f>
        <v>0</v>
      </c>
      <c r="J63" s="111">
        <f>'Actual RAB roll forward'!J494</f>
        <v>0</v>
      </c>
      <c r="K63" s="111">
        <f>'Actual RAB roll forward'!K494</f>
        <v>0</v>
      </c>
      <c r="L63" s="111">
        <f>'Actual RAB roll forward'!L494</f>
        <v>0</v>
      </c>
      <c r="M63" s="111">
        <f>'Actual RAB roll forward'!M494</f>
        <v>0</v>
      </c>
      <c r="N63" s="111">
        <f>'Actual RAB roll forward'!N494</f>
        <v>0</v>
      </c>
      <c r="O63" s="111">
        <f>'Actual RAB roll forward'!O494</f>
        <v>0</v>
      </c>
      <c r="P63" s="111">
        <f>'Actual RAB roll forward'!P494</f>
        <v>0</v>
      </c>
      <c r="Q63" s="111">
        <f>'Actual RAB roll forward'!Q494</f>
        <v>0</v>
      </c>
      <c r="R63" s="29"/>
      <c r="S63" s="100"/>
      <c r="T63" s="100"/>
      <c r="U63" s="100"/>
      <c r="V63" s="100"/>
      <c r="W63" s="100"/>
      <c r="X63" s="100"/>
      <c r="Y63" s="100"/>
      <c r="Z63" s="100"/>
      <c r="AA63" s="100"/>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0"/>
      <c r="BL63" s="220"/>
    </row>
    <row r="64" spans="1:64" hidden="1" outlineLevel="1">
      <c r="A64" s="9"/>
      <c r="B64" s="9"/>
      <c r="C64" s="46"/>
      <c r="D64" s="129">
        <f>Asset26</f>
        <v>0</v>
      </c>
      <c r="E64" s="9"/>
      <c r="F64" s="9"/>
      <c r="G64" s="193">
        <f>'Actual RAB roll forward'!G495</f>
        <v>0</v>
      </c>
      <c r="H64" s="111">
        <f>'Actual RAB roll forward'!H495</f>
        <v>0</v>
      </c>
      <c r="I64" s="111">
        <f>'Actual RAB roll forward'!I495</f>
        <v>0</v>
      </c>
      <c r="J64" s="111">
        <f>'Actual RAB roll forward'!J495</f>
        <v>0</v>
      </c>
      <c r="K64" s="111">
        <f>'Actual RAB roll forward'!K495</f>
        <v>0</v>
      </c>
      <c r="L64" s="111">
        <f>'Actual RAB roll forward'!L495</f>
        <v>0</v>
      </c>
      <c r="M64" s="111">
        <f>'Actual RAB roll forward'!M495</f>
        <v>0</v>
      </c>
      <c r="N64" s="111">
        <f>'Actual RAB roll forward'!N495</f>
        <v>0</v>
      </c>
      <c r="O64" s="111">
        <f>'Actual RAB roll forward'!O495</f>
        <v>0</v>
      </c>
      <c r="P64" s="111">
        <f>'Actual RAB roll forward'!P495</f>
        <v>0</v>
      </c>
      <c r="Q64" s="111">
        <f>'Actual RAB roll forward'!Q495</f>
        <v>0</v>
      </c>
      <c r="R64" s="29"/>
      <c r="S64" s="100"/>
      <c r="T64" s="100"/>
      <c r="U64" s="100"/>
      <c r="V64" s="100"/>
      <c r="W64" s="100"/>
      <c r="X64" s="100"/>
      <c r="Y64" s="100"/>
      <c r="Z64" s="100"/>
      <c r="AA64" s="100"/>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0"/>
      <c r="BL64" s="220"/>
    </row>
    <row r="65" spans="1:64" hidden="1" outlineLevel="1">
      <c r="A65" s="9"/>
      <c r="B65" s="9"/>
      <c r="C65" s="46"/>
      <c r="D65" s="129">
        <f>Asset27</f>
        <v>0</v>
      </c>
      <c r="E65" s="9"/>
      <c r="F65" s="9"/>
      <c r="G65" s="193">
        <f>'Actual RAB roll forward'!G496</f>
        <v>0</v>
      </c>
      <c r="H65" s="111">
        <f>'Actual RAB roll forward'!H496</f>
        <v>0</v>
      </c>
      <c r="I65" s="111">
        <f>'Actual RAB roll forward'!I496</f>
        <v>0</v>
      </c>
      <c r="J65" s="111">
        <f>'Actual RAB roll forward'!J496</f>
        <v>0</v>
      </c>
      <c r="K65" s="111">
        <f>'Actual RAB roll forward'!K496</f>
        <v>0</v>
      </c>
      <c r="L65" s="111">
        <f>'Actual RAB roll forward'!L496</f>
        <v>0</v>
      </c>
      <c r="M65" s="111">
        <f>'Actual RAB roll forward'!M496</f>
        <v>0</v>
      </c>
      <c r="N65" s="111">
        <f>'Actual RAB roll forward'!N496</f>
        <v>0</v>
      </c>
      <c r="O65" s="111">
        <f>'Actual RAB roll forward'!O496</f>
        <v>0</v>
      </c>
      <c r="P65" s="111">
        <f>'Actual RAB roll forward'!P496</f>
        <v>0</v>
      </c>
      <c r="Q65" s="111">
        <f>'Actual RAB roll forward'!Q496</f>
        <v>0</v>
      </c>
      <c r="R65" s="29"/>
      <c r="S65" s="100"/>
      <c r="T65" s="100"/>
      <c r="U65" s="100"/>
      <c r="V65" s="100"/>
      <c r="W65" s="100"/>
      <c r="X65" s="100"/>
      <c r="Y65" s="100"/>
      <c r="Z65" s="100"/>
      <c r="AA65" s="100"/>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0"/>
      <c r="BL65" s="220"/>
    </row>
    <row r="66" spans="1:64" hidden="1" outlineLevel="1">
      <c r="A66" s="9"/>
      <c r="B66" s="9"/>
      <c r="C66" s="46"/>
      <c r="D66" s="129">
        <f>Asset28</f>
        <v>0</v>
      </c>
      <c r="E66" s="9"/>
      <c r="F66" s="9"/>
      <c r="G66" s="193">
        <f>'Actual RAB roll forward'!G497</f>
        <v>0</v>
      </c>
      <c r="H66" s="111">
        <f>'Actual RAB roll forward'!H497</f>
        <v>0</v>
      </c>
      <c r="I66" s="111">
        <f>'Actual RAB roll forward'!I497</f>
        <v>0</v>
      </c>
      <c r="J66" s="111">
        <f>'Actual RAB roll forward'!J497</f>
        <v>0</v>
      </c>
      <c r="K66" s="111">
        <f>'Actual RAB roll forward'!K497</f>
        <v>0</v>
      </c>
      <c r="L66" s="111">
        <f>'Actual RAB roll forward'!L497</f>
        <v>0</v>
      </c>
      <c r="M66" s="111">
        <f>'Actual RAB roll forward'!M497</f>
        <v>0</v>
      </c>
      <c r="N66" s="111">
        <f>'Actual RAB roll forward'!N497</f>
        <v>0</v>
      </c>
      <c r="O66" s="111">
        <f>'Actual RAB roll forward'!O497</f>
        <v>0</v>
      </c>
      <c r="P66" s="111">
        <f>'Actual RAB roll forward'!P497</f>
        <v>0</v>
      </c>
      <c r="Q66" s="111">
        <f>'Actual RAB roll forward'!Q497</f>
        <v>0</v>
      </c>
      <c r="R66" s="29"/>
      <c r="S66" s="100"/>
      <c r="T66" s="100"/>
      <c r="U66" s="100"/>
      <c r="V66" s="100"/>
      <c r="W66" s="100"/>
      <c r="X66" s="100"/>
      <c r="Y66" s="100"/>
      <c r="Z66" s="100"/>
      <c r="AA66" s="100"/>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0"/>
      <c r="BL66" s="220"/>
    </row>
    <row r="67" spans="1:64" hidden="1" outlineLevel="1">
      <c r="A67" s="9"/>
      <c r="B67" s="9"/>
      <c r="C67" s="46"/>
      <c r="D67" s="129">
        <f>Asset29</f>
        <v>0</v>
      </c>
      <c r="E67" s="9"/>
      <c r="F67" s="9"/>
      <c r="G67" s="193">
        <f>'Actual RAB roll forward'!G498</f>
        <v>0</v>
      </c>
      <c r="H67" s="111">
        <f>'Actual RAB roll forward'!H498</f>
        <v>0</v>
      </c>
      <c r="I67" s="111">
        <f>'Actual RAB roll forward'!I498</f>
        <v>0</v>
      </c>
      <c r="J67" s="111">
        <f>'Actual RAB roll forward'!J498</f>
        <v>0</v>
      </c>
      <c r="K67" s="111">
        <f>'Actual RAB roll forward'!K498</f>
        <v>0</v>
      </c>
      <c r="L67" s="111">
        <f>'Actual RAB roll forward'!L498</f>
        <v>0</v>
      </c>
      <c r="M67" s="111">
        <f>'Actual RAB roll forward'!M498</f>
        <v>0</v>
      </c>
      <c r="N67" s="111">
        <f>'Actual RAB roll forward'!N498</f>
        <v>0</v>
      </c>
      <c r="O67" s="111">
        <f>'Actual RAB roll forward'!O498</f>
        <v>0</v>
      </c>
      <c r="P67" s="111">
        <f>'Actual RAB roll forward'!P498</f>
        <v>0</v>
      </c>
      <c r="Q67" s="111">
        <f>'Actual RAB roll forward'!Q498</f>
        <v>0</v>
      </c>
      <c r="R67" s="29"/>
      <c r="S67" s="100"/>
      <c r="T67" s="100"/>
      <c r="U67" s="100"/>
      <c r="V67" s="100"/>
      <c r="W67" s="100"/>
      <c r="X67" s="100"/>
      <c r="Y67" s="100"/>
      <c r="Z67" s="100"/>
      <c r="AA67" s="100"/>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0"/>
      <c r="BL67" s="220"/>
    </row>
    <row r="68" spans="1:64" hidden="1" outlineLevel="1">
      <c r="A68" s="9"/>
      <c r="B68" s="9"/>
      <c r="C68" s="46"/>
      <c r="D68" s="129">
        <f>Asset30</f>
        <v>0</v>
      </c>
      <c r="E68" s="9"/>
      <c r="F68" s="9"/>
      <c r="G68" s="193">
        <f>'Actual RAB roll forward'!G499</f>
        <v>0</v>
      </c>
      <c r="H68" s="111">
        <f>'Actual RAB roll forward'!H499</f>
        <v>0</v>
      </c>
      <c r="I68" s="111">
        <f>'Actual RAB roll forward'!I499</f>
        <v>0</v>
      </c>
      <c r="J68" s="111">
        <f>'Actual RAB roll forward'!J499</f>
        <v>0</v>
      </c>
      <c r="K68" s="111">
        <f>'Actual RAB roll forward'!K499</f>
        <v>0</v>
      </c>
      <c r="L68" s="111">
        <f>'Actual RAB roll forward'!L499</f>
        <v>0</v>
      </c>
      <c r="M68" s="111">
        <f>'Actual RAB roll forward'!M499</f>
        <v>0</v>
      </c>
      <c r="N68" s="111">
        <f>'Actual RAB roll forward'!N499</f>
        <v>0</v>
      </c>
      <c r="O68" s="111">
        <f>'Actual RAB roll forward'!O499</f>
        <v>0</v>
      </c>
      <c r="P68" s="111">
        <f>'Actual RAB roll forward'!P499</f>
        <v>0</v>
      </c>
      <c r="Q68" s="111">
        <f>'Actual RAB roll forward'!Q499</f>
        <v>0</v>
      </c>
      <c r="R68" s="29"/>
      <c r="S68" s="100"/>
      <c r="T68" s="100"/>
      <c r="U68" s="100"/>
      <c r="V68" s="100"/>
      <c r="W68" s="100"/>
      <c r="X68" s="100"/>
      <c r="Y68" s="100"/>
      <c r="Z68" s="100"/>
      <c r="AA68" s="100"/>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0"/>
      <c r="BL68" s="220"/>
    </row>
    <row r="69" spans="1:64" collapsed="1">
      <c r="A69" s="9"/>
      <c r="B69" s="9"/>
      <c r="C69" s="46"/>
      <c r="D69" s="114"/>
      <c r="E69" s="9"/>
      <c r="F69" s="9"/>
      <c r="G69" s="203"/>
      <c r="H69" s="37"/>
      <c r="I69" s="37"/>
      <c r="J69" s="37"/>
      <c r="K69" s="37"/>
      <c r="L69" s="37"/>
      <c r="M69" s="37"/>
      <c r="N69" s="100"/>
      <c r="O69" s="29"/>
      <c r="P69" s="29"/>
      <c r="Q69" s="29"/>
      <c r="R69" s="29"/>
      <c r="S69" s="100"/>
      <c r="T69" s="100"/>
      <c r="U69" s="100"/>
      <c r="V69" s="100"/>
      <c r="W69" s="100"/>
      <c r="X69" s="100"/>
      <c r="Y69" s="100"/>
      <c r="Z69" s="100"/>
      <c r="AA69" s="100"/>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0"/>
      <c r="BL69" s="220"/>
    </row>
    <row r="70" spans="1:64">
      <c r="A70" s="9"/>
      <c r="B70" s="9"/>
      <c r="C70" s="586" t="s">
        <v>72</v>
      </c>
      <c r="D70" s="220"/>
      <c r="E70" s="9"/>
      <c r="F70" s="9"/>
      <c r="G70" s="194">
        <f>SUM(G71:G100)</f>
        <v>-9.4710511953612286</v>
      </c>
      <c r="H70" s="37">
        <f>SUM(H71:H100)</f>
        <v>-17.527949198911536</v>
      </c>
      <c r="I70" s="37">
        <f t="shared" ref="I70:Q70" si="7">SUM(I71:I100)</f>
        <v>-17.948212367315353</v>
      </c>
      <c r="J70" s="37">
        <f t="shared" si="7"/>
        <v>-19.565927475667529</v>
      </c>
      <c r="K70" s="37">
        <f t="shared" si="7"/>
        <v>-32.140060199430586</v>
      </c>
      <c r="L70" s="37">
        <f t="shared" si="7"/>
        <v>-37.655800307709022</v>
      </c>
      <c r="M70" s="37">
        <f t="shared" si="7"/>
        <v>37.69425832304799</v>
      </c>
      <c r="N70" s="37">
        <f t="shared" si="7"/>
        <v>0</v>
      </c>
      <c r="O70" s="37">
        <f t="shared" si="7"/>
        <v>0</v>
      </c>
      <c r="P70" s="37">
        <f t="shared" si="7"/>
        <v>0</v>
      </c>
      <c r="Q70" s="37">
        <f t="shared" si="7"/>
        <v>0</v>
      </c>
      <c r="R70" s="29"/>
      <c r="S70" s="100"/>
      <c r="T70" s="100"/>
      <c r="U70" s="100"/>
      <c r="V70" s="100"/>
      <c r="W70" s="100"/>
      <c r="X70" s="100"/>
      <c r="Y70" s="100"/>
      <c r="Z70" s="100"/>
      <c r="AA70" s="100"/>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0"/>
      <c r="BL70" s="220"/>
    </row>
    <row r="71" spans="1:64" hidden="1" outlineLevel="1">
      <c r="A71" s="9"/>
      <c r="B71" s="9"/>
      <c r="C71" s="46"/>
      <c r="D71" s="129" t="str">
        <f>Asset1</f>
        <v>Mains &amp; Services</v>
      </c>
      <c r="E71" s="9"/>
      <c r="F71" s="9"/>
      <c r="G71" s="193">
        <f>'Actual RAB roll forward'!G502</f>
        <v>2.8131653578472253</v>
      </c>
      <c r="H71" s="111">
        <f>'Actual RAB roll forward'!H502</f>
        <v>-4.7649061157487367</v>
      </c>
      <c r="I71" s="111">
        <f>'Actual RAB roll forward'!I502</f>
        <v>-3.1780885479743084</v>
      </c>
      <c r="J71" s="111">
        <f>'Actual RAB roll forward'!J502</f>
        <v>-1.139942633841045</v>
      </c>
      <c r="K71" s="111">
        <f>'Actual RAB roll forward'!K502</f>
        <v>-10.403970093338412</v>
      </c>
      <c r="L71" s="111">
        <f>'Actual RAB roll forward'!L502</f>
        <v>-13.757092550496054</v>
      </c>
      <c r="M71" s="111">
        <f>'Actual RAB roll forward'!M502</f>
        <v>34.268398812172883</v>
      </c>
      <c r="N71" s="111">
        <f>'Actual RAB roll forward'!N502</f>
        <v>0</v>
      </c>
      <c r="O71" s="111">
        <f>'Actual RAB roll forward'!O502</f>
        <v>0</v>
      </c>
      <c r="P71" s="111">
        <f>'Actual RAB roll forward'!P502</f>
        <v>0</v>
      </c>
      <c r="Q71" s="111">
        <f>'Actual RAB roll forward'!Q502</f>
        <v>0</v>
      </c>
      <c r="R71" s="29"/>
      <c r="S71" s="100"/>
      <c r="T71" s="100"/>
      <c r="U71" s="100"/>
      <c r="V71" s="100"/>
      <c r="W71" s="100"/>
      <c r="X71" s="100"/>
      <c r="Y71" s="100"/>
      <c r="Z71" s="100"/>
      <c r="AA71" s="100"/>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0"/>
      <c r="BL71" s="220"/>
    </row>
    <row r="72" spans="1:64" hidden="1" outlineLevel="1">
      <c r="A72" s="9"/>
      <c r="B72" s="9"/>
      <c r="C72" s="46"/>
      <c r="D72" s="129" t="str">
        <f>Asset2</f>
        <v>Meters</v>
      </c>
      <c r="E72" s="9"/>
      <c r="F72" s="9"/>
      <c r="G72" s="193">
        <f>'Actual RAB roll forward'!G503</f>
        <v>-9.5254766700949176</v>
      </c>
      <c r="H72" s="111">
        <f>'Actual RAB roll forward'!H503</f>
        <v>-10.247628051953608</v>
      </c>
      <c r="I72" s="111">
        <f>'Actual RAB roll forward'!I503</f>
        <v>-10.965700882797494</v>
      </c>
      <c r="J72" s="111">
        <f>'Actual RAB roll forward'!J503</f>
        <v>-12.030359729140228</v>
      </c>
      <c r="K72" s="111">
        <f>'Actual RAB roll forward'!K503</f>
        <v>-13.864547997549989</v>
      </c>
      <c r="L72" s="111">
        <f>'Actual RAB roll forward'!L503</f>
        <v>-15.51964024266492</v>
      </c>
      <c r="M72" s="111">
        <f>'Actual RAB roll forward'!M503</f>
        <v>2.2254840812469503</v>
      </c>
      <c r="N72" s="111">
        <f>'Actual RAB roll forward'!N503</f>
        <v>0</v>
      </c>
      <c r="O72" s="111">
        <f>'Actual RAB roll forward'!O503</f>
        <v>0</v>
      </c>
      <c r="P72" s="111">
        <f>'Actual RAB roll forward'!P503</f>
        <v>0</v>
      </c>
      <c r="Q72" s="111">
        <f>'Actual RAB roll forward'!Q503</f>
        <v>0</v>
      </c>
      <c r="R72" s="29"/>
      <c r="S72" s="100"/>
      <c r="T72" s="100"/>
      <c r="U72" s="100"/>
      <c r="V72" s="100"/>
      <c r="W72" s="100"/>
      <c r="X72" s="100"/>
      <c r="Y72" s="100"/>
      <c r="Z72" s="100"/>
      <c r="AA72" s="100"/>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0"/>
      <c r="BL72" s="220"/>
    </row>
    <row r="73" spans="1:64" hidden="1" outlineLevel="1">
      <c r="A73" s="9"/>
      <c r="B73" s="9"/>
      <c r="C73" s="46"/>
      <c r="D73" s="129" t="str">
        <f>Asset3</f>
        <v>Buildings</v>
      </c>
      <c r="E73" s="9"/>
      <c r="F73" s="9"/>
      <c r="G73" s="193">
        <f>'Actual RAB roll forward'!G504</f>
        <v>-0.14261750932535966</v>
      </c>
      <c r="H73" s="111">
        <f>'Actual RAB roll forward'!H504</f>
        <v>-0.25229710815243855</v>
      </c>
      <c r="I73" s="111">
        <f>'Actual RAB roll forward'!I504</f>
        <v>-0.27010179323751948</v>
      </c>
      <c r="J73" s="111">
        <f>'Actual RAB roll forward'!J504</f>
        <v>-0.27501890375469484</v>
      </c>
      <c r="K73" s="111">
        <f>'Actual RAB roll forward'!K504</f>
        <v>-0.34648118971429576</v>
      </c>
      <c r="L73" s="111">
        <f>'Actual RAB roll forward'!L504</f>
        <v>-0.37194098853988622</v>
      </c>
      <c r="M73" s="111">
        <f>'Actual RAB roll forward'!M504</f>
        <v>0.16157618064637372</v>
      </c>
      <c r="N73" s="111">
        <f>'Actual RAB roll forward'!N504</f>
        <v>0</v>
      </c>
      <c r="O73" s="111">
        <f>'Actual RAB roll forward'!O504</f>
        <v>0</v>
      </c>
      <c r="P73" s="111">
        <f>'Actual RAB roll forward'!P504</f>
        <v>0</v>
      </c>
      <c r="Q73" s="111">
        <f>'Actual RAB roll forward'!Q504</f>
        <v>0</v>
      </c>
      <c r="R73" s="29"/>
      <c r="S73" s="100"/>
      <c r="T73" s="100"/>
      <c r="U73" s="100"/>
      <c r="V73" s="100"/>
      <c r="W73" s="100"/>
      <c r="X73" s="100"/>
      <c r="Y73" s="100"/>
      <c r="Z73" s="100"/>
      <c r="AA73" s="100"/>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0"/>
      <c r="BL73" s="220"/>
    </row>
    <row r="74" spans="1:64" hidden="1" outlineLevel="1">
      <c r="A74" s="9"/>
      <c r="B74" s="9"/>
      <c r="C74" s="46"/>
      <c r="D74" s="129" t="str">
        <f>Asset4</f>
        <v>SCADA</v>
      </c>
      <c r="E74" s="9"/>
      <c r="F74" s="9"/>
      <c r="G74" s="193">
        <f>'Actual RAB roll forward'!G505</f>
        <v>-9.3034187677312044E-2</v>
      </c>
      <c r="H74" s="111">
        <f>'Actual RAB roll forward'!H505</f>
        <v>-0.10211204458324538</v>
      </c>
      <c r="I74" s="111">
        <f>'Actual RAB roll forward'!I505</f>
        <v>-0.11768634052370183</v>
      </c>
      <c r="J74" s="111">
        <f>'Actual RAB roll forward'!J505</f>
        <v>-0.13025107992258106</v>
      </c>
      <c r="K74" s="111">
        <f>'Actual RAB roll forward'!K505</f>
        <v>-0.15684768792317183</v>
      </c>
      <c r="L74" s="111">
        <f>'Actual RAB roll forward'!L505</f>
        <v>-0.18010769383025677</v>
      </c>
      <c r="M74" s="111">
        <f>'Actual RAB roll forward'!M505</f>
        <v>4.9654961067498803E-2</v>
      </c>
      <c r="N74" s="111">
        <f>'Actual RAB roll forward'!N505</f>
        <v>0</v>
      </c>
      <c r="O74" s="111">
        <f>'Actual RAB roll forward'!O505</f>
        <v>0</v>
      </c>
      <c r="P74" s="111">
        <f>'Actual RAB roll forward'!P505</f>
        <v>0</v>
      </c>
      <c r="Q74" s="111">
        <f>'Actual RAB roll forward'!Q505</f>
        <v>0</v>
      </c>
      <c r="R74" s="29"/>
      <c r="S74" s="100"/>
      <c r="T74" s="100"/>
      <c r="U74" s="100"/>
      <c r="V74" s="100"/>
      <c r="W74" s="100"/>
      <c r="X74" s="100"/>
      <c r="Y74" s="100"/>
      <c r="Z74" s="100"/>
      <c r="AA74" s="100"/>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0"/>
      <c r="BL74" s="220"/>
    </row>
    <row r="75" spans="1:64" hidden="1" outlineLevel="1">
      <c r="A75" s="9"/>
      <c r="B75" s="9"/>
      <c r="C75" s="46"/>
      <c r="D75" s="129" t="str">
        <f>Asset5</f>
        <v>Computer Equipment</v>
      </c>
      <c r="E75" s="9"/>
      <c r="F75" s="9"/>
      <c r="G75" s="193">
        <f>'Actual RAB roll forward'!G506</f>
        <v>-0.26755195806871002</v>
      </c>
      <c r="H75" s="111">
        <f>'Actual RAB roll forward'!H506</f>
        <v>-0.2256581688308911</v>
      </c>
      <c r="I75" s="111">
        <f>'Actual RAB roll forward'!I506</f>
        <v>-1.174941825866179</v>
      </c>
      <c r="J75" s="111">
        <f>'Actual RAB roll forward'!J506</f>
        <v>-3.1541510471196057</v>
      </c>
      <c r="K75" s="111">
        <f>'Actual RAB roll forward'!K506</f>
        <v>-3.7671015486587907</v>
      </c>
      <c r="L75" s="111">
        <f>'Actual RAB roll forward'!L506</f>
        <v>-3.7976737399417826</v>
      </c>
      <c r="M75" s="111">
        <f>'Actual RAB roll forward'!M506</f>
        <v>0.27540523542982792</v>
      </c>
      <c r="N75" s="111">
        <f>'Actual RAB roll forward'!N506</f>
        <v>0</v>
      </c>
      <c r="O75" s="111">
        <f>'Actual RAB roll forward'!O506</f>
        <v>0</v>
      </c>
      <c r="P75" s="111">
        <f>'Actual RAB roll forward'!P506</f>
        <v>0</v>
      </c>
      <c r="Q75" s="111">
        <f>'Actual RAB roll forward'!Q506</f>
        <v>0</v>
      </c>
      <c r="R75" s="29"/>
      <c r="S75" s="100"/>
      <c r="T75" s="100"/>
      <c r="U75" s="100"/>
      <c r="V75" s="100"/>
      <c r="W75" s="100"/>
      <c r="X75" s="100"/>
      <c r="Y75" s="100"/>
      <c r="Z75" s="100"/>
      <c r="AA75" s="100"/>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0"/>
      <c r="BL75" s="220"/>
    </row>
    <row r="76" spans="1:64" hidden="1" outlineLevel="1">
      <c r="A76" s="9"/>
      <c r="B76" s="9"/>
      <c r="C76" s="46"/>
      <c r="D76" s="129" t="str">
        <f>Asset6</f>
        <v>Other Assets</v>
      </c>
      <c r="E76" s="9"/>
      <c r="F76" s="9"/>
      <c r="G76" s="193">
        <f>'Actual RAB roll forward'!G507</f>
        <v>-2.2555362280421538</v>
      </c>
      <c r="H76" s="111">
        <f>'Actual RAB roll forward'!H507</f>
        <v>-1.9353477096426155</v>
      </c>
      <c r="I76" s="111">
        <f>'Actual RAB roll forward'!I507</f>
        <v>-2.2416929769161493</v>
      </c>
      <c r="J76" s="111">
        <f>'Actual RAB roll forward'!J507</f>
        <v>-2.8362040818893726</v>
      </c>
      <c r="K76" s="111">
        <f>'Actual RAB roll forward'!K507</f>
        <v>-3.6011116822459286</v>
      </c>
      <c r="L76" s="111">
        <f>'Actual RAB roll forward'!L507</f>
        <v>-4.0293450922361211</v>
      </c>
      <c r="M76" s="111">
        <f>'Actual RAB roll forward'!M507</f>
        <v>0.7137390524844589</v>
      </c>
      <c r="N76" s="111">
        <f>'Actual RAB roll forward'!N507</f>
        <v>0</v>
      </c>
      <c r="O76" s="111">
        <f>'Actual RAB roll forward'!O507</f>
        <v>0</v>
      </c>
      <c r="P76" s="111">
        <f>'Actual RAB roll forward'!P507</f>
        <v>0</v>
      </c>
      <c r="Q76" s="111">
        <f>'Actual RAB roll forward'!Q507</f>
        <v>0</v>
      </c>
      <c r="R76" s="29"/>
      <c r="S76" s="100"/>
      <c r="T76" s="100"/>
      <c r="U76" s="100"/>
      <c r="V76" s="100"/>
      <c r="W76" s="100"/>
      <c r="X76" s="100"/>
      <c r="Y76" s="100"/>
      <c r="Z76" s="100"/>
      <c r="AA76" s="100"/>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0"/>
      <c r="BL76" s="220"/>
    </row>
    <row r="77" spans="1:64" hidden="1" outlineLevel="1">
      <c r="A77" s="9"/>
      <c r="B77" s="9"/>
      <c r="C77" s="46"/>
      <c r="D77" s="129" t="str">
        <f>Asset7</f>
        <v>Equity Raising Costs</v>
      </c>
      <c r="E77" s="9"/>
      <c r="F77" s="9"/>
      <c r="G77" s="193">
        <f>'Actual RAB roll forward'!G508</f>
        <v>0</v>
      </c>
      <c r="H77" s="111">
        <f>'Actual RAB roll forward'!H508</f>
        <v>0</v>
      </c>
      <c r="I77" s="111">
        <f>'Actual RAB roll forward'!I508</f>
        <v>0</v>
      </c>
      <c r="J77" s="111">
        <f>'Actual RAB roll forward'!J508</f>
        <v>0</v>
      </c>
      <c r="K77" s="111">
        <f>'Actual RAB roll forward'!K508</f>
        <v>0</v>
      </c>
      <c r="L77" s="111">
        <f>'Actual RAB roll forward'!L508</f>
        <v>0</v>
      </c>
      <c r="M77" s="111">
        <f>'Actual RAB roll forward'!M508</f>
        <v>0</v>
      </c>
      <c r="N77" s="111">
        <f>'Actual RAB roll forward'!N508</f>
        <v>0</v>
      </c>
      <c r="O77" s="111">
        <f>'Actual RAB roll forward'!O508</f>
        <v>0</v>
      </c>
      <c r="P77" s="111">
        <f>'Actual RAB roll forward'!P508</f>
        <v>0</v>
      </c>
      <c r="Q77" s="111">
        <f>'Actual RAB roll forward'!Q508</f>
        <v>0</v>
      </c>
      <c r="R77" s="29"/>
      <c r="S77" s="100"/>
      <c r="T77" s="100"/>
      <c r="U77" s="100"/>
      <c r="V77" s="100"/>
      <c r="W77" s="100"/>
      <c r="X77" s="100"/>
      <c r="Y77" s="100"/>
      <c r="Z77" s="100"/>
      <c r="AA77" s="100"/>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0"/>
      <c r="BL77" s="220"/>
    </row>
    <row r="78" spans="1:64" hidden="1" outlineLevel="1">
      <c r="A78" s="9"/>
      <c r="B78" s="9"/>
      <c r="C78" s="46"/>
      <c r="D78" s="129" t="str">
        <f>Asset8</f>
        <v>Land</v>
      </c>
      <c r="E78" s="9"/>
      <c r="F78" s="9"/>
      <c r="G78" s="193">
        <f>'Actual RAB roll forward'!G509</f>
        <v>0</v>
      </c>
      <c r="H78" s="111">
        <f>'Actual RAB roll forward'!H509</f>
        <v>0</v>
      </c>
      <c r="I78" s="111">
        <f>'Actual RAB roll forward'!I509</f>
        <v>0</v>
      </c>
      <c r="J78" s="111">
        <f>'Actual RAB roll forward'!J509</f>
        <v>0</v>
      </c>
      <c r="K78" s="111">
        <f>'Actual RAB roll forward'!K509</f>
        <v>0</v>
      </c>
      <c r="L78" s="111">
        <f>'Actual RAB roll forward'!L509</f>
        <v>0</v>
      </c>
      <c r="M78" s="111">
        <f>'Actual RAB roll forward'!M509</f>
        <v>0</v>
      </c>
      <c r="N78" s="111">
        <f>'Actual RAB roll forward'!N509</f>
        <v>0</v>
      </c>
      <c r="O78" s="111">
        <f>'Actual RAB roll forward'!O509</f>
        <v>0</v>
      </c>
      <c r="P78" s="111">
        <f>'Actual RAB roll forward'!P509</f>
        <v>0</v>
      </c>
      <c r="Q78" s="111">
        <f>'Actual RAB roll forward'!Q509</f>
        <v>0</v>
      </c>
      <c r="R78" s="29"/>
      <c r="S78" s="100"/>
      <c r="T78" s="100"/>
      <c r="U78" s="100"/>
      <c r="V78" s="100"/>
      <c r="W78" s="100"/>
      <c r="X78" s="100"/>
      <c r="Y78" s="100"/>
      <c r="Z78" s="100"/>
      <c r="AA78" s="100"/>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0"/>
      <c r="BL78" s="220"/>
    </row>
    <row r="79" spans="1:64" hidden="1" outlineLevel="1">
      <c r="A79" s="9"/>
      <c r="B79" s="9"/>
      <c r="C79" s="46"/>
      <c r="D79" s="129">
        <f>Asset9</f>
        <v>0</v>
      </c>
      <c r="E79" s="9"/>
      <c r="F79" s="9"/>
      <c r="G79" s="193">
        <f>'Actual RAB roll forward'!G510</f>
        <v>0</v>
      </c>
      <c r="H79" s="111">
        <f>'Actual RAB roll forward'!H510</f>
        <v>0</v>
      </c>
      <c r="I79" s="111">
        <f>'Actual RAB roll forward'!I510</f>
        <v>0</v>
      </c>
      <c r="J79" s="111">
        <f>'Actual RAB roll forward'!J510</f>
        <v>0</v>
      </c>
      <c r="K79" s="111">
        <f>'Actual RAB roll forward'!K510</f>
        <v>0</v>
      </c>
      <c r="L79" s="111">
        <f>'Actual RAB roll forward'!L510</f>
        <v>0</v>
      </c>
      <c r="M79" s="111">
        <f>'Actual RAB roll forward'!M510</f>
        <v>0</v>
      </c>
      <c r="N79" s="111">
        <f>'Actual RAB roll forward'!N510</f>
        <v>0</v>
      </c>
      <c r="O79" s="111">
        <f>'Actual RAB roll forward'!O510</f>
        <v>0</v>
      </c>
      <c r="P79" s="111">
        <f>'Actual RAB roll forward'!P510</f>
        <v>0</v>
      </c>
      <c r="Q79" s="111">
        <f>'Actual RAB roll forward'!Q510</f>
        <v>0</v>
      </c>
      <c r="R79" s="29"/>
      <c r="S79" s="100"/>
      <c r="T79" s="100"/>
      <c r="U79" s="100"/>
      <c r="V79" s="100"/>
      <c r="W79" s="100"/>
      <c r="X79" s="100"/>
      <c r="Y79" s="100"/>
      <c r="Z79" s="100"/>
      <c r="AA79" s="100"/>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0"/>
      <c r="BL79" s="220"/>
    </row>
    <row r="80" spans="1:64" hidden="1" outlineLevel="1">
      <c r="A80" s="9"/>
      <c r="B80" s="9"/>
      <c r="C80" s="46"/>
      <c r="D80" s="129">
        <f>Asset10</f>
        <v>0</v>
      </c>
      <c r="E80" s="9"/>
      <c r="F80" s="9"/>
      <c r="G80" s="193">
        <f>'Actual RAB roll forward'!G511</f>
        <v>0</v>
      </c>
      <c r="H80" s="111">
        <f>'Actual RAB roll forward'!H511</f>
        <v>0</v>
      </c>
      <c r="I80" s="111">
        <f>'Actual RAB roll forward'!I511</f>
        <v>0</v>
      </c>
      <c r="J80" s="111">
        <f>'Actual RAB roll forward'!J511</f>
        <v>0</v>
      </c>
      <c r="K80" s="111">
        <f>'Actual RAB roll forward'!K511</f>
        <v>0</v>
      </c>
      <c r="L80" s="111">
        <f>'Actual RAB roll forward'!L511</f>
        <v>0</v>
      </c>
      <c r="M80" s="111">
        <f>'Actual RAB roll forward'!M511</f>
        <v>0</v>
      </c>
      <c r="N80" s="111">
        <f>'Actual RAB roll forward'!N511</f>
        <v>0</v>
      </c>
      <c r="O80" s="111">
        <f>'Actual RAB roll forward'!O511</f>
        <v>0</v>
      </c>
      <c r="P80" s="111">
        <f>'Actual RAB roll forward'!P511</f>
        <v>0</v>
      </c>
      <c r="Q80" s="111">
        <f>'Actual RAB roll forward'!Q511</f>
        <v>0</v>
      </c>
      <c r="R80" s="29"/>
      <c r="S80" s="100"/>
      <c r="T80" s="100"/>
      <c r="U80" s="100"/>
      <c r="V80" s="100"/>
      <c r="W80" s="100"/>
      <c r="X80" s="100"/>
      <c r="Y80" s="100"/>
      <c r="Z80" s="100"/>
      <c r="AA80" s="100"/>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0"/>
      <c r="BL80" s="220"/>
    </row>
    <row r="81" spans="1:64" hidden="1" outlineLevel="1">
      <c r="A81" s="9"/>
      <c r="B81" s="9"/>
      <c r="C81" s="46"/>
      <c r="D81" s="129">
        <f>Asset11</f>
        <v>0</v>
      </c>
      <c r="E81" s="9"/>
      <c r="F81" s="9"/>
      <c r="G81" s="193">
        <f>'Actual RAB roll forward'!G512</f>
        <v>0</v>
      </c>
      <c r="H81" s="111">
        <f>'Actual RAB roll forward'!H512</f>
        <v>0</v>
      </c>
      <c r="I81" s="111">
        <f>'Actual RAB roll forward'!I512</f>
        <v>0</v>
      </c>
      <c r="J81" s="111">
        <f>'Actual RAB roll forward'!J512</f>
        <v>0</v>
      </c>
      <c r="K81" s="111">
        <f>'Actual RAB roll forward'!K512</f>
        <v>0</v>
      </c>
      <c r="L81" s="111">
        <f>'Actual RAB roll forward'!L512</f>
        <v>0</v>
      </c>
      <c r="M81" s="111">
        <f>'Actual RAB roll forward'!M512</f>
        <v>0</v>
      </c>
      <c r="N81" s="111">
        <f>'Actual RAB roll forward'!N512</f>
        <v>0</v>
      </c>
      <c r="O81" s="111">
        <f>'Actual RAB roll forward'!O512</f>
        <v>0</v>
      </c>
      <c r="P81" s="111">
        <f>'Actual RAB roll forward'!P512</f>
        <v>0</v>
      </c>
      <c r="Q81" s="111">
        <f>'Actual RAB roll forward'!Q512</f>
        <v>0</v>
      </c>
      <c r="R81" s="29"/>
      <c r="S81" s="100"/>
      <c r="T81" s="100"/>
      <c r="U81" s="100"/>
      <c r="V81" s="100"/>
      <c r="W81" s="100"/>
      <c r="X81" s="100"/>
      <c r="Y81" s="100"/>
      <c r="Z81" s="100"/>
      <c r="AA81" s="100"/>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0"/>
      <c r="BL81" s="220"/>
    </row>
    <row r="82" spans="1:64" hidden="1" outlineLevel="1">
      <c r="A82" s="9"/>
      <c r="B82" s="9"/>
      <c r="C82" s="46"/>
      <c r="D82" s="129">
        <f>Asset12</f>
        <v>0</v>
      </c>
      <c r="E82" s="9"/>
      <c r="F82" s="9"/>
      <c r="G82" s="193">
        <f>'Actual RAB roll forward'!G513</f>
        <v>0</v>
      </c>
      <c r="H82" s="111">
        <f>'Actual RAB roll forward'!H513</f>
        <v>0</v>
      </c>
      <c r="I82" s="111">
        <f>'Actual RAB roll forward'!I513</f>
        <v>0</v>
      </c>
      <c r="J82" s="111">
        <f>'Actual RAB roll forward'!J513</f>
        <v>0</v>
      </c>
      <c r="K82" s="111">
        <f>'Actual RAB roll forward'!K513</f>
        <v>0</v>
      </c>
      <c r="L82" s="111">
        <f>'Actual RAB roll forward'!L513</f>
        <v>0</v>
      </c>
      <c r="M82" s="111">
        <f>'Actual RAB roll forward'!M513</f>
        <v>0</v>
      </c>
      <c r="N82" s="111">
        <f>'Actual RAB roll forward'!N513</f>
        <v>0</v>
      </c>
      <c r="O82" s="111">
        <f>'Actual RAB roll forward'!O513</f>
        <v>0</v>
      </c>
      <c r="P82" s="111">
        <f>'Actual RAB roll forward'!P513</f>
        <v>0</v>
      </c>
      <c r="Q82" s="111">
        <f>'Actual RAB roll forward'!Q513</f>
        <v>0</v>
      </c>
      <c r="R82" s="29"/>
      <c r="S82" s="100"/>
      <c r="T82" s="100"/>
      <c r="U82" s="100"/>
      <c r="V82" s="100"/>
      <c r="W82" s="100"/>
      <c r="X82" s="100"/>
      <c r="Y82" s="100"/>
      <c r="Z82" s="100"/>
      <c r="AA82" s="100"/>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0"/>
      <c r="BL82" s="220"/>
    </row>
    <row r="83" spans="1:64" hidden="1" outlineLevel="1">
      <c r="A83" s="9"/>
      <c r="B83" s="9"/>
      <c r="C83" s="46"/>
      <c r="D83" s="129">
        <f>Asset13</f>
        <v>0</v>
      </c>
      <c r="E83" s="9"/>
      <c r="F83" s="9"/>
      <c r="G83" s="193">
        <f>'Actual RAB roll forward'!G514</f>
        <v>0</v>
      </c>
      <c r="H83" s="111">
        <f>'Actual RAB roll forward'!H514</f>
        <v>0</v>
      </c>
      <c r="I83" s="111">
        <f>'Actual RAB roll forward'!I514</f>
        <v>0</v>
      </c>
      <c r="J83" s="111">
        <f>'Actual RAB roll forward'!J514</f>
        <v>0</v>
      </c>
      <c r="K83" s="111">
        <f>'Actual RAB roll forward'!K514</f>
        <v>0</v>
      </c>
      <c r="L83" s="111">
        <f>'Actual RAB roll forward'!L514</f>
        <v>0</v>
      </c>
      <c r="M83" s="111">
        <f>'Actual RAB roll forward'!M514</f>
        <v>0</v>
      </c>
      <c r="N83" s="111">
        <f>'Actual RAB roll forward'!N514</f>
        <v>0</v>
      </c>
      <c r="O83" s="111">
        <f>'Actual RAB roll forward'!O514</f>
        <v>0</v>
      </c>
      <c r="P83" s="111">
        <f>'Actual RAB roll forward'!P514</f>
        <v>0</v>
      </c>
      <c r="Q83" s="111">
        <f>'Actual RAB roll forward'!Q514</f>
        <v>0</v>
      </c>
      <c r="R83" s="29"/>
      <c r="S83" s="100"/>
      <c r="T83" s="100"/>
      <c r="U83" s="100"/>
      <c r="V83" s="100"/>
      <c r="W83" s="100"/>
      <c r="X83" s="100"/>
      <c r="Y83" s="100"/>
      <c r="Z83" s="100"/>
      <c r="AA83" s="100"/>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0"/>
      <c r="BL83" s="220"/>
    </row>
    <row r="84" spans="1:64" hidden="1" outlineLevel="1">
      <c r="A84" s="9"/>
      <c r="B84" s="9"/>
      <c r="C84" s="46"/>
      <c r="D84" s="129">
        <f>Asset14</f>
        <v>0</v>
      </c>
      <c r="E84" s="9"/>
      <c r="F84" s="9"/>
      <c r="G84" s="193">
        <f>'Actual RAB roll forward'!G515</f>
        <v>0</v>
      </c>
      <c r="H84" s="111">
        <f>'Actual RAB roll forward'!H515</f>
        <v>0</v>
      </c>
      <c r="I84" s="111">
        <f>'Actual RAB roll forward'!I515</f>
        <v>0</v>
      </c>
      <c r="J84" s="111">
        <f>'Actual RAB roll forward'!J515</f>
        <v>0</v>
      </c>
      <c r="K84" s="111">
        <f>'Actual RAB roll forward'!K515</f>
        <v>0</v>
      </c>
      <c r="L84" s="111">
        <f>'Actual RAB roll forward'!L515</f>
        <v>0</v>
      </c>
      <c r="M84" s="111">
        <f>'Actual RAB roll forward'!M515</f>
        <v>0</v>
      </c>
      <c r="N84" s="111">
        <f>'Actual RAB roll forward'!N515</f>
        <v>0</v>
      </c>
      <c r="O84" s="111">
        <f>'Actual RAB roll forward'!O515</f>
        <v>0</v>
      </c>
      <c r="P84" s="111">
        <f>'Actual RAB roll forward'!P515</f>
        <v>0</v>
      </c>
      <c r="Q84" s="111">
        <f>'Actual RAB roll forward'!Q515</f>
        <v>0</v>
      </c>
      <c r="R84" s="29"/>
      <c r="S84" s="100"/>
      <c r="T84" s="100"/>
      <c r="U84" s="100"/>
      <c r="V84" s="100"/>
      <c r="W84" s="100"/>
      <c r="X84" s="100"/>
      <c r="Y84" s="100"/>
      <c r="Z84" s="100"/>
      <c r="AA84" s="100"/>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0"/>
      <c r="BL84" s="220"/>
    </row>
    <row r="85" spans="1:64" hidden="1" outlineLevel="1">
      <c r="A85" s="9"/>
      <c r="B85" s="9"/>
      <c r="C85" s="46"/>
      <c r="D85" s="129">
        <f>Asset15</f>
        <v>0</v>
      </c>
      <c r="E85" s="9"/>
      <c r="F85" s="9"/>
      <c r="G85" s="193">
        <f>'Actual RAB roll forward'!G516</f>
        <v>0</v>
      </c>
      <c r="H85" s="111">
        <f>'Actual RAB roll forward'!H516</f>
        <v>0</v>
      </c>
      <c r="I85" s="111">
        <f>'Actual RAB roll forward'!I516</f>
        <v>0</v>
      </c>
      <c r="J85" s="111">
        <f>'Actual RAB roll forward'!J516</f>
        <v>0</v>
      </c>
      <c r="K85" s="111">
        <f>'Actual RAB roll forward'!K516</f>
        <v>0</v>
      </c>
      <c r="L85" s="111">
        <f>'Actual RAB roll forward'!L516</f>
        <v>0</v>
      </c>
      <c r="M85" s="111">
        <f>'Actual RAB roll forward'!M516</f>
        <v>0</v>
      </c>
      <c r="N85" s="111">
        <f>'Actual RAB roll forward'!N516</f>
        <v>0</v>
      </c>
      <c r="O85" s="111">
        <f>'Actual RAB roll forward'!O516</f>
        <v>0</v>
      </c>
      <c r="P85" s="111">
        <f>'Actual RAB roll forward'!P516</f>
        <v>0</v>
      </c>
      <c r="Q85" s="111">
        <f>'Actual RAB roll forward'!Q516</f>
        <v>0</v>
      </c>
      <c r="R85" s="29"/>
      <c r="S85" s="100"/>
      <c r="T85" s="100"/>
      <c r="U85" s="100"/>
      <c r="V85" s="100"/>
      <c r="W85" s="100"/>
      <c r="X85" s="100"/>
      <c r="Y85" s="100"/>
      <c r="Z85" s="100"/>
      <c r="AA85" s="100"/>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0"/>
      <c r="BL85" s="220"/>
    </row>
    <row r="86" spans="1:64" hidden="1" outlineLevel="1">
      <c r="A86" s="9"/>
      <c r="B86" s="9"/>
      <c r="C86" s="46"/>
      <c r="D86" s="129">
        <f>Asset16</f>
        <v>0</v>
      </c>
      <c r="E86" s="9"/>
      <c r="F86" s="9"/>
      <c r="G86" s="193">
        <f>'Actual RAB roll forward'!G517</f>
        <v>0</v>
      </c>
      <c r="H86" s="111">
        <f>'Actual RAB roll forward'!H517</f>
        <v>0</v>
      </c>
      <c r="I86" s="111">
        <f>'Actual RAB roll forward'!I517</f>
        <v>0</v>
      </c>
      <c r="J86" s="111">
        <f>'Actual RAB roll forward'!J517</f>
        <v>0</v>
      </c>
      <c r="K86" s="111">
        <f>'Actual RAB roll forward'!K517</f>
        <v>0</v>
      </c>
      <c r="L86" s="111">
        <f>'Actual RAB roll forward'!L517</f>
        <v>0</v>
      </c>
      <c r="M86" s="111">
        <f>'Actual RAB roll forward'!M517</f>
        <v>0</v>
      </c>
      <c r="N86" s="111">
        <f>'Actual RAB roll forward'!N517</f>
        <v>0</v>
      </c>
      <c r="O86" s="111">
        <f>'Actual RAB roll forward'!O517</f>
        <v>0</v>
      </c>
      <c r="P86" s="111">
        <f>'Actual RAB roll forward'!P517</f>
        <v>0</v>
      </c>
      <c r="Q86" s="111">
        <f>'Actual RAB roll forward'!Q517</f>
        <v>0</v>
      </c>
      <c r="R86" s="29"/>
      <c r="S86" s="100"/>
      <c r="T86" s="100"/>
      <c r="U86" s="100"/>
      <c r="V86" s="100"/>
      <c r="W86" s="100"/>
      <c r="X86" s="100"/>
      <c r="Y86" s="100"/>
      <c r="Z86" s="100"/>
      <c r="AA86" s="100"/>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0"/>
      <c r="BL86" s="220"/>
    </row>
    <row r="87" spans="1:64" hidden="1" outlineLevel="1">
      <c r="A87" s="9"/>
      <c r="B87" s="9"/>
      <c r="C87" s="46"/>
      <c r="D87" s="129">
        <f>Asset17</f>
        <v>0</v>
      </c>
      <c r="E87" s="9"/>
      <c r="F87" s="9"/>
      <c r="G87" s="193">
        <f>'Actual RAB roll forward'!G518</f>
        <v>0</v>
      </c>
      <c r="H87" s="111">
        <f>'Actual RAB roll forward'!H518</f>
        <v>0</v>
      </c>
      <c r="I87" s="111">
        <f>'Actual RAB roll forward'!I518</f>
        <v>0</v>
      </c>
      <c r="J87" s="111">
        <f>'Actual RAB roll forward'!J518</f>
        <v>0</v>
      </c>
      <c r="K87" s="111">
        <f>'Actual RAB roll forward'!K518</f>
        <v>0</v>
      </c>
      <c r="L87" s="111">
        <f>'Actual RAB roll forward'!L518</f>
        <v>0</v>
      </c>
      <c r="M87" s="111">
        <f>'Actual RAB roll forward'!M518</f>
        <v>0</v>
      </c>
      <c r="N87" s="111">
        <f>'Actual RAB roll forward'!N518</f>
        <v>0</v>
      </c>
      <c r="O87" s="111">
        <f>'Actual RAB roll forward'!O518</f>
        <v>0</v>
      </c>
      <c r="P87" s="111">
        <f>'Actual RAB roll forward'!P518</f>
        <v>0</v>
      </c>
      <c r="Q87" s="111">
        <f>'Actual RAB roll forward'!Q518</f>
        <v>0</v>
      </c>
      <c r="R87" s="29"/>
      <c r="S87" s="100"/>
      <c r="T87" s="100"/>
      <c r="U87" s="100"/>
      <c r="V87" s="100"/>
      <c r="W87" s="100"/>
      <c r="X87" s="100"/>
      <c r="Y87" s="100"/>
      <c r="Z87" s="100"/>
      <c r="AA87" s="100"/>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0"/>
      <c r="BL87" s="220"/>
    </row>
    <row r="88" spans="1:64" hidden="1" outlineLevel="1">
      <c r="A88" s="9"/>
      <c r="B88" s="9"/>
      <c r="C88" s="46"/>
      <c r="D88" s="129">
        <f>Asset18</f>
        <v>0</v>
      </c>
      <c r="E88" s="9"/>
      <c r="F88" s="9"/>
      <c r="G88" s="193">
        <f>'Actual RAB roll forward'!G519</f>
        <v>0</v>
      </c>
      <c r="H88" s="111">
        <f>'Actual RAB roll forward'!H519</f>
        <v>0</v>
      </c>
      <c r="I88" s="111">
        <f>'Actual RAB roll forward'!I519</f>
        <v>0</v>
      </c>
      <c r="J88" s="111">
        <f>'Actual RAB roll forward'!J519</f>
        <v>0</v>
      </c>
      <c r="K88" s="111">
        <f>'Actual RAB roll forward'!K519</f>
        <v>0</v>
      </c>
      <c r="L88" s="111">
        <f>'Actual RAB roll forward'!L519</f>
        <v>0</v>
      </c>
      <c r="M88" s="111">
        <f>'Actual RAB roll forward'!M519</f>
        <v>0</v>
      </c>
      <c r="N88" s="111">
        <f>'Actual RAB roll forward'!N519</f>
        <v>0</v>
      </c>
      <c r="O88" s="111">
        <f>'Actual RAB roll forward'!O519</f>
        <v>0</v>
      </c>
      <c r="P88" s="111">
        <f>'Actual RAB roll forward'!P519</f>
        <v>0</v>
      </c>
      <c r="Q88" s="111">
        <f>'Actual RAB roll forward'!Q519</f>
        <v>0</v>
      </c>
      <c r="R88" s="29"/>
      <c r="S88" s="100"/>
      <c r="T88" s="100"/>
      <c r="U88" s="100"/>
      <c r="V88" s="100"/>
      <c r="W88" s="100"/>
      <c r="X88" s="100"/>
      <c r="Y88" s="100"/>
      <c r="Z88" s="100"/>
      <c r="AA88" s="100"/>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0"/>
      <c r="BL88" s="220"/>
    </row>
    <row r="89" spans="1:64" hidden="1" outlineLevel="1">
      <c r="A89" s="9"/>
      <c r="B89" s="9"/>
      <c r="C89" s="46"/>
      <c r="D89" s="129">
        <f>Asset19</f>
        <v>0</v>
      </c>
      <c r="E89" s="9"/>
      <c r="F89" s="9"/>
      <c r="G89" s="193">
        <f>'Actual RAB roll forward'!G520</f>
        <v>0</v>
      </c>
      <c r="H89" s="111">
        <f>'Actual RAB roll forward'!H520</f>
        <v>0</v>
      </c>
      <c r="I89" s="111">
        <f>'Actual RAB roll forward'!I520</f>
        <v>0</v>
      </c>
      <c r="J89" s="111">
        <f>'Actual RAB roll forward'!J520</f>
        <v>0</v>
      </c>
      <c r="K89" s="111">
        <f>'Actual RAB roll forward'!K520</f>
        <v>0</v>
      </c>
      <c r="L89" s="111">
        <f>'Actual RAB roll forward'!L520</f>
        <v>0</v>
      </c>
      <c r="M89" s="111">
        <f>'Actual RAB roll forward'!M520</f>
        <v>0</v>
      </c>
      <c r="N89" s="111">
        <f>'Actual RAB roll forward'!N520</f>
        <v>0</v>
      </c>
      <c r="O89" s="111">
        <f>'Actual RAB roll forward'!O520</f>
        <v>0</v>
      </c>
      <c r="P89" s="111">
        <f>'Actual RAB roll forward'!P520</f>
        <v>0</v>
      </c>
      <c r="Q89" s="111">
        <f>'Actual RAB roll forward'!Q520</f>
        <v>0</v>
      </c>
      <c r="R89" s="29"/>
      <c r="S89" s="100"/>
      <c r="T89" s="100"/>
      <c r="U89" s="100"/>
      <c r="V89" s="100"/>
      <c r="W89" s="100"/>
      <c r="X89" s="100"/>
      <c r="Y89" s="100"/>
      <c r="Z89" s="100"/>
      <c r="AA89" s="100"/>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0"/>
      <c r="BL89" s="220"/>
    </row>
    <row r="90" spans="1:64" hidden="1" outlineLevel="1">
      <c r="A90" s="9"/>
      <c r="B90" s="9"/>
      <c r="C90" s="46"/>
      <c r="D90" s="129">
        <f>Asset20</f>
        <v>0</v>
      </c>
      <c r="E90" s="9"/>
      <c r="F90" s="9"/>
      <c r="G90" s="193">
        <f>'Actual RAB roll forward'!G521</f>
        <v>0</v>
      </c>
      <c r="H90" s="111">
        <f>'Actual RAB roll forward'!H521</f>
        <v>0</v>
      </c>
      <c r="I90" s="111">
        <f>'Actual RAB roll forward'!I521</f>
        <v>0</v>
      </c>
      <c r="J90" s="111">
        <f>'Actual RAB roll forward'!J521</f>
        <v>0</v>
      </c>
      <c r="K90" s="111">
        <f>'Actual RAB roll forward'!K521</f>
        <v>0</v>
      </c>
      <c r="L90" s="111">
        <f>'Actual RAB roll forward'!L521</f>
        <v>0</v>
      </c>
      <c r="M90" s="111">
        <f>'Actual RAB roll forward'!M521</f>
        <v>0</v>
      </c>
      <c r="N90" s="111">
        <f>'Actual RAB roll forward'!N521</f>
        <v>0</v>
      </c>
      <c r="O90" s="111">
        <f>'Actual RAB roll forward'!O521</f>
        <v>0</v>
      </c>
      <c r="P90" s="111">
        <f>'Actual RAB roll forward'!P521</f>
        <v>0</v>
      </c>
      <c r="Q90" s="111">
        <f>'Actual RAB roll forward'!Q521</f>
        <v>0</v>
      </c>
      <c r="R90" s="29"/>
      <c r="S90" s="100"/>
      <c r="T90" s="100"/>
      <c r="U90" s="100"/>
      <c r="V90" s="100"/>
      <c r="W90" s="100"/>
      <c r="X90" s="100"/>
      <c r="Y90" s="100"/>
      <c r="Z90" s="100"/>
      <c r="AA90" s="100"/>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0"/>
      <c r="BL90" s="220"/>
    </row>
    <row r="91" spans="1:64" hidden="1" outlineLevel="1">
      <c r="A91" s="9"/>
      <c r="B91" s="9"/>
      <c r="C91" s="46"/>
      <c r="D91" s="129">
        <f>Asset21</f>
        <v>0</v>
      </c>
      <c r="E91" s="9"/>
      <c r="F91" s="9"/>
      <c r="G91" s="193">
        <f>'Actual RAB roll forward'!G522</f>
        <v>0</v>
      </c>
      <c r="H91" s="111">
        <f>'Actual RAB roll forward'!H522</f>
        <v>0</v>
      </c>
      <c r="I91" s="111">
        <f>'Actual RAB roll forward'!I522</f>
        <v>0</v>
      </c>
      <c r="J91" s="111">
        <f>'Actual RAB roll forward'!J522</f>
        <v>0</v>
      </c>
      <c r="K91" s="111">
        <f>'Actual RAB roll forward'!K522</f>
        <v>0</v>
      </c>
      <c r="L91" s="111">
        <f>'Actual RAB roll forward'!L522</f>
        <v>0</v>
      </c>
      <c r="M91" s="111">
        <f>'Actual RAB roll forward'!M522</f>
        <v>0</v>
      </c>
      <c r="N91" s="111">
        <f>'Actual RAB roll forward'!N522</f>
        <v>0</v>
      </c>
      <c r="O91" s="111">
        <f>'Actual RAB roll forward'!O522</f>
        <v>0</v>
      </c>
      <c r="P91" s="111">
        <f>'Actual RAB roll forward'!P522</f>
        <v>0</v>
      </c>
      <c r="Q91" s="111">
        <f>'Actual RAB roll forward'!Q522</f>
        <v>0</v>
      </c>
      <c r="R91" s="29"/>
      <c r="S91" s="100"/>
      <c r="T91" s="100"/>
      <c r="U91" s="100"/>
      <c r="V91" s="100"/>
      <c r="W91" s="100"/>
      <c r="X91" s="100"/>
      <c r="Y91" s="100"/>
      <c r="Z91" s="100"/>
      <c r="AA91" s="100"/>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0"/>
      <c r="BL91" s="220"/>
    </row>
    <row r="92" spans="1:64" hidden="1" outlineLevel="1">
      <c r="A92" s="9"/>
      <c r="B92" s="9"/>
      <c r="C92" s="46"/>
      <c r="D92" s="129">
        <f>Asset22</f>
        <v>0</v>
      </c>
      <c r="E92" s="9"/>
      <c r="F92" s="9"/>
      <c r="G92" s="193">
        <f>'Actual RAB roll forward'!G523</f>
        <v>0</v>
      </c>
      <c r="H92" s="111">
        <f>'Actual RAB roll forward'!H523</f>
        <v>0</v>
      </c>
      <c r="I92" s="111">
        <f>'Actual RAB roll forward'!I523</f>
        <v>0</v>
      </c>
      <c r="J92" s="111">
        <f>'Actual RAB roll forward'!J523</f>
        <v>0</v>
      </c>
      <c r="K92" s="111">
        <f>'Actual RAB roll forward'!K523</f>
        <v>0</v>
      </c>
      <c r="L92" s="111">
        <f>'Actual RAB roll forward'!L523</f>
        <v>0</v>
      </c>
      <c r="M92" s="111">
        <f>'Actual RAB roll forward'!M523</f>
        <v>0</v>
      </c>
      <c r="N92" s="111">
        <f>'Actual RAB roll forward'!N523</f>
        <v>0</v>
      </c>
      <c r="O92" s="111">
        <f>'Actual RAB roll forward'!O523</f>
        <v>0</v>
      </c>
      <c r="P92" s="111">
        <f>'Actual RAB roll forward'!P523</f>
        <v>0</v>
      </c>
      <c r="Q92" s="111">
        <f>'Actual RAB roll forward'!Q523</f>
        <v>0</v>
      </c>
      <c r="R92" s="29"/>
      <c r="S92" s="100"/>
      <c r="T92" s="100"/>
      <c r="U92" s="100"/>
      <c r="V92" s="100"/>
      <c r="W92" s="100"/>
      <c r="X92" s="100"/>
      <c r="Y92" s="100"/>
      <c r="Z92" s="100"/>
      <c r="AA92" s="100"/>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0"/>
      <c r="BL92" s="220"/>
    </row>
    <row r="93" spans="1:64" hidden="1" outlineLevel="1">
      <c r="A93" s="9"/>
      <c r="B93" s="9"/>
      <c r="C93" s="46"/>
      <c r="D93" s="129">
        <f>Asset23</f>
        <v>0</v>
      </c>
      <c r="E93" s="9"/>
      <c r="F93" s="9"/>
      <c r="G93" s="193">
        <f>'Actual RAB roll forward'!G524</f>
        <v>0</v>
      </c>
      <c r="H93" s="111">
        <f>'Actual RAB roll forward'!H524</f>
        <v>0</v>
      </c>
      <c r="I93" s="111">
        <f>'Actual RAB roll forward'!I524</f>
        <v>0</v>
      </c>
      <c r="J93" s="111">
        <f>'Actual RAB roll forward'!J524</f>
        <v>0</v>
      </c>
      <c r="K93" s="111">
        <f>'Actual RAB roll forward'!K524</f>
        <v>0</v>
      </c>
      <c r="L93" s="111">
        <f>'Actual RAB roll forward'!L524</f>
        <v>0</v>
      </c>
      <c r="M93" s="111">
        <f>'Actual RAB roll forward'!M524</f>
        <v>0</v>
      </c>
      <c r="N93" s="111">
        <f>'Actual RAB roll forward'!N524</f>
        <v>0</v>
      </c>
      <c r="O93" s="111">
        <f>'Actual RAB roll forward'!O524</f>
        <v>0</v>
      </c>
      <c r="P93" s="111">
        <f>'Actual RAB roll forward'!P524</f>
        <v>0</v>
      </c>
      <c r="Q93" s="111">
        <f>'Actual RAB roll forward'!Q524</f>
        <v>0</v>
      </c>
      <c r="R93" s="29"/>
      <c r="S93" s="100"/>
      <c r="T93" s="100"/>
      <c r="U93" s="100"/>
      <c r="V93" s="100"/>
      <c r="W93" s="100"/>
      <c r="X93" s="100"/>
      <c r="Y93" s="100"/>
      <c r="Z93" s="100"/>
      <c r="AA93" s="100"/>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0"/>
      <c r="BL93" s="220"/>
    </row>
    <row r="94" spans="1:64" hidden="1" outlineLevel="1">
      <c r="A94" s="9"/>
      <c r="B94" s="9"/>
      <c r="C94" s="46"/>
      <c r="D94" s="129">
        <f>Asset24</f>
        <v>0</v>
      </c>
      <c r="E94" s="9"/>
      <c r="F94" s="9"/>
      <c r="G94" s="193">
        <f>'Actual RAB roll forward'!G525</f>
        <v>0</v>
      </c>
      <c r="H94" s="111">
        <f>'Actual RAB roll forward'!H525</f>
        <v>0</v>
      </c>
      <c r="I94" s="111">
        <f>'Actual RAB roll forward'!I525</f>
        <v>0</v>
      </c>
      <c r="J94" s="111">
        <f>'Actual RAB roll forward'!J525</f>
        <v>0</v>
      </c>
      <c r="K94" s="111">
        <f>'Actual RAB roll forward'!K525</f>
        <v>0</v>
      </c>
      <c r="L94" s="111">
        <f>'Actual RAB roll forward'!L525</f>
        <v>0</v>
      </c>
      <c r="M94" s="111">
        <f>'Actual RAB roll forward'!M525</f>
        <v>0</v>
      </c>
      <c r="N94" s="111">
        <f>'Actual RAB roll forward'!N525</f>
        <v>0</v>
      </c>
      <c r="O94" s="111">
        <f>'Actual RAB roll forward'!O525</f>
        <v>0</v>
      </c>
      <c r="P94" s="111">
        <f>'Actual RAB roll forward'!P525</f>
        <v>0</v>
      </c>
      <c r="Q94" s="111">
        <f>'Actual RAB roll forward'!Q525</f>
        <v>0</v>
      </c>
      <c r="R94" s="29"/>
      <c r="S94" s="100"/>
      <c r="T94" s="100"/>
      <c r="U94" s="100"/>
      <c r="V94" s="100"/>
      <c r="W94" s="100"/>
      <c r="X94" s="100"/>
      <c r="Y94" s="100"/>
      <c r="Z94" s="100"/>
      <c r="AA94" s="100"/>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0"/>
      <c r="BL94" s="220"/>
    </row>
    <row r="95" spans="1:64" hidden="1" outlineLevel="1">
      <c r="A95" s="9"/>
      <c r="B95" s="9"/>
      <c r="C95" s="46"/>
      <c r="D95" s="129">
        <f>Asset25</f>
        <v>0</v>
      </c>
      <c r="E95" s="9"/>
      <c r="F95" s="9"/>
      <c r="G95" s="193">
        <f>'Actual RAB roll forward'!G526</f>
        <v>0</v>
      </c>
      <c r="H95" s="111">
        <f>'Actual RAB roll forward'!H526</f>
        <v>0</v>
      </c>
      <c r="I95" s="111">
        <f>'Actual RAB roll forward'!I526</f>
        <v>0</v>
      </c>
      <c r="J95" s="111">
        <f>'Actual RAB roll forward'!J526</f>
        <v>0</v>
      </c>
      <c r="K95" s="111">
        <f>'Actual RAB roll forward'!K526</f>
        <v>0</v>
      </c>
      <c r="L95" s="111">
        <f>'Actual RAB roll forward'!L526</f>
        <v>0</v>
      </c>
      <c r="M95" s="111">
        <f>'Actual RAB roll forward'!M526</f>
        <v>0</v>
      </c>
      <c r="N95" s="111">
        <f>'Actual RAB roll forward'!N526</f>
        <v>0</v>
      </c>
      <c r="O95" s="111">
        <f>'Actual RAB roll forward'!O526</f>
        <v>0</v>
      </c>
      <c r="P95" s="111">
        <f>'Actual RAB roll forward'!P526</f>
        <v>0</v>
      </c>
      <c r="Q95" s="111">
        <f>'Actual RAB roll forward'!Q526</f>
        <v>0</v>
      </c>
      <c r="R95" s="29"/>
      <c r="S95" s="100"/>
      <c r="T95" s="100"/>
      <c r="U95" s="100"/>
      <c r="V95" s="100"/>
      <c r="W95" s="100"/>
      <c r="X95" s="100"/>
      <c r="Y95" s="100"/>
      <c r="Z95" s="100"/>
      <c r="AA95" s="100"/>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0"/>
      <c r="BL95" s="220"/>
    </row>
    <row r="96" spans="1:64" hidden="1" outlineLevel="1">
      <c r="A96" s="9"/>
      <c r="B96" s="9"/>
      <c r="C96" s="46"/>
      <c r="D96" s="129">
        <f>Asset26</f>
        <v>0</v>
      </c>
      <c r="E96" s="9"/>
      <c r="F96" s="9"/>
      <c r="G96" s="193">
        <f>'Actual RAB roll forward'!G527</f>
        <v>0</v>
      </c>
      <c r="H96" s="111">
        <f>'Actual RAB roll forward'!H527</f>
        <v>0</v>
      </c>
      <c r="I96" s="111">
        <f>'Actual RAB roll forward'!I527</f>
        <v>0</v>
      </c>
      <c r="J96" s="111">
        <f>'Actual RAB roll forward'!J527</f>
        <v>0</v>
      </c>
      <c r="K96" s="111">
        <f>'Actual RAB roll forward'!K527</f>
        <v>0</v>
      </c>
      <c r="L96" s="111">
        <f>'Actual RAB roll forward'!L527</f>
        <v>0</v>
      </c>
      <c r="M96" s="111">
        <f>'Actual RAB roll forward'!M527</f>
        <v>0</v>
      </c>
      <c r="N96" s="111">
        <f>'Actual RAB roll forward'!N527</f>
        <v>0</v>
      </c>
      <c r="O96" s="111">
        <f>'Actual RAB roll forward'!O527</f>
        <v>0</v>
      </c>
      <c r="P96" s="111">
        <f>'Actual RAB roll forward'!P527</f>
        <v>0</v>
      </c>
      <c r="Q96" s="111">
        <f>'Actual RAB roll forward'!Q527</f>
        <v>0</v>
      </c>
      <c r="R96" s="29"/>
      <c r="S96" s="100"/>
      <c r="T96" s="100"/>
      <c r="U96" s="100"/>
      <c r="V96" s="100"/>
      <c r="W96" s="100"/>
      <c r="X96" s="100"/>
      <c r="Y96" s="100"/>
      <c r="Z96" s="100"/>
      <c r="AA96" s="100"/>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0"/>
      <c r="BL96" s="220"/>
    </row>
    <row r="97" spans="1:64" hidden="1" outlineLevel="1">
      <c r="A97" s="9"/>
      <c r="B97" s="9"/>
      <c r="C97" s="46"/>
      <c r="D97" s="129">
        <f>Asset27</f>
        <v>0</v>
      </c>
      <c r="E97" s="9"/>
      <c r="F97" s="9"/>
      <c r="G97" s="193">
        <f>'Actual RAB roll forward'!G528</f>
        <v>0</v>
      </c>
      <c r="H97" s="111">
        <f>'Actual RAB roll forward'!H528</f>
        <v>0</v>
      </c>
      <c r="I97" s="111">
        <f>'Actual RAB roll forward'!I528</f>
        <v>0</v>
      </c>
      <c r="J97" s="111">
        <f>'Actual RAB roll forward'!J528</f>
        <v>0</v>
      </c>
      <c r="K97" s="111">
        <f>'Actual RAB roll forward'!K528</f>
        <v>0</v>
      </c>
      <c r="L97" s="111">
        <f>'Actual RAB roll forward'!L528</f>
        <v>0</v>
      </c>
      <c r="M97" s="111">
        <f>'Actual RAB roll forward'!M528</f>
        <v>0</v>
      </c>
      <c r="N97" s="111">
        <f>'Actual RAB roll forward'!N528</f>
        <v>0</v>
      </c>
      <c r="O97" s="111">
        <f>'Actual RAB roll forward'!O528</f>
        <v>0</v>
      </c>
      <c r="P97" s="111">
        <f>'Actual RAB roll forward'!P528</f>
        <v>0</v>
      </c>
      <c r="Q97" s="111">
        <f>'Actual RAB roll forward'!Q528</f>
        <v>0</v>
      </c>
      <c r="R97" s="29"/>
      <c r="S97" s="100"/>
      <c r="T97" s="100"/>
      <c r="U97" s="100"/>
      <c r="V97" s="100"/>
      <c r="W97" s="100"/>
      <c r="X97" s="100"/>
      <c r="Y97" s="100"/>
      <c r="Z97" s="100"/>
      <c r="AA97" s="100"/>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0"/>
      <c r="BL97" s="220"/>
    </row>
    <row r="98" spans="1:64" hidden="1" outlineLevel="1">
      <c r="A98" s="9"/>
      <c r="B98" s="9"/>
      <c r="C98" s="46"/>
      <c r="D98" s="129">
        <f>Asset28</f>
        <v>0</v>
      </c>
      <c r="E98" s="9"/>
      <c r="F98" s="9"/>
      <c r="G98" s="193">
        <f>'Actual RAB roll forward'!G529</f>
        <v>0</v>
      </c>
      <c r="H98" s="111">
        <f>'Actual RAB roll forward'!H529</f>
        <v>0</v>
      </c>
      <c r="I98" s="111">
        <f>'Actual RAB roll forward'!I529</f>
        <v>0</v>
      </c>
      <c r="J98" s="111">
        <f>'Actual RAB roll forward'!J529</f>
        <v>0</v>
      </c>
      <c r="K98" s="111">
        <f>'Actual RAB roll forward'!K529</f>
        <v>0</v>
      </c>
      <c r="L98" s="111">
        <f>'Actual RAB roll forward'!L529</f>
        <v>0</v>
      </c>
      <c r="M98" s="111">
        <f>'Actual RAB roll forward'!M529</f>
        <v>0</v>
      </c>
      <c r="N98" s="111">
        <f>'Actual RAB roll forward'!N529</f>
        <v>0</v>
      </c>
      <c r="O98" s="111">
        <f>'Actual RAB roll forward'!O529</f>
        <v>0</v>
      </c>
      <c r="P98" s="111">
        <f>'Actual RAB roll forward'!P529</f>
        <v>0</v>
      </c>
      <c r="Q98" s="111">
        <f>'Actual RAB roll forward'!Q529</f>
        <v>0</v>
      </c>
      <c r="R98" s="29"/>
      <c r="S98" s="100"/>
      <c r="T98" s="100"/>
      <c r="U98" s="100"/>
      <c r="V98" s="100"/>
      <c r="W98" s="100"/>
      <c r="X98" s="100"/>
      <c r="Y98" s="100"/>
      <c r="Z98" s="100"/>
      <c r="AA98" s="100"/>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0"/>
      <c r="BL98" s="220"/>
    </row>
    <row r="99" spans="1:64" hidden="1" outlineLevel="1">
      <c r="A99" s="9"/>
      <c r="B99" s="9"/>
      <c r="C99" s="46"/>
      <c r="D99" s="129">
        <f>Asset29</f>
        <v>0</v>
      </c>
      <c r="E99" s="9"/>
      <c r="F99" s="9"/>
      <c r="G99" s="193">
        <f>'Actual RAB roll forward'!G530</f>
        <v>0</v>
      </c>
      <c r="H99" s="111">
        <f>'Actual RAB roll forward'!H530</f>
        <v>0</v>
      </c>
      <c r="I99" s="111">
        <f>'Actual RAB roll forward'!I530</f>
        <v>0</v>
      </c>
      <c r="J99" s="111">
        <f>'Actual RAB roll forward'!J530</f>
        <v>0</v>
      </c>
      <c r="K99" s="111">
        <f>'Actual RAB roll forward'!K530</f>
        <v>0</v>
      </c>
      <c r="L99" s="111">
        <f>'Actual RAB roll forward'!L530</f>
        <v>0</v>
      </c>
      <c r="M99" s="111">
        <f>'Actual RAB roll forward'!M530</f>
        <v>0</v>
      </c>
      <c r="N99" s="111">
        <f>'Actual RAB roll forward'!N530</f>
        <v>0</v>
      </c>
      <c r="O99" s="111">
        <f>'Actual RAB roll forward'!O530</f>
        <v>0</v>
      </c>
      <c r="P99" s="111">
        <f>'Actual RAB roll forward'!P530</f>
        <v>0</v>
      </c>
      <c r="Q99" s="111">
        <f>'Actual RAB roll forward'!Q530</f>
        <v>0</v>
      </c>
      <c r="R99" s="29"/>
      <c r="S99" s="100"/>
      <c r="T99" s="100"/>
      <c r="U99" s="100"/>
      <c r="V99" s="100"/>
      <c r="W99" s="100"/>
      <c r="X99" s="100"/>
      <c r="Y99" s="100"/>
      <c r="Z99" s="100"/>
      <c r="AA99" s="100"/>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0"/>
      <c r="BL99" s="220"/>
    </row>
    <row r="100" spans="1:64" hidden="1" outlineLevel="1">
      <c r="A100" s="9"/>
      <c r="B100" s="9"/>
      <c r="C100" s="46"/>
      <c r="D100" s="129">
        <f>Asset30</f>
        <v>0</v>
      </c>
      <c r="E100" s="9"/>
      <c r="F100" s="9"/>
      <c r="G100" s="193">
        <f>'Actual RAB roll forward'!G531</f>
        <v>0</v>
      </c>
      <c r="H100" s="111">
        <f>'Actual RAB roll forward'!H531</f>
        <v>0</v>
      </c>
      <c r="I100" s="111">
        <f>'Actual RAB roll forward'!I531</f>
        <v>0</v>
      </c>
      <c r="J100" s="111">
        <f>'Actual RAB roll forward'!J531</f>
        <v>0</v>
      </c>
      <c r="K100" s="111">
        <f>'Actual RAB roll forward'!K531</f>
        <v>0</v>
      </c>
      <c r="L100" s="111">
        <f>'Actual RAB roll forward'!L531</f>
        <v>0</v>
      </c>
      <c r="M100" s="111">
        <f>'Actual RAB roll forward'!M531</f>
        <v>0</v>
      </c>
      <c r="N100" s="111">
        <f>'Actual RAB roll forward'!N531</f>
        <v>0</v>
      </c>
      <c r="O100" s="111">
        <f>'Actual RAB roll forward'!O531</f>
        <v>0</v>
      </c>
      <c r="P100" s="111">
        <f>'Actual RAB roll forward'!P531</f>
        <v>0</v>
      </c>
      <c r="Q100" s="111">
        <f>'Actual RAB roll forward'!Q531</f>
        <v>0</v>
      </c>
      <c r="R100" s="29"/>
      <c r="S100" s="100"/>
      <c r="T100" s="100"/>
      <c r="U100" s="100"/>
      <c r="V100" s="100"/>
      <c r="W100" s="100"/>
      <c r="X100" s="100"/>
      <c r="Y100" s="100"/>
      <c r="Z100" s="100"/>
      <c r="AA100" s="100"/>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0"/>
      <c r="BL100" s="220"/>
    </row>
    <row r="101" spans="1:64" collapsed="1">
      <c r="A101" s="9"/>
      <c r="B101" s="9"/>
      <c r="C101" s="46"/>
      <c r="D101" s="129"/>
      <c r="E101" s="9"/>
      <c r="F101" s="9"/>
      <c r="G101" s="203"/>
      <c r="H101" s="111"/>
      <c r="I101" s="111"/>
      <c r="J101" s="111"/>
      <c r="K101" s="111"/>
      <c r="L101" s="111"/>
      <c r="M101" s="111"/>
      <c r="N101" s="100"/>
      <c r="O101" s="29"/>
      <c r="P101" s="29"/>
      <c r="Q101" s="29"/>
      <c r="R101" s="29"/>
      <c r="S101" s="100"/>
      <c r="T101" s="100"/>
      <c r="U101" s="100"/>
      <c r="V101" s="100"/>
      <c r="W101" s="100"/>
      <c r="X101" s="100"/>
      <c r="Y101" s="100"/>
      <c r="Z101" s="100"/>
      <c r="AA101" s="100"/>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0"/>
      <c r="BL101" s="220"/>
    </row>
    <row r="102" spans="1:64">
      <c r="A102" s="9"/>
      <c r="B102" s="9"/>
      <c r="C102" s="46" t="s">
        <v>51</v>
      </c>
      <c r="D102" s="114"/>
      <c r="E102" s="9"/>
      <c r="F102" s="9"/>
      <c r="G102" s="200">
        <f>SUM(G103:G122)</f>
        <v>0</v>
      </c>
      <c r="H102" s="37"/>
      <c r="I102" s="37"/>
      <c r="J102" s="37"/>
      <c r="K102" s="37"/>
      <c r="L102" s="37"/>
      <c r="M102" s="37"/>
      <c r="N102" s="100"/>
      <c r="O102" s="29"/>
      <c r="P102" s="29"/>
      <c r="Q102" s="29"/>
      <c r="R102" s="29"/>
      <c r="S102" s="100"/>
      <c r="T102" s="100"/>
      <c r="U102" s="100"/>
      <c r="V102" s="100"/>
      <c r="W102" s="100"/>
      <c r="X102" s="100"/>
      <c r="Y102" s="100"/>
      <c r="Z102" s="100"/>
      <c r="AA102" s="100"/>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0"/>
      <c r="BL102" s="220"/>
    </row>
    <row r="103" spans="1:64" hidden="1" outlineLevel="1">
      <c r="A103" s="9"/>
      <c r="B103" s="9"/>
      <c r="C103" s="9"/>
      <c r="D103" s="129" t="str">
        <f>Asset1</f>
        <v>Mains &amp; Services</v>
      </c>
      <c r="E103" s="9"/>
      <c r="F103" s="9"/>
      <c r="G103" s="196">
        <f>'Actual RAB roll forward'!G534</f>
        <v>0</v>
      </c>
      <c r="H103" s="37"/>
      <c r="I103" s="37"/>
      <c r="J103" s="37"/>
      <c r="K103" s="37"/>
      <c r="L103" s="37"/>
      <c r="M103" s="37"/>
      <c r="N103" s="100"/>
      <c r="O103" s="29"/>
      <c r="P103" s="29"/>
      <c r="Q103" s="29"/>
      <c r="R103" s="29"/>
      <c r="S103" s="100"/>
      <c r="T103" s="100"/>
      <c r="U103" s="100"/>
      <c r="V103" s="100"/>
      <c r="W103" s="100"/>
      <c r="X103" s="100"/>
      <c r="Y103" s="100"/>
      <c r="Z103" s="100"/>
      <c r="AA103" s="100"/>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0"/>
      <c r="BL103" s="220"/>
    </row>
    <row r="104" spans="1:64" hidden="1" outlineLevel="1">
      <c r="A104" s="9"/>
      <c r="B104" s="9"/>
      <c r="C104" s="46"/>
      <c r="D104" s="129" t="str">
        <f>Asset2</f>
        <v>Meters</v>
      </c>
      <c r="E104" s="9"/>
      <c r="F104" s="9"/>
      <c r="G104" s="196">
        <f>'Actual RAB roll forward'!G535</f>
        <v>0</v>
      </c>
      <c r="H104" s="37"/>
      <c r="I104" s="37"/>
      <c r="J104" s="37"/>
      <c r="K104" s="37"/>
      <c r="L104" s="37"/>
      <c r="M104" s="37"/>
      <c r="N104" s="100"/>
      <c r="O104" s="29"/>
      <c r="P104" s="29"/>
      <c r="Q104" s="29"/>
      <c r="R104" s="29"/>
      <c r="S104" s="100"/>
      <c r="T104" s="100"/>
      <c r="U104" s="100"/>
      <c r="V104" s="100"/>
      <c r="W104" s="100"/>
      <c r="X104" s="100"/>
      <c r="Y104" s="100"/>
      <c r="Z104" s="100"/>
      <c r="AA104" s="100"/>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0"/>
      <c r="BL104" s="220"/>
    </row>
    <row r="105" spans="1:64" hidden="1" outlineLevel="1">
      <c r="A105" s="9"/>
      <c r="B105" s="9"/>
      <c r="C105" s="46"/>
      <c r="D105" s="129" t="str">
        <f>Asset3</f>
        <v>Buildings</v>
      </c>
      <c r="E105" s="9"/>
      <c r="F105" s="9"/>
      <c r="G105" s="196">
        <f>'Actual RAB roll forward'!G536</f>
        <v>0</v>
      </c>
      <c r="H105" s="37"/>
      <c r="I105" s="37"/>
      <c r="J105" s="37"/>
      <c r="K105" s="37"/>
      <c r="L105" s="37"/>
      <c r="M105" s="37"/>
      <c r="N105" s="100"/>
      <c r="O105" s="29"/>
      <c r="P105" s="29"/>
      <c r="Q105" s="29"/>
      <c r="R105" s="29"/>
      <c r="S105" s="100"/>
      <c r="T105" s="100"/>
      <c r="U105" s="100"/>
      <c r="V105" s="100"/>
      <c r="W105" s="100"/>
      <c r="X105" s="100"/>
      <c r="Y105" s="100"/>
      <c r="Z105" s="100"/>
      <c r="AA105" s="100"/>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0"/>
      <c r="BL105" s="220"/>
    </row>
    <row r="106" spans="1:64" hidden="1" outlineLevel="1">
      <c r="A106" s="9"/>
      <c r="B106" s="9"/>
      <c r="C106" s="46"/>
      <c r="D106" s="129" t="str">
        <f>Asset4</f>
        <v>SCADA</v>
      </c>
      <c r="E106" s="9"/>
      <c r="F106" s="9"/>
      <c r="G106" s="196">
        <f>'Actual RAB roll forward'!G537</f>
        <v>0</v>
      </c>
      <c r="H106" s="37"/>
      <c r="I106" s="37"/>
      <c r="J106" s="37"/>
      <c r="K106" s="37"/>
      <c r="L106" s="37"/>
      <c r="M106" s="37"/>
      <c r="N106" s="100"/>
      <c r="O106" s="29"/>
      <c r="P106" s="29"/>
      <c r="Q106" s="29"/>
      <c r="R106" s="29"/>
      <c r="S106" s="100"/>
      <c r="T106" s="100"/>
      <c r="U106" s="100"/>
      <c r="V106" s="100"/>
      <c r="W106" s="100"/>
      <c r="X106" s="100"/>
      <c r="Y106" s="100"/>
      <c r="Z106" s="100"/>
      <c r="AA106" s="100"/>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0"/>
      <c r="BL106" s="220"/>
    </row>
    <row r="107" spans="1:64" hidden="1" outlineLevel="1">
      <c r="A107" s="9"/>
      <c r="B107" s="9"/>
      <c r="C107" s="46"/>
      <c r="D107" s="129" t="str">
        <f>Asset5</f>
        <v>Computer Equipment</v>
      </c>
      <c r="E107" s="9"/>
      <c r="F107" s="9"/>
      <c r="G107" s="196">
        <f>'Actual RAB roll forward'!G538</f>
        <v>0</v>
      </c>
      <c r="H107" s="37"/>
      <c r="I107" s="37"/>
      <c r="J107" s="37"/>
      <c r="K107" s="37"/>
      <c r="L107" s="37"/>
      <c r="M107" s="37"/>
      <c r="N107" s="100"/>
      <c r="O107" s="29"/>
      <c r="P107" s="29"/>
      <c r="Q107" s="29"/>
      <c r="R107" s="29"/>
      <c r="S107" s="100"/>
      <c r="T107" s="100"/>
      <c r="U107" s="100"/>
      <c r="V107" s="100"/>
      <c r="W107" s="100"/>
      <c r="X107" s="100"/>
      <c r="Y107" s="100"/>
      <c r="Z107" s="100"/>
      <c r="AA107" s="100"/>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0"/>
      <c r="BL107" s="220"/>
    </row>
    <row r="108" spans="1:64" hidden="1" outlineLevel="1">
      <c r="A108" s="9"/>
      <c r="B108" s="9"/>
      <c r="C108" s="46"/>
      <c r="D108" s="129" t="str">
        <f>Asset6</f>
        <v>Other Assets</v>
      </c>
      <c r="E108" s="9"/>
      <c r="F108" s="9"/>
      <c r="G108" s="196">
        <f>'Actual RAB roll forward'!G539</f>
        <v>0</v>
      </c>
      <c r="H108" s="37"/>
      <c r="I108" s="37"/>
      <c r="J108" s="37"/>
      <c r="K108" s="37"/>
      <c r="L108" s="37"/>
      <c r="M108" s="37"/>
      <c r="N108" s="100"/>
      <c r="O108" s="29"/>
      <c r="P108" s="29"/>
      <c r="Q108" s="29"/>
      <c r="R108" s="29"/>
      <c r="S108" s="100"/>
      <c r="T108" s="100"/>
      <c r="U108" s="100"/>
      <c r="V108" s="100"/>
      <c r="W108" s="100"/>
      <c r="X108" s="100"/>
      <c r="Y108" s="100"/>
      <c r="Z108" s="100"/>
      <c r="AA108" s="100"/>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0"/>
      <c r="BL108" s="220"/>
    </row>
    <row r="109" spans="1:64" hidden="1" outlineLevel="1">
      <c r="A109" s="9"/>
      <c r="B109" s="9"/>
      <c r="C109" s="46"/>
      <c r="D109" s="129" t="str">
        <f>Asset7</f>
        <v>Equity Raising Costs</v>
      </c>
      <c r="E109" s="9"/>
      <c r="F109" s="9"/>
      <c r="G109" s="196">
        <f>'Actual RAB roll forward'!G540</f>
        <v>0</v>
      </c>
      <c r="H109" s="37"/>
      <c r="I109" s="37"/>
      <c r="J109" s="37"/>
      <c r="K109" s="37"/>
      <c r="L109" s="37"/>
      <c r="M109" s="37"/>
      <c r="N109" s="100"/>
      <c r="O109" s="29"/>
      <c r="P109" s="29"/>
      <c r="Q109" s="29"/>
      <c r="R109" s="29"/>
      <c r="S109" s="100"/>
      <c r="T109" s="100"/>
      <c r="U109" s="100"/>
      <c r="V109" s="100"/>
      <c r="W109" s="100"/>
      <c r="X109" s="100"/>
      <c r="Y109" s="100"/>
      <c r="Z109" s="100"/>
      <c r="AA109" s="100"/>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0"/>
      <c r="BL109" s="220"/>
    </row>
    <row r="110" spans="1:64" hidden="1" outlineLevel="1">
      <c r="A110" s="9"/>
      <c r="B110" s="9"/>
      <c r="C110" s="46"/>
      <c r="D110" s="129" t="str">
        <f>Asset8</f>
        <v>Land</v>
      </c>
      <c r="E110" s="9"/>
      <c r="F110" s="9"/>
      <c r="G110" s="196">
        <f>'Actual RAB roll forward'!G541</f>
        <v>0</v>
      </c>
      <c r="H110" s="37"/>
      <c r="I110" s="37"/>
      <c r="J110" s="37"/>
      <c r="K110" s="37"/>
      <c r="L110" s="37"/>
      <c r="M110" s="37"/>
      <c r="N110" s="100"/>
      <c r="O110" s="29"/>
      <c r="P110" s="29"/>
      <c r="Q110" s="29"/>
      <c r="R110" s="29"/>
      <c r="S110" s="100"/>
      <c r="T110" s="100"/>
      <c r="U110" s="100"/>
      <c r="V110" s="100"/>
      <c r="W110" s="100"/>
      <c r="X110" s="100"/>
      <c r="Y110" s="100"/>
      <c r="Z110" s="100"/>
      <c r="AA110" s="100"/>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0"/>
      <c r="BL110" s="220"/>
    </row>
    <row r="111" spans="1:64" hidden="1" outlineLevel="1">
      <c r="A111" s="9"/>
      <c r="B111" s="9"/>
      <c r="C111" s="46"/>
      <c r="D111" s="129">
        <f>Asset9</f>
        <v>0</v>
      </c>
      <c r="E111" s="9"/>
      <c r="F111" s="9"/>
      <c r="G111" s="196">
        <f>'Actual RAB roll forward'!G542</f>
        <v>0</v>
      </c>
      <c r="H111" s="37"/>
      <c r="I111" s="37"/>
      <c r="J111" s="37"/>
      <c r="K111" s="37"/>
      <c r="L111" s="37"/>
      <c r="M111" s="37"/>
      <c r="N111" s="100"/>
      <c r="O111" s="29"/>
      <c r="P111" s="29"/>
      <c r="Q111" s="29"/>
      <c r="R111" s="29"/>
      <c r="S111" s="100"/>
      <c r="T111" s="100"/>
      <c r="U111" s="100"/>
      <c r="V111" s="100"/>
      <c r="W111" s="100"/>
      <c r="X111" s="100"/>
      <c r="Y111" s="100"/>
      <c r="Z111" s="100"/>
      <c r="AA111" s="100"/>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0"/>
      <c r="BL111" s="220"/>
    </row>
    <row r="112" spans="1:64" hidden="1" outlineLevel="1">
      <c r="A112" s="9"/>
      <c r="B112" s="9"/>
      <c r="C112" s="46"/>
      <c r="D112" s="129">
        <f>Asset10</f>
        <v>0</v>
      </c>
      <c r="E112" s="9"/>
      <c r="F112" s="9"/>
      <c r="G112" s="196">
        <f>'Actual RAB roll forward'!G543</f>
        <v>0</v>
      </c>
      <c r="H112" s="37"/>
      <c r="I112" s="37"/>
      <c r="J112" s="37"/>
      <c r="K112" s="37"/>
      <c r="L112" s="37"/>
      <c r="M112" s="37"/>
      <c r="N112" s="100"/>
      <c r="O112" s="29"/>
      <c r="P112" s="29"/>
      <c r="Q112" s="29"/>
      <c r="R112" s="29"/>
      <c r="S112" s="100"/>
      <c r="T112" s="100"/>
      <c r="U112" s="100"/>
      <c r="V112" s="100"/>
      <c r="W112" s="100"/>
      <c r="X112" s="100"/>
      <c r="Y112" s="100"/>
      <c r="Z112" s="100"/>
      <c r="AA112" s="100"/>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0"/>
      <c r="BL112" s="220"/>
    </row>
    <row r="113" spans="1:64" hidden="1" outlineLevel="1">
      <c r="A113" s="9"/>
      <c r="B113" s="9"/>
      <c r="C113" s="46"/>
      <c r="D113" s="129">
        <f>Asset11</f>
        <v>0</v>
      </c>
      <c r="E113" s="9"/>
      <c r="F113" s="9"/>
      <c r="G113" s="196">
        <f>'Actual RAB roll forward'!G544</f>
        <v>0</v>
      </c>
      <c r="H113" s="37"/>
      <c r="I113" s="37"/>
      <c r="J113" s="37"/>
      <c r="K113" s="37"/>
      <c r="L113" s="37"/>
      <c r="M113" s="37"/>
      <c r="N113" s="100"/>
      <c r="O113" s="29"/>
      <c r="P113" s="29"/>
      <c r="Q113" s="29"/>
      <c r="R113" s="29"/>
      <c r="S113" s="100"/>
      <c r="T113" s="100"/>
      <c r="U113" s="100"/>
      <c r="V113" s="100"/>
      <c r="W113" s="100"/>
      <c r="X113" s="100"/>
      <c r="Y113" s="100"/>
      <c r="Z113" s="100"/>
      <c r="AA113" s="100"/>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0"/>
      <c r="BL113" s="220"/>
    </row>
    <row r="114" spans="1:64" hidden="1" outlineLevel="1">
      <c r="A114" s="9"/>
      <c r="B114" s="9"/>
      <c r="C114" s="46"/>
      <c r="D114" s="129">
        <f>Asset12</f>
        <v>0</v>
      </c>
      <c r="E114" s="9"/>
      <c r="F114" s="9"/>
      <c r="G114" s="196">
        <f>'Actual RAB roll forward'!G545</f>
        <v>0</v>
      </c>
      <c r="H114" s="37"/>
      <c r="I114" s="37"/>
      <c r="J114" s="37"/>
      <c r="K114" s="37"/>
      <c r="L114" s="37"/>
      <c r="M114" s="37"/>
      <c r="N114" s="100"/>
      <c r="O114" s="29"/>
      <c r="P114" s="29"/>
      <c r="Q114" s="29"/>
      <c r="R114" s="29"/>
      <c r="S114" s="100"/>
      <c r="T114" s="100"/>
      <c r="U114" s="100"/>
      <c r="V114" s="100"/>
      <c r="W114" s="100"/>
      <c r="X114" s="100"/>
      <c r="Y114" s="100"/>
      <c r="Z114" s="100"/>
      <c r="AA114" s="100"/>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0"/>
      <c r="BL114" s="220"/>
    </row>
    <row r="115" spans="1:64" hidden="1" outlineLevel="1">
      <c r="A115" s="9"/>
      <c r="B115" s="9"/>
      <c r="C115" s="46"/>
      <c r="D115" s="129">
        <f>Asset13</f>
        <v>0</v>
      </c>
      <c r="E115" s="9"/>
      <c r="F115" s="9"/>
      <c r="G115" s="196">
        <f>'Actual RAB roll forward'!G546</f>
        <v>0</v>
      </c>
      <c r="H115" s="37"/>
      <c r="I115" s="37"/>
      <c r="J115" s="37"/>
      <c r="K115" s="37"/>
      <c r="L115" s="37"/>
      <c r="M115" s="37"/>
      <c r="N115" s="100"/>
      <c r="O115" s="29"/>
      <c r="P115" s="29"/>
      <c r="Q115" s="29"/>
      <c r="R115" s="29"/>
      <c r="S115" s="100"/>
      <c r="T115" s="100"/>
      <c r="U115" s="100"/>
      <c r="V115" s="100"/>
      <c r="W115" s="100"/>
      <c r="X115" s="100"/>
      <c r="Y115" s="100"/>
      <c r="Z115" s="100"/>
      <c r="AA115" s="100"/>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0"/>
      <c r="BL115" s="220"/>
    </row>
    <row r="116" spans="1:64" hidden="1" outlineLevel="1">
      <c r="A116" s="9"/>
      <c r="B116" s="9"/>
      <c r="C116" s="46"/>
      <c r="D116" s="129">
        <f>Asset14</f>
        <v>0</v>
      </c>
      <c r="E116" s="9"/>
      <c r="F116" s="9"/>
      <c r="G116" s="196">
        <f>'Actual RAB roll forward'!G547</f>
        <v>0</v>
      </c>
      <c r="H116" s="37"/>
      <c r="I116" s="37"/>
      <c r="J116" s="37"/>
      <c r="K116" s="37"/>
      <c r="L116" s="37"/>
      <c r="M116" s="37"/>
      <c r="N116" s="100"/>
      <c r="O116" s="29"/>
      <c r="P116" s="29"/>
      <c r="Q116" s="29"/>
      <c r="R116" s="29"/>
      <c r="S116" s="100"/>
      <c r="T116" s="100"/>
      <c r="U116" s="100"/>
      <c r="V116" s="100"/>
      <c r="W116" s="100"/>
      <c r="X116" s="100"/>
      <c r="Y116" s="100"/>
      <c r="Z116" s="100"/>
      <c r="AA116" s="100"/>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0"/>
      <c r="BL116" s="220"/>
    </row>
    <row r="117" spans="1:64" hidden="1" outlineLevel="1">
      <c r="A117" s="9"/>
      <c r="B117" s="9"/>
      <c r="C117" s="46"/>
      <c r="D117" s="129">
        <f>Asset15</f>
        <v>0</v>
      </c>
      <c r="E117" s="9"/>
      <c r="F117" s="9"/>
      <c r="G117" s="196">
        <f>'Actual RAB roll forward'!G548</f>
        <v>0</v>
      </c>
      <c r="H117" s="37"/>
      <c r="I117" s="37"/>
      <c r="J117" s="37"/>
      <c r="K117" s="37"/>
      <c r="L117" s="37"/>
      <c r="M117" s="37"/>
      <c r="N117" s="100"/>
      <c r="O117" s="29"/>
      <c r="P117" s="29"/>
      <c r="Q117" s="29"/>
      <c r="R117" s="29"/>
      <c r="S117" s="100"/>
      <c r="T117" s="100"/>
      <c r="U117" s="100"/>
      <c r="V117" s="100"/>
      <c r="W117" s="100"/>
      <c r="X117" s="100"/>
      <c r="Y117" s="100"/>
      <c r="Z117" s="100"/>
      <c r="AA117" s="100"/>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0"/>
      <c r="BL117" s="220"/>
    </row>
    <row r="118" spans="1:64" hidden="1" outlineLevel="1">
      <c r="A118" s="9"/>
      <c r="B118" s="9"/>
      <c r="C118" s="46"/>
      <c r="D118" s="129">
        <f>Asset16</f>
        <v>0</v>
      </c>
      <c r="E118" s="9"/>
      <c r="F118" s="9"/>
      <c r="G118" s="196">
        <f>'Actual RAB roll forward'!G549</f>
        <v>0</v>
      </c>
      <c r="H118" s="37"/>
      <c r="I118" s="37"/>
      <c r="J118" s="37"/>
      <c r="K118" s="37"/>
      <c r="L118" s="37"/>
      <c r="M118" s="37"/>
      <c r="N118" s="100"/>
      <c r="O118" s="29"/>
      <c r="P118" s="29"/>
      <c r="Q118" s="29"/>
      <c r="R118" s="29"/>
      <c r="S118" s="100"/>
      <c r="T118" s="100"/>
      <c r="U118" s="100"/>
      <c r="V118" s="100"/>
      <c r="W118" s="100"/>
      <c r="X118" s="100"/>
      <c r="Y118" s="100"/>
      <c r="Z118" s="100"/>
      <c r="AA118" s="100"/>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0"/>
      <c r="BL118" s="220"/>
    </row>
    <row r="119" spans="1:64" hidden="1" outlineLevel="1">
      <c r="A119" s="9"/>
      <c r="B119" s="9"/>
      <c r="C119" s="46"/>
      <c r="D119" s="129">
        <f>Asset17</f>
        <v>0</v>
      </c>
      <c r="E119" s="9"/>
      <c r="F119" s="9"/>
      <c r="G119" s="196">
        <f>'Actual RAB roll forward'!G550</f>
        <v>0</v>
      </c>
      <c r="H119" s="37"/>
      <c r="I119" s="37"/>
      <c r="J119" s="37"/>
      <c r="K119" s="37"/>
      <c r="L119" s="37"/>
      <c r="M119" s="37"/>
      <c r="N119" s="100"/>
      <c r="O119" s="29"/>
      <c r="P119" s="29"/>
      <c r="Q119" s="29"/>
      <c r="R119" s="29"/>
      <c r="S119" s="100"/>
      <c r="T119" s="100"/>
      <c r="U119" s="100"/>
      <c r="V119" s="100"/>
      <c r="W119" s="100"/>
      <c r="X119" s="100"/>
      <c r="Y119" s="100"/>
      <c r="Z119" s="100"/>
      <c r="AA119" s="100"/>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0"/>
      <c r="BL119" s="220"/>
    </row>
    <row r="120" spans="1:64" hidden="1" outlineLevel="1">
      <c r="A120" s="9"/>
      <c r="B120" s="9"/>
      <c r="C120" s="46"/>
      <c r="D120" s="129">
        <f>Asset18</f>
        <v>0</v>
      </c>
      <c r="E120" s="9"/>
      <c r="F120" s="9"/>
      <c r="G120" s="196">
        <f>'Actual RAB roll forward'!G551</f>
        <v>0</v>
      </c>
      <c r="H120" s="37"/>
      <c r="I120" s="37"/>
      <c r="J120" s="37"/>
      <c r="K120" s="37"/>
      <c r="L120" s="37"/>
      <c r="M120" s="37"/>
      <c r="N120" s="100"/>
      <c r="O120" s="29"/>
      <c r="P120" s="29"/>
      <c r="Q120" s="29"/>
      <c r="R120" s="29"/>
      <c r="S120" s="100"/>
      <c r="T120" s="100"/>
      <c r="U120" s="100"/>
      <c r="V120" s="100"/>
      <c r="W120" s="100"/>
      <c r="X120" s="100"/>
      <c r="Y120" s="100"/>
      <c r="Z120" s="100"/>
      <c r="AA120" s="100"/>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0"/>
      <c r="BL120" s="220"/>
    </row>
    <row r="121" spans="1:64" hidden="1" outlineLevel="1">
      <c r="A121" s="9"/>
      <c r="B121" s="9"/>
      <c r="C121" s="46"/>
      <c r="D121" s="129">
        <f>Asset19</f>
        <v>0</v>
      </c>
      <c r="E121" s="9"/>
      <c r="F121" s="9"/>
      <c r="G121" s="196">
        <f>'Actual RAB roll forward'!G552</f>
        <v>0</v>
      </c>
      <c r="H121" s="37"/>
      <c r="I121" s="37"/>
      <c r="J121" s="37"/>
      <c r="K121" s="37"/>
      <c r="L121" s="37"/>
      <c r="M121" s="37"/>
      <c r="N121" s="100"/>
      <c r="O121" s="29"/>
      <c r="P121" s="29"/>
      <c r="Q121" s="29"/>
      <c r="R121" s="29"/>
      <c r="S121" s="100"/>
      <c r="T121" s="100"/>
      <c r="U121" s="100"/>
      <c r="V121" s="100"/>
      <c r="W121" s="100"/>
      <c r="X121" s="100"/>
      <c r="Y121" s="100"/>
      <c r="Z121" s="100"/>
      <c r="AA121" s="100"/>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0"/>
      <c r="BL121" s="220"/>
    </row>
    <row r="122" spans="1:64" hidden="1" outlineLevel="1">
      <c r="A122" s="9"/>
      <c r="B122" s="9"/>
      <c r="C122" s="46"/>
      <c r="D122" s="129">
        <f>Asset20</f>
        <v>0</v>
      </c>
      <c r="E122" s="9"/>
      <c r="F122" s="9"/>
      <c r="G122" s="196">
        <f>'Actual RAB roll forward'!G553</f>
        <v>0</v>
      </c>
      <c r="H122" s="37"/>
      <c r="I122" s="37"/>
      <c r="J122" s="37"/>
      <c r="K122" s="37"/>
      <c r="L122" s="37"/>
      <c r="M122" s="37"/>
      <c r="N122" s="100"/>
      <c r="O122" s="29"/>
      <c r="P122" s="29"/>
      <c r="Q122" s="29"/>
      <c r="R122" s="29"/>
      <c r="S122" s="100"/>
      <c r="T122" s="100"/>
      <c r="U122" s="100"/>
      <c r="V122" s="100"/>
      <c r="W122" s="100"/>
      <c r="X122" s="100"/>
      <c r="Y122" s="100"/>
      <c r="Z122" s="100"/>
      <c r="AA122" s="100"/>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0"/>
      <c r="BL122" s="220"/>
    </row>
    <row r="123" spans="1:64" hidden="1" outlineLevel="1">
      <c r="A123" s="9"/>
      <c r="B123" s="9"/>
      <c r="C123" s="46"/>
      <c r="D123" s="129">
        <f>Asset21</f>
        <v>0</v>
      </c>
      <c r="E123" s="9"/>
      <c r="F123" s="9"/>
      <c r="G123" s="196">
        <f>'Actual RAB roll forward'!G554</f>
        <v>0</v>
      </c>
      <c r="H123" s="37"/>
      <c r="I123" s="37"/>
      <c r="J123" s="37"/>
      <c r="K123" s="37"/>
      <c r="L123" s="37"/>
      <c r="M123" s="37"/>
      <c r="N123" s="100"/>
      <c r="O123" s="29"/>
      <c r="P123" s="29"/>
      <c r="Q123" s="29"/>
      <c r="R123" s="29"/>
      <c r="S123" s="100"/>
      <c r="T123" s="100"/>
      <c r="U123" s="100"/>
      <c r="V123" s="100"/>
      <c r="W123" s="100"/>
      <c r="X123" s="100"/>
      <c r="Y123" s="100"/>
      <c r="Z123" s="100"/>
      <c r="AA123" s="100"/>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0"/>
      <c r="BL123" s="220"/>
    </row>
    <row r="124" spans="1:64" hidden="1" outlineLevel="1">
      <c r="A124" s="9"/>
      <c r="B124" s="9"/>
      <c r="C124" s="46"/>
      <c r="D124" s="129">
        <f>Asset22</f>
        <v>0</v>
      </c>
      <c r="E124" s="9"/>
      <c r="F124" s="9"/>
      <c r="G124" s="196">
        <f>'Actual RAB roll forward'!G555</f>
        <v>0</v>
      </c>
      <c r="H124" s="37"/>
      <c r="I124" s="37"/>
      <c r="J124" s="37"/>
      <c r="K124" s="37"/>
      <c r="L124" s="37"/>
      <c r="M124" s="37"/>
      <c r="N124" s="100"/>
      <c r="O124" s="29"/>
      <c r="P124" s="29"/>
      <c r="Q124" s="29"/>
      <c r="R124" s="29"/>
      <c r="S124" s="100"/>
      <c r="T124" s="100"/>
      <c r="U124" s="100"/>
      <c r="V124" s="100"/>
      <c r="W124" s="100"/>
      <c r="X124" s="100"/>
      <c r="Y124" s="100"/>
      <c r="Z124" s="100"/>
      <c r="AA124" s="100"/>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0"/>
      <c r="BL124" s="220"/>
    </row>
    <row r="125" spans="1:64" hidden="1" outlineLevel="1">
      <c r="A125" s="9"/>
      <c r="B125" s="9"/>
      <c r="C125" s="46"/>
      <c r="D125" s="129">
        <f>Asset23</f>
        <v>0</v>
      </c>
      <c r="E125" s="9"/>
      <c r="F125" s="9"/>
      <c r="G125" s="196">
        <f>'Actual RAB roll forward'!G556</f>
        <v>0</v>
      </c>
      <c r="H125" s="37"/>
      <c r="I125" s="37"/>
      <c r="J125" s="37"/>
      <c r="K125" s="37"/>
      <c r="L125" s="37"/>
      <c r="M125" s="37"/>
      <c r="N125" s="100"/>
      <c r="O125" s="29"/>
      <c r="P125" s="29"/>
      <c r="Q125" s="29"/>
      <c r="R125" s="29"/>
      <c r="S125" s="100"/>
      <c r="T125" s="100"/>
      <c r="U125" s="100"/>
      <c r="V125" s="100"/>
      <c r="W125" s="100"/>
      <c r="X125" s="100"/>
      <c r="Y125" s="100"/>
      <c r="Z125" s="100"/>
      <c r="AA125" s="100"/>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0"/>
      <c r="BL125" s="220"/>
    </row>
    <row r="126" spans="1:64" hidden="1" outlineLevel="1">
      <c r="A126" s="9"/>
      <c r="B126" s="9"/>
      <c r="C126" s="46"/>
      <c r="D126" s="129">
        <f>Asset24</f>
        <v>0</v>
      </c>
      <c r="E126" s="9"/>
      <c r="F126" s="9"/>
      <c r="G126" s="196">
        <f>'Actual RAB roll forward'!G557</f>
        <v>0</v>
      </c>
      <c r="H126" s="37"/>
      <c r="I126" s="37"/>
      <c r="J126" s="37"/>
      <c r="K126" s="37"/>
      <c r="L126" s="37"/>
      <c r="M126" s="37"/>
      <c r="N126" s="100"/>
      <c r="O126" s="29"/>
      <c r="P126" s="29"/>
      <c r="Q126" s="29"/>
      <c r="R126" s="29"/>
      <c r="S126" s="100"/>
      <c r="T126" s="100"/>
      <c r="U126" s="100"/>
      <c r="V126" s="100"/>
      <c r="W126" s="100"/>
      <c r="X126" s="100"/>
      <c r="Y126" s="100"/>
      <c r="Z126" s="100"/>
      <c r="AA126" s="100"/>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0"/>
      <c r="BL126" s="220"/>
    </row>
    <row r="127" spans="1:64" hidden="1" outlineLevel="1">
      <c r="A127" s="9"/>
      <c r="B127" s="9"/>
      <c r="C127" s="46"/>
      <c r="D127" s="129">
        <f>Asset25</f>
        <v>0</v>
      </c>
      <c r="E127" s="9"/>
      <c r="F127" s="9"/>
      <c r="G127" s="196">
        <f>'Actual RAB roll forward'!G558</f>
        <v>0</v>
      </c>
      <c r="H127" s="37"/>
      <c r="I127" s="37"/>
      <c r="J127" s="37"/>
      <c r="K127" s="37"/>
      <c r="L127" s="37"/>
      <c r="M127" s="37"/>
      <c r="N127" s="100"/>
      <c r="O127" s="29"/>
      <c r="P127" s="29"/>
      <c r="Q127" s="29"/>
      <c r="R127" s="29"/>
      <c r="S127" s="100"/>
      <c r="T127" s="100"/>
      <c r="U127" s="100"/>
      <c r="V127" s="100"/>
      <c r="W127" s="100"/>
      <c r="X127" s="100"/>
      <c r="Y127" s="100"/>
      <c r="Z127" s="100"/>
      <c r="AA127" s="100"/>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0"/>
      <c r="BL127" s="220"/>
    </row>
    <row r="128" spans="1:64" hidden="1" outlineLevel="1">
      <c r="A128" s="9"/>
      <c r="B128" s="9"/>
      <c r="C128" s="46"/>
      <c r="D128" s="129">
        <f>Asset26</f>
        <v>0</v>
      </c>
      <c r="E128" s="9"/>
      <c r="F128" s="9"/>
      <c r="G128" s="196">
        <f>'Actual RAB roll forward'!G559</f>
        <v>0</v>
      </c>
      <c r="H128" s="37"/>
      <c r="I128" s="37"/>
      <c r="J128" s="37"/>
      <c r="K128" s="37"/>
      <c r="L128" s="37"/>
      <c r="M128" s="37"/>
      <c r="N128" s="100"/>
      <c r="O128" s="29"/>
      <c r="P128" s="29"/>
      <c r="Q128" s="29"/>
      <c r="R128" s="29"/>
      <c r="S128" s="100"/>
      <c r="T128" s="100"/>
      <c r="U128" s="100"/>
      <c r="V128" s="100"/>
      <c r="W128" s="100"/>
      <c r="X128" s="100"/>
      <c r="Y128" s="100"/>
      <c r="Z128" s="100"/>
      <c r="AA128" s="100"/>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0"/>
      <c r="BL128" s="220"/>
    </row>
    <row r="129" spans="1:64" hidden="1" outlineLevel="1">
      <c r="A129" s="9"/>
      <c r="B129" s="9"/>
      <c r="C129" s="46"/>
      <c r="D129" s="129">
        <f>Asset27</f>
        <v>0</v>
      </c>
      <c r="E129" s="9"/>
      <c r="F129" s="9"/>
      <c r="G129" s="196">
        <f>'Actual RAB roll forward'!G560</f>
        <v>0</v>
      </c>
      <c r="H129" s="37"/>
      <c r="I129" s="37"/>
      <c r="J129" s="37"/>
      <c r="K129" s="37"/>
      <c r="L129" s="37"/>
      <c r="M129" s="37"/>
      <c r="N129" s="100"/>
      <c r="O129" s="29"/>
      <c r="P129" s="29"/>
      <c r="Q129" s="29"/>
      <c r="R129" s="29"/>
      <c r="S129" s="100"/>
      <c r="T129" s="100"/>
      <c r="U129" s="100"/>
      <c r="V129" s="100"/>
      <c r="W129" s="100"/>
      <c r="X129" s="100"/>
      <c r="Y129" s="100"/>
      <c r="Z129" s="100"/>
      <c r="AA129" s="100"/>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0"/>
      <c r="BL129" s="220"/>
    </row>
    <row r="130" spans="1:64" hidden="1" outlineLevel="1">
      <c r="A130" s="9"/>
      <c r="B130" s="9"/>
      <c r="C130" s="46"/>
      <c r="D130" s="129">
        <f>Asset28</f>
        <v>0</v>
      </c>
      <c r="E130" s="9"/>
      <c r="F130" s="9"/>
      <c r="G130" s="196">
        <f>'Actual RAB roll forward'!G561</f>
        <v>0</v>
      </c>
      <c r="H130" s="37"/>
      <c r="I130" s="37"/>
      <c r="J130" s="37"/>
      <c r="K130" s="37"/>
      <c r="L130" s="37"/>
      <c r="M130" s="37"/>
      <c r="N130" s="100"/>
      <c r="O130" s="29"/>
      <c r="P130" s="29"/>
      <c r="Q130" s="29"/>
      <c r="R130" s="29"/>
      <c r="S130" s="100"/>
      <c r="T130" s="100"/>
      <c r="U130" s="100"/>
      <c r="V130" s="100"/>
      <c r="W130" s="100"/>
      <c r="X130" s="100"/>
      <c r="Y130" s="100"/>
      <c r="Z130" s="100"/>
      <c r="AA130" s="100"/>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0"/>
      <c r="BL130" s="220"/>
    </row>
    <row r="131" spans="1:64" hidden="1" outlineLevel="1">
      <c r="A131" s="9"/>
      <c r="B131" s="9"/>
      <c r="C131" s="46"/>
      <c r="D131" s="129">
        <f>Asset29</f>
        <v>0</v>
      </c>
      <c r="E131" s="9"/>
      <c r="F131" s="9"/>
      <c r="G131" s="196">
        <f>'Actual RAB roll forward'!G562</f>
        <v>0</v>
      </c>
      <c r="H131" s="37"/>
      <c r="I131" s="37"/>
      <c r="J131" s="37"/>
      <c r="K131" s="37"/>
      <c r="L131" s="37"/>
      <c r="M131" s="37"/>
      <c r="N131" s="100"/>
      <c r="O131" s="29"/>
      <c r="P131" s="29"/>
      <c r="Q131" s="29"/>
      <c r="R131" s="29"/>
      <c r="S131" s="100"/>
      <c r="T131" s="100"/>
      <c r="U131" s="100"/>
      <c r="V131" s="100"/>
      <c r="W131" s="100"/>
      <c r="X131" s="100"/>
      <c r="Y131" s="100"/>
      <c r="Z131" s="100"/>
      <c r="AA131" s="100"/>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0"/>
      <c r="BL131" s="220"/>
    </row>
    <row r="132" spans="1:64" hidden="1" outlineLevel="1">
      <c r="A132" s="9"/>
      <c r="B132" s="9"/>
      <c r="C132" s="46"/>
      <c r="D132" s="129">
        <f>Asset30</f>
        <v>0</v>
      </c>
      <c r="E132" s="9"/>
      <c r="F132" s="9"/>
      <c r="G132" s="196">
        <f>'Actual RAB roll forward'!G563</f>
        <v>0</v>
      </c>
      <c r="H132" s="37"/>
      <c r="I132" s="37"/>
      <c r="J132" s="37"/>
      <c r="K132" s="37"/>
      <c r="L132" s="37"/>
      <c r="M132" s="37"/>
      <c r="N132" s="100"/>
      <c r="O132" s="29"/>
      <c r="P132" s="29"/>
      <c r="Q132" s="29"/>
      <c r="R132" s="29"/>
      <c r="S132" s="100"/>
      <c r="T132" s="100"/>
      <c r="U132" s="100"/>
      <c r="V132" s="100"/>
      <c r="W132" s="100"/>
      <c r="X132" s="100"/>
      <c r="Y132" s="100"/>
      <c r="Z132" s="100"/>
      <c r="AA132" s="100"/>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0"/>
      <c r="BL132" s="220"/>
    </row>
    <row r="133" spans="1:64" s="9" customFormat="1" collapsed="1">
      <c r="G133" s="202"/>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row>
    <row r="134" spans="1:64">
      <c r="A134" s="9"/>
      <c r="B134" s="9"/>
      <c r="C134" s="46" t="s">
        <v>63</v>
      </c>
      <c r="D134" s="114"/>
      <c r="E134" s="9"/>
      <c r="F134" s="9"/>
      <c r="G134" s="200">
        <f>SUM(G135:G154)</f>
        <v>0</v>
      </c>
      <c r="H134" s="37"/>
      <c r="I134" s="37"/>
      <c r="J134" s="37"/>
      <c r="K134" s="37"/>
      <c r="L134" s="37"/>
      <c r="M134" s="37"/>
      <c r="N134" s="100"/>
      <c r="O134" s="29"/>
      <c r="P134" s="29"/>
      <c r="Q134" s="29"/>
      <c r="R134" s="29"/>
      <c r="S134" s="100"/>
      <c r="T134" s="100"/>
      <c r="U134" s="100"/>
      <c r="V134" s="100"/>
      <c r="W134" s="100"/>
      <c r="X134" s="100"/>
      <c r="Y134" s="100"/>
      <c r="Z134" s="100"/>
      <c r="AA134" s="100"/>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0"/>
      <c r="BL134" s="220"/>
    </row>
    <row r="135" spans="1:64" hidden="1" outlineLevel="1">
      <c r="A135" s="9"/>
      <c r="B135" s="9"/>
      <c r="C135" s="9"/>
      <c r="D135" s="129" t="str">
        <f>Asset1</f>
        <v>Mains &amp; Services</v>
      </c>
      <c r="E135" s="9"/>
      <c r="F135" s="9"/>
      <c r="G135" s="196">
        <f>'Actual RAB roll forward'!G566</f>
        <v>0</v>
      </c>
      <c r="H135" s="37"/>
      <c r="I135" s="37"/>
      <c r="J135" s="37"/>
      <c r="K135" s="37"/>
      <c r="L135" s="37"/>
      <c r="M135" s="37"/>
      <c r="N135" s="100"/>
      <c r="O135" s="29"/>
      <c r="P135" s="29"/>
      <c r="Q135" s="29"/>
      <c r="R135" s="29"/>
      <c r="S135" s="100"/>
      <c r="T135" s="100"/>
      <c r="U135" s="100"/>
      <c r="V135" s="100"/>
      <c r="W135" s="100"/>
      <c r="X135" s="100"/>
      <c r="Y135" s="100"/>
      <c r="Z135" s="100"/>
      <c r="AA135" s="100"/>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0"/>
      <c r="BL135" s="220"/>
    </row>
    <row r="136" spans="1:64" hidden="1" outlineLevel="1">
      <c r="A136" s="9"/>
      <c r="B136" s="9"/>
      <c r="C136" s="46"/>
      <c r="D136" s="129" t="str">
        <f>Asset2</f>
        <v>Meters</v>
      </c>
      <c r="E136" s="9"/>
      <c r="F136" s="9"/>
      <c r="G136" s="196">
        <f>'Actual RAB roll forward'!G567</f>
        <v>0</v>
      </c>
      <c r="H136" s="37"/>
      <c r="I136" s="37"/>
      <c r="J136" s="37"/>
      <c r="K136" s="37"/>
      <c r="L136" s="37"/>
      <c r="M136" s="37"/>
      <c r="N136" s="100"/>
      <c r="O136" s="29"/>
      <c r="P136" s="29"/>
      <c r="Q136" s="29"/>
      <c r="R136" s="29"/>
      <c r="S136" s="100"/>
      <c r="T136" s="100"/>
      <c r="U136" s="100"/>
      <c r="V136" s="100"/>
      <c r="W136" s="100"/>
      <c r="X136" s="100"/>
      <c r="Y136" s="100"/>
      <c r="Z136" s="100"/>
      <c r="AA136" s="100"/>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0"/>
      <c r="BL136" s="220"/>
    </row>
    <row r="137" spans="1:64" hidden="1" outlineLevel="1">
      <c r="A137" s="9"/>
      <c r="B137" s="9"/>
      <c r="C137" s="46"/>
      <c r="D137" s="129" t="str">
        <f>Asset3</f>
        <v>Buildings</v>
      </c>
      <c r="E137" s="9"/>
      <c r="F137" s="9"/>
      <c r="G137" s="196">
        <f>'Actual RAB roll forward'!G568</f>
        <v>0</v>
      </c>
      <c r="H137" s="37"/>
      <c r="I137" s="37"/>
      <c r="J137" s="37"/>
      <c r="K137" s="37"/>
      <c r="L137" s="37"/>
      <c r="M137" s="37"/>
      <c r="N137" s="100"/>
      <c r="O137" s="29"/>
      <c r="P137" s="29"/>
      <c r="Q137" s="29"/>
      <c r="R137" s="29"/>
      <c r="S137" s="100"/>
      <c r="T137" s="100"/>
      <c r="U137" s="100"/>
      <c r="V137" s="100"/>
      <c r="W137" s="100"/>
      <c r="X137" s="100"/>
      <c r="Y137" s="100"/>
      <c r="Z137" s="100"/>
      <c r="AA137" s="100"/>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0"/>
      <c r="BL137" s="220"/>
    </row>
    <row r="138" spans="1:64" hidden="1" outlineLevel="1">
      <c r="A138" s="9"/>
      <c r="B138" s="9"/>
      <c r="C138" s="46"/>
      <c r="D138" s="129" t="str">
        <f>Asset4</f>
        <v>SCADA</v>
      </c>
      <c r="E138" s="9"/>
      <c r="F138" s="9"/>
      <c r="G138" s="196">
        <f>'Actual RAB roll forward'!G569</f>
        <v>0</v>
      </c>
      <c r="H138" s="37"/>
      <c r="I138" s="37"/>
      <c r="J138" s="37"/>
      <c r="K138" s="37"/>
      <c r="L138" s="37"/>
      <c r="M138" s="37"/>
      <c r="N138" s="100"/>
      <c r="O138" s="29"/>
      <c r="P138" s="29"/>
      <c r="Q138" s="29"/>
      <c r="R138" s="29"/>
      <c r="S138" s="100"/>
      <c r="T138" s="100"/>
      <c r="U138" s="100"/>
      <c r="V138" s="100"/>
      <c r="W138" s="100"/>
      <c r="X138" s="100"/>
      <c r="Y138" s="100"/>
      <c r="Z138" s="100"/>
      <c r="AA138" s="100"/>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0"/>
      <c r="BL138" s="220"/>
    </row>
    <row r="139" spans="1:64" hidden="1" outlineLevel="1">
      <c r="A139" s="9"/>
      <c r="B139" s="9"/>
      <c r="C139" s="46"/>
      <c r="D139" s="129" t="str">
        <f>Asset5</f>
        <v>Computer Equipment</v>
      </c>
      <c r="E139" s="9"/>
      <c r="F139" s="9"/>
      <c r="G139" s="196">
        <f>'Actual RAB roll forward'!G570</f>
        <v>0</v>
      </c>
      <c r="H139" s="37"/>
      <c r="I139" s="37"/>
      <c r="J139" s="37"/>
      <c r="K139" s="37"/>
      <c r="L139" s="37"/>
      <c r="M139" s="37"/>
      <c r="N139" s="100"/>
      <c r="O139" s="29"/>
      <c r="P139" s="29"/>
      <c r="Q139" s="29"/>
      <c r="R139" s="29"/>
      <c r="S139" s="100"/>
      <c r="T139" s="100"/>
      <c r="U139" s="100"/>
      <c r="V139" s="100"/>
      <c r="W139" s="100"/>
      <c r="X139" s="100"/>
      <c r="Y139" s="100"/>
      <c r="Z139" s="100"/>
      <c r="AA139" s="100"/>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0"/>
      <c r="BL139" s="220"/>
    </row>
    <row r="140" spans="1:64" hidden="1" outlineLevel="1">
      <c r="A140" s="9"/>
      <c r="B140" s="9"/>
      <c r="C140" s="46"/>
      <c r="D140" s="129" t="str">
        <f>Asset6</f>
        <v>Other Assets</v>
      </c>
      <c r="E140" s="9"/>
      <c r="F140" s="9"/>
      <c r="G140" s="196">
        <f>'Actual RAB roll forward'!G571</f>
        <v>0</v>
      </c>
      <c r="H140" s="37"/>
      <c r="I140" s="37"/>
      <c r="J140" s="37"/>
      <c r="K140" s="37"/>
      <c r="L140" s="37"/>
      <c r="M140" s="37"/>
      <c r="N140" s="100"/>
      <c r="O140" s="29"/>
      <c r="P140" s="29"/>
      <c r="Q140" s="29"/>
      <c r="R140" s="29"/>
      <c r="S140" s="100"/>
      <c r="T140" s="100"/>
      <c r="U140" s="100"/>
      <c r="V140" s="100"/>
      <c r="W140" s="100"/>
      <c r="X140" s="100"/>
      <c r="Y140" s="100"/>
      <c r="Z140" s="100"/>
      <c r="AA140" s="100"/>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0"/>
      <c r="BL140" s="220"/>
    </row>
    <row r="141" spans="1:64" hidden="1" outlineLevel="1">
      <c r="A141" s="9"/>
      <c r="B141" s="9"/>
      <c r="C141" s="46"/>
      <c r="D141" s="129" t="str">
        <f>Asset7</f>
        <v>Equity Raising Costs</v>
      </c>
      <c r="E141" s="9"/>
      <c r="F141" s="9"/>
      <c r="G141" s="196">
        <f>'Actual RAB roll forward'!G572</f>
        <v>0</v>
      </c>
      <c r="H141" s="37"/>
      <c r="I141" s="37"/>
      <c r="J141" s="37"/>
      <c r="K141" s="37"/>
      <c r="L141" s="37"/>
      <c r="M141" s="37"/>
      <c r="N141" s="100"/>
      <c r="O141" s="29"/>
      <c r="P141" s="29"/>
      <c r="Q141" s="29"/>
      <c r="R141" s="29"/>
      <c r="S141" s="100"/>
      <c r="T141" s="100"/>
      <c r="U141" s="100"/>
      <c r="V141" s="100"/>
      <c r="W141" s="100"/>
      <c r="X141" s="100"/>
      <c r="Y141" s="100"/>
      <c r="Z141" s="100"/>
      <c r="AA141" s="100"/>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0"/>
      <c r="BL141" s="220"/>
    </row>
    <row r="142" spans="1:64" hidden="1" outlineLevel="1">
      <c r="A142" s="9"/>
      <c r="B142" s="9"/>
      <c r="C142" s="46"/>
      <c r="D142" s="129" t="str">
        <f>Asset8</f>
        <v>Land</v>
      </c>
      <c r="E142" s="9"/>
      <c r="F142" s="9"/>
      <c r="G142" s="196">
        <f>'Actual RAB roll forward'!G573</f>
        <v>0</v>
      </c>
      <c r="H142" s="37"/>
      <c r="I142" s="37"/>
      <c r="J142" s="37"/>
      <c r="K142" s="37"/>
      <c r="L142" s="37"/>
      <c r="M142" s="37"/>
      <c r="N142" s="100"/>
      <c r="O142" s="29"/>
      <c r="P142" s="29"/>
      <c r="Q142" s="29"/>
      <c r="R142" s="29"/>
      <c r="S142" s="100"/>
      <c r="T142" s="100"/>
      <c r="U142" s="100"/>
      <c r="V142" s="100"/>
      <c r="W142" s="100"/>
      <c r="X142" s="100"/>
      <c r="Y142" s="100"/>
      <c r="Z142" s="100"/>
      <c r="AA142" s="100"/>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0"/>
      <c r="BL142" s="220"/>
    </row>
    <row r="143" spans="1:64" hidden="1" outlineLevel="1">
      <c r="A143" s="9"/>
      <c r="B143" s="9"/>
      <c r="C143" s="46"/>
      <c r="D143" s="129">
        <f>Asset9</f>
        <v>0</v>
      </c>
      <c r="E143" s="9"/>
      <c r="F143" s="9"/>
      <c r="G143" s="196">
        <f>'Actual RAB roll forward'!G574</f>
        <v>0</v>
      </c>
      <c r="H143" s="37"/>
      <c r="I143" s="37"/>
      <c r="J143" s="37"/>
      <c r="K143" s="37"/>
      <c r="L143" s="37"/>
      <c r="M143" s="37"/>
      <c r="N143" s="100"/>
      <c r="O143" s="29"/>
      <c r="P143" s="29"/>
      <c r="Q143" s="29"/>
      <c r="R143" s="29"/>
      <c r="S143" s="100"/>
      <c r="T143" s="100"/>
      <c r="U143" s="100"/>
      <c r="V143" s="100"/>
      <c r="W143" s="100"/>
      <c r="X143" s="100"/>
      <c r="Y143" s="100"/>
      <c r="Z143" s="100"/>
      <c r="AA143" s="100"/>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0"/>
      <c r="BL143" s="220"/>
    </row>
    <row r="144" spans="1:64" hidden="1" outlineLevel="1">
      <c r="A144" s="9"/>
      <c r="B144" s="9"/>
      <c r="C144" s="46"/>
      <c r="D144" s="129">
        <f>Asset10</f>
        <v>0</v>
      </c>
      <c r="E144" s="9"/>
      <c r="F144" s="9"/>
      <c r="G144" s="196">
        <f>'Actual RAB roll forward'!G575</f>
        <v>0</v>
      </c>
      <c r="H144" s="37"/>
      <c r="I144" s="37"/>
      <c r="J144" s="37"/>
      <c r="K144" s="37"/>
      <c r="L144" s="37"/>
      <c r="M144" s="37"/>
      <c r="N144" s="100"/>
      <c r="O144" s="29"/>
      <c r="P144" s="29"/>
      <c r="Q144" s="29"/>
      <c r="R144" s="29"/>
      <c r="S144" s="100"/>
      <c r="T144" s="100"/>
      <c r="U144" s="100"/>
      <c r="V144" s="100"/>
      <c r="W144" s="100"/>
      <c r="X144" s="100"/>
      <c r="Y144" s="100"/>
      <c r="Z144" s="100"/>
      <c r="AA144" s="100"/>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0"/>
      <c r="BL144" s="220"/>
    </row>
    <row r="145" spans="1:64" hidden="1" outlineLevel="1">
      <c r="A145" s="9"/>
      <c r="B145" s="9"/>
      <c r="C145" s="46"/>
      <c r="D145" s="129">
        <f>Asset11</f>
        <v>0</v>
      </c>
      <c r="E145" s="9"/>
      <c r="F145" s="9"/>
      <c r="G145" s="196">
        <f>'Actual RAB roll forward'!G576</f>
        <v>0</v>
      </c>
      <c r="H145" s="37"/>
      <c r="I145" s="37"/>
      <c r="J145" s="37"/>
      <c r="K145" s="37"/>
      <c r="L145" s="37"/>
      <c r="M145" s="37"/>
      <c r="N145" s="100"/>
      <c r="O145" s="29"/>
      <c r="P145" s="29"/>
      <c r="Q145" s="29"/>
      <c r="R145" s="29"/>
      <c r="S145" s="100"/>
      <c r="T145" s="100"/>
      <c r="U145" s="100"/>
      <c r="V145" s="100"/>
      <c r="W145" s="100"/>
      <c r="X145" s="100"/>
      <c r="Y145" s="100"/>
      <c r="Z145" s="100"/>
      <c r="AA145" s="100"/>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0"/>
      <c r="BL145" s="220"/>
    </row>
    <row r="146" spans="1:64" hidden="1" outlineLevel="1">
      <c r="A146" s="9"/>
      <c r="B146" s="9"/>
      <c r="C146" s="46"/>
      <c r="D146" s="129">
        <f>Asset12</f>
        <v>0</v>
      </c>
      <c r="E146" s="9"/>
      <c r="F146" s="9"/>
      <c r="G146" s="196">
        <f>'Actual RAB roll forward'!G577</f>
        <v>0</v>
      </c>
      <c r="H146" s="37"/>
      <c r="I146" s="37"/>
      <c r="J146" s="37"/>
      <c r="K146" s="37"/>
      <c r="L146" s="37"/>
      <c r="M146" s="37"/>
      <c r="N146" s="100"/>
      <c r="O146" s="29"/>
      <c r="P146" s="29"/>
      <c r="Q146" s="29"/>
      <c r="R146" s="29"/>
      <c r="S146" s="100"/>
      <c r="T146" s="100"/>
      <c r="U146" s="100"/>
      <c r="V146" s="100"/>
      <c r="W146" s="100"/>
      <c r="X146" s="100"/>
      <c r="Y146" s="100"/>
      <c r="Z146" s="100"/>
      <c r="AA146" s="100"/>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0"/>
      <c r="BL146" s="220"/>
    </row>
    <row r="147" spans="1:64" hidden="1" outlineLevel="1">
      <c r="A147" s="9"/>
      <c r="B147" s="9"/>
      <c r="C147" s="46"/>
      <c r="D147" s="129">
        <f>Asset13</f>
        <v>0</v>
      </c>
      <c r="E147" s="9"/>
      <c r="F147" s="9"/>
      <c r="G147" s="196">
        <f>'Actual RAB roll forward'!G578</f>
        <v>0</v>
      </c>
      <c r="H147" s="37"/>
      <c r="I147" s="37"/>
      <c r="J147" s="37"/>
      <c r="K147" s="37"/>
      <c r="L147" s="37"/>
      <c r="M147" s="37"/>
      <c r="N147" s="100"/>
      <c r="O147" s="29"/>
      <c r="P147" s="29"/>
      <c r="Q147" s="29"/>
      <c r="R147" s="29"/>
      <c r="S147" s="100"/>
      <c r="T147" s="100"/>
      <c r="U147" s="100"/>
      <c r="V147" s="100"/>
      <c r="W147" s="100"/>
      <c r="X147" s="100"/>
      <c r="Y147" s="100"/>
      <c r="Z147" s="100"/>
      <c r="AA147" s="100"/>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0"/>
      <c r="BL147" s="220"/>
    </row>
    <row r="148" spans="1:64" hidden="1" outlineLevel="1">
      <c r="A148" s="9"/>
      <c r="B148" s="9"/>
      <c r="C148" s="46"/>
      <c r="D148" s="129">
        <f>Asset14</f>
        <v>0</v>
      </c>
      <c r="E148" s="9"/>
      <c r="F148" s="9"/>
      <c r="G148" s="196">
        <f>'Actual RAB roll forward'!G579</f>
        <v>0</v>
      </c>
      <c r="H148" s="37"/>
      <c r="I148" s="37"/>
      <c r="J148" s="37"/>
      <c r="K148" s="37"/>
      <c r="L148" s="37"/>
      <c r="M148" s="37"/>
      <c r="N148" s="100"/>
      <c r="O148" s="29"/>
      <c r="P148" s="29"/>
      <c r="Q148" s="29"/>
      <c r="R148" s="29"/>
      <c r="S148" s="100"/>
      <c r="T148" s="100"/>
      <c r="U148" s="100"/>
      <c r="V148" s="100"/>
      <c r="W148" s="100"/>
      <c r="X148" s="100"/>
      <c r="Y148" s="100"/>
      <c r="Z148" s="100"/>
      <c r="AA148" s="100"/>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0"/>
      <c r="BL148" s="220"/>
    </row>
    <row r="149" spans="1:64" hidden="1" outlineLevel="1">
      <c r="A149" s="9"/>
      <c r="B149" s="9"/>
      <c r="C149" s="46"/>
      <c r="D149" s="129">
        <f>Asset15</f>
        <v>0</v>
      </c>
      <c r="E149" s="9"/>
      <c r="F149" s="9"/>
      <c r="G149" s="196">
        <f>'Actual RAB roll forward'!G580</f>
        <v>0</v>
      </c>
      <c r="H149" s="37"/>
      <c r="I149" s="37"/>
      <c r="J149" s="37"/>
      <c r="K149" s="37"/>
      <c r="L149" s="37"/>
      <c r="M149" s="37"/>
      <c r="N149" s="100"/>
      <c r="O149" s="29"/>
      <c r="P149" s="29"/>
      <c r="Q149" s="29"/>
      <c r="R149" s="29"/>
      <c r="S149" s="100"/>
      <c r="T149" s="100"/>
      <c r="U149" s="100"/>
      <c r="V149" s="100"/>
      <c r="W149" s="100"/>
      <c r="X149" s="100"/>
      <c r="Y149" s="100"/>
      <c r="Z149" s="100"/>
      <c r="AA149" s="100"/>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0"/>
      <c r="BL149" s="220"/>
    </row>
    <row r="150" spans="1:64" hidden="1" outlineLevel="1">
      <c r="A150" s="9"/>
      <c r="B150" s="9"/>
      <c r="C150" s="46"/>
      <c r="D150" s="129">
        <f>Asset16</f>
        <v>0</v>
      </c>
      <c r="E150" s="9"/>
      <c r="F150" s="9"/>
      <c r="G150" s="196">
        <f>'Actual RAB roll forward'!G581</f>
        <v>0</v>
      </c>
      <c r="H150" s="37"/>
      <c r="I150" s="37"/>
      <c r="J150" s="37"/>
      <c r="K150" s="37"/>
      <c r="L150" s="37"/>
      <c r="M150" s="37"/>
      <c r="N150" s="100"/>
      <c r="O150" s="29"/>
      <c r="P150" s="29"/>
      <c r="Q150" s="29"/>
      <c r="R150" s="29"/>
      <c r="S150" s="100"/>
      <c r="T150" s="100"/>
      <c r="U150" s="100"/>
      <c r="V150" s="100"/>
      <c r="W150" s="100"/>
      <c r="X150" s="100"/>
      <c r="Y150" s="100"/>
      <c r="Z150" s="100"/>
      <c r="AA150" s="100"/>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0"/>
      <c r="BL150" s="220"/>
    </row>
    <row r="151" spans="1:64" hidden="1" outlineLevel="1">
      <c r="A151" s="9"/>
      <c r="B151" s="9"/>
      <c r="C151" s="46"/>
      <c r="D151" s="129">
        <f>Asset17</f>
        <v>0</v>
      </c>
      <c r="E151" s="9"/>
      <c r="F151" s="9"/>
      <c r="G151" s="196">
        <f>'Actual RAB roll forward'!G582</f>
        <v>0</v>
      </c>
      <c r="H151" s="37"/>
      <c r="I151" s="37"/>
      <c r="J151" s="37"/>
      <c r="K151" s="37"/>
      <c r="L151" s="37"/>
      <c r="M151" s="37"/>
      <c r="N151" s="100"/>
      <c r="O151" s="29"/>
      <c r="P151" s="29"/>
      <c r="Q151" s="29"/>
      <c r="R151" s="29"/>
      <c r="S151" s="100"/>
      <c r="T151" s="100"/>
      <c r="U151" s="100"/>
      <c r="V151" s="100"/>
      <c r="W151" s="100"/>
      <c r="X151" s="100"/>
      <c r="Y151" s="100"/>
      <c r="Z151" s="100"/>
      <c r="AA151" s="100"/>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0"/>
      <c r="BL151" s="220"/>
    </row>
    <row r="152" spans="1:64" hidden="1" outlineLevel="1">
      <c r="A152" s="9"/>
      <c r="B152" s="9"/>
      <c r="C152" s="46"/>
      <c r="D152" s="129">
        <f>Asset18</f>
        <v>0</v>
      </c>
      <c r="E152" s="9"/>
      <c r="F152" s="9"/>
      <c r="G152" s="196">
        <f>'Actual RAB roll forward'!G583</f>
        <v>0</v>
      </c>
      <c r="H152" s="37"/>
      <c r="I152" s="37"/>
      <c r="J152" s="37"/>
      <c r="K152" s="37"/>
      <c r="L152" s="37"/>
      <c r="M152" s="37"/>
      <c r="N152" s="100"/>
      <c r="O152" s="29"/>
      <c r="P152" s="29"/>
      <c r="Q152" s="29"/>
      <c r="R152" s="29"/>
      <c r="S152" s="100"/>
      <c r="T152" s="100"/>
      <c r="U152" s="100"/>
      <c r="V152" s="100"/>
      <c r="W152" s="100"/>
      <c r="X152" s="100"/>
      <c r="Y152" s="100"/>
      <c r="Z152" s="100"/>
      <c r="AA152" s="100"/>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0"/>
      <c r="BL152" s="220"/>
    </row>
    <row r="153" spans="1:64" hidden="1" outlineLevel="1">
      <c r="A153" s="9"/>
      <c r="B153" s="9"/>
      <c r="C153" s="46"/>
      <c r="D153" s="129">
        <f>Asset19</f>
        <v>0</v>
      </c>
      <c r="E153" s="9"/>
      <c r="F153" s="9"/>
      <c r="G153" s="196">
        <f>'Actual RAB roll forward'!G584</f>
        <v>0</v>
      </c>
      <c r="H153" s="37"/>
      <c r="I153" s="37"/>
      <c r="J153" s="37"/>
      <c r="K153" s="37"/>
      <c r="L153" s="37"/>
      <c r="M153" s="37"/>
      <c r="N153" s="100"/>
      <c r="O153" s="29"/>
      <c r="P153" s="29"/>
      <c r="Q153" s="29"/>
      <c r="R153" s="29"/>
      <c r="S153" s="100"/>
      <c r="T153" s="100"/>
      <c r="U153" s="100"/>
      <c r="V153" s="100"/>
      <c r="W153" s="100"/>
      <c r="X153" s="100"/>
      <c r="Y153" s="100"/>
      <c r="Z153" s="100"/>
      <c r="AA153" s="100"/>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0"/>
      <c r="BL153" s="220"/>
    </row>
    <row r="154" spans="1:64" hidden="1" outlineLevel="1">
      <c r="A154" s="9"/>
      <c r="B154" s="9"/>
      <c r="C154" s="46"/>
      <c r="D154" s="129">
        <f>Asset20</f>
        <v>0</v>
      </c>
      <c r="E154" s="9"/>
      <c r="F154" s="9"/>
      <c r="G154" s="196">
        <f>'Actual RAB roll forward'!G585</f>
        <v>0</v>
      </c>
      <c r="H154" s="37"/>
      <c r="I154" s="37"/>
      <c r="J154" s="37"/>
      <c r="K154" s="37"/>
      <c r="L154" s="37"/>
      <c r="M154" s="37"/>
      <c r="N154" s="100"/>
      <c r="O154" s="29"/>
      <c r="P154" s="29"/>
      <c r="Q154" s="29"/>
      <c r="R154" s="29"/>
      <c r="S154" s="100"/>
      <c r="T154" s="100"/>
      <c r="U154" s="100"/>
      <c r="V154" s="100"/>
      <c r="W154" s="100"/>
      <c r="X154" s="100"/>
      <c r="Y154" s="100"/>
      <c r="Z154" s="100"/>
      <c r="AA154" s="100"/>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0"/>
      <c r="BL154" s="220"/>
    </row>
    <row r="155" spans="1:64" hidden="1" outlineLevel="1">
      <c r="A155" s="9"/>
      <c r="B155" s="9"/>
      <c r="C155" s="46"/>
      <c r="D155" s="129">
        <f>Asset21</f>
        <v>0</v>
      </c>
      <c r="E155" s="9"/>
      <c r="F155" s="9"/>
      <c r="G155" s="196">
        <f>'Actual RAB roll forward'!G586</f>
        <v>0</v>
      </c>
      <c r="H155" s="37"/>
      <c r="I155" s="37"/>
      <c r="J155" s="37"/>
      <c r="K155" s="37"/>
      <c r="L155" s="37"/>
      <c r="M155" s="37"/>
      <c r="N155" s="100"/>
      <c r="O155" s="29"/>
      <c r="P155" s="29"/>
      <c r="Q155" s="29"/>
      <c r="R155" s="29"/>
      <c r="S155" s="100"/>
      <c r="T155" s="100"/>
      <c r="U155" s="100"/>
      <c r="V155" s="100"/>
      <c r="W155" s="100"/>
      <c r="X155" s="100"/>
      <c r="Y155" s="100"/>
      <c r="Z155" s="100"/>
      <c r="AA155" s="100"/>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0"/>
      <c r="BL155" s="220"/>
    </row>
    <row r="156" spans="1:64" hidden="1" outlineLevel="1">
      <c r="A156" s="9"/>
      <c r="B156" s="9"/>
      <c r="C156" s="46"/>
      <c r="D156" s="129">
        <f>Asset22</f>
        <v>0</v>
      </c>
      <c r="E156" s="9"/>
      <c r="F156" s="9"/>
      <c r="G156" s="196">
        <f>'Actual RAB roll forward'!G587</f>
        <v>0</v>
      </c>
      <c r="H156" s="37"/>
      <c r="I156" s="37"/>
      <c r="J156" s="37"/>
      <c r="K156" s="37"/>
      <c r="L156" s="37"/>
      <c r="M156" s="37"/>
      <c r="N156" s="100"/>
      <c r="O156" s="29"/>
      <c r="P156" s="29"/>
      <c r="Q156" s="29"/>
      <c r="R156" s="29"/>
      <c r="S156" s="100"/>
      <c r="T156" s="100"/>
      <c r="U156" s="100"/>
      <c r="V156" s="100"/>
      <c r="W156" s="100"/>
      <c r="X156" s="100"/>
      <c r="Y156" s="100"/>
      <c r="Z156" s="100"/>
      <c r="AA156" s="100"/>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0"/>
      <c r="BL156" s="220"/>
    </row>
    <row r="157" spans="1:64" hidden="1" outlineLevel="1">
      <c r="A157" s="9"/>
      <c r="B157" s="9"/>
      <c r="C157" s="46"/>
      <c r="D157" s="129">
        <f>Asset23</f>
        <v>0</v>
      </c>
      <c r="E157" s="9"/>
      <c r="F157" s="9"/>
      <c r="G157" s="196">
        <f>'Actual RAB roll forward'!G588</f>
        <v>0</v>
      </c>
      <c r="H157" s="37"/>
      <c r="I157" s="37"/>
      <c r="J157" s="37"/>
      <c r="K157" s="37"/>
      <c r="L157" s="37"/>
      <c r="M157" s="37"/>
      <c r="N157" s="100"/>
      <c r="O157" s="29"/>
      <c r="P157" s="29"/>
      <c r="Q157" s="29"/>
      <c r="R157" s="29"/>
      <c r="S157" s="100"/>
      <c r="T157" s="100"/>
      <c r="U157" s="100"/>
      <c r="V157" s="100"/>
      <c r="W157" s="100"/>
      <c r="X157" s="100"/>
      <c r="Y157" s="100"/>
      <c r="Z157" s="100"/>
      <c r="AA157" s="100"/>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0"/>
      <c r="BL157" s="220"/>
    </row>
    <row r="158" spans="1:64" hidden="1" outlineLevel="1">
      <c r="A158" s="9"/>
      <c r="B158" s="9"/>
      <c r="C158" s="46"/>
      <c r="D158" s="129">
        <f>Asset24</f>
        <v>0</v>
      </c>
      <c r="E158" s="9"/>
      <c r="F158" s="9"/>
      <c r="G158" s="196">
        <f>'Actual RAB roll forward'!G589</f>
        <v>0</v>
      </c>
      <c r="H158" s="37"/>
      <c r="I158" s="37"/>
      <c r="J158" s="37"/>
      <c r="K158" s="37"/>
      <c r="L158" s="37"/>
      <c r="M158" s="37"/>
      <c r="N158" s="100"/>
      <c r="O158" s="29"/>
      <c r="P158" s="29"/>
      <c r="Q158" s="29"/>
      <c r="R158" s="29"/>
      <c r="S158" s="100"/>
      <c r="T158" s="100"/>
      <c r="U158" s="100"/>
      <c r="V158" s="100"/>
      <c r="W158" s="100"/>
      <c r="X158" s="100"/>
      <c r="Y158" s="100"/>
      <c r="Z158" s="100"/>
      <c r="AA158" s="100"/>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0"/>
      <c r="BL158" s="220"/>
    </row>
    <row r="159" spans="1:64" hidden="1" outlineLevel="1">
      <c r="A159" s="9"/>
      <c r="B159" s="9"/>
      <c r="C159" s="46"/>
      <c r="D159" s="129">
        <f>Asset25</f>
        <v>0</v>
      </c>
      <c r="E159" s="9"/>
      <c r="F159" s="9"/>
      <c r="G159" s="196">
        <f>'Actual RAB roll forward'!G590</f>
        <v>0</v>
      </c>
      <c r="H159" s="37"/>
      <c r="I159" s="37"/>
      <c r="J159" s="37"/>
      <c r="K159" s="37"/>
      <c r="L159" s="37"/>
      <c r="M159" s="37"/>
      <c r="N159" s="100"/>
      <c r="O159" s="29"/>
      <c r="P159" s="29"/>
      <c r="Q159" s="29"/>
      <c r="R159" s="29"/>
      <c r="S159" s="100"/>
      <c r="T159" s="100"/>
      <c r="U159" s="100"/>
      <c r="V159" s="100"/>
      <c r="W159" s="100"/>
      <c r="X159" s="100"/>
      <c r="Y159" s="100"/>
      <c r="Z159" s="100"/>
      <c r="AA159" s="100"/>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0"/>
      <c r="BL159" s="220"/>
    </row>
    <row r="160" spans="1:64" hidden="1" outlineLevel="1">
      <c r="A160" s="9"/>
      <c r="B160" s="9"/>
      <c r="C160" s="46"/>
      <c r="D160" s="129">
        <f>Asset26</f>
        <v>0</v>
      </c>
      <c r="E160" s="9"/>
      <c r="F160" s="9"/>
      <c r="G160" s="196">
        <f>'Actual RAB roll forward'!G591</f>
        <v>0</v>
      </c>
      <c r="H160" s="37"/>
      <c r="I160" s="37"/>
      <c r="J160" s="37"/>
      <c r="K160" s="37"/>
      <c r="L160" s="37"/>
      <c r="M160" s="37"/>
      <c r="N160" s="100"/>
      <c r="O160" s="29"/>
      <c r="P160" s="29"/>
      <c r="Q160" s="29"/>
      <c r="R160" s="29"/>
      <c r="S160" s="100"/>
      <c r="T160" s="100"/>
      <c r="U160" s="100"/>
      <c r="V160" s="100"/>
      <c r="W160" s="100"/>
      <c r="X160" s="100"/>
      <c r="Y160" s="100"/>
      <c r="Z160" s="100"/>
      <c r="AA160" s="100"/>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0"/>
      <c r="BL160" s="220"/>
    </row>
    <row r="161" spans="1:64" hidden="1" outlineLevel="1">
      <c r="A161" s="9"/>
      <c r="B161" s="9"/>
      <c r="C161" s="46"/>
      <c r="D161" s="129">
        <f>Asset27</f>
        <v>0</v>
      </c>
      <c r="E161" s="9"/>
      <c r="F161" s="9"/>
      <c r="G161" s="196">
        <f>'Actual RAB roll forward'!G592</f>
        <v>0</v>
      </c>
      <c r="H161" s="37"/>
      <c r="I161" s="37"/>
      <c r="J161" s="37"/>
      <c r="K161" s="37"/>
      <c r="L161" s="37"/>
      <c r="M161" s="37"/>
      <c r="N161" s="100"/>
      <c r="O161" s="29"/>
      <c r="P161" s="29"/>
      <c r="Q161" s="29"/>
      <c r="R161" s="29"/>
      <c r="S161" s="100"/>
      <c r="T161" s="100"/>
      <c r="U161" s="100"/>
      <c r="V161" s="100"/>
      <c r="W161" s="100"/>
      <c r="X161" s="100"/>
      <c r="Y161" s="100"/>
      <c r="Z161" s="100"/>
      <c r="AA161" s="100"/>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0"/>
      <c r="BL161" s="220"/>
    </row>
    <row r="162" spans="1:64" hidden="1" outlineLevel="1">
      <c r="A162" s="9"/>
      <c r="B162" s="9"/>
      <c r="C162" s="46"/>
      <c r="D162" s="129">
        <f>Asset28</f>
        <v>0</v>
      </c>
      <c r="E162" s="9"/>
      <c r="F162" s="9"/>
      <c r="G162" s="196">
        <f>'Actual RAB roll forward'!G593</f>
        <v>0</v>
      </c>
      <c r="H162" s="37"/>
      <c r="I162" s="37"/>
      <c r="J162" s="37"/>
      <c r="K162" s="37"/>
      <c r="L162" s="37"/>
      <c r="M162" s="37"/>
      <c r="N162" s="100"/>
      <c r="O162" s="29"/>
      <c r="P162" s="29"/>
      <c r="Q162" s="29"/>
      <c r="R162" s="29"/>
      <c r="S162" s="100"/>
      <c r="T162" s="100"/>
      <c r="U162" s="100"/>
      <c r="V162" s="100"/>
      <c r="W162" s="100"/>
      <c r="X162" s="100"/>
      <c r="Y162" s="100"/>
      <c r="Z162" s="100"/>
      <c r="AA162" s="100"/>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0"/>
      <c r="BL162" s="220"/>
    </row>
    <row r="163" spans="1:64" hidden="1" outlineLevel="1">
      <c r="A163" s="9"/>
      <c r="B163" s="9"/>
      <c r="C163" s="46"/>
      <c r="D163" s="129">
        <f>Asset29</f>
        <v>0</v>
      </c>
      <c r="E163" s="9"/>
      <c r="F163" s="9"/>
      <c r="G163" s="196">
        <f>'Actual RAB roll forward'!G594</f>
        <v>0</v>
      </c>
      <c r="H163" s="37"/>
      <c r="I163" s="37"/>
      <c r="J163" s="37"/>
      <c r="K163" s="37"/>
      <c r="L163" s="37"/>
      <c r="M163" s="37"/>
      <c r="N163" s="100"/>
      <c r="O163" s="29"/>
      <c r="P163" s="29"/>
      <c r="Q163" s="29"/>
      <c r="R163" s="29"/>
      <c r="S163" s="100"/>
      <c r="T163" s="100"/>
      <c r="U163" s="100"/>
      <c r="V163" s="100"/>
      <c r="W163" s="100"/>
      <c r="X163" s="100"/>
      <c r="Y163" s="100"/>
      <c r="Z163" s="100"/>
      <c r="AA163" s="100"/>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0"/>
      <c r="BL163" s="220"/>
    </row>
    <row r="164" spans="1:64" hidden="1" outlineLevel="1">
      <c r="A164" s="9"/>
      <c r="B164" s="9"/>
      <c r="C164" s="46"/>
      <c r="D164" s="129">
        <f>Asset30</f>
        <v>0</v>
      </c>
      <c r="E164" s="9"/>
      <c r="F164" s="9"/>
      <c r="G164" s="196">
        <f>'Actual RAB roll forward'!G595</f>
        <v>0</v>
      </c>
      <c r="H164" s="37"/>
      <c r="I164" s="37"/>
      <c r="J164" s="37"/>
      <c r="K164" s="37"/>
      <c r="L164" s="37"/>
      <c r="M164" s="37"/>
      <c r="N164" s="100"/>
      <c r="O164" s="29"/>
      <c r="P164" s="29"/>
      <c r="Q164" s="29"/>
      <c r="R164" s="29"/>
      <c r="S164" s="100"/>
      <c r="T164" s="100"/>
      <c r="U164" s="100"/>
      <c r="V164" s="100"/>
      <c r="W164" s="100"/>
      <c r="X164" s="100"/>
      <c r="Y164" s="100"/>
      <c r="Z164" s="100"/>
      <c r="AA164" s="100"/>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0"/>
      <c r="BL164" s="220"/>
    </row>
    <row r="165" spans="1:64" collapsed="1">
      <c r="A165" s="9"/>
      <c r="B165" s="9"/>
      <c r="C165" s="46"/>
      <c r="D165" s="114"/>
      <c r="E165" s="9"/>
      <c r="F165" s="9"/>
      <c r="G165" s="203"/>
      <c r="H165" s="37"/>
      <c r="I165" s="37"/>
      <c r="J165" s="37"/>
      <c r="K165" s="37"/>
      <c r="L165" s="37"/>
      <c r="M165" s="37"/>
      <c r="N165" s="100"/>
      <c r="O165" s="29"/>
      <c r="P165" s="29"/>
      <c r="Q165" s="29"/>
      <c r="R165" s="29"/>
      <c r="S165" s="100"/>
      <c r="T165" s="100"/>
      <c r="U165" s="100"/>
      <c r="V165" s="100"/>
      <c r="W165" s="100"/>
      <c r="X165" s="100"/>
      <c r="Y165" s="100"/>
      <c r="Z165" s="100"/>
      <c r="AA165" s="100"/>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0"/>
      <c r="BL165" s="220"/>
    </row>
    <row r="166" spans="1:64">
      <c r="A166" s="9"/>
      <c r="B166" s="9"/>
      <c r="C166" s="46" t="s">
        <v>60</v>
      </c>
      <c r="D166" s="129"/>
      <c r="E166" s="9"/>
      <c r="F166" s="9"/>
      <c r="G166" s="200">
        <f>SUM(G167:G186)</f>
        <v>0</v>
      </c>
      <c r="H166" s="111"/>
      <c r="I166" s="111"/>
      <c r="J166" s="111"/>
      <c r="K166" s="111"/>
      <c r="L166" s="111"/>
      <c r="M166" s="111"/>
      <c r="N166" s="100"/>
      <c r="O166" s="29"/>
      <c r="P166" s="29"/>
      <c r="Q166" s="29"/>
      <c r="R166" s="29"/>
      <c r="S166" s="100"/>
      <c r="T166" s="100"/>
      <c r="U166" s="100"/>
      <c r="V166" s="100"/>
      <c r="W166" s="100"/>
      <c r="X166" s="100"/>
      <c r="Y166" s="100"/>
      <c r="Z166" s="100"/>
      <c r="AA166" s="100"/>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0"/>
      <c r="BL166" s="220"/>
    </row>
    <row r="167" spans="1:64" hidden="1" outlineLevel="1">
      <c r="A167" s="9"/>
      <c r="B167" s="9"/>
      <c r="C167" s="46"/>
      <c r="D167" s="129" t="str">
        <f>Asset1</f>
        <v>Mains &amp; Services</v>
      </c>
      <c r="E167" s="9"/>
      <c r="F167" s="9"/>
      <c r="G167" s="196">
        <f>'Actual RAB roll forward'!G598</f>
        <v>0</v>
      </c>
      <c r="H167" s="111"/>
      <c r="I167" s="111"/>
      <c r="J167" s="111"/>
      <c r="K167" s="111"/>
      <c r="L167" s="111"/>
      <c r="M167" s="111"/>
      <c r="N167" s="100"/>
      <c r="O167" s="29"/>
      <c r="P167" s="29"/>
      <c r="Q167" s="29"/>
      <c r="R167" s="29"/>
      <c r="S167" s="100"/>
      <c r="T167" s="100"/>
      <c r="U167" s="100"/>
      <c r="V167" s="100"/>
      <c r="W167" s="100"/>
      <c r="X167" s="100"/>
      <c r="Y167" s="100"/>
      <c r="Z167" s="100"/>
      <c r="AA167" s="100"/>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0"/>
      <c r="BL167" s="220"/>
    </row>
    <row r="168" spans="1:64" hidden="1" outlineLevel="1">
      <c r="A168" s="9"/>
      <c r="B168" s="9"/>
      <c r="C168" s="46"/>
      <c r="D168" s="129" t="str">
        <f>Asset2</f>
        <v>Meters</v>
      </c>
      <c r="E168" s="9"/>
      <c r="F168" s="9"/>
      <c r="G168" s="196">
        <f>'Actual RAB roll forward'!G599</f>
        <v>0</v>
      </c>
      <c r="H168" s="111"/>
      <c r="I168" s="111"/>
      <c r="J168" s="111"/>
      <c r="K168" s="111"/>
      <c r="L168" s="111"/>
      <c r="M168" s="111"/>
      <c r="N168" s="100"/>
      <c r="O168" s="29"/>
      <c r="P168" s="29"/>
      <c r="Q168" s="29"/>
      <c r="R168" s="29"/>
      <c r="S168" s="100"/>
      <c r="T168" s="100"/>
      <c r="U168" s="100"/>
      <c r="V168" s="100"/>
      <c r="W168" s="100"/>
      <c r="X168" s="100"/>
      <c r="Y168" s="100"/>
      <c r="Z168" s="100"/>
      <c r="AA168" s="100"/>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0"/>
      <c r="BL168" s="220"/>
    </row>
    <row r="169" spans="1:64" hidden="1" outlineLevel="1">
      <c r="A169" s="9"/>
      <c r="B169" s="9"/>
      <c r="C169" s="46"/>
      <c r="D169" s="129" t="str">
        <f>Asset3</f>
        <v>Buildings</v>
      </c>
      <c r="E169" s="9"/>
      <c r="F169" s="9"/>
      <c r="G169" s="196">
        <f>'Actual RAB roll forward'!G600</f>
        <v>0</v>
      </c>
      <c r="H169" s="111"/>
      <c r="I169" s="111"/>
      <c r="J169" s="111"/>
      <c r="K169" s="111"/>
      <c r="L169" s="111"/>
      <c r="M169" s="111"/>
      <c r="N169" s="100"/>
      <c r="O169" s="29"/>
      <c r="P169" s="29"/>
      <c r="Q169" s="29"/>
      <c r="R169" s="29"/>
      <c r="S169" s="100"/>
      <c r="T169" s="100"/>
      <c r="U169" s="100"/>
      <c r="V169" s="100"/>
      <c r="W169" s="100"/>
      <c r="X169" s="100"/>
      <c r="Y169" s="100"/>
      <c r="Z169" s="100"/>
      <c r="AA169" s="100"/>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0"/>
      <c r="BL169" s="220"/>
    </row>
    <row r="170" spans="1:64" hidden="1" outlineLevel="1">
      <c r="A170" s="9"/>
      <c r="B170" s="9"/>
      <c r="C170" s="46"/>
      <c r="D170" s="129" t="str">
        <f>Asset4</f>
        <v>SCADA</v>
      </c>
      <c r="E170" s="9"/>
      <c r="F170" s="9"/>
      <c r="G170" s="196">
        <f>'Actual RAB roll forward'!G601</f>
        <v>0</v>
      </c>
      <c r="H170" s="111"/>
      <c r="I170" s="111"/>
      <c r="J170" s="111"/>
      <c r="K170" s="111"/>
      <c r="L170" s="111"/>
      <c r="M170" s="111"/>
      <c r="N170" s="100"/>
      <c r="O170" s="29"/>
      <c r="P170" s="29"/>
      <c r="Q170" s="29"/>
      <c r="R170" s="29"/>
      <c r="S170" s="100"/>
      <c r="T170" s="100"/>
      <c r="U170" s="100"/>
      <c r="V170" s="100"/>
      <c r="W170" s="100"/>
      <c r="X170" s="100"/>
      <c r="Y170" s="100"/>
      <c r="Z170" s="100"/>
      <c r="AA170" s="100"/>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0"/>
      <c r="BL170" s="220"/>
    </row>
    <row r="171" spans="1:64" hidden="1" outlineLevel="1">
      <c r="A171" s="9"/>
      <c r="B171" s="9"/>
      <c r="C171" s="46"/>
      <c r="D171" s="129" t="str">
        <f>Asset5</f>
        <v>Computer Equipment</v>
      </c>
      <c r="E171" s="9"/>
      <c r="F171" s="9"/>
      <c r="G171" s="196">
        <f>'Actual RAB roll forward'!G602</f>
        <v>0</v>
      </c>
      <c r="H171" s="111"/>
      <c r="I171" s="111"/>
      <c r="J171" s="111"/>
      <c r="K171" s="111"/>
      <c r="L171" s="111"/>
      <c r="M171" s="111"/>
      <c r="N171" s="100"/>
      <c r="O171" s="29"/>
      <c r="P171" s="29"/>
      <c r="Q171" s="29"/>
      <c r="R171" s="29"/>
      <c r="S171" s="100"/>
      <c r="T171" s="100"/>
      <c r="U171" s="100"/>
      <c r="V171" s="100"/>
      <c r="W171" s="100"/>
      <c r="X171" s="100"/>
      <c r="Y171" s="100"/>
      <c r="Z171" s="100"/>
      <c r="AA171" s="100"/>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0"/>
      <c r="BL171" s="220"/>
    </row>
    <row r="172" spans="1:64" hidden="1" outlineLevel="1">
      <c r="A172" s="9"/>
      <c r="B172" s="9"/>
      <c r="C172" s="46"/>
      <c r="D172" s="129" t="str">
        <f>Asset6</f>
        <v>Other Assets</v>
      </c>
      <c r="E172" s="9"/>
      <c r="F172" s="9"/>
      <c r="G172" s="196">
        <f>'Actual RAB roll forward'!G603</f>
        <v>0</v>
      </c>
      <c r="H172" s="111"/>
      <c r="I172" s="111"/>
      <c r="J172" s="111"/>
      <c r="K172" s="111"/>
      <c r="L172" s="111"/>
      <c r="M172" s="111"/>
      <c r="N172" s="100"/>
      <c r="O172" s="29"/>
      <c r="P172" s="29"/>
      <c r="Q172" s="29"/>
      <c r="R172" s="29"/>
      <c r="S172" s="100"/>
      <c r="T172" s="100"/>
      <c r="U172" s="100"/>
      <c r="V172" s="100"/>
      <c r="W172" s="100"/>
      <c r="X172" s="100"/>
      <c r="Y172" s="100"/>
      <c r="Z172" s="100"/>
      <c r="AA172" s="100"/>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0"/>
      <c r="BL172" s="220"/>
    </row>
    <row r="173" spans="1:64" hidden="1" outlineLevel="1">
      <c r="A173" s="9"/>
      <c r="B173" s="9"/>
      <c r="C173" s="46"/>
      <c r="D173" s="129" t="str">
        <f>Asset7</f>
        <v>Equity Raising Costs</v>
      </c>
      <c r="E173" s="9"/>
      <c r="F173" s="9"/>
      <c r="G173" s="196">
        <f>'Actual RAB roll forward'!G604</f>
        <v>0</v>
      </c>
      <c r="H173" s="111"/>
      <c r="I173" s="111"/>
      <c r="J173" s="111"/>
      <c r="K173" s="111"/>
      <c r="L173" s="111"/>
      <c r="M173" s="111"/>
      <c r="N173" s="100"/>
      <c r="O173" s="29"/>
      <c r="P173" s="29"/>
      <c r="Q173" s="29"/>
      <c r="R173" s="29"/>
      <c r="S173" s="100"/>
      <c r="T173" s="100"/>
      <c r="U173" s="100"/>
      <c r="V173" s="100"/>
      <c r="W173" s="100"/>
      <c r="X173" s="100"/>
      <c r="Y173" s="100"/>
      <c r="Z173" s="100"/>
      <c r="AA173" s="100"/>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0"/>
      <c r="BL173" s="220"/>
    </row>
    <row r="174" spans="1:64" hidden="1" outlineLevel="1">
      <c r="A174" s="9"/>
      <c r="B174" s="9"/>
      <c r="C174" s="46"/>
      <c r="D174" s="129" t="str">
        <f>Asset8</f>
        <v>Land</v>
      </c>
      <c r="E174" s="9"/>
      <c r="F174" s="9"/>
      <c r="G174" s="196">
        <f>'Actual RAB roll forward'!G605</f>
        <v>0</v>
      </c>
      <c r="H174" s="111"/>
      <c r="I174" s="111"/>
      <c r="J174" s="111"/>
      <c r="K174" s="111"/>
      <c r="L174" s="111"/>
      <c r="M174" s="111"/>
      <c r="N174" s="100"/>
      <c r="O174" s="29"/>
      <c r="P174" s="29"/>
      <c r="Q174" s="29"/>
      <c r="R174" s="29"/>
      <c r="S174" s="100"/>
      <c r="T174" s="100"/>
      <c r="U174" s="100"/>
      <c r="V174" s="100"/>
      <c r="W174" s="100"/>
      <c r="X174" s="100"/>
      <c r="Y174" s="100"/>
      <c r="Z174" s="100"/>
      <c r="AA174" s="100"/>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0"/>
      <c r="BL174" s="220"/>
    </row>
    <row r="175" spans="1:64" hidden="1" outlineLevel="1">
      <c r="A175" s="9"/>
      <c r="B175" s="9"/>
      <c r="C175" s="46"/>
      <c r="D175" s="129">
        <f>Asset9</f>
        <v>0</v>
      </c>
      <c r="E175" s="9"/>
      <c r="F175" s="9"/>
      <c r="G175" s="196">
        <f>'Actual RAB roll forward'!G606</f>
        <v>0</v>
      </c>
      <c r="H175" s="111"/>
      <c r="I175" s="111"/>
      <c r="J175" s="111"/>
      <c r="K175" s="111"/>
      <c r="L175" s="111"/>
      <c r="M175" s="111"/>
      <c r="N175" s="100"/>
      <c r="O175" s="29"/>
      <c r="P175" s="29"/>
      <c r="Q175" s="29"/>
      <c r="R175" s="29"/>
      <c r="S175" s="100"/>
      <c r="T175" s="100"/>
      <c r="U175" s="100"/>
      <c r="V175" s="100"/>
      <c r="W175" s="100"/>
      <c r="X175" s="100"/>
      <c r="Y175" s="100"/>
      <c r="Z175" s="100"/>
      <c r="AA175" s="100"/>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0"/>
      <c r="BL175" s="220"/>
    </row>
    <row r="176" spans="1:64" hidden="1" outlineLevel="1">
      <c r="A176" s="9"/>
      <c r="B176" s="9"/>
      <c r="C176" s="46"/>
      <c r="D176" s="129">
        <f>Asset10</f>
        <v>0</v>
      </c>
      <c r="E176" s="9"/>
      <c r="F176" s="9"/>
      <c r="G176" s="196">
        <f>'Actual RAB roll forward'!G607</f>
        <v>0</v>
      </c>
      <c r="H176" s="111"/>
      <c r="I176" s="111"/>
      <c r="J176" s="111"/>
      <c r="K176" s="111"/>
      <c r="L176" s="111"/>
      <c r="M176" s="111"/>
      <c r="N176" s="100"/>
      <c r="O176" s="29"/>
      <c r="P176" s="29"/>
      <c r="Q176" s="29"/>
      <c r="R176" s="29"/>
      <c r="S176" s="100"/>
      <c r="T176" s="100"/>
      <c r="U176" s="100"/>
      <c r="V176" s="100"/>
      <c r="W176" s="100"/>
      <c r="X176" s="100"/>
      <c r="Y176" s="100"/>
      <c r="Z176" s="100"/>
      <c r="AA176" s="100"/>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0"/>
      <c r="BL176" s="220"/>
    </row>
    <row r="177" spans="1:64" hidden="1" outlineLevel="1">
      <c r="A177" s="9"/>
      <c r="B177" s="9"/>
      <c r="C177" s="46"/>
      <c r="D177" s="129">
        <f>Asset11</f>
        <v>0</v>
      </c>
      <c r="E177" s="9"/>
      <c r="F177" s="9"/>
      <c r="G177" s="196">
        <f>'Actual RAB roll forward'!G608</f>
        <v>0</v>
      </c>
      <c r="H177" s="111"/>
      <c r="I177" s="111"/>
      <c r="J177" s="111"/>
      <c r="K177" s="111"/>
      <c r="L177" s="111"/>
      <c r="M177" s="111"/>
      <c r="N177" s="100"/>
      <c r="O177" s="29"/>
      <c r="P177" s="29"/>
      <c r="Q177" s="29"/>
      <c r="R177" s="29"/>
      <c r="S177" s="100"/>
      <c r="T177" s="100"/>
      <c r="U177" s="100"/>
      <c r="V177" s="100"/>
      <c r="W177" s="100"/>
      <c r="X177" s="100"/>
      <c r="Y177" s="100"/>
      <c r="Z177" s="100"/>
      <c r="AA177" s="100"/>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0"/>
      <c r="BL177" s="220"/>
    </row>
    <row r="178" spans="1:64" hidden="1" outlineLevel="1">
      <c r="A178" s="9"/>
      <c r="B178" s="9"/>
      <c r="C178" s="46"/>
      <c r="D178" s="129">
        <f>Asset12</f>
        <v>0</v>
      </c>
      <c r="E178" s="9"/>
      <c r="F178" s="9"/>
      <c r="G178" s="196">
        <f>'Actual RAB roll forward'!G609</f>
        <v>0</v>
      </c>
      <c r="H178" s="111"/>
      <c r="I178" s="111"/>
      <c r="J178" s="111"/>
      <c r="K178" s="111"/>
      <c r="L178" s="111"/>
      <c r="M178" s="111"/>
      <c r="N178" s="100"/>
      <c r="O178" s="29"/>
      <c r="P178" s="29"/>
      <c r="Q178" s="29"/>
      <c r="R178" s="29"/>
      <c r="S178" s="100"/>
      <c r="T178" s="100"/>
      <c r="U178" s="100"/>
      <c r="V178" s="100"/>
      <c r="W178" s="100"/>
      <c r="X178" s="100"/>
      <c r="Y178" s="100"/>
      <c r="Z178" s="100"/>
      <c r="AA178" s="100"/>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0"/>
      <c r="BL178" s="220"/>
    </row>
    <row r="179" spans="1:64" hidden="1" outlineLevel="1">
      <c r="A179" s="9"/>
      <c r="B179" s="9"/>
      <c r="C179" s="46"/>
      <c r="D179" s="129">
        <f>Asset13</f>
        <v>0</v>
      </c>
      <c r="E179" s="9"/>
      <c r="F179" s="9"/>
      <c r="G179" s="196">
        <f>'Actual RAB roll forward'!G610</f>
        <v>0</v>
      </c>
      <c r="H179" s="111"/>
      <c r="I179" s="111"/>
      <c r="J179" s="111"/>
      <c r="K179" s="111"/>
      <c r="L179" s="111"/>
      <c r="M179" s="111"/>
      <c r="N179" s="100"/>
      <c r="O179" s="29"/>
      <c r="P179" s="29"/>
      <c r="Q179" s="29"/>
      <c r="R179" s="29"/>
      <c r="S179" s="100"/>
      <c r="T179" s="100"/>
      <c r="U179" s="100"/>
      <c r="V179" s="100"/>
      <c r="W179" s="100"/>
      <c r="X179" s="100"/>
      <c r="Y179" s="100"/>
      <c r="Z179" s="100"/>
      <c r="AA179" s="100"/>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0"/>
      <c r="BL179" s="220"/>
    </row>
    <row r="180" spans="1:64" hidden="1" outlineLevel="1">
      <c r="A180" s="9"/>
      <c r="B180" s="9"/>
      <c r="C180" s="46"/>
      <c r="D180" s="129">
        <f>Asset14</f>
        <v>0</v>
      </c>
      <c r="E180" s="9"/>
      <c r="F180" s="9"/>
      <c r="G180" s="196">
        <f>'Actual RAB roll forward'!G611</f>
        <v>0</v>
      </c>
      <c r="H180" s="111"/>
      <c r="I180" s="111"/>
      <c r="J180" s="111"/>
      <c r="K180" s="111"/>
      <c r="L180" s="111"/>
      <c r="M180" s="111"/>
      <c r="N180" s="100"/>
      <c r="O180" s="29"/>
      <c r="P180" s="29"/>
      <c r="Q180" s="29"/>
      <c r="R180" s="29"/>
      <c r="S180" s="100"/>
      <c r="T180" s="100"/>
      <c r="U180" s="100"/>
      <c r="V180" s="100"/>
      <c r="W180" s="100"/>
      <c r="X180" s="100"/>
      <c r="Y180" s="100"/>
      <c r="Z180" s="100"/>
      <c r="AA180" s="100"/>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0"/>
      <c r="BL180" s="220"/>
    </row>
    <row r="181" spans="1:64" hidden="1" outlineLevel="1">
      <c r="A181" s="9"/>
      <c r="B181" s="9"/>
      <c r="C181" s="46"/>
      <c r="D181" s="129">
        <f>Asset15</f>
        <v>0</v>
      </c>
      <c r="E181" s="9"/>
      <c r="F181" s="9"/>
      <c r="G181" s="196">
        <f>'Actual RAB roll forward'!G612</f>
        <v>0</v>
      </c>
      <c r="H181" s="111"/>
      <c r="I181" s="111"/>
      <c r="J181" s="111"/>
      <c r="K181" s="111"/>
      <c r="L181" s="111"/>
      <c r="M181" s="111"/>
      <c r="N181" s="100"/>
      <c r="O181" s="29"/>
      <c r="P181" s="29"/>
      <c r="Q181" s="29"/>
      <c r="R181" s="29"/>
      <c r="S181" s="100"/>
      <c r="T181" s="100"/>
      <c r="U181" s="100"/>
      <c r="V181" s="100"/>
      <c r="W181" s="100"/>
      <c r="X181" s="100"/>
      <c r="Y181" s="100"/>
      <c r="Z181" s="100"/>
      <c r="AA181" s="100"/>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0"/>
      <c r="BL181" s="220"/>
    </row>
    <row r="182" spans="1:64" hidden="1" outlineLevel="1">
      <c r="A182" s="9"/>
      <c r="B182" s="9"/>
      <c r="C182" s="46"/>
      <c r="D182" s="129">
        <f>Asset16</f>
        <v>0</v>
      </c>
      <c r="E182" s="9"/>
      <c r="F182" s="9"/>
      <c r="G182" s="196">
        <f>'Actual RAB roll forward'!G613</f>
        <v>0</v>
      </c>
      <c r="H182" s="111"/>
      <c r="I182" s="111"/>
      <c r="J182" s="111"/>
      <c r="K182" s="111"/>
      <c r="L182" s="111"/>
      <c r="M182" s="111"/>
      <c r="N182" s="100"/>
      <c r="O182" s="29"/>
      <c r="P182" s="29"/>
      <c r="Q182" s="29"/>
      <c r="R182" s="29"/>
      <c r="S182" s="100"/>
      <c r="T182" s="100"/>
      <c r="U182" s="100"/>
      <c r="V182" s="100"/>
      <c r="W182" s="100"/>
      <c r="X182" s="100"/>
      <c r="Y182" s="100"/>
      <c r="Z182" s="100"/>
      <c r="AA182" s="100"/>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0"/>
      <c r="BL182" s="220"/>
    </row>
    <row r="183" spans="1:64" hidden="1" outlineLevel="1">
      <c r="A183" s="9"/>
      <c r="B183" s="9"/>
      <c r="C183" s="46"/>
      <c r="D183" s="129">
        <f>Asset17</f>
        <v>0</v>
      </c>
      <c r="E183" s="9"/>
      <c r="F183" s="9"/>
      <c r="G183" s="196">
        <f>'Actual RAB roll forward'!G614</f>
        <v>0</v>
      </c>
      <c r="H183" s="111"/>
      <c r="I183" s="111"/>
      <c r="J183" s="111"/>
      <c r="K183" s="111"/>
      <c r="L183" s="111"/>
      <c r="M183" s="111"/>
      <c r="N183" s="100"/>
      <c r="O183" s="29"/>
      <c r="P183" s="29"/>
      <c r="Q183" s="29"/>
      <c r="R183" s="29"/>
      <c r="S183" s="100"/>
      <c r="T183" s="100"/>
      <c r="U183" s="100"/>
      <c r="V183" s="100"/>
      <c r="W183" s="100"/>
      <c r="X183" s="100"/>
      <c r="Y183" s="100"/>
      <c r="Z183" s="100"/>
      <c r="AA183" s="100"/>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0"/>
      <c r="BL183" s="220"/>
    </row>
    <row r="184" spans="1:64" hidden="1" outlineLevel="1">
      <c r="A184" s="9"/>
      <c r="B184" s="9"/>
      <c r="C184" s="46"/>
      <c r="D184" s="129">
        <f>Asset18</f>
        <v>0</v>
      </c>
      <c r="E184" s="9"/>
      <c r="F184" s="9"/>
      <c r="G184" s="196">
        <f>'Actual RAB roll forward'!G615</f>
        <v>0</v>
      </c>
      <c r="H184" s="111"/>
      <c r="I184" s="111"/>
      <c r="J184" s="111"/>
      <c r="K184" s="111"/>
      <c r="L184" s="111"/>
      <c r="M184" s="111"/>
      <c r="N184" s="100"/>
      <c r="O184" s="29"/>
      <c r="P184" s="29"/>
      <c r="Q184" s="29"/>
      <c r="R184" s="29"/>
      <c r="S184" s="100"/>
      <c r="T184" s="100"/>
      <c r="U184" s="100"/>
      <c r="V184" s="100"/>
      <c r="W184" s="100"/>
      <c r="X184" s="100"/>
      <c r="Y184" s="100"/>
      <c r="Z184" s="100"/>
      <c r="AA184" s="100"/>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0"/>
      <c r="BL184" s="220"/>
    </row>
    <row r="185" spans="1:64" hidden="1" outlineLevel="1">
      <c r="A185" s="9"/>
      <c r="B185" s="9"/>
      <c r="C185" s="46"/>
      <c r="D185" s="129">
        <f>Asset19</f>
        <v>0</v>
      </c>
      <c r="E185" s="9"/>
      <c r="F185" s="9"/>
      <c r="G185" s="196">
        <f>'Actual RAB roll forward'!G616</f>
        <v>0</v>
      </c>
      <c r="H185" s="111"/>
      <c r="I185" s="111"/>
      <c r="J185" s="111"/>
      <c r="K185" s="111"/>
      <c r="L185" s="111"/>
      <c r="M185" s="111"/>
      <c r="N185" s="100"/>
      <c r="O185" s="29"/>
      <c r="P185" s="29"/>
      <c r="Q185" s="29"/>
      <c r="R185" s="29"/>
      <c r="S185" s="100"/>
      <c r="T185" s="100"/>
      <c r="U185" s="100"/>
      <c r="V185" s="100"/>
      <c r="W185" s="100"/>
      <c r="X185" s="100"/>
      <c r="Y185" s="100"/>
      <c r="Z185" s="100"/>
      <c r="AA185" s="100"/>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0"/>
      <c r="BL185" s="220"/>
    </row>
    <row r="186" spans="1:64" ht="12" hidden="1" customHeight="1" outlineLevel="1">
      <c r="A186" s="9"/>
      <c r="B186" s="9"/>
      <c r="C186" s="46"/>
      <c r="D186" s="129">
        <f>Asset20</f>
        <v>0</v>
      </c>
      <c r="E186" s="9"/>
      <c r="F186" s="9"/>
      <c r="G186" s="196">
        <f>'Actual RAB roll forward'!G617</f>
        <v>0</v>
      </c>
      <c r="H186" s="111"/>
      <c r="I186" s="111"/>
      <c r="J186" s="111"/>
      <c r="K186" s="111"/>
      <c r="L186" s="111"/>
      <c r="M186" s="111"/>
      <c r="N186" s="100"/>
      <c r="O186" s="29"/>
      <c r="P186" s="29"/>
      <c r="Q186" s="29"/>
      <c r="R186" s="29"/>
      <c r="S186" s="100"/>
      <c r="T186" s="100"/>
      <c r="U186" s="100"/>
      <c r="V186" s="100"/>
      <c r="W186" s="100"/>
      <c r="X186" s="100"/>
      <c r="Y186" s="100"/>
      <c r="Z186" s="100"/>
      <c r="AA186" s="100"/>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0"/>
      <c r="BL186" s="220"/>
    </row>
    <row r="187" spans="1:64" ht="12" hidden="1" customHeight="1" outlineLevel="1">
      <c r="A187" s="9"/>
      <c r="B187" s="9"/>
      <c r="C187" s="46"/>
      <c r="D187" s="129">
        <f>Asset21</f>
        <v>0</v>
      </c>
      <c r="E187" s="9"/>
      <c r="F187" s="9"/>
      <c r="G187" s="196">
        <f>'Actual RAB roll forward'!G618</f>
        <v>0</v>
      </c>
      <c r="H187" s="111"/>
      <c r="I187" s="111"/>
      <c r="J187" s="111"/>
      <c r="K187" s="111"/>
      <c r="L187" s="111"/>
      <c r="M187" s="111"/>
      <c r="N187" s="100"/>
      <c r="O187" s="29"/>
      <c r="P187" s="29"/>
      <c r="Q187" s="29"/>
      <c r="R187" s="29"/>
      <c r="S187" s="100"/>
      <c r="T187" s="100"/>
      <c r="U187" s="100"/>
      <c r="V187" s="100"/>
      <c r="W187" s="100"/>
      <c r="X187" s="100"/>
      <c r="Y187" s="100"/>
      <c r="Z187" s="100"/>
      <c r="AA187" s="100"/>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0"/>
      <c r="BL187" s="220"/>
    </row>
    <row r="188" spans="1:64" ht="12" hidden="1" customHeight="1" outlineLevel="1">
      <c r="A188" s="9"/>
      <c r="B188" s="9"/>
      <c r="C188" s="46"/>
      <c r="D188" s="129">
        <f>Asset22</f>
        <v>0</v>
      </c>
      <c r="E188" s="9"/>
      <c r="F188" s="9"/>
      <c r="G188" s="196">
        <f>'Actual RAB roll forward'!G619</f>
        <v>0</v>
      </c>
      <c r="H188" s="111"/>
      <c r="I188" s="111"/>
      <c r="J188" s="111"/>
      <c r="K188" s="111"/>
      <c r="L188" s="111"/>
      <c r="M188" s="111"/>
      <c r="N188" s="100"/>
      <c r="O188" s="29"/>
      <c r="P188" s="29"/>
      <c r="Q188" s="29"/>
      <c r="R188" s="29"/>
      <c r="S188" s="100"/>
      <c r="T188" s="100"/>
      <c r="U188" s="100"/>
      <c r="V188" s="100"/>
      <c r="W188" s="100"/>
      <c r="X188" s="100"/>
      <c r="Y188" s="100"/>
      <c r="Z188" s="100"/>
      <c r="AA188" s="100"/>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0"/>
      <c r="BL188" s="220"/>
    </row>
    <row r="189" spans="1:64" ht="12" hidden="1" customHeight="1" outlineLevel="1">
      <c r="A189" s="9"/>
      <c r="B189" s="9"/>
      <c r="C189" s="46"/>
      <c r="D189" s="129">
        <f>Asset23</f>
        <v>0</v>
      </c>
      <c r="E189" s="9"/>
      <c r="F189" s="9"/>
      <c r="G189" s="196">
        <f>'Actual RAB roll forward'!G620</f>
        <v>0</v>
      </c>
      <c r="H189" s="111"/>
      <c r="I189" s="111"/>
      <c r="J189" s="111"/>
      <c r="K189" s="111"/>
      <c r="L189" s="111"/>
      <c r="M189" s="111"/>
      <c r="N189" s="100"/>
      <c r="O189" s="29"/>
      <c r="P189" s="29"/>
      <c r="Q189" s="29"/>
      <c r="R189" s="29"/>
      <c r="S189" s="100"/>
      <c r="T189" s="100"/>
      <c r="U189" s="100"/>
      <c r="V189" s="100"/>
      <c r="W189" s="100"/>
      <c r="X189" s="100"/>
      <c r="Y189" s="100"/>
      <c r="Z189" s="100"/>
      <c r="AA189" s="100"/>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0"/>
      <c r="BL189" s="220"/>
    </row>
    <row r="190" spans="1:64" ht="12" hidden="1" customHeight="1" outlineLevel="1">
      <c r="A190" s="9"/>
      <c r="B190" s="9"/>
      <c r="C190" s="46"/>
      <c r="D190" s="129">
        <f>Asset24</f>
        <v>0</v>
      </c>
      <c r="E190" s="9"/>
      <c r="F190" s="9"/>
      <c r="G190" s="196">
        <f>'Actual RAB roll forward'!G621</f>
        <v>0</v>
      </c>
      <c r="H190" s="111"/>
      <c r="I190" s="111"/>
      <c r="J190" s="111"/>
      <c r="K190" s="111"/>
      <c r="L190" s="111"/>
      <c r="M190" s="111"/>
      <c r="N190" s="100"/>
      <c r="O190" s="29"/>
      <c r="P190" s="29"/>
      <c r="Q190" s="29"/>
      <c r="R190" s="29"/>
      <c r="S190" s="100"/>
      <c r="T190" s="100"/>
      <c r="U190" s="100"/>
      <c r="V190" s="100"/>
      <c r="W190" s="100"/>
      <c r="X190" s="100"/>
      <c r="Y190" s="100"/>
      <c r="Z190" s="100"/>
      <c r="AA190" s="100"/>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0"/>
      <c r="BL190" s="220"/>
    </row>
    <row r="191" spans="1:64" ht="12" hidden="1" customHeight="1" outlineLevel="1">
      <c r="A191" s="9"/>
      <c r="B191" s="9"/>
      <c r="C191" s="46"/>
      <c r="D191" s="129">
        <f>Asset25</f>
        <v>0</v>
      </c>
      <c r="E191" s="9"/>
      <c r="F191" s="9"/>
      <c r="G191" s="196">
        <f>'Actual RAB roll forward'!G622</f>
        <v>0</v>
      </c>
      <c r="H191" s="111"/>
      <c r="I191" s="111"/>
      <c r="J191" s="111"/>
      <c r="K191" s="111"/>
      <c r="L191" s="111"/>
      <c r="M191" s="111"/>
      <c r="N191" s="100"/>
      <c r="O191" s="29"/>
      <c r="P191" s="29"/>
      <c r="Q191" s="29"/>
      <c r="R191" s="29"/>
      <c r="S191" s="100"/>
      <c r="T191" s="100"/>
      <c r="U191" s="100"/>
      <c r="V191" s="100"/>
      <c r="W191" s="100"/>
      <c r="X191" s="100"/>
      <c r="Y191" s="100"/>
      <c r="Z191" s="100"/>
      <c r="AA191" s="100"/>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0"/>
      <c r="BL191" s="220"/>
    </row>
    <row r="192" spans="1:64" ht="12" hidden="1" customHeight="1" outlineLevel="1">
      <c r="A192" s="9"/>
      <c r="B192" s="9"/>
      <c r="C192" s="46"/>
      <c r="D192" s="129">
        <f>Asset26</f>
        <v>0</v>
      </c>
      <c r="E192" s="9"/>
      <c r="F192" s="9"/>
      <c r="G192" s="196">
        <f>'Actual RAB roll forward'!G623</f>
        <v>0</v>
      </c>
      <c r="H192" s="111"/>
      <c r="I192" s="111"/>
      <c r="J192" s="111"/>
      <c r="K192" s="111"/>
      <c r="L192" s="111"/>
      <c r="M192" s="111"/>
      <c r="N192" s="100"/>
      <c r="O192" s="29"/>
      <c r="P192" s="29"/>
      <c r="Q192" s="29"/>
      <c r="R192" s="29"/>
      <c r="S192" s="100"/>
      <c r="T192" s="100"/>
      <c r="U192" s="100"/>
      <c r="V192" s="100"/>
      <c r="W192" s="100"/>
      <c r="X192" s="100"/>
      <c r="Y192" s="100"/>
      <c r="Z192" s="100"/>
      <c r="AA192" s="100"/>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0"/>
      <c r="BL192" s="220"/>
    </row>
    <row r="193" spans="1:64" ht="12" hidden="1" customHeight="1" outlineLevel="1">
      <c r="A193" s="9"/>
      <c r="B193" s="9"/>
      <c r="C193" s="46"/>
      <c r="D193" s="129">
        <f>Asset27</f>
        <v>0</v>
      </c>
      <c r="E193" s="9"/>
      <c r="F193" s="9"/>
      <c r="G193" s="196">
        <f>'Actual RAB roll forward'!G624</f>
        <v>0</v>
      </c>
      <c r="H193" s="111"/>
      <c r="I193" s="111"/>
      <c r="J193" s="111"/>
      <c r="K193" s="111"/>
      <c r="L193" s="111"/>
      <c r="M193" s="111"/>
      <c r="N193" s="100"/>
      <c r="O193" s="29"/>
      <c r="P193" s="29"/>
      <c r="Q193" s="29"/>
      <c r="R193" s="29"/>
      <c r="S193" s="100"/>
      <c r="T193" s="100"/>
      <c r="U193" s="100"/>
      <c r="V193" s="100"/>
      <c r="W193" s="100"/>
      <c r="X193" s="100"/>
      <c r="Y193" s="100"/>
      <c r="Z193" s="100"/>
      <c r="AA193" s="100"/>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0"/>
      <c r="BL193" s="220"/>
    </row>
    <row r="194" spans="1:64" ht="12" hidden="1" customHeight="1" outlineLevel="1">
      <c r="A194" s="9"/>
      <c r="B194" s="9"/>
      <c r="C194" s="46"/>
      <c r="D194" s="129">
        <f>Asset28</f>
        <v>0</v>
      </c>
      <c r="E194" s="9"/>
      <c r="F194" s="9"/>
      <c r="G194" s="196">
        <f>'Actual RAB roll forward'!G625</f>
        <v>0</v>
      </c>
      <c r="H194" s="111"/>
      <c r="I194" s="111"/>
      <c r="J194" s="111"/>
      <c r="K194" s="111"/>
      <c r="L194" s="111"/>
      <c r="M194" s="111"/>
      <c r="N194" s="100"/>
      <c r="O194" s="29"/>
      <c r="P194" s="29"/>
      <c r="Q194" s="29"/>
      <c r="R194" s="29"/>
      <c r="S194" s="100"/>
      <c r="T194" s="100"/>
      <c r="U194" s="100"/>
      <c r="V194" s="100"/>
      <c r="W194" s="100"/>
      <c r="X194" s="100"/>
      <c r="Y194" s="100"/>
      <c r="Z194" s="100"/>
      <c r="AA194" s="100"/>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0"/>
      <c r="BL194" s="220"/>
    </row>
    <row r="195" spans="1:64" ht="12" hidden="1" customHeight="1" outlineLevel="1">
      <c r="A195" s="9"/>
      <c r="B195" s="9"/>
      <c r="C195" s="46"/>
      <c r="D195" s="129">
        <f>Asset29</f>
        <v>0</v>
      </c>
      <c r="E195" s="9"/>
      <c r="F195" s="9"/>
      <c r="G195" s="196">
        <f>'Actual RAB roll forward'!G626</f>
        <v>0</v>
      </c>
      <c r="H195" s="111"/>
      <c r="I195" s="111"/>
      <c r="J195" s="111"/>
      <c r="K195" s="111"/>
      <c r="L195" s="111"/>
      <c r="M195" s="111"/>
      <c r="N195" s="100"/>
      <c r="O195" s="29"/>
      <c r="P195" s="29"/>
      <c r="Q195" s="29"/>
      <c r="R195" s="29"/>
      <c r="S195" s="100"/>
      <c r="T195" s="100"/>
      <c r="U195" s="100"/>
      <c r="V195" s="100"/>
      <c r="W195" s="100"/>
      <c r="X195" s="100"/>
      <c r="Y195" s="100"/>
      <c r="Z195" s="100"/>
      <c r="AA195" s="100"/>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0"/>
      <c r="BL195" s="220"/>
    </row>
    <row r="196" spans="1:64" ht="12" hidden="1" customHeight="1" outlineLevel="1">
      <c r="A196" s="9"/>
      <c r="B196" s="9"/>
      <c r="C196" s="46"/>
      <c r="D196" s="129">
        <f>Asset30</f>
        <v>0</v>
      </c>
      <c r="E196" s="9"/>
      <c r="F196" s="9"/>
      <c r="G196" s="196">
        <f>'Actual RAB roll forward'!G627</f>
        <v>0</v>
      </c>
      <c r="H196" s="111"/>
      <c r="I196" s="111"/>
      <c r="J196" s="111"/>
      <c r="K196" s="111"/>
      <c r="L196" s="111"/>
      <c r="M196" s="111"/>
      <c r="N196" s="100"/>
      <c r="O196" s="29"/>
      <c r="P196" s="29"/>
      <c r="Q196" s="29"/>
      <c r="R196" s="29"/>
      <c r="S196" s="100"/>
      <c r="T196" s="100"/>
      <c r="U196" s="100"/>
      <c r="V196" s="100"/>
      <c r="W196" s="100"/>
      <c r="X196" s="100"/>
      <c r="Y196" s="100"/>
      <c r="Z196" s="100"/>
      <c r="AA196" s="100"/>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0"/>
      <c r="BL196" s="220"/>
    </row>
    <row r="197" spans="1:64" collapsed="1">
      <c r="A197" s="9"/>
      <c r="B197" s="9"/>
      <c r="C197" s="46"/>
      <c r="D197" s="129"/>
      <c r="E197" s="9"/>
      <c r="F197" s="9"/>
      <c r="G197" s="141"/>
      <c r="H197" s="111"/>
      <c r="I197" s="111"/>
      <c r="J197" s="111"/>
      <c r="K197" s="111"/>
      <c r="L197" s="111"/>
      <c r="M197" s="111"/>
      <c r="N197" s="100"/>
      <c r="O197" s="29"/>
      <c r="P197" s="29"/>
      <c r="Q197" s="29"/>
      <c r="R197" s="29"/>
      <c r="S197" s="100"/>
      <c r="T197" s="100"/>
      <c r="U197" s="100"/>
      <c r="V197" s="100"/>
      <c r="W197" s="100"/>
      <c r="X197" s="100"/>
      <c r="Y197" s="100"/>
      <c r="Z197" s="100"/>
      <c r="AA197" s="100"/>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0"/>
      <c r="BL197" s="220"/>
    </row>
    <row r="198" spans="1:64">
      <c r="A198" s="73"/>
      <c r="B198" s="73"/>
      <c r="C198" s="80" t="s">
        <v>47</v>
      </c>
      <c r="D198" s="158"/>
      <c r="E198" s="80"/>
      <c r="F198" s="80"/>
      <c r="G198" s="224">
        <f>SUM(G199:G228)</f>
        <v>1117.3996727138085</v>
      </c>
      <c r="H198" s="157">
        <f>SUM(H199:H228)</f>
        <v>1201.6246070730906</v>
      </c>
      <c r="I198" s="157">
        <f t="shared" ref="I198:Q198" si="8">SUM(I199:I228)</f>
        <v>1295.6505711598247</v>
      </c>
      <c r="J198" s="157">
        <f t="shared" si="8"/>
        <v>1403.3225804905117</v>
      </c>
      <c r="K198" s="157">
        <f t="shared" si="8"/>
        <v>1460.5763177928691</v>
      </c>
      <c r="L198" s="157">
        <f t="shared" si="8"/>
        <v>1526.0833329169232</v>
      </c>
      <c r="M198" s="157">
        <f t="shared" si="8"/>
        <v>0</v>
      </c>
      <c r="N198" s="157">
        <f t="shared" si="8"/>
        <v>0</v>
      </c>
      <c r="O198" s="157">
        <f t="shared" si="8"/>
        <v>0</v>
      </c>
      <c r="P198" s="157">
        <f t="shared" si="8"/>
        <v>0</v>
      </c>
      <c r="Q198" s="157">
        <f t="shared" si="8"/>
        <v>0</v>
      </c>
      <c r="R198" s="157"/>
      <c r="S198" s="100"/>
      <c r="T198" s="100"/>
      <c r="U198" s="100"/>
      <c r="V198" s="100"/>
      <c r="W198" s="100"/>
      <c r="X198" s="100"/>
      <c r="Y198" s="100"/>
      <c r="Z198" s="100"/>
      <c r="AA198" s="100"/>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0"/>
      <c r="BL198" s="220"/>
    </row>
    <row r="199" spans="1:64" hidden="1" outlineLevel="1">
      <c r="A199" s="9"/>
      <c r="B199" s="12"/>
      <c r="C199" s="46"/>
      <c r="D199" s="129" t="str">
        <f>Asset1</f>
        <v>Mains &amp; Services</v>
      </c>
      <c r="E199" s="12"/>
      <c r="F199" s="12"/>
      <c r="G199" s="193">
        <f t="shared" ref="G199:G218" si="9">G7+G39+G71+G103+G135+G167</f>
        <v>984.62925518401221</v>
      </c>
      <c r="H199" s="156">
        <f t="shared" ref="H199:L208" si="10">H7+H39+H71</f>
        <v>1068.226354147841</v>
      </c>
      <c r="I199" s="156">
        <f t="shared" si="10"/>
        <v>1161.3006461545751</v>
      </c>
      <c r="J199" s="156">
        <f t="shared" si="10"/>
        <v>1263.0794043456658</v>
      </c>
      <c r="K199" s="156">
        <f t="shared" si="10"/>
        <v>1327.4318591245271</v>
      </c>
      <c r="L199" s="156">
        <f t="shared" si="10"/>
        <v>1387.3845672944487</v>
      </c>
      <c r="M199" s="156">
        <f>IF(Input!M$173&gt;0, M7+M39+M71, 0)</f>
        <v>0</v>
      </c>
      <c r="N199" s="156">
        <f>IF(Input!N$173&gt;0, N7+N39+N71, 0)</f>
        <v>0</v>
      </c>
      <c r="O199" s="156">
        <f>IF(Input!O$173&gt;0, O7+O39+O71, 0)</f>
        <v>0</v>
      </c>
      <c r="P199" s="156">
        <f>IF(Input!P$173&gt;0, P7+P39+P71, 0)</f>
        <v>0</v>
      </c>
      <c r="Q199" s="156">
        <f>IF(Input!Q$173&gt;0, Q7+Q39+Q71, 0)</f>
        <v>0</v>
      </c>
      <c r="R199" s="100"/>
      <c r="S199" s="100"/>
      <c r="T199" s="100"/>
      <c r="U199" s="100"/>
      <c r="V199" s="100"/>
      <c r="W199" s="100"/>
      <c r="X199" s="100"/>
      <c r="Y199" s="100"/>
      <c r="Z199" s="100"/>
      <c r="AA199" s="100"/>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0"/>
      <c r="BL199" s="220"/>
    </row>
    <row r="200" spans="1:64" hidden="1" outlineLevel="1">
      <c r="A200" s="9"/>
      <c r="B200" s="12"/>
      <c r="C200" s="46"/>
      <c r="D200" s="129" t="str">
        <f>Asset2</f>
        <v>Meters</v>
      </c>
      <c r="E200" s="12"/>
      <c r="F200" s="12"/>
      <c r="G200" s="193">
        <f t="shared" si="9"/>
        <v>95.687545878253815</v>
      </c>
      <c r="H200" s="156">
        <f t="shared" si="10"/>
        <v>94.242714088692651</v>
      </c>
      <c r="I200" s="156">
        <f t="shared" si="10"/>
        <v>94.149827282548657</v>
      </c>
      <c r="J200" s="156">
        <f t="shared" si="10"/>
        <v>92.068737061377874</v>
      </c>
      <c r="K200" s="156">
        <f t="shared" si="10"/>
        <v>89.868668013366431</v>
      </c>
      <c r="L200" s="156">
        <f t="shared" si="10"/>
        <v>90.100570090969654</v>
      </c>
      <c r="M200" s="156">
        <f>IF(Input!M$173&gt;0, M8+M40+M72, 0)</f>
        <v>0</v>
      </c>
      <c r="N200" s="156">
        <f>IF(Input!N$173&gt;0, N8+N40+N72, 0)</f>
        <v>0</v>
      </c>
      <c r="O200" s="156">
        <f>IF(Input!O$173&gt;0, O8+O40+O72, 0)</f>
        <v>0</v>
      </c>
      <c r="P200" s="156">
        <f>IF(Input!P$173&gt;0, P8+P40+P72, 0)</f>
        <v>0</v>
      </c>
      <c r="Q200" s="156">
        <f>IF(Input!Q$173&gt;0, Q8+Q40+Q72, 0)</f>
        <v>0</v>
      </c>
      <c r="R200" s="100"/>
      <c r="S200" s="100"/>
      <c r="T200" s="100"/>
      <c r="U200" s="100"/>
      <c r="V200" s="100"/>
      <c r="W200" s="100"/>
      <c r="X200" s="100"/>
      <c r="Y200" s="100"/>
      <c r="Z200" s="100"/>
      <c r="AA200" s="100"/>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0"/>
      <c r="BL200" s="220"/>
    </row>
    <row r="201" spans="1:64" hidden="1" outlineLevel="1">
      <c r="A201" s="9"/>
      <c r="B201" s="12"/>
      <c r="C201" s="46"/>
      <c r="D201" s="129" t="str">
        <f>Asset3</f>
        <v>Buildings</v>
      </c>
      <c r="E201" s="12"/>
      <c r="F201" s="12"/>
      <c r="G201" s="193">
        <f t="shared" si="9"/>
        <v>8.8422120278575456</v>
      </c>
      <c r="H201" s="156">
        <f t="shared" si="10"/>
        <v>7.805088650403226</v>
      </c>
      <c r="I201" s="156">
        <f t="shared" si="10"/>
        <v>7.5349868571657064</v>
      </c>
      <c r="J201" s="156">
        <f t="shared" si="10"/>
        <v>7.259967953411012</v>
      </c>
      <c r="K201" s="156">
        <f t="shared" si="10"/>
        <v>6.9134867636967163</v>
      </c>
      <c r="L201" s="156">
        <f t="shared" si="10"/>
        <v>6.5415457751568304</v>
      </c>
      <c r="M201" s="156">
        <f>IF(Input!M$173&gt;0, M9+M41+M73, 0)</f>
        <v>0</v>
      </c>
      <c r="N201" s="156">
        <f>IF(Input!N$173&gt;0, N9+N41+N73, 0)</f>
        <v>0</v>
      </c>
      <c r="O201" s="156">
        <f>IF(Input!O$173&gt;0, O9+O41+O73, 0)</f>
        <v>0</v>
      </c>
      <c r="P201" s="156">
        <f>IF(Input!P$173&gt;0, P9+P41+P73, 0)</f>
        <v>0</v>
      </c>
      <c r="Q201" s="156">
        <f>IF(Input!Q$173&gt;0, Q9+Q41+Q73, 0)</f>
        <v>0</v>
      </c>
      <c r="R201" s="100"/>
      <c r="S201" s="100"/>
      <c r="T201" s="100"/>
      <c r="U201" s="100"/>
      <c r="V201" s="100"/>
      <c r="W201" s="100"/>
      <c r="X201" s="100"/>
      <c r="Y201" s="100"/>
      <c r="Z201" s="100"/>
      <c r="AA201" s="100"/>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0"/>
      <c r="BL201" s="220"/>
    </row>
    <row r="202" spans="1:64" hidden="1" outlineLevel="1">
      <c r="A202" s="9"/>
      <c r="B202" s="12"/>
      <c r="C202" s="46"/>
      <c r="D202" s="129" t="str">
        <f>Asset4</f>
        <v>SCADA</v>
      </c>
      <c r="E202" s="12"/>
      <c r="F202" s="12"/>
      <c r="G202" s="193">
        <f t="shared" si="9"/>
        <v>0.93883147174174819</v>
      </c>
      <c r="H202" s="156">
        <f t="shared" si="10"/>
        <v>0.99222792552436878</v>
      </c>
      <c r="I202" s="156">
        <f t="shared" si="10"/>
        <v>1.2828971151752147</v>
      </c>
      <c r="J202" s="156">
        <f t="shared" si="10"/>
        <v>1.5763548405072363</v>
      </c>
      <c r="K202" s="156">
        <f t="shared" si="10"/>
        <v>1.6650351982816827</v>
      </c>
      <c r="L202" s="156">
        <f t="shared" si="10"/>
        <v>2.0103223104250527</v>
      </c>
      <c r="M202" s="156">
        <f>IF(Input!M$173&gt;0, M10+M42+M74, 0)</f>
        <v>0</v>
      </c>
      <c r="N202" s="156">
        <f>IF(Input!N$173&gt;0, N10+N42+N74, 0)</f>
        <v>0</v>
      </c>
      <c r="O202" s="156">
        <f>IF(Input!O$173&gt;0, O10+O42+O74, 0)</f>
        <v>0</v>
      </c>
      <c r="P202" s="156">
        <f>IF(Input!P$173&gt;0, P10+P42+P74, 0)</f>
        <v>0</v>
      </c>
      <c r="Q202" s="156">
        <f>IF(Input!Q$173&gt;0, Q10+Q42+Q74, 0)</f>
        <v>0</v>
      </c>
      <c r="R202" s="100"/>
      <c r="S202" s="100"/>
      <c r="T202" s="100"/>
      <c r="U202" s="100"/>
      <c r="V202" s="100"/>
      <c r="W202" s="100"/>
      <c r="X202" s="100"/>
      <c r="Y202" s="100"/>
      <c r="Z202" s="100"/>
      <c r="AA202" s="100"/>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0"/>
      <c r="BL202" s="220"/>
    </row>
    <row r="203" spans="1:64" hidden="1" outlineLevel="1">
      <c r="A203" s="9"/>
      <c r="B203" s="12"/>
      <c r="C203" s="46"/>
      <c r="D203" s="129" t="str">
        <f>Asset5</f>
        <v>Computer Equipment</v>
      </c>
      <c r="E203" s="12"/>
      <c r="F203" s="12"/>
      <c r="G203" s="193">
        <f t="shared" si="9"/>
        <v>0.82976042804924943</v>
      </c>
      <c r="H203" s="156">
        <f t="shared" si="10"/>
        <v>1.5066956379290009</v>
      </c>
      <c r="I203" s="156">
        <f t="shared" si="10"/>
        <v>0.75346120243820813</v>
      </c>
      <c r="J203" s="156">
        <f t="shared" si="10"/>
        <v>9.2840003514441953</v>
      </c>
      <c r="K203" s="156">
        <f t="shared" si="10"/>
        <v>6.0571790057247421</v>
      </c>
      <c r="L203" s="156">
        <f t="shared" si="10"/>
        <v>11.150009531571982</v>
      </c>
      <c r="M203" s="156">
        <f>IF(Input!M$173&gt;0, M11+M43+M75, 0)</f>
        <v>0</v>
      </c>
      <c r="N203" s="156">
        <f>IF(Input!N$173&gt;0, N11+N43+N75, 0)</f>
        <v>0</v>
      </c>
      <c r="O203" s="156">
        <f>IF(Input!O$173&gt;0, O11+O43+O75, 0)</f>
        <v>0</v>
      </c>
      <c r="P203" s="156">
        <f>IF(Input!P$173&gt;0, P11+P43+P75, 0)</f>
        <v>0</v>
      </c>
      <c r="Q203" s="156">
        <f>IF(Input!Q$173&gt;0, Q11+Q43+Q75, 0)</f>
        <v>0</v>
      </c>
      <c r="R203" s="100"/>
      <c r="S203" s="100"/>
      <c r="T203" s="100"/>
      <c r="U203" s="100"/>
      <c r="V203" s="100"/>
      <c r="W203" s="100"/>
      <c r="X203" s="100"/>
      <c r="Y203" s="100"/>
      <c r="Z203" s="100"/>
      <c r="AA203" s="100"/>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0"/>
      <c r="BL203" s="220"/>
    </row>
    <row r="204" spans="1:64" hidden="1" outlineLevel="1">
      <c r="A204" s="9"/>
      <c r="B204" s="12"/>
      <c r="C204" s="46"/>
      <c r="D204" s="129" t="str">
        <f>Asset6</f>
        <v>Other Assets</v>
      </c>
      <c r="E204" s="12"/>
      <c r="F204" s="12"/>
      <c r="G204" s="193">
        <f t="shared" si="9"/>
        <v>26.472067723893975</v>
      </c>
      <c r="H204" s="156">
        <f t="shared" si="10"/>
        <v>28.851526622700682</v>
      </c>
      <c r="I204" s="156">
        <f t="shared" si="10"/>
        <v>30.628752547921842</v>
      </c>
      <c r="J204" s="156">
        <f t="shared" si="10"/>
        <v>30.054115938105664</v>
      </c>
      <c r="K204" s="156">
        <f t="shared" si="10"/>
        <v>28.640089687272393</v>
      </c>
      <c r="L204" s="156">
        <f t="shared" si="10"/>
        <v>28.896317914350561</v>
      </c>
      <c r="M204" s="156">
        <f>IF(Input!M$173&gt;0, M12+M44+M76, 0)</f>
        <v>0</v>
      </c>
      <c r="N204" s="156">
        <f>IF(Input!N$173&gt;0, N12+N44+N76, 0)</f>
        <v>0</v>
      </c>
      <c r="O204" s="156">
        <f>IF(Input!O$173&gt;0, O12+O44+O76, 0)</f>
        <v>0</v>
      </c>
      <c r="P204" s="156">
        <f>IF(Input!P$173&gt;0, P12+P44+P76, 0)</f>
        <v>0</v>
      </c>
      <c r="Q204" s="156">
        <f>IF(Input!Q$173&gt;0, Q12+Q44+Q76, 0)</f>
        <v>0</v>
      </c>
      <c r="R204" s="100"/>
      <c r="S204" s="100"/>
      <c r="T204" s="100"/>
      <c r="U204" s="100"/>
      <c r="V204" s="100"/>
      <c r="W204" s="100"/>
      <c r="X204" s="100"/>
      <c r="Y204" s="100"/>
      <c r="Z204" s="100"/>
      <c r="AA204" s="100"/>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0"/>
      <c r="BL204" s="220"/>
    </row>
    <row r="205" spans="1:64" hidden="1" outlineLevel="1">
      <c r="A205" s="9"/>
      <c r="B205" s="12"/>
      <c r="C205" s="46"/>
      <c r="D205" s="129" t="str">
        <f>Asset7</f>
        <v>Equity Raising Costs</v>
      </c>
      <c r="E205" s="12"/>
      <c r="F205" s="12"/>
      <c r="G205" s="193">
        <f t="shared" si="9"/>
        <v>0</v>
      </c>
      <c r="H205" s="156">
        <f t="shared" si="10"/>
        <v>0</v>
      </c>
      <c r="I205" s="156">
        <f t="shared" si="10"/>
        <v>0</v>
      </c>
      <c r="J205" s="156">
        <f t="shared" si="10"/>
        <v>0</v>
      </c>
      <c r="K205" s="156">
        <f t="shared" si="10"/>
        <v>0</v>
      </c>
      <c r="L205" s="156">
        <f t="shared" si="10"/>
        <v>0</v>
      </c>
      <c r="M205" s="156">
        <f>IF(Input!M$173&gt;0, M13+M45+M77, 0)</f>
        <v>0</v>
      </c>
      <c r="N205" s="156">
        <f>IF(Input!N$173&gt;0, N13+N45+N77, 0)</f>
        <v>0</v>
      </c>
      <c r="O205" s="156">
        <f>IF(Input!O$173&gt;0, O13+O45+O77, 0)</f>
        <v>0</v>
      </c>
      <c r="P205" s="156">
        <f>IF(Input!P$173&gt;0, P13+P45+P77, 0)</f>
        <v>0</v>
      </c>
      <c r="Q205" s="156">
        <f>IF(Input!Q$173&gt;0, Q13+Q45+Q77, 0)</f>
        <v>0</v>
      </c>
      <c r="R205" s="100"/>
      <c r="S205" s="100"/>
      <c r="T205" s="100"/>
      <c r="U205" s="100"/>
      <c r="V205" s="100"/>
      <c r="W205" s="100"/>
      <c r="X205" s="100"/>
      <c r="Y205" s="100"/>
      <c r="Z205" s="100"/>
      <c r="AA205" s="100"/>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0"/>
      <c r="BL205" s="220"/>
    </row>
    <row r="206" spans="1:64" hidden="1" outlineLevel="1">
      <c r="A206" s="9"/>
      <c r="B206" s="12"/>
      <c r="C206" s="46"/>
      <c r="D206" s="129" t="str">
        <f>Asset8</f>
        <v>Land</v>
      </c>
      <c r="E206" s="12"/>
      <c r="F206" s="12"/>
      <c r="G206" s="193">
        <f t="shared" si="9"/>
        <v>0</v>
      </c>
      <c r="H206" s="156">
        <f t="shared" si="10"/>
        <v>0</v>
      </c>
      <c r="I206" s="156">
        <f t="shared" si="10"/>
        <v>0</v>
      </c>
      <c r="J206" s="156">
        <f t="shared" si="10"/>
        <v>0</v>
      </c>
      <c r="K206" s="156">
        <f t="shared" si="10"/>
        <v>0</v>
      </c>
      <c r="L206" s="156">
        <f t="shared" si="10"/>
        <v>0</v>
      </c>
      <c r="M206" s="156">
        <f>IF(Input!M$173&gt;0, M14+M46+M78, 0)</f>
        <v>0</v>
      </c>
      <c r="N206" s="156">
        <f>IF(Input!N$173&gt;0, N14+N46+N78, 0)</f>
        <v>0</v>
      </c>
      <c r="O206" s="156">
        <f>IF(Input!O$173&gt;0, O14+O46+O78, 0)</f>
        <v>0</v>
      </c>
      <c r="P206" s="156">
        <f>IF(Input!P$173&gt;0, P14+P46+P78, 0)</f>
        <v>0</v>
      </c>
      <c r="Q206" s="156">
        <f>IF(Input!Q$173&gt;0, Q14+Q46+Q78, 0)</f>
        <v>0</v>
      </c>
      <c r="R206" s="100"/>
      <c r="S206" s="100"/>
      <c r="T206" s="100"/>
      <c r="U206" s="100"/>
      <c r="V206" s="100"/>
      <c r="W206" s="100"/>
      <c r="X206" s="100"/>
      <c r="Y206" s="100"/>
      <c r="Z206" s="100"/>
      <c r="AA206" s="100"/>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0"/>
      <c r="BL206" s="220"/>
    </row>
    <row r="207" spans="1:64" hidden="1" outlineLevel="1">
      <c r="A207" s="9"/>
      <c r="B207" s="12"/>
      <c r="C207" s="46"/>
      <c r="D207" s="129">
        <f>Asset9</f>
        <v>0</v>
      </c>
      <c r="E207" s="12"/>
      <c r="F207" s="12"/>
      <c r="G207" s="193">
        <f t="shared" si="9"/>
        <v>0</v>
      </c>
      <c r="H207" s="156">
        <f t="shared" si="10"/>
        <v>0</v>
      </c>
      <c r="I207" s="156">
        <f t="shared" si="10"/>
        <v>0</v>
      </c>
      <c r="J207" s="156">
        <f t="shared" si="10"/>
        <v>0</v>
      </c>
      <c r="K207" s="156">
        <f t="shared" si="10"/>
        <v>0</v>
      </c>
      <c r="L207" s="156">
        <f t="shared" si="10"/>
        <v>0</v>
      </c>
      <c r="M207" s="156">
        <f>IF(Input!M$173&gt;0, M15+M47+M79, 0)</f>
        <v>0</v>
      </c>
      <c r="N207" s="156">
        <f>IF(Input!N$173&gt;0, N15+N47+N79, 0)</f>
        <v>0</v>
      </c>
      <c r="O207" s="156">
        <f>IF(Input!O$173&gt;0, O15+O47+O79, 0)</f>
        <v>0</v>
      </c>
      <c r="P207" s="156">
        <f>IF(Input!P$173&gt;0, P15+P47+P79, 0)</f>
        <v>0</v>
      </c>
      <c r="Q207" s="156">
        <f>IF(Input!Q$173&gt;0, Q15+Q47+Q79, 0)</f>
        <v>0</v>
      </c>
      <c r="R207" s="100"/>
      <c r="S207" s="100"/>
      <c r="T207" s="100"/>
      <c r="U207" s="100"/>
      <c r="V207" s="100"/>
      <c r="W207" s="100"/>
      <c r="X207" s="100"/>
      <c r="Y207" s="100"/>
      <c r="Z207" s="100"/>
      <c r="AA207" s="100"/>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0"/>
      <c r="BL207" s="220"/>
    </row>
    <row r="208" spans="1:64" hidden="1" outlineLevel="1">
      <c r="A208" s="9"/>
      <c r="B208" s="12"/>
      <c r="C208" s="46"/>
      <c r="D208" s="129">
        <f>Asset10</f>
        <v>0</v>
      </c>
      <c r="E208" s="12"/>
      <c r="F208" s="12"/>
      <c r="G208" s="193">
        <f t="shared" si="9"/>
        <v>0</v>
      </c>
      <c r="H208" s="156">
        <f t="shared" si="10"/>
        <v>0</v>
      </c>
      <c r="I208" s="156">
        <f t="shared" si="10"/>
        <v>0</v>
      </c>
      <c r="J208" s="156">
        <f t="shared" si="10"/>
        <v>0</v>
      </c>
      <c r="K208" s="156">
        <f t="shared" si="10"/>
        <v>0</v>
      </c>
      <c r="L208" s="156">
        <f t="shared" si="10"/>
        <v>0</v>
      </c>
      <c r="M208" s="156">
        <f>IF(Input!M$173&gt;0, M16+M48+M80, 0)</f>
        <v>0</v>
      </c>
      <c r="N208" s="156">
        <f>IF(Input!N$173&gt;0, N16+N48+N80, 0)</f>
        <v>0</v>
      </c>
      <c r="O208" s="156">
        <f>IF(Input!O$173&gt;0, O16+O48+O80, 0)</f>
        <v>0</v>
      </c>
      <c r="P208" s="156">
        <f>IF(Input!P$173&gt;0, P16+P48+P80, 0)</f>
        <v>0</v>
      </c>
      <c r="Q208" s="156">
        <f>IF(Input!Q$173&gt;0, Q16+Q48+Q80, 0)</f>
        <v>0</v>
      </c>
      <c r="R208" s="100"/>
      <c r="S208" s="100"/>
      <c r="T208" s="100"/>
      <c r="U208" s="100"/>
      <c r="V208" s="100"/>
      <c r="W208" s="100"/>
      <c r="X208" s="100"/>
      <c r="Y208" s="100"/>
      <c r="Z208" s="100"/>
      <c r="AA208" s="100"/>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0"/>
      <c r="BL208" s="220"/>
    </row>
    <row r="209" spans="1:64" hidden="1" outlineLevel="1">
      <c r="A209" s="9"/>
      <c r="B209" s="12"/>
      <c r="C209" s="46"/>
      <c r="D209" s="129">
        <f>Asset11</f>
        <v>0</v>
      </c>
      <c r="E209" s="12"/>
      <c r="F209" s="12"/>
      <c r="G209" s="193">
        <f t="shared" si="9"/>
        <v>0</v>
      </c>
      <c r="H209" s="156">
        <f t="shared" ref="H209:L218" si="11">H17+H49+H81</f>
        <v>0</v>
      </c>
      <c r="I209" s="156">
        <f t="shared" si="11"/>
        <v>0</v>
      </c>
      <c r="J209" s="156">
        <f t="shared" si="11"/>
        <v>0</v>
      </c>
      <c r="K209" s="156">
        <f t="shared" si="11"/>
        <v>0</v>
      </c>
      <c r="L209" s="156">
        <f t="shared" si="11"/>
        <v>0</v>
      </c>
      <c r="M209" s="156">
        <f>IF(Input!M$173&gt;0, M17+M49+M81, 0)</f>
        <v>0</v>
      </c>
      <c r="N209" s="156">
        <f>IF(Input!N$173&gt;0, N17+N49+N81, 0)</f>
        <v>0</v>
      </c>
      <c r="O209" s="156">
        <f>IF(Input!O$173&gt;0, O17+O49+O81, 0)</f>
        <v>0</v>
      </c>
      <c r="P209" s="156">
        <f>IF(Input!P$173&gt;0, P17+P49+P81, 0)</f>
        <v>0</v>
      </c>
      <c r="Q209" s="156">
        <f>IF(Input!Q$173&gt;0, Q17+Q49+Q81, 0)</f>
        <v>0</v>
      </c>
      <c r="R209" s="100"/>
      <c r="S209" s="100"/>
      <c r="T209" s="100"/>
      <c r="U209" s="100"/>
      <c r="V209" s="100"/>
      <c r="W209" s="100"/>
      <c r="X209" s="100"/>
      <c r="Y209" s="100"/>
      <c r="Z209" s="100"/>
      <c r="AA209" s="100"/>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0"/>
      <c r="BL209" s="220"/>
    </row>
    <row r="210" spans="1:64" hidden="1" outlineLevel="1">
      <c r="A210" s="9"/>
      <c r="B210" s="12"/>
      <c r="C210" s="46"/>
      <c r="D210" s="129">
        <f>Asset12</f>
        <v>0</v>
      </c>
      <c r="E210" s="12"/>
      <c r="F210" s="12"/>
      <c r="G210" s="193">
        <f t="shared" si="9"/>
        <v>0</v>
      </c>
      <c r="H210" s="156">
        <f t="shared" si="11"/>
        <v>0</v>
      </c>
      <c r="I210" s="156">
        <f t="shared" si="11"/>
        <v>0</v>
      </c>
      <c r="J210" s="156">
        <f t="shared" si="11"/>
        <v>0</v>
      </c>
      <c r="K210" s="156">
        <f t="shared" si="11"/>
        <v>0</v>
      </c>
      <c r="L210" s="156">
        <f t="shared" si="11"/>
        <v>0</v>
      </c>
      <c r="M210" s="156">
        <f>IF(Input!M$173&gt;0, M18+M50+M82, 0)</f>
        <v>0</v>
      </c>
      <c r="N210" s="156">
        <f>IF(Input!N$173&gt;0, N18+N50+N82, 0)</f>
        <v>0</v>
      </c>
      <c r="O210" s="156">
        <f>IF(Input!O$173&gt;0, O18+O50+O82, 0)</f>
        <v>0</v>
      </c>
      <c r="P210" s="156">
        <f>IF(Input!P$173&gt;0, P18+P50+P82, 0)</f>
        <v>0</v>
      </c>
      <c r="Q210" s="156">
        <f>IF(Input!Q$173&gt;0, Q18+Q50+Q82, 0)</f>
        <v>0</v>
      </c>
      <c r="R210" s="100"/>
      <c r="S210" s="100"/>
      <c r="T210" s="100"/>
      <c r="U210" s="100"/>
      <c r="V210" s="100"/>
      <c r="W210" s="100"/>
      <c r="X210" s="100"/>
      <c r="Y210" s="100"/>
      <c r="Z210" s="100"/>
      <c r="AA210" s="100"/>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0"/>
      <c r="BL210" s="220"/>
    </row>
    <row r="211" spans="1:64" hidden="1" outlineLevel="1">
      <c r="A211" s="9"/>
      <c r="B211" s="12"/>
      <c r="C211" s="46"/>
      <c r="D211" s="129">
        <f>Asset13</f>
        <v>0</v>
      </c>
      <c r="E211" s="12"/>
      <c r="F211" s="12"/>
      <c r="G211" s="193">
        <f t="shared" si="9"/>
        <v>0</v>
      </c>
      <c r="H211" s="156">
        <f t="shared" si="11"/>
        <v>0</v>
      </c>
      <c r="I211" s="156">
        <f t="shared" si="11"/>
        <v>0</v>
      </c>
      <c r="J211" s="156">
        <f t="shared" si="11"/>
        <v>0</v>
      </c>
      <c r="K211" s="156">
        <f t="shared" si="11"/>
        <v>0</v>
      </c>
      <c r="L211" s="156">
        <f t="shared" si="11"/>
        <v>0</v>
      </c>
      <c r="M211" s="156">
        <f>IF(Input!M$173&gt;0, M19+M51+M83, 0)</f>
        <v>0</v>
      </c>
      <c r="N211" s="156">
        <f>IF(Input!N$173&gt;0, N19+N51+N83, 0)</f>
        <v>0</v>
      </c>
      <c r="O211" s="156">
        <f>IF(Input!O$173&gt;0, O19+O51+O83, 0)</f>
        <v>0</v>
      </c>
      <c r="P211" s="156">
        <f>IF(Input!P$173&gt;0, P19+P51+P83, 0)</f>
        <v>0</v>
      </c>
      <c r="Q211" s="156">
        <f>IF(Input!Q$173&gt;0, Q19+Q51+Q83, 0)</f>
        <v>0</v>
      </c>
      <c r="R211" s="100"/>
      <c r="S211" s="100"/>
      <c r="T211" s="100"/>
      <c r="U211" s="100"/>
      <c r="V211" s="100"/>
      <c r="W211" s="100"/>
      <c r="X211" s="100"/>
      <c r="Y211" s="100"/>
      <c r="Z211" s="100"/>
      <c r="AA211" s="100"/>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7"/>
      <c r="BK211" s="220"/>
      <c r="BL211" s="220"/>
    </row>
    <row r="212" spans="1:64" hidden="1" outlineLevel="1">
      <c r="A212" s="9"/>
      <c r="B212" s="12"/>
      <c r="C212" s="46"/>
      <c r="D212" s="129">
        <f>Asset14</f>
        <v>0</v>
      </c>
      <c r="E212" s="12"/>
      <c r="F212" s="12"/>
      <c r="G212" s="193">
        <f t="shared" si="9"/>
        <v>0</v>
      </c>
      <c r="H212" s="156">
        <f t="shared" si="11"/>
        <v>0</v>
      </c>
      <c r="I212" s="156">
        <f t="shared" si="11"/>
        <v>0</v>
      </c>
      <c r="J212" s="156">
        <f t="shared" si="11"/>
        <v>0</v>
      </c>
      <c r="K212" s="156">
        <f t="shared" si="11"/>
        <v>0</v>
      </c>
      <c r="L212" s="156">
        <f t="shared" si="11"/>
        <v>0</v>
      </c>
      <c r="M212" s="156">
        <f>IF(Input!M$173&gt;0, M20+M52+M84, 0)</f>
        <v>0</v>
      </c>
      <c r="N212" s="156">
        <f>IF(Input!N$173&gt;0, N20+N52+N84, 0)</f>
        <v>0</v>
      </c>
      <c r="O212" s="156">
        <f>IF(Input!O$173&gt;0, O20+O52+O84, 0)</f>
        <v>0</v>
      </c>
      <c r="P212" s="156">
        <f>IF(Input!P$173&gt;0, P20+P52+P84, 0)</f>
        <v>0</v>
      </c>
      <c r="Q212" s="156">
        <f>IF(Input!Q$173&gt;0, Q20+Q52+Q84, 0)</f>
        <v>0</v>
      </c>
      <c r="R212" s="100"/>
      <c r="S212" s="100"/>
      <c r="T212" s="100"/>
      <c r="U212" s="100"/>
      <c r="V212" s="100"/>
      <c r="W212" s="100"/>
      <c r="X212" s="100"/>
      <c r="Y212" s="100"/>
      <c r="Z212" s="100"/>
      <c r="AA212" s="100"/>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7"/>
      <c r="BK212" s="220"/>
      <c r="BL212" s="220"/>
    </row>
    <row r="213" spans="1:64" hidden="1" outlineLevel="1">
      <c r="A213" s="9"/>
      <c r="B213" s="12"/>
      <c r="C213" s="46"/>
      <c r="D213" s="129">
        <f>Asset15</f>
        <v>0</v>
      </c>
      <c r="E213" s="12"/>
      <c r="F213" s="12"/>
      <c r="G213" s="193">
        <f t="shared" si="9"/>
        <v>0</v>
      </c>
      <c r="H213" s="156">
        <f t="shared" si="11"/>
        <v>0</v>
      </c>
      <c r="I213" s="156">
        <f t="shared" si="11"/>
        <v>0</v>
      </c>
      <c r="J213" s="156">
        <f t="shared" si="11"/>
        <v>0</v>
      </c>
      <c r="K213" s="156">
        <f t="shared" si="11"/>
        <v>0</v>
      </c>
      <c r="L213" s="156">
        <f t="shared" si="11"/>
        <v>0</v>
      </c>
      <c r="M213" s="156">
        <f>IF(Input!M$173&gt;0, M21+M53+M85, 0)</f>
        <v>0</v>
      </c>
      <c r="N213" s="156">
        <f>IF(Input!N$173&gt;0, N21+N53+N85, 0)</f>
        <v>0</v>
      </c>
      <c r="O213" s="156">
        <f>IF(Input!O$173&gt;0, O21+O53+O85, 0)</f>
        <v>0</v>
      </c>
      <c r="P213" s="156">
        <f>IF(Input!P$173&gt;0, P21+P53+P85, 0)</f>
        <v>0</v>
      </c>
      <c r="Q213" s="156">
        <f>IF(Input!Q$173&gt;0, Q21+Q53+Q85, 0)</f>
        <v>0</v>
      </c>
      <c r="R213" s="100"/>
      <c r="S213" s="100"/>
      <c r="T213" s="100"/>
      <c r="U213" s="100"/>
      <c r="V213" s="100"/>
      <c r="W213" s="100"/>
      <c r="X213" s="100"/>
      <c r="Y213" s="100"/>
      <c r="Z213" s="100"/>
      <c r="AA213" s="100"/>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7"/>
      <c r="BK213" s="220"/>
      <c r="BL213" s="220"/>
    </row>
    <row r="214" spans="1:64" hidden="1" outlineLevel="1">
      <c r="A214" s="9"/>
      <c r="B214" s="12"/>
      <c r="C214" s="46"/>
      <c r="D214" s="129">
        <f>Asset16</f>
        <v>0</v>
      </c>
      <c r="E214" s="12"/>
      <c r="F214" s="12"/>
      <c r="G214" s="193">
        <f t="shared" si="9"/>
        <v>0</v>
      </c>
      <c r="H214" s="156">
        <f t="shared" si="11"/>
        <v>0</v>
      </c>
      <c r="I214" s="156">
        <f t="shared" si="11"/>
        <v>0</v>
      </c>
      <c r="J214" s="156">
        <f t="shared" si="11"/>
        <v>0</v>
      </c>
      <c r="K214" s="156">
        <f t="shared" si="11"/>
        <v>0</v>
      </c>
      <c r="L214" s="156">
        <f t="shared" si="11"/>
        <v>0</v>
      </c>
      <c r="M214" s="156">
        <f>IF(Input!M$173&gt;0, M22+M54+M86, 0)</f>
        <v>0</v>
      </c>
      <c r="N214" s="156">
        <f>IF(Input!N$173&gt;0, N22+N54+N86, 0)</f>
        <v>0</v>
      </c>
      <c r="O214" s="156">
        <f>IF(Input!O$173&gt;0, O22+O54+O86, 0)</f>
        <v>0</v>
      </c>
      <c r="P214" s="156">
        <f>IF(Input!P$173&gt;0, P22+P54+P86, 0)</f>
        <v>0</v>
      </c>
      <c r="Q214" s="156">
        <f>IF(Input!Q$173&gt;0, Q22+Q54+Q86, 0)</f>
        <v>0</v>
      </c>
      <c r="R214" s="100"/>
      <c r="S214" s="100"/>
      <c r="T214" s="100"/>
      <c r="U214" s="100"/>
      <c r="V214" s="100"/>
      <c r="W214" s="100"/>
      <c r="X214" s="100"/>
      <c r="Y214" s="100"/>
      <c r="Z214" s="100"/>
      <c r="AA214" s="100"/>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0"/>
      <c r="BL214" s="220"/>
    </row>
    <row r="215" spans="1:64" hidden="1" outlineLevel="1">
      <c r="A215" s="9"/>
      <c r="B215" s="12"/>
      <c r="C215" s="46"/>
      <c r="D215" s="129">
        <f>Asset17</f>
        <v>0</v>
      </c>
      <c r="E215" s="12"/>
      <c r="F215" s="12"/>
      <c r="G215" s="193">
        <f t="shared" si="9"/>
        <v>0</v>
      </c>
      <c r="H215" s="156">
        <f t="shared" si="11"/>
        <v>0</v>
      </c>
      <c r="I215" s="156">
        <f t="shared" si="11"/>
        <v>0</v>
      </c>
      <c r="J215" s="156">
        <f t="shared" si="11"/>
        <v>0</v>
      </c>
      <c r="K215" s="156">
        <f t="shared" si="11"/>
        <v>0</v>
      </c>
      <c r="L215" s="156">
        <f t="shared" si="11"/>
        <v>0</v>
      </c>
      <c r="M215" s="156">
        <f>IF(Input!M$173&gt;0, M23+M55+M87, 0)</f>
        <v>0</v>
      </c>
      <c r="N215" s="156">
        <f>IF(Input!N$173&gt;0, N23+N55+N87, 0)</f>
        <v>0</v>
      </c>
      <c r="O215" s="156">
        <f>IF(Input!O$173&gt;0, O23+O55+O87, 0)</f>
        <v>0</v>
      </c>
      <c r="P215" s="156">
        <f>IF(Input!P$173&gt;0, P23+P55+P87, 0)</f>
        <v>0</v>
      </c>
      <c r="Q215" s="156">
        <f>IF(Input!Q$173&gt;0, Q23+Q55+Q87, 0)</f>
        <v>0</v>
      </c>
      <c r="R215" s="100"/>
      <c r="S215" s="100"/>
      <c r="T215" s="100"/>
      <c r="U215" s="100"/>
      <c r="V215" s="100"/>
      <c r="W215" s="100"/>
      <c r="X215" s="100"/>
      <c r="Y215" s="100"/>
      <c r="Z215" s="100"/>
      <c r="AA215" s="100"/>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0"/>
      <c r="BL215" s="220"/>
    </row>
    <row r="216" spans="1:64" hidden="1" outlineLevel="1">
      <c r="A216" s="9"/>
      <c r="B216" s="12"/>
      <c r="C216" s="46"/>
      <c r="D216" s="129">
        <f>Asset18</f>
        <v>0</v>
      </c>
      <c r="E216" s="12"/>
      <c r="F216" s="12"/>
      <c r="G216" s="193">
        <f t="shared" si="9"/>
        <v>0</v>
      </c>
      <c r="H216" s="156">
        <f t="shared" si="11"/>
        <v>0</v>
      </c>
      <c r="I216" s="156">
        <f t="shared" si="11"/>
        <v>0</v>
      </c>
      <c r="J216" s="156">
        <f t="shared" si="11"/>
        <v>0</v>
      </c>
      <c r="K216" s="156">
        <f t="shared" si="11"/>
        <v>0</v>
      </c>
      <c r="L216" s="156">
        <f t="shared" si="11"/>
        <v>0</v>
      </c>
      <c r="M216" s="156">
        <f>IF(Input!M$173&gt;0, M24+M56+M88, 0)</f>
        <v>0</v>
      </c>
      <c r="N216" s="156">
        <f>IF(Input!N$173&gt;0, N24+N56+N88, 0)</f>
        <v>0</v>
      </c>
      <c r="O216" s="156">
        <f>IF(Input!O$173&gt;0, O24+O56+O88, 0)</f>
        <v>0</v>
      </c>
      <c r="P216" s="156">
        <f>IF(Input!P$173&gt;0, P24+P56+P88, 0)</f>
        <v>0</v>
      </c>
      <c r="Q216" s="156">
        <f>IF(Input!Q$173&gt;0, Q24+Q56+Q88, 0)</f>
        <v>0</v>
      </c>
      <c r="R216" s="100"/>
      <c r="S216" s="100"/>
      <c r="T216" s="100"/>
      <c r="U216" s="100"/>
      <c r="V216" s="100"/>
      <c r="W216" s="100"/>
      <c r="X216" s="100"/>
      <c r="Y216" s="100"/>
      <c r="Z216" s="100"/>
      <c r="AA216" s="100"/>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0"/>
      <c r="BL216" s="220"/>
    </row>
    <row r="217" spans="1:64" hidden="1" outlineLevel="1">
      <c r="A217" s="9"/>
      <c r="B217" s="12"/>
      <c r="C217" s="46"/>
      <c r="D217" s="129">
        <f>Asset19</f>
        <v>0</v>
      </c>
      <c r="E217" s="12"/>
      <c r="F217" s="12"/>
      <c r="G217" s="193">
        <f t="shared" si="9"/>
        <v>0</v>
      </c>
      <c r="H217" s="156">
        <f t="shared" si="11"/>
        <v>0</v>
      </c>
      <c r="I217" s="156">
        <f t="shared" si="11"/>
        <v>0</v>
      </c>
      <c r="J217" s="156">
        <f t="shared" si="11"/>
        <v>0</v>
      </c>
      <c r="K217" s="156">
        <f t="shared" si="11"/>
        <v>0</v>
      </c>
      <c r="L217" s="156">
        <f t="shared" si="11"/>
        <v>0</v>
      </c>
      <c r="M217" s="156">
        <f>IF(Input!M$173&gt;0, M25+M57+M89, 0)</f>
        <v>0</v>
      </c>
      <c r="N217" s="156">
        <f>IF(Input!N$173&gt;0, N25+N57+N89, 0)</f>
        <v>0</v>
      </c>
      <c r="O217" s="156">
        <f>IF(Input!O$173&gt;0, O25+O57+O89, 0)</f>
        <v>0</v>
      </c>
      <c r="P217" s="156">
        <f>IF(Input!P$173&gt;0, P25+P57+P89, 0)</f>
        <v>0</v>
      </c>
      <c r="Q217" s="156">
        <f>IF(Input!Q$173&gt;0, Q25+Q57+Q89, 0)</f>
        <v>0</v>
      </c>
      <c r="R217" s="100"/>
      <c r="S217" s="100"/>
      <c r="T217" s="100"/>
      <c r="U217" s="100"/>
      <c r="V217" s="100"/>
      <c r="W217" s="100"/>
      <c r="X217" s="100"/>
      <c r="Y217" s="100"/>
      <c r="Z217" s="100"/>
      <c r="AA217" s="100"/>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7"/>
      <c r="BK217" s="220"/>
      <c r="BL217" s="220"/>
    </row>
    <row r="218" spans="1:64" hidden="1" outlineLevel="1">
      <c r="A218" s="9"/>
      <c r="B218" s="12"/>
      <c r="C218" s="46"/>
      <c r="D218" s="129">
        <f>Asset20</f>
        <v>0</v>
      </c>
      <c r="E218" s="12"/>
      <c r="F218" s="12"/>
      <c r="G218" s="193">
        <f t="shared" si="9"/>
        <v>0</v>
      </c>
      <c r="H218" s="156">
        <f t="shared" si="11"/>
        <v>0</v>
      </c>
      <c r="I218" s="156">
        <f t="shared" si="11"/>
        <v>0</v>
      </c>
      <c r="J218" s="156">
        <f t="shared" si="11"/>
        <v>0</v>
      </c>
      <c r="K218" s="156">
        <f t="shared" si="11"/>
        <v>0</v>
      </c>
      <c r="L218" s="156">
        <f t="shared" si="11"/>
        <v>0</v>
      </c>
      <c r="M218" s="156">
        <f>IF(Input!M$173&gt;0, M26+M58+M90, 0)</f>
        <v>0</v>
      </c>
      <c r="N218" s="156">
        <f>IF(Input!N$173&gt;0, N26+N58+N90, 0)</f>
        <v>0</v>
      </c>
      <c r="O218" s="156">
        <f>IF(Input!O$173&gt;0, O26+O58+O90, 0)</f>
        <v>0</v>
      </c>
      <c r="P218" s="156">
        <f>IF(Input!P$173&gt;0, P26+P58+P90, 0)</f>
        <v>0</v>
      </c>
      <c r="Q218" s="156">
        <f>IF(Input!Q$173&gt;0, Q26+Q58+Q90, 0)</f>
        <v>0</v>
      </c>
      <c r="R218" s="100"/>
      <c r="S218" s="100"/>
      <c r="T218" s="100"/>
      <c r="U218" s="100"/>
      <c r="V218" s="100"/>
      <c r="W218" s="100"/>
      <c r="X218" s="100"/>
      <c r="Y218" s="100"/>
      <c r="Z218" s="100"/>
      <c r="AA218" s="100"/>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7"/>
      <c r="BK218" s="220"/>
      <c r="BL218" s="220"/>
    </row>
    <row r="219" spans="1:64" hidden="1" outlineLevel="1">
      <c r="A219" s="9"/>
      <c r="B219" s="12"/>
      <c r="C219" s="46"/>
      <c r="D219" s="129">
        <f>Asset21</f>
        <v>0</v>
      </c>
      <c r="E219" s="12"/>
      <c r="F219" s="12"/>
      <c r="G219" s="193">
        <f t="shared" ref="G219:G228" si="12">G27+G59+G91+G123+G155+G187</f>
        <v>0</v>
      </c>
      <c r="H219" s="156">
        <f t="shared" ref="H219:L226" si="13">H27+H59+H91</f>
        <v>0</v>
      </c>
      <c r="I219" s="156">
        <f t="shared" si="13"/>
        <v>0</v>
      </c>
      <c r="J219" s="156">
        <f t="shared" si="13"/>
        <v>0</v>
      </c>
      <c r="K219" s="156">
        <f t="shared" si="13"/>
        <v>0</v>
      </c>
      <c r="L219" s="156">
        <f t="shared" si="13"/>
        <v>0</v>
      </c>
      <c r="M219" s="156">
        <f>IF(Input!M$173&gt;0, M27+M59+M91, 0)</f>
        <v>0</v>
      </c>
      <c r="N219" s="156">
        <f>IF(Input!N$173&gt;0, N27+N59+N91, 0)</f>
        <v>0</v>
      </c>
      <c r="O219" s="156">
        <f>IF(Input!O$173&gt;0, O27+O59+O91, 0)</f>
        <v>0</v>
      </c>
      <c r="P219" s="156">
        <f>IF(Input!P$173&gt;0, P27+P59+P91, 0)</f>
        <v>0</v>
      </c>
      <c r="Q219" s="156">
        <f>IF(Input!Q$173&gt;0, Q27+Q59+Q91, 0)</f>
        <v>0</v>
      </c>
      <c r="R219" s="100"/>
      <c r="S219" s="100"/>
      <c r="T219" s="100"/>
      <c r="U219" s="100"/>
      <c r="V219" s="100"/>
      <c r="W219" s="100"/>
      <c r="X219" s="100"/>
      <c r="Y219" s="100"/>
      <c r="Z219" s="100"/>
      <c r="AA219" s="100"/>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7"/>
      <c r="BK219" s="220"/>
      <c r="BL219" s="220"/>
    </row>
    <row r="220" spans="1:64" hidden="1" outlineLevel="1">
      <c r="A220" s="9"/>
      <c r="B220" s="12"/>
      <c r="C220" s="46"/>
      <c r="D220" s="129">
        <f>Asset22</f>
        <v>0</v>
      </c>
      <c r="E220" s="12"/>
      <c r="F220" s="12"/>
      <c r="G220" s="193">
        <f t="shared" si="12"/>
        <v>0</v>
      </c>
      <c r="H220" s="156">
        <f t="shared" si="13"/>
        <v>0</v>
      </c>
      <c r="I220" s="156">
        <f t="shared" si="13"/>
        <v>0</v>
      </c>
      <c r="J220" s="156">
        <f t="shared" si="13"/>
        <v>0</v>
      </c>
      <c r="K220" s="156">
        <f t="shared" si="13"/>
        <v>0</v>
      </c>
      <c r="L220" s="156">
        <f t="shared" si="13"/>
        <v>0</v>
      </c>
      <c r="M220" s="156">
        <f>IF(Input!M$173&gt;0, M28+M60+M92, 0)</f>
        <v>0</v>
      </c>
      <c r="N220" s="156">
        <f>IF(Input!N$173&gt;0, N28+N60+N92, 0)</f>
        <v>0</v>
      </c>
      <c r="O220" s="156">
        <f>IF(Input!O$173&gt;0, O28+O60+O92, 0)</f>
        <v>0</v>
      </c>
      <c r="P220" s="156">
        <f>IF(Input!P$173&gt;0, P28+P60+P92, 0)</f>
        <v>0</v>
      </c>
      <c r="Q220" s="156">
        <f>IF(Input!Q$173&gt;0, Q28+Q60+Q92, 0)</f>
        <v>0</v>
      </c>
      <c r="R220" s="100"/>
      <c r="S220" s="100"/>
      <c r="T220" s="100"/>
      <c r="U220" s="100"/>
      <c r="V220" s="100"/>
      <c r="W220" s="100"/>
      <c r="X220" s="100"/>
      <c r="Y220" s="100"/>
      <c r="Z220" s="100"/>
      <c r="AA220" s="100"/>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7"/>
      <c r="BK220" s="220"/>
      <c r="BL220" s="220"/>
    </row>
    <row r="221" spans="1:64" hidden="1" outlineLevel="1">
      <c r="A221" s="9"/>
      <c r="B221" s="12"/>
      <c r="C221" s="46"/>
      <c r="D221" s="129">
        <f>Asset23</f>
        <v>0</v>
      </c>
      <c r="E221" s="12"/>
      <c r="F221" s="12"/>
      <c r="G221" s="193">
        <f t="shared" si="12"/>
        <v>0</v>
      </c>
      <c r="H221" s="156">
        <f t="shared" si="13"/>
        <v>0</v>
      </c>
      <c r="I221" s="156">
        <f t="shared" si="13"/>
        <v>0</v>
      </c>
      <c r="J221" s="156">
        <f t="shared" si="13"/>
        <v>0</v>
      </c>
      <c r="K221" s="156">
        <f t="shared" si="13"/>
        <v>0</v>
      </c>
      <c r="L221" s="156">
        <f t="shared" si="13"/>
        <v>0</v>
      </c>
      <c r="M221" s="156">
        <f>IF(Input!M$173&gt;0, M29+M61+M93, 0)</f>
        <v>0</v>
      </c>
      <c r="N221" s="156">
        <f>IF(Input!N$173&gt;0, N29+N61+N93, 0)</f>
        <v>0</v>
      </c>
      <c r="O221" s="156">
        <f>IF(Input!O$173&gt;0, O29+O61+O93, 0)</f>
        <v>0</v>
      </c>
      <c r="P221" s="156">
        <f>IF(Input!P$173&gt;0, P29+P61+P93, 0)</f>
        <v>0</v>
      </c>
      <c r="Q221" s="156">
        <f>IF(Input!Q$173&gt;0, Q29+Q61+Q93, 0)</f>
        <v>0</v>
      </c>
      <c r="R221" s="100"/>
      <c r="S221" s="100"/>
      <c r="T221" s="100"/>
      <c r="U221" s="100"/>
      <c r="V221" s="100"/>
      <c r="W221" s="100"/>
      <c r="X221" s="100"/>
      <c r="Y221" s="100"/>
      <c r="Z221" s="100"/>
      <c r="AA221" s="100"/>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7"/>
      <c r="BK221" s="220"/>
      <c r="BL221" s="220"/>
    </row>
    <row r="222" spans="1:64" hidden="1" outlineLevel="1">
      <c r="A222" s="9"/>
      <c r="B222" s="12"/>
      <c r="C222" s="46"/>
      <c r="D222" s="129">
        <f>Asset24</f>
        <v>0</v>
      </c>
      <c r="E222" s="12"/>
      <c r="F222" s="12"/>
      <c r="G222" s="193">
        <f t="shared" si="12"/>
        <v>0</v>
      </c>
      <c r="H222" s="156">
        <f t="shared" si="13"/>
        <v>0</v>
      </c>
      <c r="I222" s="156">
        <f t="shared" si="13"/>
        <v>0</v>
      </c>
      <c r="J222" s="156">
        <f t="shared" si="13"/>
        <v>0</v>
      </c>
      <c r="K222" s="156">
        <f t="shared" si="13"/>
        <v>0</v>
      </c>
      <c r="L222" s="156">
        <f t="shared" si="13"/>
        <v>0</v>
      </c>
      <c r="M222" s="156">
        <f>IF(Input!M$173&gt;0, M30+M62+M94, 0)</f>
        <v>0</v>
      </c>
      <c r="N222" s="156">
        <f>IF(Input!N$173&gt;0, N30+N62+N94, 0)</f>
        <v>0</v>
      </c>
      <c r="O222" s="156">
        <f>IF(Input!O$173&gt;0, O30+O62+O94, 0)</f>
        <v>0</v>
      </c>
      <c r="P222" s="156">
        <f>IF(Input!P$173&gt;0, P30+P62+P94, 0)</f>
        <v>0</v>
      </c>
      <c r="Q222" s="156">
        <f>IF(Input!Q$173&gt;0, Q30+Q62+Q94, 0)</f>
        <v>0</v>
      </c>
      <c r="R222" s="100"/>
      <c r="S222" s="100"/>
      <c r="T222" s="100"/>
      <c r="U222" s="100"/>
      <c r="V222" s="100"/>
      <c r="W222" s="100"/>
      <c r="X222" s="100"/>
      <c r="Y222" s="100"/>
      <c r="Z222" s="100"/>
      <c r="AA222" s="100"/>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7"/>
      <c r="BK222" s="220"/>
      <c r="BL222" s="220"/>
    </row>
    <row r="223" spans="1:64" hidden="1" outlineLevel="1">
      <c r="A223" s="9"/>
      <c r="B223" s="12"/>
      <c r="C223" s="46"/>
      <c r="D223" s="129">
        <f>Asset25</f>
        <v>0</v>
      </c>
      <c r="E223" s="12"/>
      <c r="F223" s="12"/>
      <c r="G223" s="193">
        <f t="shared" si="12"/>
        <v>0</v>
      </c>
      <c r="H223" s="156">
        <f t="shared" si="13"/>
        <v>0</v>
      </c>
      <c r="I223" s="156">
        <f t="shared" si="13"/>
        <v>0</v>
      </c>
      <c r="J223" s="156">
        <f t="shared" si="13"/>
        <v>0</v>
      </c>
      <c r="K223" s="156">
        <f t="shared" si="13"/>
        <v>0</v>
      </c>
      <c r="L223" s="156">
        <f t="shared" si="13"/>
        <v>0</v>
      </c>
      <c r="M223" s="156">
        <f>IF(Input!M$173&gt;0, M31+M63+M95, 0)</f>
        <v>0</v>
      </c>
      <c r="N223" s="156">
        <f>IF(Input!N$173&gt;0, N31+N63+N95, 0)</f>
        <v>0</v>
      </c>
      <c r="O223" s="156">
        <f>IF(Input!O$173&gt;0, O31+O63+O95, 0)</f>
        <v>0</v>
      </c>
      <c r="P223" s="156">
        <f>IF(Input!P$173&gt;0, P31+P63+P95, 0)</f>
        <v>0</v>
      </c>
      <c r="Q223" s="156">
        <f>IF(Input!Q$173&gt;0, Q31+Q63+Q95, 0)</f>
        <v>0</v>
      </c>
      <c r="R223" s="100"/>
      <c r="S223" s="100"/>
      <c r="T223" s="100"/>
      <c r="U223" s="100"/>
      <c r="V223" s="100"/>
      <c r="W223" s="100"/>
      <c r="X223" s="100"/>
      <c r="Y223" s="100"/>
      <c r="Z223" s="100"/>
      <c r="AA223" s="100"/>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7"/>
      <c r="BK223" s="220"/>
      <c r="BL223" s="220"/>
    </row>
    <row r="224" spans="1:64" hidden="1" outlineLevel="1">
      <c r="A224" s="9"/>
      <c r="B224" s="12"/>
      <c r="C224" s="46"/>
      <c r="D224" s="129">
        <f>Asset26</f>
        <v>0</v>
      </c>
      <c r="E224" s="12"/>
      <c r="F224" s="12"/>
      <c r="G224" s="193">
        <f t="shared" si="12"/>
        <v>0</v>
      </c>
      <c r="H224" s="156">
        <f t="shared" si="13"/>
        <v>0</v>
      </c>
      <c r="I224" s="156">
        <f t="shared" si="13"/>
        <v>0</v>
      </c>
      <c r="J224" s="156">
        <f t="shared" si="13"/>
        <v>0</v>
      </c>
      <c r="K224" s="156">
        <f t="shared" si="13"/>
        <v>0</v>
      </c>
      <c r="L224" s="156">
        <f t="shared" si="13"/>
        <v>0</v>
      </c>
      <c r="M224" s="156">
        <f>IF(Input!M$173&gt;0, M32+M64+M96, 0)</f>
        <v>0</v>
      </c>
      <c r="N224" s="156">
        <f>IF(Input!N$173&gt;0, N32+N64+N96, 0)</f>
        <v>0</v>
      </c>
      <c r="O224" s="156">
        <f>IF(Input!O$173&gt;0, O32+O64+O96, 0)</f>
        <v>0</v>
      </c>
      <c r="P224" s="156">
        <f>IF(Input!P$173&gt;0, P32+P64+P96, 0)</f>
        <v>0</v>
      </c>
      <c r="Q224" s="156">
        <f>IF(Input!Q$173&gt;0, Q32+Q64+Q96, 0)</f>
        <v>0</v>
      </c>
      <c r="R224" s="100"/>
      <c r="S224" s="100"/>
      <c r="T224" s="100"/>
      <c r="U224" s="100"/>
      <c r="V224" s="100"/>
      <c r="W224" s="100"/>
      <c r="X224" s="100"/>
      <c r="Y224" s="100"/>
      <c r="Z224" s="100"/>
      <c r="AA224" s="100"/>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7"/>
      <c r="BK224" s="220"/>
      <c r="BL224" s="220"/>
    </row>
    <row r="225" spans="1:64" hidden="1" outlineLevel="1">
      <c r="A225" s="9"/>
      <c r="B225" s="12"/>
      <c r="C225" s="46"/>
      <c r="D225" s="129">
        <f>Asset27</f>
        <v>0</v>
      </c>
      <c r="E225" s="12"/>
      <c r="F225" s="12"/>
      <c r="G225" s="193">
        <f t="shared" si="12"/>
        <v>0</v>
      </c>
      <c r="H225" s="156">
        <f t="shared" si="13"/>
        <v>0</v>
      </c>
      <c r="I225" s="156">
        <f t="shared" si="13"/>
        <v>0</v>
      </c>
      <c r="J225" s="156">
        <f t="shared" si="13"/>
        <v>0</v>
      </c>
      <c r="K225" s="156">
        <f t="shared" si="13"/>
        <v>0</v>
      </c>
      <c r="L225" s="156">
        <f t="shared" si="13"/>
        <v>0</v>
      </c>
      <c r="M225" s="156">
        <f>IF(Input!M$173&gt;0, M33+M65+M97, 0)</f>
        <v>0</v>
      </c>
      <c r="N225" s="156">
        <f>IF(Input!N$173&gt;0, N33+N65+N97, 0)</f>
        <v>0</v>
      </c>
      <c r="O225" s="156">
        <f>IF(Input!O$173&gt;0, O33+O65+O97, 0)</f>
        <v>0</v>
      </c>
      <c r="P225" s="156">
        <f>IF(Input!P$173&gt;0, P33+P65+P97, 0)</f>
        <v>0</v>
      </c>
      <c r="Q225" s="156">
        <f>IF(Input!Q$173&gt;0, Q33+Q65+Q97, 0)</f>
        <v>0</v>
      </c>
      <c r="R225" s="100"/>
      <c r="S225" s="100"/>
      <c r="T225" s="100"/>
      <c r="U225" s="100"/>
      <c r="V225" s="100"/>
      <c r="W225" s="100"/>
      <c r="X225" s="100"/>
      <c r="Y225" s="100"/>
      <c r="Z225" s="100"/>
      <c r="AA225" s="100"/>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0"/>
      <c r="BL225" s="220"/>
    </row>
    <row r="226" spans="1:64" hidden="1" outlineLevel="1">
      <c r="A226" s="9"/>
      <c r="B226" s="12"/>
      <c r="C226" s="46"/>
      <c r="D226" s="129">
        <f>Asset28</f>
        <v>0</v>
      </c>
      <c r="E226" s="12"/>
      <c r="F226" s="12"/>
      <c r="G226" s="193">
        <f t="shared" si="12"/>
        <v>0</v>
      </c>
      <c r="H226" s="156">
        <f t="shared" si="13"/>
        <v>0</v>
      </c>
      <c r="I226" s="156">
        <f t="shared" si="13"/>
        <v>0</v>
      </c>
      <c r="J226" s="156">
        <f t="shared" si="13"/>
        <v>0</v>
      </c>
      <c r="K226" s="156">
        <f t="shared" si="13"/>
        <v>0</v>
      </c>
      <c r="L226" s="156">
        <f t="shared" si="13"/>
        <v>0</v>
      </c>
      <c r="M226" s="156">
        <f>IF(Input!M$173&gt;0, M34+M66+M98, 0)</f>
        <v>0</v>
      </c>
      <c r="N226" s="156">
        <f>IF(Input!N$173&gt;0, N34+N66+N98, 0)</f>
        <v>0</v>
      </c>
      <c r="O226" s="156">
        <f>IF(Input!O$173&gt;0, O34+O66+O98, 0)</f>
        <v>0</v>
      </c>
      <c r="P226" s="156">
        <f>IF(Input!P$173&gt;0, P34+P66+P98, 0)</f>
        <v>0</v>
      </c>
      <c r="Q226" s="156">
        <f>IF(Input!Q$173&gt;0, Q34+Q66+Q98, 0)</f>
        <v>0</v>
      </c>
      <c r="R226" s="100"/>
      <c r="S226" s="100"/>
      <c r="T226" s="100"/>
      <c r="U226" s="100"/>
      <c r="V226" s="100"/>
      <c r="W226" s="100"/>
      <c r="X226" s="100"/>
      <c r="Y226" s="100"/>
      <c r="Z226" s="100"/>
      <c r="AA226" s="100"/>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7"/>
      <c r="BK226" s="220"/>
      <c r="BL226" s="220"/>
    </row>
    <row r="227" spans="1:64" hidden="1" outlineLevel="1">
      <c r="A227" s="9"/>
      <c r="B227" s="12"/>
      <c r="C227" s="46"/>
      <c r="D227" s="129">
        <f>Asset29</f>
        <v>0</v>
      </c>
      <c r="E227" s="12"/>
      <c r="F227" s="12"/>
      <c r="G227" s="193">
        <f t="shared" si="12"/>
        <v>0</v>
      </c>
      <c r="H227" s="156">
        <f t="shared" ref="H227:L228" si="14">H35+H67+H99</f>
        <v>0</v>
      </c>
      <c r="I227" s="156">
        <f t="shared" si="14"/>
        <v>0</v>
      </c>
      <c r="J227" s="156">
        <f t="shared" si="14"/>
        <v>0</v>
      </c>
      <c r="K227" s="156">
        <f t="shared" si="14"/>
        <v>0</v>
      </c>
      <c r="L227" s="156">
        <f t="shared" si="14"/>
        <v>0</v>
      </c>
      <c r="M227" s="156">
        <f>IF(Input!M$173&gt;0, M35+M67+M99, 0)</f>
        <v>0</v>
      </c>
      <c r="N227" s="156">
        <f>IF(Input!N$173&gt;0, N35+N67+N99, 0)</f>
        <v>0</v>
      </c>
      <c r="O227" s="156">
        <f>IF(Input!O$173&gt;0, O35+O67+O99, 0)</f>
        <v>0</v>
      </c>
      <c r="P227" s="156">
        <f>IF(Input!P$173&gt;0, P35+P67+P99, 0)</f>
        <v>0</v>
      </c>
      <c r="Q227" s="156">
        <f>IF(Input!Q$173&gt;0, Q35+Q67+Q99, 0)</f>
        <v>0</v>
      </c>
      <c r="R227" s="100"/>
      <c r="S227" s="100"/>
      <c r="T227" s="100"/>
      <c r="U227" s="100"/>
      <c r="V227" s="100"/>
      <c r="W227" s="100"/>
      <c r="X227" s="100"/>
      <c r="Y227" s="100"/>
      <c r="Z227" s="100"/>
      <c r="AA227" s="100"/>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7"/>
      <c r="BK227" s="220"/>
      <c r="BL227" s="220"/>
    </row>
    <row r="228" spans="1:64" hidden="1" outlineLevel="1">
      <c r="A228" s="9"/>
      <c r="B228" s="12"/>
      <c r="C228" s="46"/>
      <c r="D228" s="129">
        <f>Asset30</f>
        <v>0</v>
      </c>
      <c r="E228" s="12"/>
      <c r="F228" s="12"/>
      <c r="G228" s="193">
        <f t="shared" si="12"/>
        <v>0</v>
      </c>
      <c r="H228" s="156">
        <f t="shared" si="14"/>
        <v>0</v>
      </c>
      <c r="I228" s="156">
        <f t="shared" si="14"/>
        <v>0</v>
      </c>
      <c r="J228" s="156">
        <f t="shared" si="14"/>
        <v>0</v>
      </c>
      <c r="K228" s="156">
        <f t="shared" si="14"/>
        <v>0</v>
      </c>
      <c r="L228" s="156">
        <f t="shared" si="14"/>
        <v>0</v>
      </c>
      <c r="M228" s="156">
        <f>IF(Input!M$173&gt;0, M36+M68+M100, 0)</f>
        <v>0</v>
      </c>
      <c r="N228" s="156">
        <f>IF(Input!N$173&gt;0, N36+N68+N100, 0)</f>
        <v>0</v>
      </c>
      <c r="O228" s="156">
        <f>IF(Input!O$173&gt;0, O36+O68+O100, 0)</f>
        <v>0</v>
      </c>
      <c r="P228" s="156">
        <f>IF(Input!P$173&gt;0, P36+P68+P100, 0)</f>
        <v>0</v>
      </c>
      <c r="Q228" s="156">
        <f>IF(Input!Q$173&gt;0, Q36+Q68+Q100, 0)</f>
        <v>0</v>
      </c>
      <c r="R228" s="100"/>
      <c r="S228" s="100"/>
      <c r="T228" s="100"/>
      <c r="U228" s="100"/>
      <c r="V228" s="100"/>
      <c r="W228" s="100"/>
      <c r="X228" s="100"/>
      <c r="Y228" s="100"/>
      <c r="Z228" s="100"/>
      <c r="AA228" s="100"/>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7"/>
      <c r="BK228" s="220"/>
      <c r="BL228" s="220"/>
    </row>
    <row r="229" spans="1:64" collapsed="1">
      <c r="A229" s="9"/>
      <c r="B229" s="12"/>
      <c r="C229" s="89"/>
      <c r="D229" s="114"/>
      <c r="E229" s="12"/>
      <c r="F229" s="12"/>
      <c r="G229" s="155"/>
      <c r="H229" s="143"/>
      <c r="I229" s="143"/>
      <c r="J229" s="143"/>
      <c r="K229" s="143"/>
      <c r="L229" s="143"/>
      <c r="M229" s="143"/>
      <c r="N229" s="100"/>
      <c r="O229" s="100"/>
      <c r="P229" s="100"/>
      <c r="Q229" s="100"/>
      <c r="R229" s="100"/>
      <c r="S229" s="100"/>
      <c r="T229" s="100"/>
      <c r="U229" s="100"/>
      <c r="V229" s="100"/>
      <c r="W229" s="100"/>
      <c r="X229" s="100"/>
      <c r="Y229" s="100"/>
      <c r="Z229" s="100"/>
      <c r="AA229" s="100"/>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7"/>
      <c r="BK229" s="220"/>
      <c r="BL229" s="220"/>
    </row>
    <row r="230" spans="1:64" s="9" customFormat="1">
      <c r="B230" s="12"/>
      <c r="C230" s="343" t="s">
        <v>36</v>
      </c>
      <c r="D230" s="12"/>
      <c r="E230" s="12"/>
      <c r="F230" s="12"/>
      <c r="G230" s="115"/>
      <c r="H230" s="117"/>
      <c r="I230" s="117"/>
      <c r="J230" s="117"/>
      <c r="K230" s="117"/>
      <c r="L230" s="117">
        <f t="shared" ref="L230:Q230" si="15">SUM(L231:L260)</f>
        <v>5.7352300723218637</v>
      </c>
      <c r="M230" s="117">
        <f t="shared" si="15"/>
        <v>0</v>
      </c>
      <c r="N230" s="117">
        <f t="shared" si="15"/>
        <v>0</v>
      </c>
      <c r="O230" s="117">
        <f t="shared" si="15"/>
        <v>0</v>
      </c>
      <c r="P230" s="117">
        <f t="shared" si="15"/>
        <v>0</v>
      </c>
      <c r="Q230" s="117">
        <f t="shared" si="15"/>
        <v>0</v>
      </c>
      <c r="R230" s="106"/>
      <c r="S230" s="106"/>
      <c r="T230" s="106"/>
      <c r="U230" s="106"/>
      <c r="V230" s="106"/>
      <c r="W230" s="106"/>
      <c r="X230" s="106"/>
      <c r="Y230" s="106"/>
      <c r="Z230" s="106"/>
      <c r="AA230" s="106"/>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20"/>
      <c r="BL230" s="220"/>
    </row>
    <row r="231" spans="1:64" ht="12" hidden="1" customHeight="1" outlineLevel="1">
      <c r="A231" s="9"/>
      <c r="B231" s="9"/>
      <c r="C231" s="9"/>
      <c r="D231" s="129" t="str">
        <f>Asset1</f>
        <v>Mains &amp; Services</v>
      </c>
      <c r="E231" s="9"/>
      <c r="F231" s="9"/>
      <c r="G231" s="9"/>
      <c r="H231" s="111"/>
      <c r="I231" s="111"/>
      <c r="J231" s="111"/>
      <c r="K231" s="111"/>
      <c r="L231" s="111">
        <f>IF(L$198&gt;0, IF(M$198=0, 'Adjustment for previous period'!$G76, 0), 0)</f>
        <v>-6.6280727641211854</v>
      </c>
      <c r="M231" s="111">
        <f>IF(M$198&gt;0, IF(N$198=0, 'Adjustment for previous period'!$G76, 0), 0)</f>
        <v>0</v>
      </c>
      <c r="N231" s="111">
        <f>IF(N$198&gt;0, IF(O$198=0, 'Adjustment for previous period'!$G76, 0), 0)</f>
        <v>0</v>
      </c>
      <c r="O231" s="111">
        <f>IF(O$198&gt;0, IF(P$198=0, 'Adjustment for previous period'!$G76, 0), 0)</f>
        <v>0</v>
      </c>
      <c r="P231" s="111">
        <f>IF(P$198&gt;0, IF(Q$198=0, 'Adjustment for previous period'!$G76, 0), 0)</f>
        <v>0</v>
      </c>
      <c r="Q231" s="111">
        <f>IF(Q$198&gt;0, IF(R$198=0, 'Adjustment for previous period'!$G76, 0), 0)</f>
        <v>0</v>
      </c>
      <c r="R231" s="9"/>
      <c r="S231" s="12"/>
      <c r="T231" s="12"/>
      <c r="U231" s="12"/>
      <c r="V231" s="12"/>
      <c r="W231" s="12"/>
      <c r="X231" s="12"/>
      <c r="Y231" s="12"/>
      <c r="Z231" s="12"/>
      <c r="AA231" s="12"/>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20"/>
      <c r="BK231" s="220"/>
      <c r="BL231" s="220"/>
    </row>
    <row r="232" spans="1:64" ht="12" hidden="1" customHeight="1" outlineLevel="1">
      <c r="A232" s="9"/>
      <c r="B232" s="9"/>
      <c r="C232" s="9"/>
      <c r="D232" s="129" t="str">
        <f>Asset2</f>
        <v>Meters</v>
      </c>
      <c r="E232" s="9"/>
      <c r="F232" s="9"/>
      <c r="G232" s="9"/>
      <c r="H232" s="111"/>
      <c r="I232" s="111"/>
      <c r="J232" s="111"/>
      <c r="K232" s="111"/>
      <c r="L232" s="111">
        <f>IF(L$198&gt;0, IF(M$198=0, 'Adjustment for previous period'!$G77, 0), 0)</f>
        <v>-0.8409727888084948</v>
      </c>
      <c r="M232" s="111">
        <f>IF(M$198&gt;0, IF(N$198=0, 'Adjustment for previous period'!$G77, 0), 0)</f>
        <v>0</v>
      </c>
      <c r="N232" s="111">
        <f>IF(N$198&gt;0, IF(O$198=0, 'Adjustment for previous period'!$G77, 0), 0)</f>
        <v>0</v>
      </c>
      <c r="O232" s="111">
        <f>IF(O$198&gt;0, IF(P$198=0, 'Adjustment for previous period'!$G77, 0), 0)</f>
        <v>0</v>
      </c>
      <c r="P232" s="111">
        <f>IF(P$198&gt;0, IF(Q$198=0, 'Adjustment for previous period'!$G77, 0), 0)</f>
        <v>0</v>
      </c>
      <c r="Q232" s="111">
        <f>IF(Q$198&gt;0, IF(R$198=0, 'Adjustment for previous period'!$G77, 0), 0)</f>
        <v>0</v>
      </c>
      <c r="R232" s="9"/>
      <c r="S232" s="12"/>
      <c r="T232" s="12"/>
      <c r="U232" s="12"/>
      <c r="V232" s="12"/>
      <c r="W232" s="12"/>
      <c r="X232" s="12"/>
      <c r="Y232" s="12"/>
      <c r="Z232" s="12"/>
      <c r="AA232" s="12"/>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220"/>
      <c r="BK232" s="220"/>
      <c r="BL232" s="220"/>
    </row>
    <row r="233" spans="1:64" ht="12" hidden="1" customHeight="1" outlineLevel="1">
      <c r="A233" s="9"/>
      <c r="B233" s="9"/>
      <c r="C233" s="9"/>
      <c r="D233" s="129" t="str">
        <f>Asset3</f>
        <v>Buildings</v>
      </c>
      <c r="E233" s="9"/>
      <c r="F233" s="9"/>
      <c r="G233" s="9"/>
      <c r="H233" s="111"/>
      <c r="I233" s="111"/>
      <c r="J233" s="111"/>
      <c r="K233" s="111"/>
      <c r="L233" s="111">
        <f>IF(L$198&gt;0, IF(M$198=0, 'Adjustment for previous period'!$G78, 0), 0)</f>
        <v>0</v>
      </c>
      <c r="M233" s="111">
        <f>IF(M$198&gt;0, IF(N$198=0, 'Adjustment for previous period'!$G78, 0), 0)</f>
        <v>0</v>
      </c>
      <c r="N233" s="111">
        <f>IF(N$198&gt;0, IF(O$198=0, 'Adjustment for previous period'!$G78, 0), 0)</f>
        <v>0</v>
      </c>
      <c r="O233" s="111">
        <f>IF(O$198&gt;0, IF(P$198=0, 'Adjustment for previous period'!$G78, 0), 0)</f>
        <v>0</v>
      </c>
      <c r="P233" s="111">
        <f>IF(P$198&gt;0, IF(Q$198=0, 'Adjustment for previous period'!$G78, 0), 0)</f>
        <v>0</v>
      </c>
      <c r="Q233" s="111">
        <f>IF(Q$198&gt;0, IF(R$198=0, 'Adjustment for previous period'!$G78, 0), 0)</f>
        <v>0</v>
      </c>
      <c r="R233" s="9"/>
      <c r="S233" s="12"/>
      <c r="T233" s="12"/>
      <c r="U233" s="12"/>
      <c r="V233" s="12"/>
      <c r="W233" s="12"/>
      <c r="X233" s="12"/>
      <c r="Y233" s="12"/>
      <c r="Z233" s="12"/>
      <c r="AA233" s="12"/>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220"/>
      <c r="BK233" s="220"/>
      <c r="BL233" s="220"/>
    </row>
    <row r="234" spans="1:64" ht="12" hidden="1" customHeight="1" outlineLevel="1">
      <c r="A234" s="9"/>
      <c r="B234" s="9"/>
      <c r="C234" s="9"/>
      <c r="D234" s="129" t="str">
        <f>Asset4</f>
        <v>SCADA</v>
      </c>
      <c r="E234" s="9"/>
      <c r="F234" s="9"/>
      <c r="G234" s="9"/>
      <c r="H234" s="111"/>
      <c r="I234" s="111"/>
      <c r="J234" s="111"/>
      <c r="K234" s="111"/>
      <c r="L234" s="111">
        <f>IF(L$198&gt;0, IF(M$198=0, 'Adjustment for previous period'!$G79, 0), 0)</f>
        <v>-0.20396865358991298</v>
      </c>
      <c r="M234" s="111">
        <f>IF(M$198&gt;0, IF(N$198=0, 'Adjustment for previous period'!$G79, 0), 0)</f>
        <v>0</v>
      </c>
      <c r="N234" s="111">
        <f>IF(N$198&gt;0, IF(O$198=0, 'Adjustment for previous period'!$G79, 0), 0)</f>
        <v>0</v>
      </c>
      <c r="O234" s="111">
        <f>IF(O$198&gt;0, IF(P$198=0, 'Adjustment for previous period'!$G79, 0), 0)</f>
        <v>0</v>
      </c>
      <c r="P234" s="111">
        <f>IF(P$198&gt;0, IF(Q$198=0, 'Adjustment for previous period'!$G79, 0), 0)</f>
        <v>0</v>
      </c>
      <c r="Q234" s="111">
        <f>IF(Q$198&gt;0, IF(R$198=0, 'Adjustment for previous period'!$G79, 0), 0)</f>
        <v>0</v>
      </c>
      <c r="R234" s="9"/>
      <c r="S234" s="12"/>
      <c r="T234" s="12"/>
      <c r="U234" s="12"/>
      <c r="V234" s="12"/>
      <c r="W234" s="12"/>
      <c r="X234" s="12"/>
      <c r="Y234" s="12"/>
      <c r="Z234" s="12"/>
      <c r="AA234" s="12"/>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220"/>
      <c r="BK234" s="220"/>
      <c r="BL234" s="220"/>
    </row>
    <row r="235" spans="1:64" ht="12" hidden="1" customHeight="1" outlineLevel="1">
      <c r="A235" s="9"/>
      <c r="B235" s="9"/>
      <c r="C235" s="9"/>
      <c r="D235" s="129" t="str">
        <f>Asset5</f>
        <v>Computer Equipment</v>
      </c>
      <c r="E235" s="9"/>
      <c r="F235" s="9"/>
      <c r="G235" s="9"/>
      <c r="H235" s="111"/>
      <c r="I235" s="111"/>
      <c r="J235" s="111"/>
      <c r="K235" s="111"/>
      <c r="L235" s="111">
        <f>IF(L$198&gt;0, IF(M$198=0, 'Adjustment for previous period'!$G80, 0), 0)</f>
        <v>-0.37811690253671565</v>
      </c>
      <c r="M235" s="111">
        <f>IF(M$198&gt;0, IF(N$198=0, 'Adjustment for previous period'!$G80, 0), 0)</f>
        <v>0</v>
      </c>
      <c r="N235" s="111">
        <f>IF(N$198&gt;0, IF(O$198=0, 'Adjustment for previous period'!$G80, 0), 0)</f>
        <v>0</v>
      </c>
      <c r="O235" s="111">
        <f>IF(O$198&gt;0, IF(P$198=0, 'Adjustment for previous period'!$G80, 0), 0)</f>
        <v>0</v>
      </c>
      <c r="P235" s="111">
        <f>IF(P$198&gt;0, IF(Q$198=0, 'Adjustment for previous period'!$G80, 0), 0)</f>
        <v>0</v>
      </c>
      <c r="Q235" s="111">
        <f>IF(Q$198&gt;0, IF(R$198=0, 'Adjustment for previous period'!$G80, 0), 0)</f>
        <v>0</v>
      </c>
      <c r="R235" s="9"/>
      <c r="S235" s="12"/>
      <c r="T235" s="12"/>
      <c r="U235" s="12"/>
      <c r="V235" s="12"/>
      <c r="W235" s="12"/>
      <c r="X235" s="12"/>
      <c r="Y235" s="12"/>
      <c r="Z235" s="12"/>
      <c r="AA235" s="12"/>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20"/>
      <c r="BK235" s="220"/>
      <c r="BL235" s="220"/>
    </row>
    <row r="236" spans="1:64" ht="12" hidden="1" customHeight="1" outlineLevel="1">
      <c r="A236" s="9"/>
      <c r="B236" s="9"/>
      <c r="C236" s="9"/>
      <c r="D236" s="129" t="str">
        <f>Asset6</f>
        <v>Other Assets</v>
      </c>
      <c r="E236" s="9"/>
      <c r="F236" s="9"/>
      <c r="G236" s="9"/>
      <c r="H236" s="111"/>
      <c r="I236" s="111"/>
      <c r="J236" s="111"/>
      <c r="K236" s="111"/>
      <c r="L236" s="111">
        <f>IF(L$198&gt;0, IF(M$198=0, 'Adjustment for previous period'!$G81, 0), 0)</f>
        <v>13.786361181378172</v>
      </c>
      <c r="M236" s="111">
        <f>IF(M$198&gt;0, IF(N$198=0, 'Adjustment for previous period'!$G81, 0), 0)</f>
        <v>0</v>
      </c>
      <c r="N236" s="111">
        <f>IF(N$198&gt;0, IF(O$198=0, 'Adjustment for previous period'!$G81, 0), 0)</f>
        <v>0</v>
      </c>
      <c r="O236" s="111">
        <f>IF(O$198&gt;0, IF(P$198=0, 'Adjustment for previous period'!$G81, 0), 0)</f>
        <v>0</v>
      </c>
      <c r="P236" s="111">
        <f>IF(P$198&gt;0, IF(Q$198=0, 'Adjustment for previous period'!$G81, 0), 0)</f>
        <v>0</v>
      </c>
      <c r="Q236" s="111">
        <f>IF(Q$198&gt;0, IF(R$198=0, 'Adjustment for previous period'!$G81, 0), 0)</f>
        <v>0</v>
      </c>
      <c r="R236" s="9"/>
      <c r="S236" s="12"/>
      <c r="T236" s="12"/>
      <c r="U236" s="12"/>
      <c r="V236" s="12"/>
      <c r="W236" s="12"/>
      <c r="X236" s="12"/>
      <c r="Y236" s="12"/>
      <c r="Z236" s="12"/>
      <c r="AA236" s="12"/>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20"/>
      <c r="BK236" s="220"/>
      <c r="BL236" s="220"/>
    </row>
    <row r="237" spans="1:64" ht="12" hidden="1" customHeight="1" outlineLevel="1">
      <c r="A237" s="9"/>
      <c r="B237" s="9"/>
      <c r="C237" s="9"/>
      <c r="D237" s="129" t="str">
        <f>Asset7</f>
        <v>Equity Raising Costs</v>
      </c>
      <c r="E237" s="9"/>
      <c r="F237" s="9"/>
      <c r="G237" s="9"/>
      <c r="H237" s="111"/>
      <c r="I237" s="111"/>
      <c r="J237" s="111"/>
      <c r="K237" s="111"/>
      <c r="L237" s="111">
        <f>IF(L$198&gt;0, IF(M$198=0, 'Adjustment for previous period'!$G82, 0), 0)</f>
        <v>0</v>
      </c>
      <c r="M237" s="111">
        <f>IF(M$198&gt;0, IF(N$198=0, 'Adjustment for previous period'!$G82, 0), 0)</f>
        <v>0</v>
      </c>
      <c r="N237" s="111">
        <f>IF(N$198&gt;0, IF(O$198=0, 'Adjustment for previous period'!$G82, 0), 0)</f>
        <v>0</v>
      </c>
      <c r="O237" s="111">
        <f>IF(O$198&gt;0, IF(P$198=0, 'Adjustment for previous period'!$G82, 0), 0)</f>
        <v>0</v>
      </c>
      <c r="P237" s="111">
        <f>IF(P$198&gt;0, IF(Q$198=0, 'Adjustment for previous period'!$G82, 0), 0)</f>
        <v>0</v>
      </c>
      <c r="Q237" s="111">
        <f>IF(Q$198&gt;0, IF(R$198=0, 'Adjustment for previous period'!$G82, 0), 0)</f>
        <v>0</v>
      </c>
      <c r="R237" s="9"/>
      <c r="S237" s="12"/>
      <c r="T237" s="12"/>
      <c r="U237" s="12"/>
      <c r="V237" s="12"/>
      <c r="W237" s="12"/>
      <c r="X237" s="12"/>
      <c r="Y237" s="12"/>
      <c r="Z237" s="12"/>
      <c r="AA237" s="12"/>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20"/>
      <c r="BK237" s="220"/>
      <c r="BL237" s="220"/>
    </row>
    <row r="238" spans="1:64" ht="12" hidden="1" customHeight="1" outlineLevel="1">
      <c r="A238" s="9"/>
      <c r="B238" s="9"/>
      <c r="C238" s="9"/>
      <c r="D238" s="129" t="str">
        <f>Asset8</f>
        <v>Land</v>
      </c>
      <c r="E238" s="9"/>
      <c r="F238" s="9"/>
      <c r="G238" s="9"/>
      <c r="H238" s="111"/>
      <c r="I238" s="111"/>
      <c r="J238" s="111"/>
      <c r="K238" s="111"/>
      <c r="L238" s="111">
        <f>IF(L$198&gt;0, IF(M$198=0, 'Adjustment for previous period'!$G83, 0), 0)</f>
        <v>0</v>
      </c>
      <c r="M238" s="111">
        <f>IF(M$198&gt;0, IF(N$198=0, 'Adjustment for previous period'!$G83, 0), 0)</f>
        <v>0</v>
      </c>
      <c r="N238" s="111">
        <f>IF(N$198&gt;0, IF(O$198=0, 'Adjustment for previous period'!$G83, 0), 0)</f>
        <v>0</v>
      </c>
      <c r="O238" s="111">
        <f>IF(O$198&gt;0, IF(P$198=0, 'Adjustment for previous period'!$G83, 0), 0)</f>
        <v>0</v>
      </c>
      <c r="P238" s="111">
        <f>IF(P$198&gt;0, IF(Q$198=0, 'Adjustment for previous period'!$G83, 0), 0)</f>
        <v>0</v>
      </c>
      <c r="Q238" s="111">
        <f>IF(Q$198&gt;0, IF(R$198=0, 'Adjustment for previous period'!$G83, 0), 0)</f>
        <v>0</v>
      </c>
      <c r="R238" s="9"/>
      <c r="S238" s="12"/>
      <c r="T238" s="12"/>
      <c r="U238" s="12"/>
      <c r="V238" s="12"/>
      <c r="W238" s="12"/>
      <c r="X238" s="12"/>
      <c r="Y238" s="12"/>
      <c r="Z238" s="12"/>
      <c r="AA238" s="12"/>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220"/>
      <c r="BK238" s="220"/>
      <c r="BL238" s="220"/>
    </row>
    <row r="239" spans="1:64" ht="12" hidden="1" customHeight="1" outlineLevel="1">
      <c r="A239" s="9"/>
      <c r="B239" s="9"/>
      <c r="C239" s="9"/>
      <c r="D239" s="129">
        <f>Asset9</f>
        <v>0</v>
      </c>
      <c r="E239" s="9"/>
      <c r="F239" s="9"/>
      <c r="G239" s="9"/>
      <c r="H239" s="111"/>
      <c r="I239" s="111"/>
      <c r="J239" s="111"/>
      <c r="K239" s="111"/>
      <c r="L239" s="111">
        <f>IF(L$198&gt;0, IF(M$198=0, 'Adjustment for previous period'!$G84, 0), 0)</f>
        <v>0</v>
      </c>
      <c r="M239" s="111">
        <f>IF(M$198&gt;0, IF(N$198=0, 'Adjustment for previous period'!$G84, 0), 0)</f>
        <v>0</v>
      </c>
      <c r="N239" s="111">
        <f>IF(N$198&gt;0, IF(O$198=0, 'Adjustment for previous period'!$G84, 0), 0)</f>
        <v>0</v>
      </c>
      <c r="O239" s="111">
        <f>IF(O$198&gt;0, IF(P$198=0, 'Adjustment for previous period'!$G84, 0), 0)</f>
        <v>0</v>
      </c>
      <c r="P239" s="111">
        <f>IF(P$198&gt;0, IF(Q$198=0, 'Adjustment for previous period'!$G84, 0), 0)</f>
        <v>0</v>
      </c>
      <c r="Q239" s="111">
        <f>IF(Q$198&gt;0, IF(R$198=0, 'Adjustment for previous period'!$G84, 0), 0)</f>
        <v>0</v>
      </c>
      <c r="R239" s="9"/>
      <c r="S239" s="12"/>
      <c r="T239" s="12"/>
      <c r="U239" s="12"/>
      <c r="V239" s="12"/>
      <c r="W239" s="12"/>
      <c r="X239" s="12"/>
      <c r="Y239" s="12"/>
      <c r="Z239" s="12"/>
      <c r="AA239" s="12"/>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220"/>
      <c r="BK239" s="220"/>
      <c r="BL239" s="220"/>
    </row>
    <row r="240" spans="1:64" ht="12" hidden="1" customHeight="1" outlineLevel="1">
      <c r="A240" s="9"/>
      <c r="B240" s="9"/>
      <c r="C240" s="9"/>
      <c r="D240" s="129">
        <f>Asset10</f>
        <v>0</v>
      </c>
      <c r="E240" s="9"/>
      <c r="F240" s="9"/>
      <c r="G240" s="9"/>
      <c r="H240" s="111"/>
      <c r="I240" s="111"/>
      <c r="J240" s="111"/>
      <c r="K240" s="111"/>
      <c r="L240" s="111">
        <f>IF(L$198&gt;0, IF(M$198=0, 'Adjustment for previous period'!$G85, 0), 0)</f>
        <v>0</v>
      </c>
      <c r="M240" s="111">
        <f>IF(M$198&gt;0, IF(N$198=0, 'Adjustment for previous period'!$G85, 0), 0)</f>
        <v>0</v>
      </c>
      <c r="N240" s="111">
        <f>IF(N$198&gt;0, IF(O$198=0, 'Adjustment for previous period'!$G85, 0), 0)</f>
        <v>0</v>
      </c>
      <c r="O240" s="111">
        <f>IF(O$198&gt;0, IF(P$198=0, 'Adjustment for previous period'!$G85, 0), 0)</f>
        <v>0</v>
      </c>
      <c r="P240" s="111">
        <f>IF(P$198&gt;0, IF(Q$198=0, 'Adjustment for previous period'!$G85, 0), 0)</f>
        <v>0</v>
      </c>
      <c r="Q240" s="111">
        <f>IF(Q$198&gt;0, IF(R$198=0, 'Adjustment for previous period'!$G85, 0), 0)</f>
        <v>0</v>
      </c>
      <c r="R240" s="9"/>
      <c r="S240" s="12"/>
      <c r="T240" s="12"/>
      <c r="U240" s="12"/>
      <c r="V240" s="12"/>
      <c r="W240" s="12"/>
      <c r="X240" s="12"/>
      <c r="Y240" s="12"/>
      <c r="Z240" s="12"/>
      <c r="AA240" s="12"/>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220"/>
      <c r="BK240" s="220"/>
      <c r="BL240" s="220"/>
    </row>
    <row r="241" spans="1:64" ht="12" hidden="1" customHeight="1" outlineLevel="1">
      <c r="A241" s="9"/>
      <c r="B241" s="9"/>
      <c r="C241" s="9"/>
      <c r="D241" s="129">
        <f>Asset11</f>
        <v>0</v>
      </c>
      <c r="E241" s="9"/>
      <c r="F241" s="9"/>
      <c r="G241" s="9"/>
      <c r="H241" s="111"/>
      <c r="I241" s="111"/>
      <c r="J241" s="111"/>
      <c r="K241" s="111"/>
      <c r="L241" s="111">
        <f>IF(L$198&gt;0, IF(M$198=0, 'Adjustment for previous period'!$G86, 0), 0)</f>
        <v>0</v>
      </c>
      <c r="M241" s="111">
        <f>IF(M$198&gt;0, IF(N$198=0, 'Adjustment for previous period'!$G86, 0), 0)</f>
        <v>0</v>
      </c>
      <c r="N241" s="111">
        <f>IF(N$198&gt;0, IF(O$198=0, 'Adjustment for previous period'!$G86, 0), 0)</f>
        <v>0</v>
      </c>
      <c r="O241" s="111">
        <f>IF(O$198&gt;0, IF(P$198=0, 'Adjustment for previous period'!$G86, 0), 0)</f>
        <v>0</v>
      </c>
      <c r="P241" s="111">
        <f>IF(P$198&gt;0, IF(Q$198=0, 'Adjustment for previous period'!$G86, 0), 0)</f>
        <v>0</v>
      </c>
      <c r="Q241" s="111">
        <f>IF(Q$198&gt;0, IF(R$198=0, 'Adjustment for previous period'!$G86, 0), 0)</f>
        <v>0</v>
      </c>
      <c r="R241" s="9"/>
      <c r="S241" s="12"/>
      <c r="T241" s="12"/>
      <c r="U241" s="12"/>
      <c r="V241" s="12"/>
      <c r="W241" s="12"/>
      <c r="X241" s="12"/>
      <c r="Y241" s="12"/>
      <c r="Z241" s="12"/>
      <c r="AA241" s="12"/>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0"/>
      <c r="BK241" s="220"/>
      <c r="BL241" s="220"/>
    </row>
    <row r="242" spans="1:64" ht="12" hidden="1" customHeight="1" outlineLevel="1">
      <c r="A242" s="9"/>
      <c r="B242" s="9"/>
      <c r="C242" s="9"/>
      <c r="D242" s="129">
        <f>Asset12</f>
        <v>0</v>
      </c>
      <c r="E242" s="9"/>
      <c r="F242" s="9"/>
      <c r="G242" s="9"/>
      <c r="H242" s="111"/>
      <c r="I242" s="111"/>
      <c r="J242" s="111"/>
      <c r="K242" s="111"/>
      <c r="L242" s="111">
        <f>IF(L$198&gt;0, IF(M$198=0, 'Adjustment for previous period'!$G87, 0), 0)</f>
        <v>0</v>
      </c>
      <c r="M242" s="111">
        <f>IF(M$198&gt;0, IF(N$198=0, 'Adjustment for previous period'!$G87, 0), 0)</f>
        <v>0</v>
      </c>
      <c r="N242" s="111">
        <f>IF(N$198&gt;0, IF(O$198=0, 'Adjustment for previous period'!$G87, 0), 0)</f>
        <v>0</v>
      </c>
      <c r="O242" s="111">
        <f>IF(O$198&gt;0, IF(P$198=0, 'Adjustment for previous period'!$G87, 0), 0)</f>
        <v>0</v>
      </c>
      <c r="P242" s="111">
        <f>IF(P$198&gt;0, IF(Q$198=0, 'Adjustment for previous period'!$G87, 0), 0)</f>
        <v>0</v>
      </c>
      <c r="Q242" s="111">
        <f>IF(Q$198&gt;0, IF(R$198=0, 'Adjustment for previous period'!$G87, 0), 0)</f>
        <v>0</v>
      </c>
      <c r="R242" s="9"/>
      <c r="S242" s="12"/>
      <c r="T242" s="12"/>
      <c r="U242" s="12"/>
      <c r="V242" s="12"/>
      <c r="W242" s="12"/>
      <c r="X242" s="12"/>
      <c r="Y242" s="12"/>
      <c r="Z242" s="12"/>
      <c r="AA242" s="12"/>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0"/>
      <c r="BK242" s="220"/>
      <c r="BL242" s="220"/>
    </row>
    <row r="243" spans="1:64" ht="12" hidden="1" customHeight="1" outlineLevel="1">
      <c r="A243" s="9"/>
      <c r="B243" s="9"/>
      <c r="C243" s="9"/>
      <c r="D243" s="129">
        <f>Asset13</f>
        <v>0</v>
      </c>
      <c r="E243" s="9"/>
      <c r="F243" s="9"/>
      <c r="G243" s="9"/>
      <c r="H243" s="111"/>
      <c r="I243" s="111"/>
      <c r="J243" s="111"/>
      <c r="K243" s="111"/>
      <c r="L243" s="111">
        <f>IF(L$198&gt;0, IF(M$198=0, 'Adjustment for previous period'!$G88, 0), 0)</f>
        <v>0</v>
      </c>
      <c r="M243" s="111">
        <f>IF(M$198&gt;0, IF(N$198=0, 'Adjustment for previous period'!$G88, 0), 0)</f>
        <v>0</v>
      </c>
      <c r="N243" s="111">
        <f>IF(N$198&gt;0, IF(O$198=0, 'Adjustment for previous period'!$G88, 0), 0)</f>
        <v>0</v>
      </c>
      <c r="O243" s="111">
        <f>IF(O$198&gt;0, IF(P$198=0, 'Adjustment for previous period'!$G88, 0), 0)</f>
        <v>0</v>
      </c>
      <c r="P243" s="111">
        <f>IF(P$198&gt;0, IF(Q$198=0, 'Adjustment for previous period'!$G88, 0), 0)</f>
        <v>0</v>
      </c>
      <c r="Q243" s="111">
        <f>IF(Q$198&gt;0, IF(R$198=0, 'Adjustment for previous period'!$G88, 0), 0)</f>
        <v>0</v>
      </c>
      <c r="R243" s="9"/>
      <c r="S243" s="12"/>
      <c r="T243" s="12"/>
      <c r="U243" s="12"/>
      <c r="V243" s="12"/>
      <c r="W243" s="12"/>
      <c r="X243" s="12"/>
      <c r="Y243" s="12"/>
      <c r="Z243" s="12"/>
      <c r="AA243" s="12"/>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20"/>
      <c r="BK243" s="220"/>
      <c r="BL243" s="220"/>
    </row>
    <row r="244" spans="1:64" ht="12" hidden="1" customHeight="1" outlineLevel="1">
      <c r="A244" s="9"/>
      <c r="B244" s="9"/>
      <c r="C244" s="9"/>
      <c r="D244" s="129">
        <f>Asset14</f>
        <v>0</v>
      </c>
      <c r="E244" s="9"/>
      <c r="F244" s="9"/>
      <c r="G244" s="9"/>
      <c r="H244" s="111"/>
      <c r="I244" s="111"/>
      <c r="J244" s="111"/>
      <c r="K244" s="111"/>
      <c r="L244" s="111">
        <f>IF(L$198&gt;0, IF(M$198=0, 'Adjustment for previous period'!$G89, 0), 0)</f>
        <v>0</v>
      </c>
      <c r="M244" s="111">
        <f>IF(M$198&gt;0, IF(N$198=0, 'Adjustment for previous period'!$G89, 0), 0)</f>
        <v>0</v>
      </c>
      <c r="N244" s="111">
        <f>IF(N$198&gt;0, IF(O$198=0, 'Adjustment for previous period'!$G89, 0), 0)</f>
        <v>0</v>
      </c>
      <c r="O244" s="111">
        <f>IF(O$198&gt;0, IF(P$198=0, 'Adjustment for previous period'!$G89, 0), 0)</f>
        <v>0</v>
      </c>
      <c r="P244" s="111">
        <f>IF(P$198&gt;0, IF(Q$198=0, 'Adjustment for previous period'!$G89, 0), 0)</f>
        <v>0</v>
      </c>
      <c r="Q244" s="111">
        <f>IF(Q$198&gt;0, IF(R$198=0, 'Adjustment for previous period'!$G89, 0), 0)</f>
        <v>0</v>
      </c>
      <c r="R244" s="9"/>
      <c r="S244" s="12"/>
      <c r="T244" s="12"/>
      <c r="U244" s="12"/>
      <c r="V244" s="12"/>
      <c r="W244" s="12"/>
      <c r="X244" s="12"/>
      <c r="Y244" s="12"/>
      <c r="Z244" s="12"/>
      <c r="AA244" s="12"/>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20"/>
      <c r="BK244" s="220"/>
      <c r="BL244" s="220"/>
    </row>
    <row r="245" spans="1:64" ht="12" hidden="1" customHeight="1" outlineLevel="1">
      <c r="A245" s="9"/>
      <c r="B245" s="9"/>
      <c r="C245" s="9"/>
      <c r="D245" s="129">
        <f>Asset15</f>
        <v>0</v>
      </c>
      <c r="E245" s="9"/>
      <c r="F245" s="9"/>
      <c r="G245" s="9"/>
      <c r="H245" s="111"/>
      <c r="I245" s="111"/>
      <c r="J245" s="111"/>
      <c r="K245" s="111"/>
      <c r="L245" s="111">
        <f>IF(L$198&gt;0, IF(M$198=0, 'Adjustment for previous period'!$G90, 0), 0)</f>
        <v>0</v>
      </c>
      <c r="M245" s="111">
        <f>IF(M$198&gt;0, IF(N$198=0, 'Adjustment for previous period'!$G90, 0), 0)</f>
        <v>0</v>
      </c>
      <c r="N245" s="111">
        <f>IF(N$198&gt;0, IF(O$198=0, 'Adjustment for previous period'!$G90, 0), 0)</f>
        <v>0</v>
      </c>
      <c r="O245" s="111">
        <f>IF(O$198&gt;0, IF(P$198=0, 'Adjustment for previous period'!$G90, 0), 0)</f>
        <v>0</v>
      </c>
      <c r="P245" s="111">
        <f>IF(P$198&gt;0, IF(Q$198=0, 'Adjustment for previous period'!$G90, 0), 0)</f>
        <v>0</v>
      </c>
      <c r="Q245" s="111">
        <f>IF(Q$198&gt;0, IF(R$198=0, 'Adjustment for previous period'!$G90, 0), 0)</f>
        <v>0</v>
      </c>
      <c r="R245" s="9"/>
      <c r="S245" s="12"/>
      <c r="T245" s="12"/>
      <c r="U245" s="12"/>
      <c r="V245" s="12"/>
      <c r="W245" s="12"/>
      <c r="X245" s="12"/>
      <c r="Y245" s="12"/>
      <c r="Z245" s="12"/>
      <c r="AA245" s="12"/>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row>
    <row r="246" spans="1:64" ht="12" hidden="1" customHeight="1" outlineLevel="1">
      <c r="A246" s="9"/>
      <c r="B246" s="9"/>
      <c r="C246" s="9"/>
      <c r="D246" s="129">
        <f>Asset16</f>
        <v>0</v>
      </c>
      <c r="E246" s="9"/>
      <c r="F246" s="9"/>
      <c r="G246" s="9"/>
      <c r="H246" s="111"/>
      <c r="I246" s="111"/>
      <c r="J246" s="111"/>
      <c r="K246" s="111"/>
      <c r="L246" s="111">
        <f>IF(L$198&gt;0, IF(M$198=0, 'Adjustment for previous period'!$G91, 0), 0)</f>
        <v>0</v>
      </c>
      <c r="M246" s="111">
        <f>IF(M$198&gt;0, IF(N$198=0, 'Adjustment for previous period'!$G91, 0), 0)</f>
        <v>0</v>
      </c>
      <c r="N246" s="111">
        <f>IF(N$198&gt;0, IF(O$198=0, 'Adjustment for previous period'!$G91, 0), 0)</f>
        <v>0</v>
      </c>
      <c r="O246" s="111">
        <f>IF(O$198&gt;0, IF(P$198=0, 'Adjustment for previous period'!$G91, 0), 0)</f>
        <v>0</v>
      </c>
      <c r="P246" s="111">
        <f>IF(P$198&gt;0, IF(Q$198=0, 'Adjustment for previous period'!$G91, 0), 0)</f>
        <v>0</v>
      </c>
      <c r="Q246" s="111">
        <f>IF(Q$198&gt;0, IF(R$198=0, 'Adjustment for previous period'!$G91, 0), 0)</f>
        <v>0</v>
      </c>
      <c r="R246" s="9"/>
      <c r="S246" s="12"/>
      <c r="T246" s="12"/>
      <c r="U246" s="12"/>
      <c r="V246" s="12"/>
      <c r="W246" s="12"/>
      <c r="X246" s="12"/>
      <c r="Y246" s="12"/>
      <c r="Z246" s="12"/>
      <c r="AA246" s="12"/>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row>
    <row r="247" spans="1:64" ht="12" hidden="1" customHeight="1" outlineLevel="1">
      <c r="A247" s="9"/>
      <c r="B247" s="9"/>
      <c r="C247" s="9"/>
      <c r="D247" s="129">
        <f>Asset17</f>
        <v>0</v>
      </c>
      <c r="E247" s="9"/>
      <c r="F247" s="9"/>
      <c r="G247" s="9"/>
      <c r="H247" s="111"/>
      <c r="I247" s="111"/>
      <c r="J247" s="111"/>
      <c r="K247" s="111"/>
      <c r="L247" s="111">
        <f>IF(L$198&gt;0, IF(M$198=0, 'Adjustment for previous period'!$G92, 0), 0)</f>
        <v>0</v>
      </c>
      <c r="M247" s="111">
        <f>IF(M$198&gt;0, IF(N$198=0, 'Adjustment for previous period'!$G92, 0), 0)</f>
        <v>0</v>
      </c>
      <c r="N247" s="111">
        <f>IF(N$198&gt;0, IF(O$198=0, 'Adjustment for previous period'!$G92, 0), 0)</f>
        <v>0</v>
      </c>
      <c r="O247" s="111">
        <f>IF(O$198&gt;0, IF(P$198=0, 'Adjustment for previous period'!$G92, 0), 0)</f>
        <v>0</v>
      </c>
      <c r="P247" s="111">
        <f>IF(P$198&gt;0, IF(Q$198=0, 'Adjustment for previous period'!$G92, 0), 0)</f>
        <v>0</v>
      </c>
      <c r="Q247" s="111">
        <f>IF(Q$198&gt;0, IF(R$198=0, 'Adjustment for previous period'!$G92, 0), 0)</f>
        <v>0</v>
      </c>
      <c r="R247" s="9"/>
      <c r="S247" s="12"/>
      <c r="T247" s="12"/>
      <c r="U247" s="12"/>
      <c r="V247" s="12"/>
      <c r="W247" s="12"/>
      <c r="X247" s="12"/>
      <c r="Y247" s="12"/>
      <c r="Z247" s="12"/>
      <c r="AA247" s="12"/>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row>
    <row r="248" spans="1:64" ht="12" hidden="1" customHeight="1" outlineLevel="1">
      <c r="A248" s="9"/>
      <c r="B248" s="9"/>
      <c r="C248" s="9"/>
      <c r="D248" s="129">
        <f>Asset18</f>
        <v>0</v>
      </c>
      <c r="E248" s="9"/>
      <c r="F248" s="9"/>
      <c r="G248" s="9"/>
      <c r="H248" s="111"/>
      <c r="I248" s="111"/>
      <c r="J248" s="111"/>
      <c r="K248" s="111"/>
      <c r="L248" s="111">
        <f>IF(L$198&gt;0, IF(M$198=0, 'Adjustment for previous period'!$G93, 0), 0)</f>
        <v>0</v>
      </c>
      <c r="M248" s="111">
        <f>IF(M$198&gt;0, IF(N$198=0, 'Adjustment for previous period'!$G93, 0), 0)</f>
        <v>0</v>
      </c>
      <c r="N248" s="111">
        <f>IF(N$198&gt;0, IF(O$198=0, 'Adjustment for previous period'!$G93, 0), 0)</f>
        <v>0</v>
      </c>
      <c r="O248" s="111">
        <f>IF(O$198&gt;0, IF(P$198=0, 'Adjustment for previous period'!$G93, 0), 0)</f>
        <v>0</v>
      </c>
      <c r="P248" s="111">
        <f>IF(P$198&gt;0, IF(Q$198=0, 'Adjustment for previous period'!$G93, 0), 0)</f>
        <v>0</v>
      </c>
      <c r="Q248" s="111">
        <f>IF(Q$198&gt;0, IF(R$198=0, 'Adjustment for previous period'!$G93, 0), 0)</f>
        <v>0</v>
      </c>
      <c r="R248" s="9"/>
      <c r="S248" s="12"/>
      <c r="T248" s="12"/>
      <c r="U248" s="12"/>
      <c r="V248" s="12"/>
      <c r="W248" s="12"/>
      <c r="X248" s="12"/>
      <c r="Y248" s="12"/>
      <c r="Z248" s="12"/>
      <c r="AA248" s="12"/>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row>
    <row r="249" spans="1:64" ht="12" hidden="1" customHeight="1" outlineLevel="1">
      <c r="A249" s="9"/>
      <c r="B249" s="9"/>
      <c r="C249" s="9"/>
      <c r="D249" s="129">
        <f>Asset19</f>
        <v>0</v>
      </c>
      <c r="E249" s="9"/>
      <c r="F249" s="9"/>
      <c r="G249" s="9"/>
      <c r="H249" s="111"/>
      <c r="I249" s="111"/>
      <c r="J249" s="111"/>
      <c r="K249" s="111"/>
      <c r="L249" s="111">
        <f>IF(L$198&gt;0, IF(M$198=0, 'Adjustment for previous period'!$G94, 0), 0)</f>
        <v>0</v>
      </c>
      <c r="M249" s="111">
        <f>IF(M$198&gt;0, IF(N$198=0, 'Adjustment for previous period'!$G94, 0), 0)</f>
        <v>0</v>
      </c>
      <c r="N249" s="111">
        <f>IF(N$198&gt;0, IF(O$198=0, 'Adjustment for previous period'!$G94, 0), 0)</f>
        <v>0</v>
      </c>
      <c r="O249" s="111">
        <f>IF(O$198&gt;0, IF(P$198=0, 'Adjustment for previous period'!$G94, 0), 0)</f>
        <v>0</v>
      </c>
      <c r="P249" s="111">
        <f>IF(P$198&gt;0, IF(Q$198=0, 'Adjustment for previous period'!$G94, 0), 0)</f>
        <v>0</v>
      </c>
      <c r="Q249" s="111">
        <f>IF(Q$198&gt;0, IF(R$198=0, 'Adjustment for previous period'!$G94, 0), 0)</f>
        <v>0</v>
      </c>
      <c r="R249" s="9"/>
      <c r="S249" s="12"/>
      <c r="T249" s="12"/>
      <c r="U249" s="12"/>
      <c r="V249" s="12"/>
      <c r="W249" s="12"/>
      <c r="X249" s="12"/>
      <c r="Y249" s="12"/>
      <c r="Z249" s="12"/>
      <c r="AA249" s="12"/>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row>
    <row r="250" spans="1:64" ht="12" hidden="1" customHeight="1" outlineLevel="1">
      <c r="A250" s="9"/>
      <c r="B250" s="9"/>
      <c r="C250" s="9"/>
      <c r="D250" s="129">
        <f>Asset20</f>
        <v>0</v>
      </c>
      <c r="E250" s="9"/>
      <c r="F250" s="9"/>
      <c r="G250" s="9"/>
      <c r="H250" s="111"/>
      <c r="I250" s="111"/>
      <c r="J250" s="111"/>
      <c r="K250" s="111"/>
      <c r="L250" s="111">
        <f>IF(L$198&gt;0, IF(M$198=0, 'Adjustment for previous period'!$G95, 0), 0)</f>
        <v>0</v>
      </c>
      <c r="M250" s="111">
        <f>IF(M$198&gt;0, IF(N$198=0, 'Adjustment for previous period'!$G95, 0), 0)</f>
        <v>0</v>
      </c>
      <c r="N250" s="111">
        <f>IF(N$198&gt;0, IF(O$198=0, 'Adjustment for previous period'!$G95, 0), 0)</f>
        <v>0</v>
      </c>
      <c r="O250" s="111">
        <f>IF(O$198&gt;0, IF(P$198=0, 'Adjustment for previous period'!$G95, 0), 0)</f>
        <v>0</v>
      </c>
      <c r="P250" s="111">
        <f>IF(P$198&gt;0, IF(Q$198=0, 'Adjustment for previous period'!$G95, 0), 0)</f>
        <v>0</v>
      </c>
      <c r="Q250" s="111">
        <f>IF(Q$198&gt;0, IF(R$198=0, 'Adjustment for previous period'!$G95, 0), 0)</f>
        <v>0</v>
      </c>
      <c r="R250" s="9"/>
      <c r="S250" s="12"/>
      <c r="T250" s="12"/>
      <c r="U250" s="12"/>
      <c r="V250" s="12"/>
      <c r="W250" s="12"/>
      <c r="X250" s="12"/>
      <c r="Y250" s="12"/>
      <c r="Z250" s="12"/>
      <c r="AA250" s="12"/>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row>
    <row r="251" spans="1:64" ht="12" hidden="1" customHeight="1" outlineLevel="1">
      <c r="A251" s="9"/>
      <c r="B251" s="9"/>
      <c r="C251" s="9"/>
      <c r="D251" s="129">
        <f>Asset21</f>
        <v>0</v>
      </c>
      <c r="E251" s="9"/>
      <c r="F251" s="9"/>
      <c r="G251" s="9"/>
      <c r="H251" s="111"/>
      <c r="I251" s="111"/>
      <c r="J251" s="111"/>
      <c r="K251" s="111"/>
      <c r="L251" s="111">
        <f>IF(L$198&gt;0, IF(M$198=0, 'Adjustment for previous period'!$G96, 0), 0)</f>
        <v>0</v>
      </c>
      <c r="M251" s="111">
        <f>IF(M$198&gt;0, IF(N$198=0, 'Adjustment for previous period'!$G96, 0), 0)</f>
        <v>0</v>
      </c>
      <c r="N251" s="111">
        <f>IF(N$198&gt;0, IF(O$198=0, 'Adjustment for previous period'!$G96, 0), 0)</f>
        <v>0</v>
      </c>
      <c r="O251" s="111">
        <f>IF(O$198&gt;0, IF(P$198=0, 'Adjustment for previous period'!$G96, 0), 0)</f>
        <v>0</v>
      </c>
      <c r="P251" s="111">
        <f>IF(P$198&gt;0, IF(Q$198=0, 'Adjustment for previous period'!$G96, 0), 0)</f>
        <v>0</v>
      </c>
      <c r="Q251" s="111">
        <f>IF(Q$198&gt;0, IF(R$198=0, 'Adjustment for previous period'!$G96, 0), 0)</f>
        <v>0</v>
      </c>
      <c r="R251" s="9"/>
      <c r="S251" s="12"/>
      <c r="T251" s="12"/>
      <c r="U251" s="12"/>
      <c r="V251" s="12"/>
      <c r="W251" s="12"/>
      <c r="X251" s="12"/>
      <c r="Y251" s="12"/>
      <c r="Z251" s="12"/>
      <c r="AA251" s="12"/>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row>
    <row r="252" spans="1:64" ht="12" hidden="1" customHeight="1" outlineLevel="1">
      <c r="A252" s="9"/>
      <c r="B252" s="9"/>
      <c r="C252" s="9"/>
      <c r="D252" s="129">
        <f>Asset22</f>
        <v>0</v>
      </c>
      <c r="E252" s="9"/>
      <c r="F252" s="9"/>
      <c r="G252" s="9"/>
      <c r="H252" s="111"/>
      <c r="I252" s="111"/>
      <c r="J252" s="111"/>
      <c r="K252" s="111"/>
      <c r="L252" s="111">
        <f>IF(L$198&gt;0, IF(M$198=0, 'Adjustment for previous period'!$G97, 0), 0)</f>
        <v>0</v>
      </c>
      <c r="M252" s="111">
        <f>IF(M$198&gt;0, IF(N$198=0, 'Adjustment for previous period'!$G97, 0), 0)</f>
        <v>0</v>
      </c>
      <c r="N252" s="111">
        <f>IF(N$198&gt;0, IF(O$198=0, 'Adjustment for previous period'!$G97, 0), 0)</f>
        <v>0</v>
      </c>
      <c r="O252" s="111">
        <f>IF(O$198&gt;0, IF(P$198=0, 'Adjustment for previous period'!$G97, 0), 0)</f>
        <v>0</v>
      </c>
      <c r="P252" s="111">
        <f>IF(P$198&gt;0, IF(Q$198=0, 'Adjustment for previous period'!$G97, 0), 0)</f>
        <v>0</v>
      </c>
      <c r="Q252" s="111">
        <f>IF(Q$198&gt;0, IF(R$198=0, 'Adjustment for previous period'!$G97, 0), 0)</f>
        <v>0</v>
      </c>
      <c r="R252" s="9"/>
      <c r="S252" s="12"/>
      <c r="T252" s="12"/>
      <c r="U252" s="12"/>
      <c r="V252" s="12"/>
      <c r="W252" s="12"/>
      <c r="X252" s="12"/>
      <c r="Y252" s="12"/>
      <c r="Z252" s="12"/>
      <c r="AA252" s="12"/>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row>
    <row r="253" spans="1:64" ht="12" hidden="1" customHeight="1" outlineLevel="1">
      <c r="A253" s="9"/>
      <c r="B253" s="9"/>
      <c r="C253" s="9"/>
      <c r="D253" s="129">
        <f>Asset23</f>
        <v>0</v>
      </c>
      <c r="E253" s="9"/>
      <c r="F253" s="9"/>
      <c r="G253" s="9"/>
      <c r="H253" s="111"/>
      <c r="I253" s="111"/>
      <c r="J253" s="111"/>
      <c r="K253" s="111"/>
      <c r="L253" s="111">
        <f>IF(L$198&gt;0, IF(M$198=0, 'Adjustment for previous period'!$G98, 0), 0)</f>
        <v>0</v>
      </c>
      <c r="M253" s="111">
        <f>IF(M$198&gt;0, IF(N$198=0, 'Adjustment for previous period'!$G98, 0), 0)</f>
        <v>0</v>
      </c>
      <c r="N253" s="111">
        <f>IF(N$198&gt;0, IF(O$198=0, 'Adjustment for previous period'!$G98, 0), 0)</f>
        <v>0</v>
      </c>
      <c r="O253" s="111">
        <f>IF(O$198&gt;0, IF(P$198=0, 'Adjustment for previous period'!$G98, 0), 0)</f>
        <v>0</v>
      </c>
      <c r="P253" s="111">
        <f>IF(P$198&gt;0, IF(Q$198=0, 'Adjustment for previous period'!$G98, 0), 0)</f>
        <v>0</v>
      </c>
      <c r="Q253" s="111">
        <f>IF(Q$198&gt;0, IF(R$198=0, 'Adjustment for previous period'!$G98, 0), 0)</f>
        <v>0</v>
      </c>
      <c r="R253" s="9"/>
      <c r="S253" s="12"/>
      <c r="T253" s="12"/>
      <c r="U253" s="12"/>
      <c r="V253" s="12"/>
      <c r="W253" s="12"/>
      <c r="X253" s="12"/>
      <c r="Y253" s="12"/>
      <c r="Z253" s="12"/>
      <c r="AA253" s="12"/>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row>
    <row r="254" spans="1:64" ht="12" hidden="1" customHeight="1" outlineLevel="1">
      <c r="A254" s="9"/>
      <c r="B254" s="9"/>
      <c r="C254" s="9"/>
      <c r="D254" s="129">
        <f>Asset24</f>
        <v>0</v>
      </c>
      <c r="E254" s="9"/>
      <c r="F254" s="9"/>
      <c r="G254" s="9"/>
      <c r="H254" s="111"/>
      <c r="I254" s="111"/>
      <c r="J254" s="111"/>
      <c r="K254" s="111"/>
      <c r="L254" s="111">
        <f>IF(L$198&gt;0, IF(M$198=0, 'Adjustment for previous period'!$G99, 0), 0)</f>
        <v>0</v>
      </c>
      <c r="M254" s="111">
        <f>IF(M$198&gt;0, IF(N$198=0, 'Adjustment for previous period'!$G99, 0), 0)</f>
        <v>0</v>
      </c>
      <c r="N254" s="111">
        <f>IF(N$198&gt;0, IF(O$198=0, 'Adjustment for previous period'!$G99, 0), 0)</f>
        <v>0</v>
      </c>
      <c r="O254" s="111">
        <f>IF(O$198&gt;0, IF(P$198=0, 'Adjustment for previous period'!$G99, 0), 0)</f>
        <v>0</v>
      </c>
      <c r="P254" s="111">
        <f>IF(P$198&gt;0, IF(Q$198=0, 'Adjustment for previous period'!$G99, 0), 0)</f>
        <v>0</v>
      </c>
      <c r="Q254" s="111">
        <f>IF(Q$198&gt;0, IF(R$198=0, 'Adjustment for previous period'!$G99, 0), 0)</f>
        <v>0</v>
      </c>
      <c r="R254" s="9"/>
      <c r="S254" s="12"/>
      <c r="T254" s="12"/>
      <c r="U254" s="12"/>
      <c r="V254" s="12"/>
      <c r="W254" s="12"/>
      <c r="X254" s="12"/>
      <c r="Y254" s="12"/>
      <c r="Z254" s="12"/>
      <c r="AA254" s="12"/>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row>
    <row r="255" spans="1:64" ht="12" hidden="1" customHeight="1" outlineLevel="1">
      <c r="A255" s="9"/>
      <c r="B255" s="9"/>
      <c r="C255" s="9"/>
      <c r="D255" s="129">
        <f>Asset25</f>
        <v>0</v>
      </c>
      <c r="E255" s="9"/>
      <c r="F255" s="9"/>
      <c r="G255" s="9"/>
      <c r="H255" s="111"/>
      <c r="I255" s="111"/>
      <c r="J255" s="111"/>
      <c r="K255" s="111"/>
      <c r="L255" s="111">
        <f>IF(L$198&gt;0, IF(M$198=0, 'Adjustment for previous period'!$G100, 0), 0)</f>
        <v>0</v>
      </c>
      <c r="M255" s="111">
        <f>IF(M$198&gt;0, IF(N$198=0, 'Adjustment for previous period'!$G100, 0), 0)</f>
        <v>0</v>
      </c>
      <c r="N255" s="111">
        <f>IF(N$198&gt;0, IF(O$198=0, 'Adjustment for previous period'!$G100, 0), 0)</f>
        <v>0</v>
      </c>
      <c r="O255" s="111">
        <f>IF(O$198&gt;0, IF(P$198=0, 'Adjustment for previous period'!$G100, 0), 0)</f>
        <v>0</v>
      </c>
      <c r="P255" s="111">
        <f>IF(P$198&gt;0, IF(Q$198=0, 'Adjustment for previous period'!$G100, 0), 0)</f>
        <v>0</v>
      </c>
      <c r="Q255" s="111">
        <f>IF(Q$198&gt;0, IF(R$198=0, 'Adjustment for previous period'!$G100, 0), 0)</f>
        <v>0</v>
      </c>
      <c r="R255" s="9"/>
      <c r="S255" s="12"/>
      <c r="T255" s="12"/>
      <c r="U255" s="12"/>
      <c r="V255" s="12"/>
      <c r="W255" s="12"/>
      <c r="X255" s="12"/>
      <c r="Y255" s="12"/>
      <c r="Z255" s="12"/>
      <c r="AA255" s="12"/>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row>
    <row r="256" spans="1:64" ht="12" hidden="1" customHeight="1" outlineLevel="1">
      <c r="A256" s="9"/>
      <c r="B256" s="9"/>
      <c r="C256" s="9"/>
      <c r="D256" s="129">
        <f>Asset26</f>
        <v>0</v>
      </c>
      <c r="E256" s="9"/>
      <c r="F256" s="9"/>
      <c r="G256" s="9"/>
      <c r="H256" s="111"/>
      <c r="I256" s="111"/>
      <c r="J256" s="111"/>
      <c r="K256" s="111"/>
      <c r="L256" s="111">
        <f>IF(L$198&gt;0, IF(M$198=0, 'Adjustment for previous period'!$G101, 0), 0)</f>
        <v>0</v>
      </c>
      <c r="M256" s="111">
        <f>IF(M$198&gt;0, IF(N$198=0, 'Adjustment for previous period'!$G101, 0), 0)</f>
        <v>0</v>
      </c>
      <c r="N256" s="111">
        <f>IF(N$198&gt;0, IF(O$198=0, 'Adjustment for previous period'!$G101, 0), 0)</f>
        <v>0</v>
      </c>
      <c r="O256" s="111">
        <f>IF(O$198&gt;0, IF(P$198=0, 'Adjustment for previous period'!$G101, 0), 0)</f>
        <v>0</v>
      </c>
      <c r="P256" s="111">
        <f>IF(P$198&gt;0, IF(Q$198=0, 'Adjustment for previous period'!$G101, 0), 0)</f>
        <v>0</v>
      </c>
      <c r="Q256" s="111">
        <f>IF(Q$198&gt;0, IF(R$198=0, 'Adjustment for previous period'!$G101, 0), 0)</f>
        <v>0</v>
      </c>
      <c r="R256" s="9"/>
      <c r="S256" s="12"/>
      <c r="T256" s="12"/>
      <c r="U256" s="12"/>
      <c r="V256" s="12"/>
      <c r="W256" s="12"/>
      <c r="X256" s="12"/>
      <c r="Y256" s="12"/>
      <c r="Z256" s="12"/>
      <c r="AA256" s="12"/>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row>
    <row r="257" spans="1:64" ht="12" hidden="1" customHeight="1" outlineLevel="1">
      <c r="A257" s="9"/>
      <c r="B257" s="9"/>
      <c r="C257" s="9"/>
      <c r="D257" s="129">
        <f>Asset27</f>
        <v>0</v>
      </c>
      <c r="E257" s="9"/>
      <c r="F257" s="9"/>
      <c r="G257" s="9"/>
      <c r="H257" s="111"/>
      <c r="I257" s="111"/>
      <c r="J257" s="111"/>
      <c r="K257" s="111"/>
      <c r="L257" s="111">
        <f>IF(L$198&gt;0, IF(M$198=0, 'Adjustment for previous period'!$G102, 0), 0)</f>
        <v>0</v>
      </c>
      <c r="M257" s="111">
        <f>IF(M$198&gt;0, IF(N$198=0, 'Adjustment for previous period'!$G102, 0), 0)</f>
        <v>0</v>
      </c>
      <c r="N257" s="111">
        <f>IF(N$198&gt;0, IF(O$198=0, 'Adjustment for previous period'!$G102, 0), 0)</f>
        <v>0</v>
      </c>
      <c r="O257" s="111">
        <f>IF(O$198&gt;0, IF(P$198=0, 'Adjustment for previous period'!$G102, 0), 0)</f>
        <v>0</v>
      </c>
      <c r="P257" s="111">
        <f>IF(P$198&gt;0, IF(Q$198=0, 'Adjustment for previous period'!$G102, 0), 0)</f>
        <v>0</v>
      </c>
      <c r="Q257" s="111">
        <f>IF(Q$198&gt;0, IF(R$198=0, 'Adjustment for previous period'!$G102, 0), 0)</f>
        <v>0</v>
      </c>
      <c r="R257" s="9"/>
      <c r="S257" s="12"/>
      <c r="T257" s="12"/>
      <c r="U257" s="12"/>
      <c r="V257" s="12"/>
      <c r="W257" s="12"/>
      <c r="X257" s="12"/>
      <c r="Y257" s="12"/>
      <c r="Z257" s="12"/>
      <c r="AA257" s="12"/>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row>
    <row r="258" spans="1:64" ht="12" hidden="1" customHeight="1" outlineLevel="1">
      <c r="A258" s="9"/>
      <c r="B258" s="9"/>
      <c r="C258" s="9"/>
      <c r="D258" s="129">
        <f>Asset28</f>
        <v>0</v>
      </c>
      <c r="E258" s="9"/>
      <c r="F258" s="9"/>
      <c r="G258" s="9"/>
      <c r="H258" s="111"/>
      <c r="I258" s="111"/>
      <c r="J258" s="111"/>
      <c r="K258" s="111"/>
      <c r="L258" s="111">
        <f>IF(L$198&gt;0, IF(M$198=0, 'Adjustment for previous period'!$G103, 0), 0)</f>
        <v>0</v>
      </c>
      <c r="M258" s="111">
        <f>IF(M$198&gt;0, IF(N$198=0, 'Adjustment for previous period'!$G103, 0), 0)</f>
        <v>0</v>
      </c>
      <c r="N258" s="111">
        <f>IF(N$198&gt;0, IF(O$198=0, 'Adjustment for previous period'!$G103, 0), 0)</f>
        <v>0</v>
      </c>
      <c r="O258" s="111">
        <f>IF(O$198&gt;0, IF(P$198=0, 'Adjustment for previous period'!$G103, 0), 0)</f>
        <v>0</v>
      </c>
      <c r="P258" s="111">
        <f>IF(P$198&gt;0, IF(Q$198=0, 'Adjustment for previous period'!$G103, 0), 0)</f>
        <v>0</v>
      </c>
      <c r="Q258" s="111">
        <f>IF(Q$198&gt;0, IF(R$198=0, 'Adjustment for previous period'!$G103, 0), 0)</f>
        <v>0</v>
      </c>
      <c r="R258" s="9"/>
      <c r="S258" s="12"/>
      <c r="T258" s="12"/>
      <c r="U258" s="12"/>
      <c r="V258" s="12"/>
      <c r="W258" s="12"/>
      <c r="X258" s="12"/>
      <c r="Y258" s="12"/>
      <c r="Z258" s="12"/>
      <c r="AA258" s="12"/>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row>
    <row r="259" spans="1:64" ht="12" hidden="1" customHeight="1" outlineLevel="1">
      <c r="A259" s="9"/>
      <c r="B259" s="9"/>
      <c r="C259" s="9"/>
      <c r="D259" s="129">
        <f>Asset29</f>
        <v>0</v>
      </c>
      <c r="E259" s="9"/>
      <c r="F259" s="9"/>
      <c r="G259" s="9"/>
      <c r="H259" s="111"/>
      <c r="I259" s="111"/>
      <c r="J259" s="111"/>
      <c r="K259" s="111"/>
      <c r="L259" s="111">
        <f>IF(L$198&gt;0, IF(M$198=0, 'Adjustment for previous period'!$G104, 0), 0)</f>
        <v>0</v>
      </c>
      <c r="M259" s="111">
        <f>IF(M$198&gt;0, IF(N$198=0, 'Adjustment for previous period'!$G104, 0), 0)</f>
        <v>0</v>
      </c>
      <c r="N259" s="111">
        <f>IF(N$198&gt;0, IF(O$198=0, 'Adjustment for previous period'!$G104, 0), 0)</f>
        <v>0</v>
      </c>
      <c r="O259" s="111">
        <f>IF(O$198&gt;0, IF(P$198=0, 'Adjustment for previous period'!$G104, 0), 0)</f>
        <v>0</v>
      </c>
      <c r="P259" s="111">
        <f>IF(P$198&gt;0, IF(Q$198=0, 'Adjustment for previous period'!$G104, 0), 0)</f>
        <v>0</v>
      </c>
      <c r="Q259" s="111">
        <f>IF(Q$198&gt;0, IF(R$198=0, 'Adjustment for previous period'!$G104, 0), 0)</f>
        <v>0</v>
      </c>
      <c r="R259" s="9"/>
      <c r="S259" s="12"/>
      <c r="T259" s="12"/>
      <c r="U259" s="12"/>
      <c r="V259" s="12"/>
      <c r="W259" s="12"/>
      <c r="X259" s="12"/>
      <c r="Y259" s="12"/>
      <c r="Z259" s="12"/>
      <c r="AA259" s="12"/>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20"/>
      <c r="BK259" s="220"/>
      <c r="BL259" s="220"/>
    </row>
    <row r="260" spans="1:64" ht="12" hidden="1" customHeight="1" outlineLevel="1">
      <c r="A260" s="9"/>
      <c r="B260" s="9"/>
      <c r="C260" s="9"/>
      <c r="D260" s="129">
        <f>Asset30</f>
        <v>0</v>
      </c>
      <c r="E260" s="9"/>
      <c r="F260" s="9"/>
      <c r="G260" s="9"/>
      <c r="H260" s="111"/>
      <c r="I260" s="111"/>
      <c r="J260" s="111"/>
      <c r="K260" s="111"/>
      <c r="L260" s="111">
        <f>IF(L$198&gt;0, IF(M$198=0, 'Adjustment for previous period'!$G105, 0), 0)</f>
        <v>0</v>
      </c>
      <c r="M260" s="111">
        <f>IF(M$198&gt;0, IF(N$198=0, 'Adjustment for previous period'!$G105, 0), 0)</f>
        <v>0</v>
      </c>
      <c r="N260" s="111">
        <f>IF(N$198&gt;0, IF(O$198=0, 'Adjustment for previous period'!$G105, 0), 0)</f>
        <v>0</v>
      </c>
      <c r="O260" s="111">
        <f>IF(O$198&gt;0, IF(P$198=0, 'Adjustment for previous period'!$G105, 0), 0)</f>
        <v>0</v>
      </c>
      <c r="P260" s="111">
        <f>IF(P$198&gt;0, IF(Q$198=0, 'Adjustment for previous period'!$G105, 0), 0)</f>
        <v>0</v>
      </c>
      <c r="Q260" s="111">
        <f>IF(Q$198&gt;0, IF(R$198=0, 'Adjustment for previous period'!$G105, 0), 0)</f>
        <v>0</v>
      </c>
      <c r="R260" s="9"/>
      <c r="S260" s="12"/>
      <c r="T260" s="12"/>
      <c r="U260" s="12"/>
      <c r="V260" s="12"/>
      <c r="W260" s="12"/>
      <c r="X260" s="12"/>
      <c r="Y260" s="12"/>
      <c r="Z260" s="12"/>
      <c r="AA260" s="12"/>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20"/>
      <c r="BK261" s="220"/>
      <c r="BL261" s="220"/>
    </row>
    <row r="262" spans="1:64" ht="12" customHeight="1">
      <c r="A262" s="9"/>
      <c r="B262" s="12"/>
      <c r="C262" s="343" t="s">
        <v>57</v>
      </c>
      <c r="D262" s="12"/>
      <c r="E262" s="12"/>
      <c r="F262" s="12"/>
      <c r="G262" s="115"/>
      <c r="H262" s="120"/>
      <c r="I262" s="120"/>
      <c r="J262" s="120"/>
      <c r="K262" s="120"/>
      <c r="L262" s="120">
        <f t="shared" ref="L262:Q262" si="16">SUM(L263:L292)</f>
        <v>2.2012107506336678</v>
      </c>
      <c r="M262" s="120">
        <f t="shared" si="16"/>
        <v>0</v>
      </c>
      <c r="N262" s="120">
        <f t="shared" si="16"/>
        <v>0</v>
      </c>
      <c r="O262" s="120">
        <f t="shared" si="16"/>
        <v>0</v>
      </c>
      <c r="P262" s="120">
        <f t="shared" si="16"/>
        <v>0</v>
      </c>
      <c r="Q262" s="120">
        <f t="shared" si="16"/>
        <v>0</v>
      </c>
      <c r="R262" s="9"/>
      <c r="S262" s="12"/>
      <c r="T262" s="12"/>
      <c r="U262" s="12"/>
      <c r="V262" s="12"/>
      <c r="W262" s="12"/>
      <c r="X262" s="12"/>
      <c r="Y262" s="12"/>
      <c r="Z262" s="12"/>
      <c r="AA262" s="12"/>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20"/>
      <c r="BK262" s="220"/>
      <c r="BL262" s="220"/>
    </row>
    <row r="263" spans="1:64" ht="12" hidden="1" customHeight="1" outlineLevel="1">
      <c r="A263" s="9"/>
      <c r="B263" s="9"/>
      <c r="C263" s="9"/>
      <c r="D263" s="129" t="str">
        <f>Asset1</f>
        <v>Mains &amp; Services</v>
      </c>
      <c r="E263" s="9"/>
      <c r="F263" s="9"/>
      <c r="G263" s="9"/>
      <c r="H263" s="111"/>
      <c r="I263" s="111"/>
      <c r="J263" s="111"/>
      <c r="K263" s="111"/>
      <c r="L263" s="111">
        <f>IF(M$198=0, 'Adjustment for previous period'!L109, 0)</f>
        <v>-2.5438883602553028</v>
      </c>
      <c r="M263" s="111">
        <f>IF(N$198=0, 'Adjustment for previous period'!M109, 0)</f>
        <v>0</v>
      </c>
      <c r="N263" s="111">
        <f>IF(O$198=0, 'Adjustment for previous period'!N109, 0)</f>
        <v>0</v>
      </c>
      <c r="O263" s="111">
        <f>IF(P$198=0, 'Adjustment for previous period'!O109, 0)</f>
        <v>0</v>
      </c>
      <c r="P263" s="111">
        <f>IF(Q$198=0, 'Adjustment for previous period'!P109, 0)</f>
        <v>0</v>
      </c>
      <c r="Q263" s="111">
        <f>IF(R$198=0, 'Adjustment for previous period'!Q109, 0)</f>
        <v>0</v>
      </c>
      <c r="R263" s="9"/>
      <c r="S263" s="12"/>
      <c r="T263" s="12"/>
      <c r="U263" s="12"/>
      <c r="V263" s="12"/>
      <c r="W263" s="12"/>
      <c r="X263" s="12"/>
      <c r="Y263" s="12"/>
      <c r="Z263" s="12"/>
      <c r="AA263" s="12"/>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20"/>
      <c r="BK263" s="220"/>
      <c r="BL263" s="220"/>
    </row>
    <row r="264" spans="1:64" hidden="1" outlineLevel="1">
      <c r="A264" s="9"/>
      <c r="B264" s="9"/>
      <c r="C264" s="9"/>
      <c r="D264" s="129" t="str">
        <f>Asset2</f>
        <v>Meters</v>
      </c>
      <c r="E264" s="9"/>
      <c r="F264" s="9"/>
      <c r="G264" s="9"/>
      <c r="H264" s="111"/>
      <c r="I264" s="111"/>
      <c r="J264" s="111"/>
      <c r="K264" s="111"/>
      <c r="L264" s="111">
        <f>IF(M$198=0, 'Adjustment for previous period'!L111, 0)</f>
        <v>-0.32276967451563954</v>
      </c>
      <c r="M264" s="111">
        <f>IF(N$198=0, 'Adjustment for previous period'!M111, 0)</f>
        <v>0</v>
      </c>
      <c r="N264" s="111">
        <f>IF(O$198=0, 'Adjustment for previous period'!N111, 0)</f>
        <v>0</v>
      </c>
      <c r="O264" s="111">
        <f>IF(P$198=0, 'Adjustment for previous period'!O111, 0)</f>
        <v>0</v>
      </c>
      <c r="P264" s="111">
        <f>IF(Q$198=0, 'Adjustment for previous period'!P111, 0)</f>
        <v>0</v>
      </c>
      <c r="Q264" s="111">
        <f>IF(R$198=0, 'Adjustment for previous period'!Q111, 0)</f>
        <v>0</v>
      </c>
      <c r="R264" s="29"/>
      <c r="S264" s="100"/>
      <c r="T264" s="100"/>
      <c r="U264" s="100"/>
      <c r="V264" s="100"/>
      <c r="W264" s="100"/>
      <c r="X264" s="100"/>
      <c r="Y264" s="100"/>
      <c r="Z264" s="100"/>
      <c r="AA264" s="100"/>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0"/>
      <c r="BL264" s="220"/>
    </row>
    <row r="265" spans="1:64" ht="12" hidden="1" customHeight="1" outlineLevel="1">
      <c r="A265" s="9"/>
      <c r="B265" s="9"/>
      <c r="C265" s="9"/>
      <c r="D265" s="129" t="str">
        <f>Asset3</f>
        <v>Buildings</v>
      </c>
      <c r="E265" s="9"/>
      <c r="F265" s="9"/>
      <c r="G265" s="9"/>
      <c r="H265" s="111"/>
      <c r="I265" s="111"/>
      <c r="J265" s="111"/>
      <c r="K265" s="111"/>
      <c r="L265" s="111">
        <f>IF(M$198=0, 'Adjustment for previous period'!L113, 0)</f>
        <v>0</v>
      </c>
      <c r="M265" s="111">
        <f>IF(N$198=0, 'Adjustment for previous period'!M113, 0)</f>
        <v>0</v>
      </c>
      <c r="N265" s="111">
        <f>IF(O$198=0, 'Adjustment for previous period'!N113, 0)</f>
        <v>0</v>
      </c>
      <c r="O265" s="111">
        <f>IF(P$198=0, 'Adjustment for previous period'!O113, 0)</f>
        <v>0</v>
      </c>
      <c r="P265" s="111">
        <f>IF(Q$198=0, 'Adjustment for previous period'!P113, 0)</f>
        <v>0</v>
      </c>
      <c r="Q265" s="111">
        <f>IF(R$198=0, 'Adjustment for previous period'!Q113, 0)</f>
        <v>0</v>
      </c>
      <c r="R265" s="9"/>
      <c r="S265" s="12"/>
      <c r="T265" s="12"/>
      <c r="U265" s="12"/>
      <c r="V265" s="12"/>
      <c r="W265" s="12"/>
      <c r="X265" s="12"/>
      <c r="Y265" s="12"/>
      <c r="Z265" s="12"/>
      <c r="AA265" s="12"/>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row>
    <row r="266" spans="1:64" ht="12" hidden="1" customHeight="1" outlineLevel="1">
      <c r="A266" s="9"/>
      <c r="B266" s="9"/>
      <c r="C266" s="9"/>
      <c r="D266" s="129" t="str">
        <f>Asset4</f>
        <v>SCADA</v>
      </c>
      <c r="E266" s="9"/>
      <c r="F266" s="9"/>
      <c r="G266" s="9"/>
      <c r="H266" s="111"/>
      <c r="I266" s="111"/>
      <c r="J266" s="111"/>
      <c r="K266" s="111"/>
      <c r="L266" s="111">
        <f>IF(M$198=0, 'Adjustment for previous period'!L115, 0)</f>
        <v>-7.8284216572435741E-2</v>
      </c>
      <c r="M266" s="111">
        <f>IF(N$198=0, 'Adjustment for previous period'!M115, 0)</f>
        <v>0</v>
      </c>
      <c r="N266" s="111">
        <f>IF(O$198=0, 'Adjustment for previous period'!N115, 0)</f>
        <v>0</v>
      </c>
      <c r="O266" s="111">
        <f>IF(P$198=0, 'Adjustment for previous period'!O115, 0)</f>
        <v>0</v>
      </c>
      <c r="P266" s="111">
        <f>IF(Q$198=0, 'Adjustment for previous period'!P115, 0)</f>
        <v>0</v>
      </c>
      <c r="Q266" s="111">
        <f>IF(R$198=0, 'Adjustment for previous period'!Q115, 0)</f>
        <v>0</v>
      </c>
      <c r="R266" s="9"/>
      <c r="S266" s="12"/>
      <c r="T266" s="12"/>
      <c r="U266" s="12"/>
      <c r="V266" s="12"/>
      <c r="W266" s="12"/>
      <c r="X266" s="12"/>
      <c r="Y266" s="12"/>
      <c r="Z266" s="12"/>
      <c r="AA266" s="12"/>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row>
    <row r="267" spans="1:64" ht="12" hidden="1" customHeight="1" outlineLevel="1">
      <c r="A267" s="9"/>
      <c r="B267" s="9"/>
      <c r="C267" s="9"/>
      <c r="D267" s="129" t="str">
        <f>Asset5</f>
        <v>Computer Equipment</v>
      </c>
      <c r="E267" s="9"/>
      <c r="F267" s="9"/>
      <c r="G267" s="9"/>
      <c r="H267" s="111"/>
      <c r="I267" s="111"/>
      <c r="J267" s="111"/>
      <c r="K267" s="111"/>
      <c r="L267" s="111">
        <f>IF(M$198=0, 'Adjustment for previous period'!L117, 0)</f>
        <v>-0.14512320872302253</v>
      </c>
      <c r="M267" s="111">
        <f>IF(N$198=0, 'Adjustment for previous period'!M117, 0)</f>
        <v>0</v>
      </c>
      <c r="N267" s="111">
        <f>IF(O$198=0, 'Adjustment for previous period'!N117, 0)</f>
        <v>0</v>
      </c>
      <c r="O267" s="111">
        <f>IF(P$198=0, 'Adjustment for previous period'!O117, 0)</f>
        <v>0</v>
      </c>
      <c r="P267" s="111">
        <f>IF(Q$198=0, 'Adjustment for previous period'!P117, 0)</f>
        <v>0</v>
      </c>
      <c r="Q267" s="111">
        <f>IF(R$198=0, 'Adjustment for previous period'!Q117, 0)</f>
        <v>0</v>
      </c>
      <c r="R267" s="9"/>
      <c r="S267" s="12"/>
      <c r="T267" s="12"/>
      <c r="U267" s="12"/>
      <c r="V267" s="12"/>
      <c r="W267" s="12"/>
      <c r="X267" s="12"/>
      <c r="Y267" s="12"/>
      <c r="Z267" s="12"/>
      <c r="AA267" s="12"/>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row>
    <row r="268" spans="1:64" hidden="1" outlineLevel="1">
      <c r="A268" s="9"/>
      <c r="B268" s="9"/>
      <c r="C268" s="9"/>
      <c r="D268" s="129" t="str">
        <f>Asset6</f>
        <v>Other Assets</v>
      </c>
      <c r="E268" s="9"/>
      <c r="F268" s="9"/>
      <c r="G268" s="9"/>
      <c r="H268" s="111"/>
      <c r="I268" s="111"/>
      <c r="J268" s="111"/>
      <c r="K268" s="111"/>
      <c r="L268" s="111">
        <f>IF(M$198=0, 'Adjustment for previous period'!L119, 0)</f>
        <v>5.2912762107000679</v>
      </c>
      <c r="M268" s="111">
        <f>IF(N$198=0, 'Adjustment for previous period'!M119, 0)</f>
        <v>0</v>
      </c>
      <c r="N268" s="111">
        <f>IF(O$198=0, 'Adjustment for previous period'!N119, 0)</f>
        <v>0</v>
      </c>
      <c r="O268" s="111">
        <f>IF(P$198=0, 'Adjustment for previous period'!O119, 0)</f>
        <v>0</v>
      </c>
      <c r="P268" s="111">
        <f>IF(Q$198=0, 'Adjustment for previous period'!P119, 0)</f>
        <v>0</v>
      </c>
      <c r="Q268" s="111">
        <f>IF(R$198=0, 'Adjustment for previous period'!Q119, 0)</f>
        <v>0</v>
      </c>
      <c r="R268" s="9"/>
      <c r="S268" s="12"/>
      <c r="T268" s="12"/>
      <c r="U268" s="12"/>
      <c r="V268" s="12"/>
      <c r="W268" s="12"/>
      <c r="X268" s="12"/>
      <c r="Y268" s="12"/>
      <c r="Z268" s="12"/>
      <c r="AA268" s="12"/>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row>
    <row r="269" spans="1:64" hidden="1" outlineLevel="1">
      <c r="A269" s="9"/>
      <c r="B269" s="9"/>
      <c r="C269" s="9"/>
      <c r="D269" s="129" t="str">
        <f>Asset7</f>
        <v>Equity Raising Costs</v>
      </c>
      <c r="E269" s="9"/>
      <c r="F269" s="9"/>
      <c r="G269" s="9"/>
      <c r="H269" s="111"/>
      <c r="I269" s="111"/>
      <c r="J269" s="111"/>
      <c r="K269" s="111"/>
      <c r="L269" s="111">
        <f>IF(M$198=0, 'Adjustment for previous period'!L121, 0)</f>
        <v>0</v>
      </c>
      <c r="M269" s="111">
        <f>IF(N$198=0, 'Adjustment for previous period'!M121, 0)</f>
        <v>0</v>
      </c>
      <c r="N269" s="111">
        <f>IF(O$198=0, 'Adjustment for previous period'!N121, 0)</f>
        <v>0</v>
      </c>
      <c r="O269" s="111">
        <f>IF(P$198=0, 'Adjustment for previous period'!O121, 0)</f>
        <v>0</v>
      </c>
      <c r="P269" s="111">
        <f>IF(Q$198=0, 'Adjustment for previous period'!P121, 0)</f>
        <v>0</v>
      </c>
      <c r="Q269" s="111">
        <f>IF(R$198=0, 'Adjustment for previous period'!Q121, 0)</f>
        <v>0</v>
      </c>
      <c r="R269" s="9"/>
      <c r="S269" s="9"/>
      <c r="T269" s="9"/>
      <c r="U269" s="9"/>
      <c r="V269" s="9"/>
      <c r="W269" s="9"/>
      <c r="X269" s="9"/>
      <c r="Y269" s="9"/>
      <c r="Z269" s="9"/>
      <c r="AA269" s="9"/>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row>
    <row r="270" spans="1:64" hidden="1" outlineLevel="1">
      <c r="A270" s="9"/>
      <c r="B270" s="9"/>
      <c r="C270" s="9"/>
      <c r="D270" s="129" t="str">
        <f>Asset8</f>
        <v>Land</v>
      </c>
      <c r="E270" s="9"/>
      <c r="F270" s="9"/>
      <c r="G270" s="9"/>
      <c r="H270" s="111"/>
      <c r="I270" s="111"/>
      <c r="J270" s="111"/>
      <c r="K270" s="111"/>
      <c r="L270" s="111">
        <f>IF(M$198=0, 'Adjustment for previous period'!L123, 0)</f>
        <v>0</v>
      </c>
      <c r="M270" s="111">
        <f>IF(N$198=0, 'Adjustment for previous period'!M123, 0)</f>
        <v>0</v>
      </c>
      <c r="N270" s="111">
        <f>IF(O$198=0, 'Adjustment for previous period'!N123, 0)</f>
        <v>0</v>
      </c>
      <c r="O270" s="111">
        <f>IF(P$198=0, 'Adjustment for previous period'!O123, 0)</f>
        <v>0</v>
      </c>
      <c r="P270" s="111">
        <f>IF(Q$198=0, 'Adjustment for previous period'!P123, 0)</f>
        <v>0</v>
      </c>
      <c r="Q270" s="111">
        <f>IF(R$198=0, 'Adjustment for previous period'!Q123, 0)</f>
        <v>0</v>
      </c>
      <c r="R270" s="9"/>
      <c r="S270" s="9"/>
      <c r="T270" s="9"/>
      <c r="U270" s="9"/>
      <c r="V270" s="9"/>
      <c r="W270" s="9"/>
      <c r="X270" s="9"/>
      <c r="Y270" s="9"/>
      <c r="Z270" s="9"/>
      <c r="AA270" s="9"/>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row>
    <row r="271" spans="1:64" hidden="1" outlineLevel="1">
      <c r="A271" s="9"/>
      <c r="B271" s="9"/>
      <c r="C271" s="9"/>
      <c r="D271" s="129">
        <f>Asset9</f>
        <v>0</v>
      </c>
      <c r="E271" s="9"/>
      <c r="F271" s="9"/>
      <c r="G271" s="9"/>
      <c r="H271" s="111"/>
      <c r="I271" s="111"/>
      <c r="J271" s="111"/>
      <c r="K271" s="111"/>
      <c r="L271" s="111">
        <f>IF(M$198=0, 'Adjustment for previous period'!L125, 0)</f>
        <v>0</v>
      </c>
      <c r="M271" s="111">
        <f>IF(N$198=0, 'Adjustment for previous period'!M125, 0)</f>
        <v>0</v>
      </c>
      <c r="N271" s="111">
        <f>IF(O$198=0, 'Adjustment for previous period'!N125, 0)</f>
        <v>0</v>
      </c>
      <c r="O271" s="111">
        <f>IF(P$198=0, 'Adjustment for previous period'!O125, 0)</f>
        <v>0</v>
      </c>
      <c r="P271" s="111">
        <f>IF(Q$198=0, 'Adjustment for previous period'!P125, 0)</f>
        <v>0</v>
      </c>
      <c r="Q271" s="111">
        <f>IF(R$198=0, 'Adjustment for previous period'!Q125, 0)</f>
        <v>0</v>
      </c>
      <c r="R271" s="9"/>
      <c r="S271" s="9"/>
      <c r="T271" s="9"/>
      <c r="U271" s="9"/>
      <c r="V271" s="9"/>
      <c r="W271" s="9"/>
      <c r="X271" s="9"/>
      <c r="Y271" s="9"/>
      <c r="Z271" s="9"/>
      <c r="AA271" s="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row>
    <row r="272" spans="1:64" hidden="1" outlineLevel="1">
      <c r="A272" s="9"/>
      <c r="B272" s="9"/>
      <c r="C272" s="9"/>
      <c r="D272" s="129">
        <f>Asset10</f>
        <v>0</v>
      </c>
      <c r="E272" s="9"/>
      <c r="F272" s="9"/>
      <c r="G272" s="9"/>
      <c r="H272" s="111"/>
      <c r="I272" s="111"/>
      <c r="J272" s="111"/>
      <c r="K272" s="111"/>
      <c r="L272" s="111">
        <f>IF(M$198=0, 'Adjustment for previous period'!L127, 0)</f>
        <v>0</v>
      </c>
      <c r="M272" s="111">
        <f>IF(N$198=0, 'Adjustment for previous period'!M127, 0)</f>
        <v>0</v>
      </c>
      <c r="N272" s="111">
        <f>IF(O$198=0, 'Adjustment for previous period'!N127, 0)</f>
        <v>0</v>
      </c>
      <c r="O272" s="111">
        <f>IF(P$198=0, 'Adjustment for previous period'!O127, 0)</f>
        <v>0</v>
      </c>
      <c r="P272" s="111">
        <f>IF(Q$198=0, 'Adjustment for previous period'!P127, 0)</f>
        <v>0</v>
      </c>
      <c r="Q272" s="111">
        <f>IF(R$198=0, 'Adjustment for previous period'!Q127, 0)</f>
        <v>0</v>
      </c>
      <c r="R272" s="9"/>
      <c r="S272" s="9"/>
      <c r="T272" s="9"/>
      <c r="U272" s="9"/>
      <c r="V272" s="9"/>
      <c r="W272" s="9"/>
      <c r="X272" s="9"/>
      <c r="Y272" s="9"/>
      <c r="Z272" s="9"/>
      <c r="AA272" s="9"/>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row>
    <row r="273" spans="1:64" hidden="1" outlineLevel="1">
      <c r="A273" s="9"/>
      <c r="B273" s="9"/>
      <c r="C273" s="9"/>
      <c r="D273" s="129">
        <f>Asset11</f>
        <v>0</v>
      </c>
      <c r="E273" s="9"/>
      <c r="F273" s="9"/>
      <c r="G273" s="9"/>
      <c r="H273" s="111"/>
      <c r="I273" s="111"/>
      <c r="J273" s="111"/>
      <c r="K273" s="111"/>
      <c r="L273" s="111">
        <f>IF(M$198=0, 'Adjustment for previous period'!L129, 0)</f>
        <v>0</v>
      </c>
      <c r="M273" s="111">
        <f>IF(N$198=0, 'Adjustment for previous period'!M129, 0)</f>
        <v>0</v>
      </c>
      <c r="N273" s="111">
        <f>IF(O$198=0, 'Adjustment for previous period'!N129, 0)</f>
        <v>0</v>
      </c>
      <c r="O273" s="111">
        <f>IF(P$198=0, 'Adjustment for previous period'!O129, 0)</f>
        <v>0</v>
      </c>
      <c r="P273" s="111">
        <f>IF(Q$198=0, 'Adjustment for previous period'!P129, 0)</f>
        <v>0</v>
      </c>
      <c r="Q273" s="111">
        <f>IF(R$198=0, 'Adjustment for previous period'!Q129, 0)</f>
        <v>0</v>
      </c>
      <c r="R273" s="9"/>
      <c r="S273" s="9"/>
      <c r="T273" s="9"/>
      <c r="U273" s="9"/>
      <c r="V273" s="9"/>
      <c r="W273" s="9"/>
      <c r="X273" s="9"/>
      <c r="Y273" s="9"/>
      <c r="Z273" s="9"/>
      <c r="AA273" s="9"/>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row>
    <row r="274" spans="1:64" hidden="1" outlineLevel="1">
      <c r="A274" s="9"/>
      <c r="B274" s="9"/>
      <c r="C274" s="9"/>
      <c r="D274" s="129">
        <f>Asset12</f>
        <v>0</v>
      </c>
      <c r="E274" s="9"/>
      <c r="F274" s="9"/>
      <c r="G274" s="9"/>
      <c r="H274" s="111"/>
      <c r="I274" s="111"/>
      <c r="J274" s="111"/>
      <c r="K274" s="111"/>
      <c r="L274" s="111">
        <f>IF(M$198=0, 'Adjustment for previous period'!L131, 0)</f>
        <v>0</v>
      </c>
      <c r="M274" s="111">
        <f>IF(N$198=0, 'Adjustment for previous period'!M131, 0)</f>
        <v>0</v>
      </c>
      <c r="N274" s="111">
        <f>IF(O$198=0, 'Adjustment for previous period'!N131, 0)</f>
        <v>0</v>
      </c>
      <c r="O274" s="111">
        <f>IF(P$198=0, 'Adjustment for previous period'!O131, 0)</f>
        <v>0</v>
      </c>
      <c r="P274" s="111">
        <f>IF(Q$198=0, 'Adjustment for previous period'!P131, 0)</f>
        <v>0</v>
      </c>
      <c r="Q274" s="111">
        <f>IF(R$198=0, 'Adjustment for previous period'!Q131, 0)</f>
        <v>0</v>
      </c>
      <c r="R274" s="9"/>
      <c r="S274" s="9"/>
      <c r="T274" s="9"/>
      <c r="U274" s="9"/>
      <c r="V274" s="9"/>
      <c r="W274" s="9"/>
      <c r="X274" s="9"/>
      <c r="Y274" s="9"/>
      <c r="Z274" s="9"/>
      <c r="AA274" s="9"/>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row>
    <row r="275" spans="1:64" hidden="1" outlineLevel="1">
      <c r="A275" s="9"/>
      <c r="B275" s="9"/>
      <c r="C275" s="9"/>
      <c r="D275" s="129">
        <f>Asset13</f>
        <v>0</v>
      </c>
      <c r="E275" s="9"/>
      <c r="F275" s="9"/>
      <c r="G275" s="9"/>
      <c r="H275" s="111"/>
      <c r="I275" s="111"/>
      <c r="J275" s="111"/>
      <c r="K275" s="111"/>
      <c r="L275" s="111">
        <f>IF(M$198=0, 'Adjustment for previous period'!L133, 0)</f>
        <v>0</v>
      </c>
      <c r="M275" s="111">
        <f>IF(N$198=0, 'Adjustment for previous period'!M133, 0)</f>
        <v>0</v>
      </c>
      <c r="N275" s="111">
        <f>IF(O$198=0, 'Adjustment for previous period'!N133, 0)</f>
        <v>0</v>
      </c>
      <c r="O275" s="111">
        <f>IF(P$198=0, 'Adjustment for previous period'!O133, 0)</f>
        <v>0</v>
      </c>
      <c r="P275" s="111">
        <f>IF(Q$198=0, 'Adjustment for previous period'!P133, 0)</f>
        <v>0</v>
      </c>
      <c r="Q275" s="111">
        <f>IF(R$198=0, 'Adjustment for previous period'!Q133, 0)</f>
        <v>0</v>
      </c>
      <c r="R275" s="9"/>
      <c r="S275" s="9"/>
      <c r="T275" s="9"/>
      <c r="U275" s="9"/>
      <c r="V275" s="9"/>
      <c r="W275" s="9"/>
      <c r="X275" s="9"/>
      <c r="Y275" s="9"/>
      <c r="Z275" s="9"/>
      <c r="AA275" s="9"/>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row>
    <row r="276" spans="1:64" hidden="1" outlineLevel="1">
      <c r="A276" s="9"/>
      <c r="B276" s="9"/>
      <c r="C276" s="9"/>
      <c r="D276" s="129">
        <f>Asset14</f>
        <v>0</v>
      </c>
      <c r="E276" s="9"/>
      <c r="F276" s="9"/>
      <c r="G276" s="9"/>
      <c r="H276" s="111"/>
      <c r="I276" s="111"/>
      <c r="J276" s="111"/>
      <c r="K276" s="111"/>
      <c r="L276" s="111">
        <f>IF(M$198=0, 'Adjustment for previous period'!L135, 0)</f>
        <v>0</v>
      </c>
      <c r="M276" s="111">
        <f>IF(N$198=0, 'Adjustment for previous period'!M135, 0)</f>
        <v>0</v>
      </c>
      <c r="N276" s="111">
        <f>IF(O$198=0, 'Adjustment for previous period'!N135, 0)</f>
        <v>0</v>
      </c>
      <c r="O276" s="111">
        <f>IF(P$198=0, 'Adjustment for previous period'!O135, 0)</f>
        <v>0</v>
      </c>
      <c r="P276" s="111">
        <f>IF(Q$198=0, 'Adjustment for previous period'!P135, 0)</f>
        <v>0</v>
      </c>
      <c r="Q276" s="111">
        <f>IF(R$198=0, 'Adjustment for previous period'!Q135, 0)</f>
        <v>0</v>
      </c>
      <c r="R276" s="9"/>
      <c r="S276" s="9"/>
      <c r="T276" s="9"/>
      <c r="U276" s="9"/>
      <c r="V276" s="9"/>
      <c r="W276" s="9"/>
      <c r="X276" s="9"/>
      <c r="Y276" s="9"/>
      <c r="Z276" s="9"/>
      <c r="AA276" s="9"/>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row>
    <row r="277" spans="1:64" hidden="1" outlineLevel="1">
      <c r="A277" s="9"/>
      <c r="B277" s="9"/>
      <c r="C277" s="9"/>
      <c r="D277" s="129">
        <f>Asset15</f>
        <v>0</v>
      </c>
      <c r="E277" s="9"/>
      <c r="F277" s="9"/>
      <c r="G277" s="9"/>
      <c r="H277" s="111"/>
      <c r="I277" s="111"/>
      <c r="J277" s="111"/>
      <c r="K277" s="111"/>
      <c r="L277" s="111">
        <f>IF(M$198=0, 'Adjustment for previous period'!L137, 0)</f>
        <v>0</v>
      </c>
      <c r="M277" s="111">
        <f>IF(N$198=0, 'Adjustment for previous period'!M137, 0)</f>
        <v>0</v>
      </c>
      <c r="N277" s="111">
        <f>IF(O$198=0, 'Adjustment for previous period'!N137, 0)</f>
        <v>0</v>
      </c>
      <c r="O277" s="111">
        <f>IF(P$198=0, 'Adjustment for previous period'!O137, 0)</f>
        <v>0</v>
      </c>
      <c r="P277" s="111">
        <f>IF(Q$198=0, 'Adjustment for previous period'!P137, 0)</f>
        <v>0</v>
      </c>
      <c r="Q277" s="111">
        <f>IF(R$198=0, 'Adjustment for previous period'!Q137, 0)</f>
        <v>0</v>
      </c>
      <c r="R277" s="9"/>
      <c r="S277" s="9"/>
      <c r="T277" s="9"/>
      <c r="U277" s="9"/>
      <c r="V277" s="9"/>
      <c r="W277" s="9"/>
      <c r="X277" s="9"/>
      <c r="Y277" s="9"/>
      <c r="Z277" s="9"/>
      <c r="AA277" s="9"/>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row>
    <row r="278" spans="1:64" hidden="1" outlineLevel="1">
      <c r="A278" s="9"/>
      <c r="B278" s="9"/>
      <c r="C278" s="9"/>
      <c r="D278" s="129">
        <f>Asset16</f>
        <v>0</v>
      </c>
      <c r="E278" s="9"/>
      <c r="F278" s="9"/>
      <c r="G278" s="9"/>
      <c r="H278" s="111"/>
      <c r="I278" s="111"/>
      <c r="J278" s="111"/>
      <c r="K278" s="111"/>
      <c r="L278" s="111">
        <f>IF(M$198=0, 'Adjustment for previous period'!L139, 0)</f>
        <v>0</v>
      </c>
      <c r="M278" s="111">
        <f>IF(N$198=0, 'Adjustment for previous period'!M139, 0)</f>
        <v>0</v>
      </c>
      <c r="N278" s="111">
        <f>IF(O$198=0, 'Adjustment for previous period'!N139, 0)</f>
        <v>0</v>
      </c>
      <c r="O278" s="111">
        <f>IF(P$198=0, 'Adjustment for previous period'!O139, 0)</f>
        <v>0</v>
      </c>
      <c r="P278" s="111">
        <f>IF(Q$198=0, 'Adjustment for previous period'!P139, 0)</f>
        <v>0</v>
      </c>
      <c r="Q278" s="111">
        <f>IF(R$198=0, 'Adjustment for previous period'!Q139, 0)</f>
        <v>0</v>
      </c>
      <c r="R278" s="9"/>
      <c r="S278" s="9"/>
      <c r="T278" s="9"/>
      <c r="U278" s="9"/>
      <c r="V278" s="9"/>
      <c r="W278" s="9"/>
      <c r="X278" s="9"/>
      <c r="Y278" s="9"/>
      <c r="Z278" s="9"/>
      <c r="AA278" s="9"/>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row>
    <row r="279" spans="1:64" hidden="1" outlineLevel="1">
      <c r="A279" s="9"/>
      <c r="B279" s="9"/>
      <c r="C279" s="9"/>
      <c r="D279" s="129">
        <f>Asset17</f>
        <v>0</v>
      </c>
      <c r="E279" s="9"/>
      <c r="F279" s="9"/>
      <c r="G279" s="9"/>
      <c r="H279" s="111"/>
      <c r="I279" s="111"/>
      <c r="J279" s="111"/>
      <c r="K279" s="111"/>
      <c r="L279" s="111">
        <f>IF(M$198=0, 'Adjustment for previous period'!L141, 0)</f>
        <v>0</v>
      </c>
      <c r="M279" s="111">
        <f>IF(N$198=0, 'Adjustment for previous period'!M141, 0)</f>
        <v>0</v>
      </c>
      <c r="N279" s="111">
        <f>IF(O$198=0, 'Adjustment for previous period'!N141, 0)</f>
        <v>0</v>
      </c>
      <c r="O279" s="111">
        <f>IF(P$198=0, 'Adjustment for previous period'!O141, 0)</f>
        <v>0</v>
      </c>
      <c r="P279" s="111">
        <f>IF(Q$198=0, 'Adjustment for previous period'!P141, 0)</f>
        <v>0</v>
      </c>
      <c r="Q279" s="111">
        <f>IF(R$198=0, 'Adjustment for previous period'!Q141, 0)</f>
        <v>0</v>
      </c>
      <c r="R279" s="9"/>
      <c r="S279" s="9"/>
      <c r="T279" s="9"/>
      <c r="U279" s="9"/>
      <c r="V279" s="9"/>
      <c r="W279" s="9"/>
      <c r="X279" s="9"/>
      <c r="Y279" s="9"/>
      <c r="Z279" s="9"/>
      <c r="AA279" s="9"/>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row>
    <row r="280" spans="1:64" hidden="1" outlineLevel="1">
      <c r="A280" s="9"/>
      <c r="B280" s="9"/>
      <c r="C280" s="9"/>
      <c r="D280" s="129">
        <f>Asset18</f>
        <v>0</v>
      </c>
      <c r="E280" s="9"/>
      <c r="F280" s="9"/>
      <c r="G280" s="9"/>
      <c r="H280" s="111"/>
      <c r="I280" s="111"/>
      <c r="J280" s="111"/>
      <c r="K280" s="111"/>
      <c r="L280" s="111">
        <f>IF(M$198=0, 'Adjustment for previous period'!L143, 0)</f>
        <v>0</v>
      </c>
      <c r="M280" s="111">
        <f>IF(N$198=0, 'Adjustment for previous period'!M143, 0)</f>
        <v>0</v>
      </c>
      <c r="N280" s="111">
        <f>IF(O$198=0, 'Adjustment for previous period'!N143, 0)</f>
        <v>0</v>
      </c>
      <c r="O280" s="111">
        <f>IF(P$198=0, 'Adjustment for previous period'!O143, 0)</f>
        <v>0</v>
      </c>
      <c r="P280" s="111">
        <f>IF(Q$198=0, 'Adjustment for previous period'!P143, 0)</f>
        <v>0</v>
      </c>
      <c r="Q280" s="111">
        <f>IF(R$198=0, 'Adjustment for previous period'!Q143, 0)</f>
        <v>0</v>
      </c>
      <c r="R280" s="9"/>
      <c r="S280" s="9"/>
      <c r="T280" s="9"/>
      <c r="U280" s="9"/>
      <c r="V280" s="9"/>
      <c r="W280" s="9"/>
      <c r="X280" s="9"/>
      <c r="Y280" s="9"/>
      <c r="Z280" s="9"/>
      <c r="AA280" s="9"/>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row>
    <row r="281" spans="1:64" hidden="1" outlineLevel="1">
      <c r="A281" s="9"/>
      <c r="B281" s="9"/>
      <c r="C281" s="9"/>
      <c r="D281" s="129">
        <f>Asset19</f>
        <v>0</v>
      </c>
      <c r="E281" s="9"/>
      <c r="F281" s="9"/>
      <c r="G281" s="9"/>
      <c r="H281" s="111"/>
      <c r="I281" s="111"/>
      <c r="J281" s="111"/>
      <c r="K281" s="111"/>
      <c r="L281" s="111">
        <f>IF(M$198=0, 'Adjustment for previous period'!L145, 0)</f>
        <v>0</v>
      </c>
      <c r="M281" s="111">
        <f>IF(N$198=0, 'Adjustment for previous period'!M145, 0)</f>
        <v>0</v>
      </c>
      <c r="N281" s="111">
        <f>IF(O$198=0, 'Adjustment for previous period'!N145, 0)</f>
        <v>0</v>
      </c>
      <c r="O281" s="111">
        <f>IF(P$198=0, 'Adjustment for previous period'!O145, 0)</f>
        <v>0</v>
      </c>
      <c r="P281" s="111">
        <f>IF(Q$198=0, 'Adjustment for previous period'!P145, 0)</f>
        <v>0</v>
      </c>
      <c r="Q281" s="111">
        <f>IF(R$198=0, 'Adjustment for previous period'!Q145, 0)</f>
        <v>0</v>
      </c>
      <c r="R281" s="9"/>
      <c r="S281" s="9"/>
      <c r="T281" s="9"/>
      <c r="U281" s="9"/>
      <c r="V281" s="9"/>
      <c r="W281" s="9"/>
      <c r="X281" s="9"/>
      <c r="Y281" s="9"/>
      <c r="Z281" s="9"/>
      <c r="AA281" s="9"/>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row>
    <row r="282" spans="1:64" hidden="1" outlineLevel="1">
      <c r="A282" s="9"/>
      <c r="B282" s="9"/>
      <c r="C282" s="9"/>
      <c r="D282" s="129">
        <f>Asset20</f>
        <v>0</v>
      </c>
      <c r="E282" s="9"/>
      <c r="F282" s="9"/>
      <c r="G282" s="9"/>
      <c r="H282" s="111"/>
      <c r="I282" s="111"/>
      <c r="J282" s="111"/>
      <c r="K282" s="111"/>
      <c r="L282" s="111">
        <f>IF(M$198=0, 'Adjustment for previous period'!L147, 0)</f>
        <v>0</v>
      </c>
      <c r="M282" s="111">
        <f>IF(N$198=0, 'Adjustment for previous period'!M147, 0)</f>
        <v>0</v>
      </c>
      <c r="N282" s="111">
        <f>IF(O$198=0, 'Adjustment for previous period'!N147, 0)</f>
        <v>0</v>
      </c>
      <c r="O282" s="111">
        <f>IF(P$198=0, 'Adjustment for previous period'!O147, 0)</f>
        <v>0</v>
      </c>
      <c r="P282" s="111">
        <f>IF(Q$198=0, 'Adjustment for previous period'!P147, 0)</f>
        <v>0</v>
      </c>
      <c r="Q282" s="111">
        <f>IF(R$198=0, 'Adjustment for previous period'!Q147, 0)</f>
        <v>0</v>
      </c>
      <c r="R282" s="9"/>
      <c r="S282" s="9"/>
      <c r="T282" s="9"/>
      <c r="U282" s="9"/>
      <c r="V282" s="9"/>
      <c r="W282" s="9"/>
      <c r="X282" s="9"/>
      <c r="Y282" s="9"/>
      <c r="Z282" s="9"/>
      <c r="AA282" s="9"/>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64" hidden="1" outlineLevel="1">
      <c r="A283" s="9"/>
      <c r="B283" s="9"/>
      <c r="C283" s="9"/>
      <c r="D283" s="129">
        <f>Asset21</f>
        <v>0</v>
      </c>
      <c r="E283" s="9"/>
      <c r="F283" s="9"/>
      <c r="G283" s="9"/>
      <c r="H283" s="111"/>
      <c r="I283" s="111"/>
      <c r="J283" s="111"/>
      <c r="K283" s="111"/>
      <c r="L283" s="111">
        <f>IF(M$198=0, 'Adjustment for previous period'!L149, 0)</f>
        <v>0</v>
      </c>
      <c r="M283" s="111">
        <f>IF(N$198=0, 'Adjustment for previous period'!M149, 0)</f>
        <v>0</v>
      </c>
      <c r="N283" s="111">
        <f>IF(O$198=0, 'Adjustment for previous period'!N149, 0)</f>
        <v>0</v>
      </c>
      <c r="O283" s="111">
        <f>IF(P$198=0, 'Adjustment for previous period'!O149, 0)</f>
        <v>0</v>
      </c>
      <c r="P283" s="111">
        <f>IF(Q$198=0, 'Adjustment for previous period'!P149, 0)</f>
        <v>0</v>
      </c>
      <c r="Q283" s="111">
        <f>IF(R$198=0, 'Adjustment for previous period'!Q149, 0)</f>
        <v>0</v>
      </c>
      <c r="R283" s="9"/>
      <c r="S283" s="9"/>
      <c r="T283" s="9"/>
      <c r="U283" s="9"/>
      <c r="V283" s="9"/>
      <c r="W283" s="9"/>
      <c r="X283" s="9"/>
      <c r="Y283" s="9"/>
      <c r="Z283" s="9"/>
      <c r="AA283" s="9"/>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row>
    <row r="284" spans="1:64" hidden="1" outlineLevel="1">
      <c r="A284" s="9"/>
      <c r="B284" s="9"/>
      <c r="C284" s="9"/>
      <c r="D284" s="129">
        <f>Asset22</f>
        <v>0</v>
      </c>
      <c r="E284" s="9"/>
      <c r="F284" s="9"/>
      <c r="G284" s="9"/>
      <c r="H284" s="111"/>
      <c r="I284" s="111"/>
      <c r="J284" s="111"/>
      <c r="K284" s="111"/>
      <c r="L284" s="111">
        <f>IF(M$198=0, 'Adjustment for previous period'!L151, 0)</f>
        <v>0</v>
      </c>
      <c r="M284" s="111">
        <f>IF(N$198=0, 'Adjustment for previous period'!M151, 0)</f>
        <v>0</v>
      </c>
      <c r="N284" s="111">
        <f>IF(O$198=0, 'Adjustment for previous period'!N151, 0)</f>
        <v>0</v>
      </c>
      <c r="O284" s="111">
        <f>IF(P$198=0, 'Adjustment for previous period'!O151, 0)</f>
        <v>0</v>
      </c>
      <c r="P284" s="111">
        <f>IF(Q$198=0, 'Adjustment for previous period'!P151, 0)</f>
        <v>0</v>
      </c>
      <c r="Q284" s="111">
        <f>IF(R$198=0, 'Adjustment for previous period'!Q151, 0)</f>
        <v>0</v>
      </c>
      <c r="R284" s="9"/>
      <c r="S284" s="9"/>
      <c r="T284" s="9"/>
      <c r="U284" s="9"/>
      <c r="V284" s="9"/>
      <c r="W284" s="9"/>
      <c r="X284" s="9"/>
      <c r="Y284" s="9"/>
      <c r="Z284" s="9"/>
      <c r="AA284" s="9"/>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row>
    <row r="285" spans="1:64" hidden="1" outlineLevel="1">
      <c r="A285" s="9"/>
      <c r="B285" s="9"/>
      <c r="C285" s="9"/>
      <c r="D285" s="129">
        <f>Asset23</f>
        <v>0</v>
      </c>
      <c r="E285" s="9"/>
      <c r="F285" s="9"/>
      <c r="G285" s="9"/>
      <c r="H285" s="111"/>
      <c r="I285" s="111"/>
      <c r="J285" s="111"/>
      <c r="K285" s="111"/>
      <c r="L285" s="111">
        <f>IF(M$198=0, 'Adjustment for previous period'!L153, 0)</f>
        <v>0</v>
      </c>
      <c r="M285" s="111">
        <f>IF(N$198=0, 'Adjustment for previous period'!M153, 0)</f>
        <v>0</v>
      </c>
      <c r="N285" s="111">
        <f>IF(O$198=0, 'Adjustment for previous period'!N153, 0)</f>
        <v>0</v>
      </c>
      <c r="O285" s="111">
        <f>IF(P$198=0, 'Adjustment for previous period'!O153, 0)</f>
        <v>0</v>
      </c>
      <c r="P285" s="111">
        <f>IF(Q$198=0, 'Adjustment for previous period'!P153, 0)</f>
        <v>0</v>
      </c>
      <c r="Q285" s="111">
        <f>IF(R$198=0, 'Adjustment for previous period'!Q153, 0)</f>
        <v>0</v>
      </c>
      <c r="R285" s="9"/>
      <c r="S285" s="9"/>
      <c r="T285" s="9"/>
      <c r="U285" s="9"/>
      <c r="V285" s="9"/>
      <c r="W285" s="9"/>
      <c r="X285" s="9"/>
      <c r="Y285" s="9"/>
      <c r="Z285" s="9"/>
      <c r="AA285" s="9"/>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row>
    <row r="286" spans="1:64" hidden="1" outlineLevel="1">
      <c r="A286" s="9"/>
      <c r="B286" s="9"/>
      <c r="C286" s="9"/>
      <c r="D286" s="129">
        <f>Asset24</f>
        <v>0</v>
      </c>
      <c r="E286" s="9"/>
      <c r="F286" s="9"/>
      <c r="G286" s="9"/>
      <c r="H286" s="111"/>
      <c r="I286" s="111"/>
      <c r="J286" s="111"/>
      <c r="K286" s="111"/>
      <c r="L286" s="111">
        <f>IF(M$198=0, 'Adjustment for previous period'!L155, 0)</f>
        <v>0</v>
      </c>
      <c r="M286" s="111">
        <f>IF(N$198=0, 'Adjustment for previous period'!M155, 0)</f>
        <v>0</v>
      </c>
      <c r="N286" s="111">
        <f>IF(O$198=0, 'Adjustment for previous period'!N155, 0)</f>
        <v>0</v>
      </c>
      <c r="O286" s="111">
        <f>IF(P$198=0, 'Adjustment for previous period'!O155, 0)</f>
        <v>0</v>
      </c>
      <c r="P286" s="111">
        <f>IF(Q$198=0, 'Adjustment for previous period'!P155, 0)</f>
        <v>0</v>
      </c>
      <c r="Q286" s="111">
        <f>IF(R$198=0, 'Adjustment for previous period'!Q155, 0)</f>
        <v>0</v>
      </c>
      <c r="R286" s="9"/>
      <c r="S286" s="9"/>
      <c r="T286" s="9"/>
      <c r="U286" s="9"/>
      <c r="V286" s="9"/>
      <c r="W286" s="9"/>
      <c r="X286" s="9"/>
      <c r="Y286" s="9"/>
      <c r="Z286" s="9"/>
      <c r="AA286" s="9"/>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64" hidden="1" outlineLevel="1">
      <c r="A287" s="9"/>
      <c r="B287" s="9"/>
      <c r="C287" s="9"/>
      <c r="D287" s="129">
        <f>Asset25</f>
        <v>0</v>
      </c>
      <c r="E287" s="9"/>
      <c r="F287" s="9"/>
      <c r="G287" s="9"/>
      <c r="H287" s="111"/>
      <c r="I287" s="111"/>
      <c r="J287" s="111"/>
      <c r="K287" s="111"/>
      <c r="L287" s="111">
        <f>IF(M$198=0, 'Adjustment for previous period'!L157, 0)</f>
        <v>0</v>
      </c>
      <c r="M287" s="111">
        <f>IF(N$198=0, 'Adjustment for previous period'!M157, 0)</f>
        <v>0</v>
      </c>
      <c r="N287" s="111">
        <f>IF(O$198=0, 'Adjustment for previous period'!N157, 0)</f>
        <v>0</v>
      </c>
      <c r="O287" s="111">
        <f>IF(P$198=0, 'Adjustment for previous period'!O157, 0)</f>
        <v>0</v>
      </c>
      <c r="P287" s="111">
        <f>IF(Q$198=0, 'Adjustment for previous period'!P157, 0)</f>
        <v>0</v>
      </c>
      <c r="Q287" s="111">
        <f>IF(R$198=0, 'Adjustment for previous period'!Q157, 0)</f>
        <v>0</v>
      </c>
      <c r="R287" s="9"/>
      <c r="S287" s="9"/>
      <c r="T287" s="9"/>
      <c r="U287" s="9"/>
      <c r="V287" s="9"/>
      <c r="W287" s="9"/>
      <c r="X287" s="9"/>
      <c r="Y287" s="9"/>
      <c r="Z287" s="9"/>
      <c r="AA287" s="9"/>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64" hidden="1" outlineLevel="1">
      <c r="A288" s="9"/>
      <c r="B288" s="9"/>
      <c r="C288" s="9"/>
      <c r="D288" s="129">
        <f>Asset26</f>
        <v>0</v>
      </c>
      <c r="E288" s="9"/>
      <c r="F288" s="9"/>
      <c r="G288" s="9"/>
      <c r="H288" s="111"/>
      <c r="I288" s="111"/>
      <c r="J288" s="111"/>
      <c r="K288" s="111"/>
      <c r="L288" s="111">
        <f>IF(M$198=0, 'Adjustment for previous period'!L159, 0)</f>
        <v>0</v>
      </c>
      <c r="M288" s="111">
        <f>IF(N$198=0, 'Adjustment for previous period'!M159, 0)</f>
        <v>0</v>
      </c>
      <c r="N288" s="111">
        <f>IF(O$198=0, 'Adjustment for previous period'!N159, 0)</f>
        <v>0</v>
      </c>
      <c r="O288" s="111">
        <f>IF(P$198=0, 'Adjustment for previous period'!O159, 0)</f>
        <v>0</v>
      </c>
      <c r="P288" s="111">
        <f>IF(Q$198=0, 'Adjustment for previous period'!P159, 0)</f>
        <v>0</v>
      </c>
      <c r="Q288" s="111">
        <f>IF(R$198=0, 'Adjustment for previous period'!Q159, 0)</f>
        <v>0</v>
      </c>
      <c r="R288" s="9"/>
      <c r="S288" s="9"/>
      <c r="T288" s="9"/>
      <c r="U288" s="9"/>
      <c r="V288" s="9"/>
      <c r="W288" s="9"/>
      <c r="X288" s="9"/>
      <c r="Y288" s="9"/>
      <c r="Z288" s="9"/>
      <c r="AA288" s="9"/>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row>
    <row r="289" spans="1:64" hidden="1" outlineLevel="1">
      <c r="A289" s="9"/>
      <c r="B289" s="9"/>
      <c r="C289" s="9"/>
      <c r="D289" s="129">
        <f>Asset27</f>
        <v>0</v>
      </c>
      <c r="E289" s="9"/>
      <c r="F289" s="9"/>
      <c r="G289" s="9"/>
      <c r="H289" s="111"/>
      <c r="I289" s="111"/>
      <c r="J289" s="111"/>
      <c r="K289" s="111"/>
      <c r="L289" s="111">
        <f>IF(M$198=0, 'Adjustment for previous period'!L161, 0)</f>
        <v>0</v>
      </c>
      <c r="M289" s="111">
        <f>IF(N$198=0, 'Adjustment for previous period'!M161, 0)</f>
        <v>0</v>
      </c>
      <c r="N289" s="111">
        <f>IF(O$198=0, 'Adjustment for previous period'!N161, 0)</f>
        <v>0</v>
      </c>
      <c r="O289" s="111">
        <f>IF(P$198=0, 'Adjustment for previous period'!O161, 0)</f>
        <v>0</v>
      </c>
      <c r="P289" s="111">
        <f>IF(Q$198=0, 'Adjustment for previous period'!P161, 0)</f>
        <v>0</v>
      </c>
      <c r="Q289" s="111">
        <f>IF(R$198=0, 'Adjustment for previous period'!Q161, 0)</f>
        <v>0</v>
      </c>
      <c r="R289" s="9"/>
      <c r="S289" s="9"/>
      <c r="T289" s="9"/>
      <c r="U289" s="9"/>
      <c r="V289" s="9"/>
      <c r="W289" s="9"/>
      <c r="X289" s="9"/>
      <c r="Y289" s="9"/>
      <c r="Z289" s="9"/>
      <c r="AA289" s="9"/>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row>
    <row r="290" spans="1:64" hidden="1" outlineLevel="1">
      <c r="A290" s="9"/>
      <c r="B290" s="9"/>
      <c r="C290" s="9"/>
      <c r="D290" s="129">
        <f>Asset28</f>
        <v>0</v>
      </c>
      <c r="E290" s="9"/>
      <c r="F290" s="9"/>
      <c r="G290" s="9"/>
      <c r="H290" s="111"/>
      <c r="I290" s="111"/>
      <c r="J290" s="111"/>
      <c r="K290" s="111"/>
      <c r="L290" s="111">
        <f>IF(M$198=0, 'Adjustment for previous period'!L163, 0)</f>
        <v>0</v>
      </c>
      <c r="M290" s="111">
        <f>IF(N$198=0, 'Adjustment for previous period'!M163, 0)</f>
        <v>0</v>
      </c>
      <c r="N290" s="111">
        <f>IF(O$198=0, 'Adjustment for previous period'!N163, 0)</f>
        <v>0</v>
      </c>
      <c r="O290" s="111">
        <f>IF(P$198=0, 'Adjustment for previous period'!O163, 0)</f>
        <v>0</v>
      </c>
      <c r="P290" s="111">
        <f>IF(Q$198=0, 'Adjustment for previous period'!P163, 0)</f>
        <v>0</v>
      </c>
      <c r="Q290" s="111">
        <f>IF(R$198=0, 'Adjustment for previous period'!Q163, 0)</f>
        <v>0</v>
      </c>
      <c r="R290" s="9"/>
      <c r="S290" s="9"/>
      <c r="T290" s="9"/>
      <c r="U290" s="9"/>
      <c r="V290" s="9"/>
      <c r="W290" s="9"/>
      <c r="X290" s="9"/>
      <c r="Y290" s="9"/>
      <c r="Z290" s="9"/>
      <c r="AA290" s="9"/>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row>
    <row r="291" spans="1:64" hidden="1" outlineLevel="1">
      <c r="A291" s="9"/>
      <c r="B291" s="9"/>
      <c r="C291" s="9"/>
      <c r="D291" s="129">
        <f>Asset29</f>
        <v>0</v>
      </c>
      <c r="E291" s="9"/>
      <c r="F291" s="9"/>
      <c r="G291" s="9"/>
      <c r="H291" s="111"/>
      <c r="I291" s="111"/>
      <c r="J291" s="111"/>
      <c r="K291" s="111"/>
      <c r="L291" s="111">
        <f>IF(M$198=0, 'Adjustment for previous period'!L165, 0)</f>
        <v>0</v>
      </c>
      <c r="M291" s="111">
        <f>IF(N$198=0, 'Adjustment for previous period'!M165, 0)</f>
        <v>0</v>
      </c>
      <c r="N291" s="111">
        <f>IF(O$198=0, 'Adjustment for previous period'!N165, 0)</f>
        <v>0</v>
      </c>
      <c r="O291" s="111">
        <f>IF(P$198=0, 'Adjustment for previous period'!O165, 0)</f>
        <v>0</v>
      </c>
      <c r="P291" s="111">
        <f>IF(Q$198=0, 'Adjustment for previous period'!P165, 0)</f>
        <v>0</v>
      </c>
      <c r="Q291" s="111">
        <f>IF(R$198=0, 'Adjustment for previous period'!Q165, 0)</f>
        <v>0</v>
      </c>
      <c r="R291" s="9"/>
      <c r="S291" s="9"/>
      <c r="T291" s="9"/>
      <c r="U291" s="9"/>
      <c r="V291" s="9"/>
      <c r="W291" s="9"/>
      <c r="X291" s="9"/>
      <c r="Y291" s="9"/>
      <c r="Z291" s="9"/>
      <c r="AA291" s="9"/>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row>
    <row r="292" spans="1:64" hidden="1" outlineLevel="1">
      <c r="A292" s="9"/>
      <c r="B292" s="9"/>
      <c r="C292" s="9"/>
      <c r="D292" s="129">
        <f>Asset30</f>
        <v>0</v>
      </c>
      <c r="E292" s="9"/>
      <c r="F292" s="9"/>
      <c r="G292" s="9"/>
      <c r="H292" s="111"/>
      <c r="I292" s="111"/>
      <c r="J292" s="111"/>
      <c r="K292" s="111"/>
      <c r="L292" s="111">
        <f>IF(M$198=0, 'Adjustment for previous period'!L167, 0)</f>
        <v>0</v>
      </c>
      <c r="M292" s="111">
        <f>IF(N$198=0, 'Adjustment for previous period'!M167, 0)</f>
        <v>0</v>
      </c>
      <c r="N292" s="111">
        <f>IF(O$198=0, 'Adjustment for previous period'!N167, 0)</f>
        <v>0</v>
      </c>
      <c r="O292" s="111">
        <f>IF(P$198=0, 'Adjustment for previous period'!O167, 0)</f>
        <v>0</v>
      </c>
      <c r="P292" s="111">
        <f>IF(Q$198=0, 'Adjustment for previous period'!P167, 0)</f>
        <v>0</v>
      </c>
      <c r="Q292" s="111">
        <f>IF(R$198=0, 'Adjustment for previous period'!Q167, 0)</f>
        <v>0</v>
      </c>
      <c r="R292" s="9"/>
      <c r="S292" s="9"/>
      <c r="T292" s="9"/>
      <c r="U292" s="9"/>
      <c r="V292" s="9"/>
      <c r="W292" s="9"/>
      <c r="X292" s="9"/>
      <c r="Y292" s="9"/>
      <c r="Z292" s="9"/>
      <c r="AA292" s="9"/>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row>
    <row r="294" spans="1:64">
      <c r="A294" s="9"/>
      <c r="B294" s="9"/>
      <c r="C294" s="9" t="s">
        <v>56</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row>
    <row r="295" spans="1:64" hidden="1" outlineLevel="1">
      <c r="A295" s="9"/>
      <c r="B295" s="9"/>
      <c r="C295" s="9"/>
      <c r="D295" s="129" t="str">
        <f>Asset1</f>
        <v>Mains &amp; Services</v>
      </c>
      <c r="E295" s="9"/>
      <c r="F295" s="9"/>
      <c r="G295" s="9"/>
      <c r="H295" s="9"/>
      <c r="I295" s="9"/>
      <c r="J295" s="9"/>
      <c r="K295" s="9"/>
      <c r="L295" s="111">
        <f>IF(L$198&gt;0, IF(M$198=0, 'Adjustment for previous period'!$G237, 0), 0)</f>
        <v>0</v>
      </c>
      <c r="M295" s="111">
        <f>IF(M$198&gt;0, IF(N$198=0, 'Adjustment for previous period'!$G237, 0), 0)</f>
        <v>0</v>
      </c>
      <c r="N295" s="111">
        <f>IF(N$198&gt;0, IF(O$198=0, 'Adjustment for previous period'!$G237, 0), 0)</f>
        <v>0</v>
      </c>
      <c r="O295" s="111">
        <f>IF(O$198&gt;0, IF(P$198=0, 'Adjustment for previous period'!$G237, 0), 0)</f>
        <v>0</v>
      </c>
      <c r="P295" s="111">
        <f>IF(P$198&gt;0, IF(Q$198=0, 'Adjustment for previous period'!$G237, 0), 0)</f>
        <v>0</v>
      </c>
      <c r="Q295" s="111">
        <f>IF(Q$198&gt;0, IF(R$198=0, 'Adjustment for previous period'!$G237, 0), 0)</f>
        <v>0</v>
      </c>
      <c r="R295" s="9"/>
      <c r="S295" s="9"/>
      <c r="T295" s="9"/>
      <c r="U295" s="9"/>
      <c r="V295" s="9"/>
      <c r="W295" s="9"/>
      <c r="X295" s="9"/>
      <c r="Y295" s="9"/>
      <c r="Z295" s="9"/>
      <c r="AA295" s="9"/>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row>
    <row r="296" spans="1:64" hidden="1" outlineLevel="1">
      <c r="A296" s="9"/>
      <c r="B296" s="9"/>
      <c r="C296" s="9"/>
      <c r="D296" s="129" t="str">
        <f>Asset2</f>
        <v>Meters</v>
      </c>
      <c r="E296" s="9"/>
      <c r="F296" s="9"/>
      <c r="G296" s="9"/>
      <c r="H296" s="9"/>
      <c r="I296" s="9"/>
      <c r="J296" s="9"/>
      <c r="K296" s="9"/>
      <c r="L296" s="111">
        <f>IF(L$198&gt;0, IF(M$198=0, 'Adjustment for previous period'!$G238, 0), 0)</f>
        <v>0</v>
      </c>
      <c r="M296" s="111">
        <f>IF(M$198&gt;0, IF(N$198=0, 'Adjustment for previous period'!$G238, 0), 0)</f>
        <v>0</v>
      </c>
      <c r="N296" s="111">
        <f>IF(N$198&gt;0, IF(O$198=0, 'Adjustment for previous period'!$G238, 0), 0)</f>
        <v>0</v>
      </c>
      <c r="O296" s="111">
        <f>IF(O$198&gt;0, IF(P$198=0, 'Adjustment for previous period'!$G238, 0), 0)</f>
        <v>0</v>
      </c>
      <c r="P296" s="111">
        <f>IF(P$198&gt;0, IF(Q$198=0, 'Adjustment for previous period'!$G238, 0), 0)</f>
        <v>0</v>
      </c>
      <c r="Q296" s="111">
        <f>IF(Q$198&gt;0, IF(R$198=0, 'Adjustment for previous period'!$G238, 0), 0)</f>
        <v>0</v>
      </c>
      <c r="R296" s="9"/>
      <c r="S296" s="9"/>
      <c r="T296" s="9"/>
      <c r="U296" s="9"/>
      <c r="V296" s="9"/>
      <c r="W296" s="9"/>
      <c r="X296" s="9"/>
      <c r="Y296" s="9"/>
      <c r="Z296" s="9"/>
      <c r="AA296" s="9"/>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row>
    <row r="297" spans="1:64" hidden="1" outlineLevel="1">
      <c r="A297" s="9"/>
      <c r="B297" s="9"/>
      <c r="C297" s="9"/>
      <c r="D297" s="129" t="str">
        <f>Asset3</f>
        <v>Buildings</v>
      </c>
      <c r="E297" s="9"/>
      <c r="F297" s="9"/>
      <c r="G297" s="9"/>
      <c r="H297" s="9"/>
      <c r="I297" s="9"/>
      <c r="J297" s="9"/>
      <c r="K297" s="9"/>
      <c r="L297" s="111">
        <f>IF(L$198&gt;0, IF(M$198=0, 'Adjustment for previous period'!$G239, 0), 0)</f>
        <v>0</v>
      </c>
      <c r="M297" s="111">
        <f>IF(M$198&gt;0, IF(N$198=0, 'Adjustment for previous period'!$G239, 0), 0)</f>
        <v>0</v>
      </c>
      <c r="N297" s="111">
        <f>IF(N$198&gt;0, IF(O$198=0, 'Adjustment for previous period'!$G239, 0), 0)</f>
        <v>0</v>
      </c>
      <c r="O297" s="111">
        <f>IF(O$198&gt;0, IF(P$198=0, 'Adjustment for previous period'!$G239, 0), 0)</f>
        <v>0</v>
      </c>
      <c r="P297" s="111">
        <f>IF(P$198&gt;0, IF(Q$198=0, 'Adjustment for previous period'!$G239, 0), 0)</f>
        <v>0</v>
      </c>
      <c r="Q297" s="111">
        <f>IF(Q$198&gt;0, IF(R$198=0, 'Adjustment for previous period'!$G239, 0), 0)</f>
        <v>0</v>
      </c>
      <c r="R297" s="9"/>
      <c r="S297" s="9"/>
      <c r="T297" s="9"/>
      <c r="U297" s="9"/>
      <c r="V297" s="9"/>
      <c r="W297" s="9"/>
      <c r="X297" s="9"/>
      <c r="Y297" s="9"/>
      <c r="Z297" s="9"/>
      <c r="AA297" s="9"/>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row>
    <row r="298" spans="1:64" hidden="1" outlineLevel="1">
      <c r="A298" s="9"/>
      <c r="B298" s="9"/>
      <c r="C298" s="9"/>
      <c r="D298" s="129" t="str">
        <f>Asset4</f>
        <v>SCADA</v>
      </c>
      <c r="E298" s="9"/>
      <c r="F298" s="9"/>
      <c r="G298" s="9"/>
      <c r="H298" s="9"/>
      <c r="I298" s="9"/>
      <c r="J298" s="9"/>
      <c r="K298" s="9"/>
      <c r="L298" s="111">
        <f>IF(L$198&gt;0, IF(M$198=0, 'Adjustment for previous period'!$G240, 0), 0)</f>
        <v>0</v>
      </c>
      <c r="M298" s="111">
        <f>IF(M$198&gt;0, IF(N$198=0, 'Adjustment for previous period'!$G240, 0), 0)</f>
        <v>0</v>
      </c>
      <c r="N298" s="111">
        <f>IF(N$198&gt;0, IF(O$198=0, 'Adjustment for previous period'!$G240, 0), 0)</f>
        <v>0</v>
      </c>
      <c r="O298" s="111">
        <f>IF(O$198&gt;0, IF(P$198=0, 'Adjustment for previous period'!$G240, 0), 0)</f>
        <v>0</v>
      </c>
      <c r="P298" s="111">
        <f>IF(P$198&gt;0, IF(Q$198=0, 'Adjustment for previous period'!$G240, 0), 0)</f>
        <v>0</v>
      </c>
      <c r="Q298" s="111">
        <f>IF(Q$198&gt;0, IF(R$198=0, 'Adjustment for previous period'!$G240, 0), 0)</f>
        <v>0</v>
      </c>
      <c r="R298" s="9"/>
      <c r="S298" s="9"/>
      <c r="T298" s="9"/>
      <c r="U298" s="9"/>
      <c r="V298" s="9"/>
      <c r="W298" s="9"/>
      <c r="X298" s="9"/>
      <c r="Y298" s="9"/>
      <c r="Z298" s="9"/>
      <c r="AA298" s="9"/>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row>
    <row r="299" spans="1:64" hidden="1" outlineLevel="1">
      <c r="A299" s="9"/>
      <c r="B299" s="9"/>
      <c r="C299" s="9"/>
      <c r="D299" s="129" t="str">
        <f>Asset5</f>
        <v>Computer Equipment</v>
      </c>
      <c r="E299" s="9"/>
      <c r="F299" s="9"/>
      <c r="G299" s="9"/>
      <c r="H299" s="9"/>
      <c r="I299" s="9"/>
      <c r="J299" s="9"/>
      <c r="K299" s="9"/>
      <c r="L299" s="111">
        <f>IF(L$198&gt;0, IF(M$198=0, 'Adjustment for previous period'!$G241, 0), 0)</f>
        <v>0</v>
      </c>
      <c r="M299" s="111">
        <f>IF(M$198&gt;0, IF(N$198=0, 'Adjustment for previous period'!$G241, 0), 0)</f>
        <v>0</v>
      </c>
      <c r="N299" s="111">
        <f>IF(N$198&gt;0, IF(O$198=0, 'Adjustment for previous period'!$G241, 0), 0)</f>
        <v>0</v>
      </c>
      <c r="O299" s="111">
        <f>IF(O$198&gt;0, IF(P$198=0, 'Adjustment for previous period'!$G241, 0), 0)</f>
        <v>0</v>
      </c>
      <c r="P299" s="111">
        <f>IF(P$198&gt;0, IF(Q$198=0, 'Adjustment for previous period'!$G241, 0), 0)</f>
        <v>0</v>
      </c>
      <c r="Q299" s="111">
        <f>IF(Q$198&gt;0, IF(R$198=0, 'Adjustment for previous period'!$G241, 0), 0)</f>
        <v>0</v>
      </c>
      <c r="R299" s="9"/>
      <c r="S299" s="9"/>
      <c r="T299" s="9"/>
      <c r="U299" s="9"/>
      <c r="V299" s="9"/>
      <c r="W299" s="9"/>
      <c r="X299" s="9"/>
      <c r="Y299" s="9"/>
      <c r="Z299" s="9"/>
      <c r="AA299" s="9"/>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row>
    <row r="300" spans="1:64" hidden="1" outlineLevel="1">
      <c r="A300" s="9"/>
      <c r="B300" s="9"/>
      <c r="C300" s="9"/>
      <c r="D300" s="129" t="str">
        <f>Asset6</f>
        <v>Other Assets</v>
      </c>
      <c r="E300" s="9"/>
      <c r="F300" s="9"/>
      <c r="G300" s="9"/>
      <c r="H300" s="9"/>
      <c r="I300" s="9"/>
      <c r="J300" s="9"/>
      <c r="K300" s="9"/>
      <c r="L300" s="111">
        <f>IF(L$198&gt;0, IF(M$198=0, 'Adjustment for previous period'!$G242, 0), 0)</f>
        <v>0</v>
      </c>
      <c r="M300" s="111">
        <f>IF(M$198&gt;0, IF(N$198=0, 'Adjustment for previous period'!$G242, 0), 0)</f>
        <v>0</v>
      </c>
      <c r="N300" s="111">
        <f>IF(N$198&gt;0, IF(O$198=0, 'Adjustment for previous period'!$G242, 0), 0)</f>
        <v>0</v>
      </c>
      <c r="O300" s="111">
        <f>IF(O$198&gt;0, IF(P$198=0, 'Adjustment for previous period'!$G242, 0), 0)</f>
        <v>0</v>
      </c>
      <c r="P300" s="111">
        <f>IF(P$198&gt;0, IF(Q$198=0, 'Adjustment for previous period'!$G242, 0), 0)</f>
        <v>0</v>
      </c>
      <c r="Q300" s="111">
        <f>IF(Q$198&gt;0, IF(R$198=0, 'Adjustment for previous period'!$G242, 0), 0)</f>
        <v>0</v>
      </c>
      <c r="R300" s="9"/>
      <c r="S300" s="9"/>
      <c r="T300" s="9"/>
      <c r="U300" s="9"/>
      <c r="V300" s="9"/>
      <c r="W300" s="9"/>
      <c r="X300" s="9"/>
      <c r="Y300" s="9"/>
      <c r="Z300" s="9"/>
      <c r="AA300" s="9"/>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row>
    <row r="301" spans="1:64" hidden="1" outlineLevel="1">
      <c r="A301" s="9"/>
      <c r="B301" s="9"/>
      <c r="C301" s="9"/>
      <c r="D301" s="129" t="str">
        <f>Asset7</f>
        <v>Equity Raising Costs</v>
      </c>
      <c r="E301" s="9"/>
      <c r="F301" s="9"/>
      <c r="G301" s="9"/>
      <c r="H301" s="9"/>
      <c r="I301" s="9"/>
      <c r="J301" s="9"/>
      <c r="K301" s="9"/>
      <c r="L301" s="111">
        <f>IF(L$198&gt;0, IF(M$198=0, 'Adjustment for previous period'!$G243, 0), 0)</f>
        <v>0</v>
      </c>
      <c r="M301" s="111">
        <f>IF(M$198&gt;0, IF(N$198=0, 'Adjustment for previous period'!$G243, 0), 0)</f>
        <v>0</v>
      </c>
      <c r="N301" s="111">
        <f>IF(N$198&gt;0, IF(O$198=0, 'Adjustment for previous period'!$G243, 0), 0)</f>
        <v>0</v>
      </c>
      <c r="O301" s="111">
        <f>IF(O$198&gt;0, IF(P$198=0, 'Adjustment for previous period'!$G243, 0), 0)</f>
        <v>0</v>
      </c>
      <c r="P301" s="111">
        <f>IF(P$198&gt;0, IF(Q$198=0, 'Adjustment for previous period'!$G243, 0), 0)</f>
        <v>0</v>
      </c>
      <c r="Q301" s="111">
        <f>IF(Q$198&gt;0, IF(R$198=0, 'Adjustment for previous period'!$G243, 0), 0)</f>
        <v>0</v>
      </c>
      <c r="R301" s="9"/>
      <c r="S301" s="9"/>
      <c r="T301" s="9"/>
      <c r="U301" s="9"/>
      <c r="V301" s="9"/>
      <c r="W301" s="9"/>
      <c r="X301" s="9"/>
      <c r="Y301" s="9"/>
      <c r="Z301" s="9"/>
      <c r="AA301" s="9"/>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row>
    <row r="302" spans="1:64" hidden="1" outlineLevel="1">
      <c r="A302" s="9"/>
      <c r="B302" s="9"/>
      <c r="C302" s="9"/>
      <c r="D302" s="129" t="str">
        <f>Asset8</f>
        <v>Land</v>
      </c>
      <c r="E302" s="9"/>
      <c r="F302" s="9"/>
      <c r="G302" s="9"/>
      <c r="H302" s="9"/>
      <c r="I302" s="9"/>
      <c r="J302" s="9"/>
      <c r="K302" s="9"/>
      <c r="L302" s="111">
        <f>IF(L$198&gt;0, IF(M$198=0, 'Adjustment for previous period'!$G244, 0), 0)</f>
        <v>0</v>
      </c>
      <c r="M302" s="111">
        <f>IF(M$198&gt;0, IF(N$198=0, 'Adjustment for previous period'!$G244, 0), 0)</f>
        <v>0</v>
      </c>
      <c r="N302" s="111">
        <f>IF(N$198&gt;0, IF(O$198=0, 'Adjustment for previous period'!$G244, 0), 0)</f>
        <v>0</v>
      </c>
      <c r="O302" s="111">
        <f>IF(O$198&gt;0, IF(P$198=0, 'Adjustment for previous period'!$G244, 0), 0)</f>
        <v>0</v>
      </c>
      <c r="P302" s="111">
        <f>IF(P$198&gt;0, IF(Q$198=0, 'Adjustment for previous period'!$G244, 0), 0)</f>
        <v>0</v>
      </c>
      <c r="Q302" s="111">
        <f>IF(Q$198&gt;0, IF(R$198=0, 'Adjustment for previous period'!$G244, 0), 0)</f>
        <v>0</v>
      </c>
      <c r="R302" s="9"/>
      <c r="S302" s="9"/>
      <c r="T302" s="9"/>
      <c r="U302" s="9"/>
      <c r="V302" s="9"/>
      <c r="W302" s="9"/>
      <c r="X302" s="9"/>
      <c r="Y302" s="9"/>
      <c r="Z302" s="9"/>
      <c r="AA302" s="9"/>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row>
    <row r="303" spans="1:64" hidden="1" outlineLevel="1">
      <c r="A303" s="9"/>
      <c r="B303" s="9"/>
      <c r="C303" s="9"/>
      <c r="D303" s="129">
        <f>Asset9</f>
        <v>0</v>
      </c>
      <c r="E303" s="9"/>
      <c r="F303" s="9"/>
      <c r="G303" s="9"/>
      <c r="H303" s="9"/>
      <c r="I303" s="9"/>
      <c r="J303" s="9"/>
      <c r="K303" s="9"/>
      <c r="L303" s="111">
        <f>IF(L$198&gt;0, IF(M$198=0, 'Adjustment for previous period'!$G245, 0), 0)</f>
        <v>0</v>
      </c>
      <c r="M303" s="111">
        <f>IF(M$198&gt;0, IF(N$198=0, 'Adjustment for previous period'!$G245, 0), 0)</f>
        <v>0</v>
      </c>
      <c r="N303" s="111">
        <f>IF(N$198&gt;0, IF(O$198=0, 'Adjustment for previous period'!$G245, 0), 0)</f>
        <v>0</v>
      </c>
      <c r="O303" s="111">
        <f>IF(O$198&gt;0, IF(P$198=0, 'Adjustment for previous period'!$G245, 0), 0)</f>
        <v>0</v>
      </c>
      <c r="P303" s="111">
        <f>IF(P$198&gt;0, IF(Q$198=0, 'Adjustment for previous period'!$G245, 0), 0)</f>
        <v>0</v>
      </c>
      <c r="Q303" s="111">
        <f>IF(Q$198&gt;0, IF(R$198=0, 'Adjustment for previous period'!$G245, 0), 0)</f>
        <v>0</v>
      </c>
      <c r="R303" s="9"/>
      <c r="S303" s="9"/>
      <c r="T303" s="9"/>
      <c r="U303" s="9"/>
      <c r="V303" s="9"/>
      <c r="W303" s="9"/>
      <c r="X303" s="9"/>
      <c r="Y303" s="9"/>
      <c r="Z303" s="9"/>
      <c r="AA303" s="9"/>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row>
    <row r="304" spans="1:64" hidden="1" outlineLevel="1">
      <c r="A304" s="9"/>
      <c r="B304" s="9"/>
      <c r="C304" s="9"/>
      <c r="D304" s="129">
        <f>Asset10</f>
        <v>0</v>
      </c>
      <c r="E304" s="9"/>
      <c r="F304" s="9"/>
      <c r="G304" s="9"/>
      <c r="H304" s="9"/>
      <c r="I304" s="9"/>
      <c r="J304" s="9"/>
      <c r="K304" s="9"/>
      <c r="L304" s="111">
        <f>IF(L$198&gt;0, IF(M$198=0, 'Adjustment for previous period'!$G246, 0), 0)</f>
        <v>0</v>
      </c>
      <c r="M304" s="111">
        <f>IF(M$198&gt;0, IF(N$198=0, 'Adjustment for previous period'!$G246, 0), 0)</f>
        <v>0</v>
      </c>
      <c r="N304" s="111">
        <f>IF(N$198&gt;0, IF(O$198=0, 'Adjustment for previous period'!$G246, 0), 0)</f>
        <v>0</v>
      </c>
      <c r="O304" s="111">
        <f>IF(O$198&gt;0, IF(P$198=0, 'Adjustment for previous period'!$G246, 0), 0)</f>
        <v>0</v>
      </c>
      <c r="P304" s="111">
        <f>IF(P$198&gt;0, IF(Q$198=0, 'Adjustment for previous period'!$G246, 0), 0)</f>
        <v>0</v>
      </c>
      <c r="Q304" s="111">
        <f>IF(Q$198&gt;0, IF(R$198=0, 'Adjustment for previous period'!$G246, 0), 0)</f>
        <v>0</v>
      </c>
      <c r="R304" s="9"/>
      <c r="S304" s="9"/>
      <c r="T304" s="9"/>
      <c r="U304" s="9"/>
      <c r="V304" s="9"/>
      <c r="W304" s="9"/>
      <c r="X304" s="9"/>
      <c r="Y304" s="9"/>
      <c r="Z304" s="9"/>
      <c r="AA304" s="9"/>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row>
    <row r="305" spans="1:64" hidden="1" outlineLevel="1">
      <c r="A305" s="9"/>
      <c r="B305" s="9"/>
      <c r="C305" s="9"/>
      <c r="D305" s="129">
        <f>Asset11</f>
        <v>0</v>
      </c>
      <c r="E305" s="9"/>
      <c r="F305" s="9"/>
      <c r="G305" s="9"/>
      <c r="H305" s="9"/>
      <c r="I305" s="9"/>
      <c r="J305" s="9"/>
      <c r="K305" s="9"/>
      <c r="L305" s="111">
        <f>IF(L$198&gt;0, IF(M$198=0, 'Adjustment for previous period'!$G247, 0), 0)</f>
        <v>0</v>
      </c>
      <c r="M305" s="111">
        <f>IF(M$198&gt;0, IF(N$198=0, 'Adjustment for previous period'!$G247, 0), 0)</f>
        <v>0</v>
      </c>
      <c r="N305" s="111">
        <f>IF(N$198&gt;0, IF(O$198=0, 'Adjustment for previous period'!$G247, 0), 0)</f>
        <v>0</v>
      </c>
      <c r="O305" s="111">
        <f>IF(O$198&gt;0, IF(P$198=0, 'Adjustment for previous period'!$G247, 0), 0)</f>
        <v>0</v>
      </c>
      <c r="P305" s="111">
        <f>IF(P$198&gt;0, IF(Q$198=0, 'Adjustment for previous period'!$G247, 0), 0)</f>
        <v>0</v>
      </c>
      <c r="Q305" s="111">
        <f>IF(Q$198&gt;0, IF(R$198=0, 'Adjustment for previous period'!$G247, 0), 0)</f>
        <v>0</v>
      </c>
      <c r="R305" s="9"/>
      <c r="S305" s="9"/>
      <c r="T305" s="9"/>
      <c r="U305" s="9"/>
      <c r="V305" s="9"/>
      <c r="W305" s="9"/>
      <c r="X305" s="9"/>
      <c r="Y305" s="9"/>
      <c r="Z305" s="9"/>
      <c r="AA305" s="9"/>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row>
    <row r="306" spans="1:64" hidden="1" outlineLevel="1">
      <c r="A306" s="9"/>
      <c r="B306" s="9"/>
      <c r="C306" s="9"/>
      <c r="D306" s="129">
        <f>Asset12</f>
        <v>0</v>
      </c>
      <c r="E306" s="9"/>
      <c r="F306" s="9"/>
      <c r="G306" s="9"/>
      <c r="H306" s="9"/>
      <c r="I306" s="9"/>
      <c r="J306" s="9"/>
      <c r="K306" s="9"/>
      <c r="L306" s="111">
        <f>IF(L$198&gt;0, IF(M$198=0, 'Adjustment for previous period'!$G248, 0), 0)</f>
        <v>0</v>
      </c>
      <c r="M306" s="111">
        <f>IF(M$198&gt;0, IF(N$198=0, 'Adjustment for previous period'!$G248, 0), 0)</f>
        <v>0</v>
      </c>
      <c r="N306" s="111">
        <f>IF(N$198&gt;0, IF(O$198=0, 'Adjustment for previous period'!$G248, 0), 0)</f>
        <v>0</v>
      </c>
      <c r="O306" s="111">
        <f>IF(O$198&gt;0, IF(P$198=0, 'Adjustment for previous period'!$G248, 0), 0)</f>
        <v>0</v>
      </c>
      <c r="P306" s="111">
        <f>IF(P$198&gt;0, IF(Q$198=0, 'Adjustment for previous period'!$G248, 0), 0)</f>
        <v>0</v>
      </c>
      <c r="Q306" s="111">
        <f>IF(Q$198&gt;0, IF(R$198=0, 'Adjustment for previous period'!$G248, 0), 0)</f>
        <v>0</v>
      </c>
      <c r="R306" s="9"/>
      <c r="S306" s="9"/>
      <c r="T306" s="9"/>
      <c r="U306" s="9"/>
      <c r="V306" s="9"/>
      <c r="W306" s="9"/>
      <c r="X306" s="9"/>
      <c r="Y306" s="9"/>
      <c r="Z306" s="9"/>
      <c r="AA306" s="9"/>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row>
    <row r="307" spans="1:64" hidden="1" outlineLevel="1">
      <c r="A307" s="9"/>
      <c r="B307" s="9"/>
      <c r="C307" s="9"/>
      <c r="D307" s="129">
        <f>Asset13</f>
        <v>0</v>
      </c>
      <c r="E307" s="9"/>
      <c r="F307" s="9"/>
      <c r="G307" s="9"/>
      <c r="H307" s="9"/>
      <c r="I307" s="9"/>
      <c r="J307" s="9"/>
      <c r="K307" s="9"/>
      <c r="L307" s="111">
        <f>IF(L$198&gt;0, IF(M$198=0, 'Adjustment for previous period'!$G249, 0), 0)</f>
        <v>0</v>
      </c>
      <c r="M307" s="111">
        <f>IF(M$198&gt;0, IF(N$198=0, 'Adjustment for previous period'!$G249, 0), 0)</f>
        <v>0</v>
      </c>
      <c r="N307" s="111">
        <f>IF(N$198&gt;0, IF(O$198=0, 'Adjustment for previous period'!$G249, 0), 0)</f>
        <v>0</v>
      </c>
      <c r="O307" s="111">
        <f>IF(O$198&gt;0, IF(P$198=0, 'Adjustment for previous period'!$G249, 0), 0)</f>
        <v>0</v>
      </c>
      <c r="P307" s="111">
        <f>IF(P$198&gt;0, IF(Q$198=0, 'Adjustment for previous period'!$G249, 0), 0)</f>
        <v>0</v>
      </c>
      <c r="Q307" s="111">
        <f>IF(Q$198&gt;0, IF(R$198=0, 'Adjustment for previous period'!$G249, 0), 0)</f>
        <v>0</v>
      </c>
      <c r="R307" s="9"/>
      <c r="S307" s="9"/>
      <c r="T307" s="9"/>
      <c r="U307" s="9"/>
      <c r="V307" s="9"/>
      <c r="W307" s="9"/>
      <c r="X307" s="9"/>
      <c r="Y307" s="9"/>
      <c r="Z307" s="9"/>
      <c r="AA307" s="9"/>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row>
    <row r="308" spans="1:64" hidden="1" outlineLevel="1">
      <c r="A308" s="9"/>
      <c r="B308" s="9"/>
      <c r="C308" s="9"/>
      <c r="D308" s="129">
        <f>Asset14</f>
        <v>0</v>
      </c>
      <c r="E308" s="9"/>
      <c r="F308" s="9"/>
      <c r="G308" s="9"/>
      <c r="H308" s="9"/>
      <c r="I308" s="9"/>
      <c r="J308" s="9"/>
      <c r="K308" s="9"/>
      <c r="L308" s="111">
        <f>IF(L$198&gt;0, IF(M$198=0, 'Adjustment for previous period'!$G250, 0), 0)</f>
        <v>0</v>
      </c>
      <c r="M308" s="111">
        <f>IF(M$198&gt;0, IF(N$198=0, 'Adjustment for previous period'!$G250, 0), 0)</f>
        <v>0</v>
      </c>
      <c r="N308" s="111">
        <f>IF(N$198&gt;0, IF(O$198=0, 'Adjustment for previous period'!$G250, 0), 0)</f>
        <v>0</v>
      </c>
      <c r="O308" s="111">
        <f>IF(O$198&gt;0, IF(P$198=0, 'Adjustment for previous period'!$G250, 0), 0)</f>
        <v>0</v>
      </c>
      <c r="P308" s="111">
        <f>IF(P$198&gt;0, IF(Q$198=0, 'Adjustment for previous period'!$G250, 0), 0)</f>
        <v>0</v>
      </c>
      <c r="Q308" s="111">
        <f>IF(Q$198&gt;0, IF(R$198=0, 'Adjustment for previous period'!$G250, 0), 0)</f>
        <v>0</v>
      </c>
      <c r="R308" s="9"/>
      <c r="S308" s="9"/>
      <c r="T308" s="9"/>
      <c r="U308" s="9"/>
      <c r="V308" s="9"/>
      <c r="W308" s="9"/>
      <c r="X308" s="9"/>
      <c r="Y308" s="9"/>
      <c r="Z308" s="9"/>
      <c r="AA308" s="9"/>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row>
    <row r="309" spans="1:64" hidden="1" outlineLevel="1">
      <c r="A309" s="9"/>
      <c r="B309" s="9"/>
      <c r="C309" s="9"/>
      <c r="D309" s="129">
        <f>Asset15</f>
        <v>0</v>
      </c>
      <c r="E309" s="9"/>
      <c r="F309" s="9"/>
      <c r="G309" s="9"/>
      <c r="H309" s="9"/>
      <c r="I309" s="9"/>
      <c r="J309" s="9"/>
      <c r="K309" s="9"/>
      <c r="L309" s="111">
        <f>IF(L$198&gt;0, IF(M$198=0, 'Adjustment for previous period'!$G251, 0), 0)</f>
        <v>0</v>
      </c>
      <c r="M309" s="111">
        <f>IF(M$198&gt;0, IF(N$198=0, 'Adjustment for previous period'!$G251, 0), 0)</f>
        <v>0</v>
      </c>
      <c r="N309" s="111">
        <f>IF(N$198&gt;0, IF(O$198=0, 'Adjustment for previous period'!$G251, 0), 0)</f>
        <v>0</v>
      </c>
      <c r="O309" s="111">
        <f>IF(O$198&gt;0, IF(P$198=0, 'Adjustment for previous period'!$G251, 0), 0)</f>
        <v>0</v>
      </c>
      <c r="P309" s="111">
        <f>IF(P$198&gt;0, IF(Q$198=0, 'Adjustment for previous period'!$G251, 0), 0)</f>
        <v>0</v>
      </c>
      <c r="Q309" s="111">
        <f>IF(Q$198&gt;0, IF(R$198=0, 'Adjustment for previous period'!$G251, 0), 0)</f>
        <v>0</v>
      </c>
      <c r="R309" s="9"/>
      <c r="S309" s="9"/>
      <c r="T309" s="9"/>
      <c r="U309" s="9"/>
      <c r="V309" s="9"/>
      <c r="W309" s="9"/>
      <c r="X309" s="9"/>
      <c r="Y309" s="9"/>
      <c r="Z309" s="9"/>
      <c r="AA309" s="9"/>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row>
    <row r="310" spans="1:64" hidden="1" outlineLevel="1">
      <c r="A310" s="9"/>
      <c r="B310" s="9"/>
      <c r="C310" s="9"/>
      <c r="D310" s="129">
        <f>Asset16</f>
        <v>0</v>
      </c>
      <c r="E310" s="9"/>
      <c r="F310" s="9"/>
      <c r="G310" s="9"/>
      <c r="H310" s="9"/>
      <c r="I310" s="9"/>
      <c r="J310" s="9"/>
      <c r="K310" s="9"/>
      <c r="L310" s="111">
        <f>IF(L$198&gt;0, IF(M$198=0, 'Adjustment for previous period'!$G252, 0), 0)</f>
        <v>0</v>
      </c>
      <c r="M310" s="111">
        <f>IF(M$198&gt;0, IF(N$198=0, 'Adjustment for previous period'!$G252, 0), 0)</f>
        <v>0</v>
      </c>
      <c r="N310" s="111">
        <f>IF(N$198&gt;0, IF(O$198=0, 'Adjustment for previous period'!$G252, 0), 0)</f>
        <v>0</v>
      </c>
      <c r="O310" s="111">
        <f>IF(O$198&gt;0, IF(P$198=0, 'Adjustment for previous period'!$G252, 0), 0)</f>
        <v>0</v>
      </c>
      <c r="P310" s="111">
        <f>IF(P$198&gt;0, IF(Q$198=0, 'Adjustment for previous period'!$G252, 0), 0)</f>
        <v>0</v>
      </c>
      <c r="Q310" s="111">
        <f>IF(Q$198&gt;0, IF(R$198=0, 'Adjustment for previous period'!$G252, 0), 0)</f>
        <v>0</v>
      </c>
      <c r="R310" s="9"/>
      <c r="S310" s="9"/>
      <c r="T310" s="9"/>
      <c r="U310" s="9"/>
      <c r="V310" s="9"/>
      <c r="W310" s="9"/>
      <c r="X310" s="9"/>
      <c r="Y310" s="9"/>
      <c r="Z310" s="9"/>
      <c r="AA310" s="9"/>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row>
    <row r="311" spans="1:64" hidden="1" outlineLevel="1">
      <c r="A311" s="9"/>
      <c r="B311" s="9"/>
      <c r="C311" s="9"/>
      <c r="D311" s="129">
        <f>Asset17</f>
        <v>0</v>
      </c>
      <c r="E311" s="9"/>
      <c r="F311" s="9"/>
      <c r="G311" s="9"/>
      <c r="H311" s="9"/>
      <c r="I311" s="9"/>
      <c r="J311" s="9"/>
      <c r="K311" s="9"/>
      <c r="L311" s="111">
        <f>IF(L$198&gt;0, IF(M$198=0, 'Adjustment for previous period'!$G253, 0), 0)</f>
        <v>0</v>
      </c>
      <c r="M311" s="111">
        <f>IF(M$198&gt;0, IF(N$198=0, 'Adjustment for previous period'!$G253, 0), 0)</f>
        <v>0</v>
      </c>
      <c r="N311" s="111">
        <f>IF(N$198&gt;0, IF(O$198=0, 'Adjustment for previous period'!$G253, 0), 0)</f>
        <v>0</v>
      </c>
      <c r="O311" s="111">
        <f>IF(O$198&gt;0, IF(P$198=0, 'Adjustment for previous period'!$G253, 0), 0)</f>
        <v>0</v>
      </c>
      <c r="P311" s="111">
        <f>IF(P$198&gt;0, IF(Q$198=0, 'Adjustment for previous period'!$G253, 0), 0)</f>
        <v>0</v>
      </c>
      <c r="Q311" s="111">
        <f>IF(Q$198&gt;0, IF(R$198=0, 'Adjustment for previous period'!$G253, 0), 0)</f>
        <v>0</v>
      </c>
      <c r="R311" s="9"/>
      <c r="S311" s="9"/>
      <c r="T311" s="9"/>
      <c r="U311" s="9"/>
      <c r="V311" s="9"/>
      <c r="W311" s="9"/>
      <c r="X311" s="9"/>
      <c r="Y311" s="9"/>
      <c r="Z311" s="9"/>
      <c r="AA311" s="9"/>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row>
    <row r="312" spans="1:64" hidden="1" outlineLevel="1">
      <c r="A312" s="9"/>
      <c r="B312" s="9"/>
      <c r="C312" s="9"/>
      <c r="D312" s="129">
        <f>Asset18</f>
        <v>0</v>
      </c>
      <c r="E312" s="9"/>
      <c r="F312" s="9"/>
      <c r="G312" s="9"/>
      <c r="H312" s="9"/>
      <c r="I312" s="9"/>
      <c r="J312" s="9"/>
      <c r="K312" s="9"/>
      <c r="L312" s="111">
        <f>IF(L$198&gt;0, IF(M$198=0, 'Adjustment for previous period'!$G254, 0), 0)</f>
        <v>0</v>
      </c>
      <c r="M312" s="111">
        <f>IF(M$198&gt;0, IF(N$198=0, 'Adjustment for previous period'!$G254, 0), 0)</f>
        <v>0</v>
      </c>
      <c r="N312" s="111">
        <f>IF(N$198&gt;0, IF(O$198=0, 'Adjustment for previous period'!$G254, 0), 0)</f>
        <v>0</v>
      </c>
      <c r="O312" s="111">
        <f>IF(O$198&gt;0, IF(P$198=0, 'Adjustment for previous period'!$G254, 0), 0)</f>
        <v>0</v>
      </c>
      <c r="P312" s="111">
        <f>IF(P$198&gt;0, IF(Q$198=0, 'Adjustment for previous period'!$G254, 0), 0)</f>
        <v>0</v>
      </c>
      <c r="Q312" s="111">
        <f>IF(Q$198&gt;0, IF(R$198=0, 'Adjustment for previous period'!$G254, 0), 0)</f>
        <v>0</v>
      </c>
      <c r="R312" s="9"/>
      <c r="S312" s="9"/>
      <c r="T312" s="9"/>
      <c r="U312" s="9"/>
      <c r="V312" s="9"/>
      <c r="W312" s="9"/>
      <c r="X312" s="9"/>
      <c r="Y312" s="9"/>
      <c r="Z312" s="9"/>
      <c r="AA312" s="9"/>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row>
    <row r="313" spans="1:64" hidden="1" outlineLevel="1">
      <c r="A313" s="9"/>
      <c r="B313" s="9"/>
      <c r="C313" s="9"/>
      <c r="D313" s="129">
        <f>Asset19</f>
        <v>0</v>
      </c>
      <c r="E313" s="9"/>
      <c r="F313" s="9"/>
      <c r="G313" s="9"/>
      <c r="H313" s="9"/>
      <c r="I313" s="9"/>
      <c r="J313" s="9"/>
      <c r="K313" s="9"/>
      <c r="L313" s="111">
        <f>IF(L$198&gt;0, IF(M$198=0, 'Adjustment for previous period'!$G255, 0), 0)</f>
        <v>0</v>
      </c>
      <c r="M313" s="111">
        <f>IF(M$198&gt;0, IF(N$198=0, 'Adjustment for previous period'!$G255, 0), 0)</f>
        <v>0</v>
      </c>
      <c r="N313" s="111">
        <f>IF(N$198&gt;0, IF(O$198=0, 'Adjustment for previous period'!$G255, 0), 0)</f>
        <v>0</v>
      </c>
      <c r="O313" s="111">
        <f>IF(O$198&gt;0, IF(P$198=0, 'Adjustment for previous period'!$G255, 0), 0)</f>
        <v>0</v>
      </c>
      <c r="P313" s="111">
        <f>IF(P$198&gt;0, IF(Q$198=0, 'Adjustment for previous period'!$G255, 0), 0)</f>
        <v>0</v>
      </c>
      <c r="Q313" s="111">
        <f>IF(Q$198&gt;0, IF(R$198=0, 'Adjustment for previous period'!$G255, 0), 0)</f>
        <v>0</v>
      </c>
      <c r="R313" s="9"/>
      <c r="S313" s="9"/>
      <c r="T313" s="9"/>
      <c r="U313" s="9"/>
      <c r="V313" s="9"/>
      <c r="W313" s="9"/>
      <c r="X313" s="9"/>
      <c r="Y313" s="9"/>
      <c r="Z313" s="9"/>
      <c r="AA313" s="9"/>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row>
    <row r="314" spans="1:64" hidden="1" outlineLevel="1">
      <c r="A314" s="9"/>
      <c r="B314" s="9"/>
      <c r="C314" s="9"/>
      <c r="D314" s="129">
        <f>Asset20</f>
        <v>0</v>
      </c>
      <c r="E314" s="9"/>
      <c r="F314" s="9"/>
      <c r="G314" s="9"/>
      <c r="H314" s="9"/>
      <c r="I314" s="9"/>
      <c r="J314" s="9"/>
      <c r="K314" s="9"/>
      <c r="L314" s="111">
        <f>IF(L$198&gt;0, IF(M$198=0, 'Adjustment for previous period'!$G256, 0), 0)</f>
        <v>0</v>
      </c>
      <c r="M314" s="111">
        <f>IF(M$198&gt;0, IF(N$198=0, 'Adjustment for previous period'!$G256, 0), 0)</f>
        <v>0</v>
      </c>
      <c r="N314" s="111">
        <f>IF(N$198&gt;0, IF(O$198=0, 'Adjustment for previous period'!$G256, 0), 0)</f>
        <v>0</v>
      </c>
      <c r="O314" s="111">
        <f>IF(O$198&gt;0, IF(P$198=0, 'Adjustment for previous period'!$G256, 0), 0)</f>
        <v>0</v>
      </c>
      <c r="P314" s="111">
        <f>IF(P$198&gt;0, IF(Q$198=0, 'Adjustment for previous period'!$G256, 0), 0)</f>
        <v>0</v>
      </c>
      <c r="Q314" s="252">
        <f>IF(Q$198&gt;0, IF(R$198=0, 'Adjustment for previous period'!$G256, 0), 0)</f>
        <v>0</v>
      </c>
      <c r="R314" s="9"/>
      <c r="S314" s="9"/>
      <c r="T314" s="9"/>
      <c r="U314" s="9"/>
      <c r="V314" s="9"/>
      <c r="W314" s="9"/>
      <c r="X314" s="9"/>
      <c r="Y314" s="9"/>
      <c r="Z314" s="9"/>
      <c r="AA314" s="9"/>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row>
    <row r="315" spans="1:64" hidden="1" outlineLevel="1">
      <c r="A315" s="9"/>
      <c r="B315" s="9"/>
      <c r="C315" s="9"/>
      <c r="D315" s="129">
        <f>Asset21</f>
        <v>0</v>
      </c>
      <c r="E315" s="9"/>
      <c r="F315" s="9"/>
      <c r="G315" s="9"/>
      <c r="H315" s="9"/>
      <c r="I315" s="9"/>
      <c r="J315" s="9"/>
      <c r="K315" s="9"/>
      <c r="L315" s="111">
        <f>IF(L$198&gt;0, IF(M$198=0, 'Adjustment for previous period'!$G257, 0), 0)</f>
        <v>0</v>
      </c>
      <c r="M315" s="111">
        <f>IF(M$198&gt;0, IF(N$198=0, 'Adjustment for previous period'!$G257, 0), 0)</f>
        <v>0</v>
      </c>
      <c r="N315" s="111">
        <f>IF(N$198&gt;0, IF(O$198=0, 'Adjustment for previous period'!$G257, 0), 0)</f>
        <v>0</v>
      </c>
      <c r="O315" s="111">
        <f>IF(O$198&gt;0, IF(P$198=0, 'Adjustment for previous period'!$G257, 0), 0)</f>
        <v>0</v>
      </c>
      <c r="P315" s="111">
        <f>IF(P$198&gt;0, IF(Q$198=0, 'Adjustment for previous period'!$G257, 0), 0)</f>
        <v>0</v>
      </c>
      <c r="Q315" s="252">
        <f>IF(Q$198&gt;0, IF(R$198=0, 'Adjustment for previous period'!$G257, 0), 0)</f>
        <v>0</v>
      </c>
      <c r="R315" s="9"/>
      <c r="S315" s="9"/>
      <c r="T315" s="9"/>
      <c r="U315" s="9"/>
      <c r="V315" s="9"/>
      <c r="W315" s="9"/>
      <c r="X315" s="9"/>
      <c r="Y315" s="9"/>
      <c r="Z315" s="9"/>
      <c r="AA315" s="9"/>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row>
    <row r="316" spans="1:64" hidden="1" outlineLevel="1">
      <c r="A316" s="9"/>
      <c r="B316" s="9"/>
      <c r="C316" s="9"/>
      <c r="D316" s="129">
        <f>Asset22</f>
        <v>0</v>
      </c>
      <c r="E316" s="9"/>
      <c r="F316" s="9"/>
      <c r="G316" s="9"/>
      <c r="H316" s="9"/>
      <c r="I316" s="9"/>
      <c r="J316" s="9"/>
      <c r="K316" s="9"/>
      <c r="L316" s="111">
        <f>IF(L$198&gt;0, IF(M$198=0, 'Adjustment for previous period'!$G258, 0), 0)</f>
        <v>0</v>
      </c>
      <c r="M316" s="111">
        <f>IF(M$198&gt;0, IF(N$198=0, 'Adjustment for previous period'!$G258, 0), 0)</f>
        <v>0</v>
      </c>
      <c r="N316" s="111">
        <f>IF(N$198&gt;0, IF(O$198=0, 'Adjustment for previous period'!$G258, 0), 0)</f>
        <v>0</v>
      </c>
      <c r="O316" s="111">
        <f>IF(O$198&gt;0, IF(P$198=0, 'Adjustment for previous period'!$G258, 0), 0)</f>
        <v>0</v>
      </c>
      <c r="P316" s="111">
        <f>IF(P$198&gt;0, IF(Q$198=0, 'Adjustment for previous period'!$G258, 0), 0)</f>
        <v>0</v>
      </c>
      <c r="Q316" s="252">
        <f>IF(Q$198&gt;0, IF(R$198=0, 'Adjustment for previous period'!$G258, 0), 0)</f>
        <v>0</v>
      </c>
      <c r="R316" s="9"/>
      <c r="S316" s="9"/>
      <c r="T316" s="9"/>
      <c r="U316" s="9"/>
      <c r="V316" s="9"/>
      <c r="W316" s="9"/>
      <c r="X316" s="9"/>
      <c r="Y316" s="9"/>
      <c r="Z316" s="9"/>
      <c r="AA316" s="9"/>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row>
    <row r="317" spans="1:64" hidden="1" outlineLevel="1">
      <c r="A317" s="9"/>
      <c r="B317" s="9"/>
      <c r="C317" s="9"/>
      <c r="D317" s="129">
        <f>Asset23</f>
        <v>0</v>
      </c>
      <c r="E317" s="9"/>
      <c r="F317" s="9"/>
      <c r="G317" s="9"/>
      <c r="H317" s="9"/>
      <c r="I317" s="9"/>
      <c r="J317" s="9"/>
      <c r="K317" s="9"/>
      <c r="L317" s="111">
        <f>IF(L$198&gt;0, IF(M$198=0, 'Adjustment for previous period'!$G259, 0), 0)</f>
        <v>0</v>
      </c>
      <c r="M317" s="111">
        <f>IF(M$198&gt;0, IF(N$198=0, 'Adjustment for previous period'!$G259, 0), 0)</f>
        <v>0</v>
      </c>
      <c r="N317" s="111">
        <f>IF(N$198&gt;0, IF(O$198=0, 'Adjustment for previous period'!$G259, 0), 0)</f>
        <v>0</v>
      </c>
      <c r="O317" s="111">
        <f>IF(O$198&gt;0, IF(P$198=0, 'Adjustment for previous period'!$G259, 0), 0)</f>
        <v>0</v>
      </c>
      <c r="P317" s="111">
        <f>IF(P$198&gt;0, IF(Q$198=0, 'Adjustment for previous period'!$G259, 0), 0)</f>
        <v>0</v>
      </c>
      <c r="Q317" s="252">
        <f>IF(Q$198&gt;0, IF(R$198=0, 'Adjustment for previous period'!$G259, 0), 0)</f>
        <v>0</v>
      </c>
      <c r="R317" s="9"/>
      <c r="S317" s="9"/>
      <c r="T317" s="9"/>
      <c r="U317" s="9"/>
      <c r="V317" s="9"/>
      <c r="W317" s="9"/>
      <c r="X317" s="9"/>
      <c r="Y317" s="9"/>
      <c r="Z317" s="9"/>
      <c r="AA317" s="9"/>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row>
    <row r="318" spans="1:64" hidden="1" outlineLevel="1">
      <c r="A318" s="9"/>
      <c r="B318" s="9"/>
      <c r="C318" s="9"/>
      <c r="D318" s="129">
        <f>Asset24</f>
        <v>0</v>
      </c>
      <c r="E318" s="9"/>
      <c r="F318" s="9"/>
      <c r="G318" s="9"/>
      <c r="H318" s="9"/>
      <c r="I318" s="9"/>
      <c r="J318" s="9"/>
      <c r="K318" s="9"/>
      <c r="L318" s="111">
        <f>IF(L$198&gt;0, IF(M$198=0, 'Adjustment for previous period'!$G260, 0), 0)</f>
        <v>0</v>
      </c>
      <c r="M318" s="111">
        <f>IF(M$198&gt;0, IF(N$198=0, 'Adjustment for previous period'!$G260, 0), 0)</f>
        <v>0</v>
      </c>
      <c r="N318" s="111">
        <f>IF(N$198&gt;0, IF(O$198=0, 'Adjustment for previous period'!$G260, 0), 0)</f>
        <v>0</v>
      </c>
      <c r="O318" s="111">
        <f>IF(O$198&gt;0, IF(P$198=0, 'Adjustment for previous period'!$G260, 0), 0)</f>
        <v>0</v>
      </c>
      <c r="P318" s="111">
        <f>IF(P$198&gt;0, IF(Q$198=0, 'Adjustment for previous period'!$G260, 0), 0)</f>
        <v>0</v>
      </c>
      <c r="Q318" s="252">
        <f>IF(Q$198&gt;0, IF(R$198=0, 'Adjustment for previous period'!$G260, 0), 0)</f>
        <v>0</v>
      </c>
      <c r="R318" s="9"/>
      <c r="S318" s="9"/>
      <c r="T318" s="9"/>
      <c r="U318" s="9"/>
      <c r="V318" s="9"/>
      <c r="W318" s="9"/>
      <c r="X318" s="9"/>
      <c r="Y318" s="9"/>
      <c r="Z318" s="9"/>
      <c r="AA318" s="9"/>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row>
    <row r="319" spans="1:64" hidden="1" outlineLevel="1">
      <c r="A319" s="9"/>
      <c r="B319" s="9"/>
      <c r="C319" s="9"/>
      <c r="D319" s="129">
        <f>Asset25</f>
        <v>0</v>
      </c>
      <c r="E319" s="9"/>
      <c r="F319" s="9"/>
      <c r="G319" s="9"/>
      <c r="H319" s="9"/>
      <c r="I319" s="9"/>
      <c r="J319" s="9"/>
      <c r="K319" s="9"/>
      <c r="L319" s="111">
        <f>IF(L$198&gt;0, IF(M$198=0, 'Adjustment for previous period'!$G261, 0), 0)</f>
        <v>0</v>
      </c>
      <c r="M319" s="111">
        <f>IF(M$198&gt;0, IF(N$198=0, 'Adjustment for previous period'!$G261, 0), 0)</f>
        <v>0</v>
      </c>
      <c r="N319" s="111">
        <f>IF(N$198&gt;0, IF(O$198=0, 'Adjustment for previous period'!$G261, 0), 0)</f>
        <v>0</v>
      </c>
      <c r="O319" s="111">
        <f>IF(O$198&gt;0, IF(P$198=0, 'Adjustment for previous period'!$G261, 0), 0)</f>
        <v>0</v>
      </c>
      <c r="P319" s="111">
        <f>IF(P$198&gt;0, IF(Q$198=0, 'Adjustment for previous period'!$G261, 0), 0)</f>
        <v>0</v>
      </c>
      <c r="Q319" s="252">
        <f>IF(Q$198&gt;0, IF(R$198=0, 'Adjustment for previous period'!$G261, 0), 0)</f>
        <v>0</v>
      </c>
      <c r="R319" s="9"/>
      <c r="S319" s="9"/>
      <c r="T319" s="9"/>
      <c r="U319" s="9"/>
      <c r="V319" s="9"/>
      <c r="W319" s="9"/>
      <c r="X319" s="9"/>
      <c r="Y319" s="9"/>
      <c r="Z319" s="9"/>
      <c r="AA319" s="9"/>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row>
    <row r="320" spans="1:64" hidden="1" outlineLevel="1">
      <c r="A320" s="9"/>
      <c r="B320" s="9"/>
      <c r="C320" s="9"/>
      <c r="D320" s="129">
        <f>Asset26</f>
        <v>0</v>
      </c>
      <c r="E320" s="9"/>
      <c r="F320" s="9"/>
      <c r="G320" s="9"/>
      <c r="H320" s="9"/>
      <c r="I320" s="9"/>
      <c r="J320" s="9"/>
      <c r="K320" s="9"/>
      <c r="L320" s="111">
        <f>IF(L$198&gt;0, IF(M$198=0, 'Adjustment for previous period'!$G262, 0), 0)</f>
        <v>0</v>
      </c>
      <c r="M320" s="111">
        <f>IF(M$198&gt;0, IF(N$198=0, 'Adjustment for previous period'!$G262, 0), 0)</f>
        <v>0</v>
      </c>
      <c r="N320" s="111">
        <f>IF(N$198&gt;0, IF(O$198=0, 'Adjustment for previous period'!$G262, 0), 0)</f>
        <v>0</v>
      </c>
      <c r="O320" s="111">
        <f>IF(O$198&gt;0, IF(P$198=0, 'Adjustment for previous period'!$G262, 0), 0)</f>
        <v>0</v>
      </c>
      <c r="P320" s="111">
        <f>IF(P$198&gt;0, IF(Q$198=0, 'Adjustment for previous period'!$G262, 0), 0)</f>
        <v>0</v>
      </c>
      <c r="Q320" s="252">
        <f>IF(Q$198&gt;0, IF(R$198=0, 'Adjustment for previous period'!$G262, 0), 0)</f>
        <v>0</v>
      </c>
      <c r="R320" s="9"/>
      <c r="S320" s="9"/>
      <c r="T320" s="9"/>
      <c r="U320" s="9"/>
      <c r="V320" s="9"/>
      <c r="W320" s="9"/>
      <c r="X320" s="9"/>
      <c r="Y320" s="9"/>
      <c r="Z320" s="9"/>
      <c r="AA320" s="9"/>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row>
    <row r="321" spans="1:64" hidden="1" outlineLevel="1">
      <c r="A321" s="9"/>
      <c r="B321" s="9"/>
      <c r="C321" s="9"/>
      <c r="D321" s="129">
        <f>Asset27</f>
        <v>0</v>
      </c>
      <c r="E321" s="9"/>
      <c r="F321" s="9"/>
      <c r="G321" s="9"/>
      <c r="H321" s="9"/>
      <c r="I321" s="9"/>
      <c r="J321" s="9"/>
      <c r="K321" s="9"/>
      <c r="L321" s="111">
        <f>IF(L$198&gt;0, IF(M$198=0, 'Adjustment for previous period'!$G263, 0), 0)</f>
        <v>0</v>
      </c>
      <c r="M321" s="111">
        <f>IF(M$198&gt;0, IF(N$198=0, 'Adjustment for previous period'!$G263, 0), 0)</f>
        <v>0</v>
      </c>
      <c r="N321" s="111">
        <f>IF(N$198&gt;0, IF(O$198=0, 'Adjustment for previous period'!$G263, 0), 0)</f>
        <v>0</v>
      </c>
      <c r="O321" s="111">
        <f>IF(O$198&gt;0, IF(P$198=0, 'Adjustment for previous period'!$G263, 0), 0)</f>
        <v>0</v>
      </c>
      <c r="P321" s="111">
        <f>IF(P$198&gt;0, IF(Q$198=0, 'Adjustment for previous period'!$G263, 0), 0)</f>
        <v>0</v>
      </c>
      <c r="Q321" s="252">
        <f>IF(Q$198&gt;0, IF(R$198=0, 'Adjustment for previous period'!$G263, 0), 0)</f>
        <v>0</v>
      </c>
      <c r="R321" s="9"/>
      <c r="S321" s="9"/>
      <c r="T321" s="9"/>
      <c r="U321" s="9"/>
      <c r="V321" s="9"/>
      <c r="W321" s="9"/>
      <c r="X321" s="9"/>
      <c r="Y321" s="9"/>
      <c r="Z321" s="9"/>
      <c r="AA321" s="9"/>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row>
    <row r="322" spans="1:64" hidden="1" outlineLevel="1">
      <c r="A322" s="9"/>
      <c r="B322" s="9"/>
      <c r="C322" s="9"/>
      <c r="D322" s="129">
        <f>Asset28</f>
        <v>0</v>
      </c>
      <c r="E322" s="9"/>
      <c r="F322" s="9"/>
      <c r="G322" s="9"/>
      <c r="H322" s="9"/>
      <c r="I322" s="9"/>
      <c r="J322" s="9"/>
      <c r="K322" s="9"/>
      <c r="L322" s="111">
        <f>IF(L$198&gt;0, IF(M$198=0, 'Adjustment for previous period'!$G264, 0), 0)</f>
        <v>0</v>
      </c>
      <c r="M322" s="111">
        <f>IF(M$198&gt;0, IF(N$198=0, 'Adjustment for previous period'!$G264, 0), 0)</f>
        <v>0</v>
      </c>
      <c r="N322" s="111">
        <f>IF(N$198&gt;0, IF(O$198=0, 'Adjustment for previous period'!$G264, 0), 0)</f>
        <v>0</v>
      </c>
      <c r="O322" s="111">
        <f>IF(O$198&gt;0, IF(P$198=0, 'Adjustment for previous period'!$G264, 0), 0)</f>
        <v>0</v>
      </c>
      <c r="P322" s="111">
        <f>IF(P$198&gt;0, IF(Q$198=0, 'Adjustment for previous period'!$G264, 0), 0)</f>
        <v>0</v>
      </c>
      <c r="Q322" s="252">
        <f>IF(Q$198&gt;0, IF(R$198=0, 'Adjustment for previous period'!$G264, 0), 0)</f>
        <v>0</v>
      </c>
      <c r="R322" s="9"/>
      <c r="S322" s="9"/>
      <c r="T322" s="9"/>
      <c r="U322" s="9"/>
      <c r="V322" s="9"/>
      <c r="W322" s="9"/>
      <c r="X322" s="9"/>
      <c r="Y322" s="9"/>
      <c r="Z322" s="9"/>
      <c r="AA322" s="9"/>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row>
    <row r="323" spans="1:64" hidden="1" outlineLevel="1">
      <c r="A323" s="9"/>
      <c r="B323" s="9"/>
      <c r="C323" s="9"/>
      <c r="D323" s="129">
        <f>Asset29</f>
        <v>0</v>
      </c>
      <c r="E323" s="9"/>
      <c r="F323" s="9"/>
      <c r="G323" s="9"/>
      <c r="H323" s="9"/>
      <c r="I323" s="9"/>
      <c r="J323" s="9"/>
      <c r="K323" s="9"/>
      <c r="L323" s="111">
        <f>IF(L$198&gt;0, IF(M$198=0, 'Adjustment for previous period'!$G265, 0), 0)</f>
        <v>0</v>
      </c>
      <c r="M323" s="111">
        <f>IF(M$198&gt;0, IF(N$198=0, 'Adjustment for previous period'!$G265, 0), 0)</f>
        <v>0</v>
      </c>
      <c r="N323" s="111">
        <f>IF(N$198&gt;0, IF(O$198=0, 'Adjustment for previous period'!$G265, 0), 0)</f>
        <v>0</v>
      </c>
      <c r="O323" s="111">
        <f>IF(O$198&gt;0, IF(P$198=0, 'Adjustment for previous period'!$G265, 0), 0)</f>
        <v>0</v>
      </c>
      <c r="P323" s="111">
        <f>IF(P$198&gt;0, IF(Q$198=0, 'Adjustment for previous period'!$G265, 0), 0)</f>
        <v>0</v>
      </c>
      <c r="Q323" s="252">
        <f>IF(Q$198&gt;0, IF(R$198=0, 'Adjustment for previous period'!$G265, 0), 0)</f>
        <v>0</v>
      </c>
      <c r="R323" s="9"/>
      <c r="S323" s="9"/>
      <c r="T323" s="9"/>
      <c r="U323" s="9"/>
      <c r="V323" s="9"/>
      <c r="W323" s="9"/>
      <c r="X323" s="9"/>
      <c r="Y323" s="9"/>
      <c r="Z323" s="9"/>
      <c r="AA323" s="9"/>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row>
    <row r="324" spans="1:64" hidden="1" outlineLevel="1">
      <c r="A324" s="9"/>
      <c r="B324" s="9"/>
      <c r="C324" s="9"/>
      <c r="D324" s="129">
        <f>Asset30</f>
        <v>0</v>
      </c>
      <c r="E324" s="9"/>
      <c r="F324" s="9"/>
      <c r="G324" s="9"/>
      <c r="H324" s="9"/>
      <c r="I324" s="9"/>
      <c r="J324" s="9"/>
      <c r="K324" s="9"/>
      <c r="L324" s="111">
        <f>IF(L$198&gt;0, IF(M$198=0, 'Adjustment for previous period'!$G266, 0), 0)</f>
        <v>0</v>
      </c>
      <c r="M324" s="111">
        <f>IF(M$198&gt;0, IF(N$198=0, 'Adjustment for previous period'!$G266, 0), 0)</f>
        <v>0</v>
      </c>
      <c r="N324" s="111">
        <f>IF(N$198&gt;0, IF(O$198=0, 'Adjustment for previous period'!$G266, 0), 0)</f>
        <v>0</v>
      </c>
      <c r="O324" s="111">
        <f>IF(O$198&gt;0, IF(P$198=0, 'Adjustment for previous period'!$G266, 0), 0)</f>
        <v>0</v>
      </c>
      <c r="P324" s="111">
        <f>IF(P$198&gt;0, IF(Q$198=0, 'Adjustment for previous period'!$G266, 0), 0)</f>
        <v>0</v>
      </c>
      <c r="Q324" s="252">
        <f>IF(Q$198&gt;0, IF(R$198=0, 'Adjustment for previous period'!$G266, 0), 0)</f>
        <v>0</v>
      </c>
      <c r="R324" s="9"/>
      <c r="S324" s="9"/>
      <c r="T324" s="9"/>
      <c r="U324" s="9"/>
      <c r="V324" s="9"/>
      <c r="W324" s="9"/>
      <c r="X324" s="9"/>
      <c r="Y324" s="9"/>
      <c r="Z324" s="9"/>
      <c r="AA324" s="9"/>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row>
    <row r="326" spans="1:64">
      <c r="A326" s="9"/>
      <c r="B326" s="9"/>
      <c r="C326" s="9" t="s">
        <v>58</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row>
    <row r="327" spans="1:64" hidden="1" outlineLevel="1">
      <c r="A327" s="9"/>
      <c r="B327" s="9"/>
      <c r="C327" s="9"/>
      <c r="D327" s="129" t="str">
        <f>Asset1</f>
        <v>Mains &amp; Services</v>
      </c>
      <c r="E327" s="9"/>
      <c r="F327" s="9"/>
      <c r="G327" s="9"/>
      <c r="H327" s="9"/>
      <c r="I327" s="9"/>
      <c r="J327" s="9"/>
      <c r="K327" s="9"/>
      <c r="L327" s="111">
        <f>IF(M$198=0, 'Adjustment for previous period'!L270, 0)</f>
        <v>0</v>
      </c>
      <c r="M327" s="111">
        <f>IF(N$198=0, 'Adjustment for previous period'!M270, 0)</f>
        <v>0</v>
      </c>
      <c r="N327" s="111">
        <f>IF(O$198=0, 'Adjustment for previous period'!N270, 0)</f>
        <v>0</v>
      </c>
      <c r="O327" s="111">
        <f>IF(P$198=0, 'Adjustment for previous period'!O270, 0)</f>
        <v>0</v>
      </c>
      <c r="P327" s="111">
        <f>IF(Q$198=0, 'Adjustment for previous period'!P270, 0)</f>
        <v>0</v>
      </c>
      <c r="Q327" s="111">
        <f>IF(R$198=0, 'Adjustment for previous period'!Q270, 0)</f>
        <v>0</v>
      </c>
      <c r="R327" s="9"/>
      <c r="S327" s="9"/>
      <c r="T327" s="9"/>
      <c r="U327" s="9"/>
      <c r="V327" s="9"/>
      <c r="W327" s="9"/>
      <c r="X327" s="9"/>
      <c r="Y327" s="9"/>
      <c r="Z327" s="9"/>
      <c r="AA327" s="9"/>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row>
    <row r="328" spans="1:64" hidden="1" outlineLevel="1">
      <c r="A328" s="9"/>
      <c r="B328" s="9"/>
      <c r="C328" s="9"/>
      <c r="D328" s="129" t="str">
        <f>Asset2</f>
        <v>Meters</v>
      </c>
      <c r="E328" s="9"/>
      <c r="F328" s="9"/>
      <c r="G328" s="9"/>
      <c r="H328" s="9"/>
      <c r="I328" s="9"/>
      <c r="J328" s="9"/>
      <c r="K328" s="9"/>
      <c r="L328" s="111">
        <f>IF(M$198=0, 'Adjustment for previous period'!L272, 0)</f>
        <v>0</v>
      </c>
      <c r="M328" s="111">
        <f>IF(N$198=0, 'Adjustment for previous period'!M272, 0)</f>
        <v>0</v>
      </c>
      <c r="N328" s="111">
        <f>IF(O$198=0, 'Adjustment for previous period'!N272, 0)</f>
        <v>0</v>
      </c>
      <c r="O328" s="111">
        <f>IF(P$198=0, 'Adjustment for previous period'!O272, 0)</f>
        <v>0</v>
      </c>
      <c r="P328" s="111">
        <f>IF(Q$198=0, 'Adjustment for previous period'!P272, 0)</f>
        <v>0</v>
      </c>
      <c r="Q328" s="111">
        <f>IF(R$198=0, 'Adjustment for previous period'!Q272, 0)</f>
        <v>0</v>
      </c>
      <c r="R328" s="9"/>
      <c r="S328" s="9"/>
      <c r="T328" s="9"/>
      <c r="U328" s="9"/>
      <c r="V328" s="9"/>
      <c r="W328" s="9"/>
      <c r="X328" s="9"/>
      <c r="Y328" s="9"/>
      <c r="Z328" s="9"/>
      <c r="AA328" s="9"/>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row>
    <row r="329" spans="1:64" hidden="1" outlineLevel="1">
      <c r="A329" s="9"/>
      <c r="B329" s="9"/>
      <c r="C329" s="9"/>
      <c r="D329" s="129" t="str">
        <f>Asset3</f>
        <v>Buildings</v>
      </c>
      <c r="E329" s="9"/>
      <c r="F329" s="9"/>
      <c r="G329" s="9"/>
      <c r="H329" s="9"/>
      <c r="I329" s="9"/>
      <c r="J329" s="9"/>
      <c r="K329" s="9"/>
      <c r="L329" s="111">
        <f>IF(M$198=0, 'Adjustment for previous period'!L274, 0)</f>
        <v>0</v>
      </c>
      <c r="M329" s="111">
        <f>IF(N$198=0, 'Adjustment for previous period'!M274, 0)</f>
        <v>0</v>
      </c>
      <c r="N329" s="111">
        <f>IF(O$198=0, 'Adjustment for previous period'!N274, 0)</f>
        <v>0</v>
      </c>
      <c r="O329" s="111">
        <f>IF(P$198=0, 'Adjustment for previous period'!O274, 0)</f>
        <v>0</v>
      </c>
      <c r="P329" s="111">
        <f>IF(Q$198=0, 'Adjustment for previous period'!P274, 0)</f>
        <v>0</v>
      </c>
      <c r="Q329" s="111">
        <f>IF(R$198=0, 'Adjustment for previous period'!Q274, 0)</f>
        <v>0</v>
      </c>
      <c r="R329" s="9"/>
      <c r="S329" s="9"/>
      <c r="T329" s="9"/>
      <c r="U329" s="9"/>
      <c r="V329" s="9"/>
      <c r="W329" s="9"/>
      <c r="X329" s="9"/>
      <c r="Y329" s="9"/>
      <c r="Z329" s="9"/>
      <c r="AA329" s="9"/>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row>
    <row r="330" spans="1:64" hidden="1" outlineLevel="1">
      <c r="A330" s="9"/>
      <c r="B330" s="9"/>
      <c r="C330" s="9"/>
      <c r="D330" s="129" t="str">
        <f>Asset4</f>
        <v>SCADA</v>
      </c>
      <c r="E330" s="9"/>
      <c r="F330" s="9"/>
      <c r="G330" s="9"/>
      <c r="H330" s="9"/>
      <c r="I330" s="9"/>
      <c r="J330" s="9"/>
      <c r="K330" s="9"/>
      <c r="L330" s="111">
        <f>IF(M$198=0, 'Adjustment for previous period'!L276, 0)</f>
        <v>0</v>
      </c>
      <c r="M330" s="111">
        <f>IF(N$198=0, 'Adjustment for previous period'!M276, 0)</f>
        <v>0</v>
      </c>
      <c r="N330" s="111">
        <f>IF(O$198=0, 'Adjustment for previous period'!N276, 0)</f>
        <v>0</v>
      </c>
      <c r="O330" s="111">
        <f>IF(P$198=0, 'Adjustment for previous period'!O276, 0)</f>
        <v>0</v>
      </c>
      <c r="P330" s="111">
        <f>IF(Q$198=0, 'Adjustment for previous period'!P276, 0)</f>
        <v>0</v>
      </c>
      <c r="Q330" s="111">
        <f>IF(R$198=0, 'Adjustment for previous period'!Q276, 0)</f>
        <v>0</v>
      </c>
      <c r="R330" s="9"/>
      <c r="S330" s="9"/>
      <c r="T330" s="9"/>
      <c r="U330" s="9"/>
      <c r="V330" s="9"/>
      <c r="W330" s="9"/>
      <c r="X330" s="9"/>
      <c r="Y330" s="9"/>
      <c r="Z330" s="9"/>
      <c r="AA330" s="9"/>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row>
    <row r="331" spans="1:64" hidden="1" outlineLevel="1">
      <c r="A331" s="9"/>
      <c r="B331" s="9"/>
      <c r="C331" s="9"/>
      <c r="D331" s="129" t="str">
        <f>Asset5</f>
        <v>Computer Equipment</v>
      </c>
      <c r="E331" s="9"/>
      <c r="F331" s="9"/>
      <c r="G331" s="9"/>
      <c r="H331" s="9"/>
      <c r="I331" s="9"/>
      <c r="J331" s="9"/>
      <c r="K331" s="9"/>
      <c r="L331" s="111">
        <f>IF(M$198=0, 'Adjustment for previous period'!L278, 0)</f>
        <v>0</v>
      </c>
      <c r="M331" s="111">
        <f>IF(N$198=0, 'Adjustment for previous period'!M278, 0)</f>
        <v>0</v>
      </c>
      <c r="N331" s="111">
        <f>IF(O$198=0, 'Adjustment for previous period'!N278, 0)</f>
        <v>0</v>
      </c>
      <c r="O331" s="111">
        <f>IF(P$198=0, 'Adjustment for previous period'!O278, 0)</f>
        <v>0</v>
      </c>
      <c r="P331" s="111">
        <f>IF(Q$198=0, 'Adjustment for previous period'!P278, 0)</f>
        <v>0</v>
      </c>
      <c r="Q331" s="111">
        <f>IF(R$198=0, 'Adjustment for previous period'!Q278, 0)</f>
        <v>0</v>
      </c>
      <c r="R331" s="9"/>
      <c r="S331" s="9"/>
      <c r="T331" s="9"/>
      <c r="U331" s="9"/>
      <c r="V331" s="9"/>
      <c r="W331" s="9"/>
      <c r="X331" s="9"/>
      <c r="Y331" s="9"/>
      <c r="Z331" s="9"/>
      <c r="AA331" s="9"/>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row>
    <row r="332" spans="1:64" hidden="1" outlineLevel="1">
      <c r="A332" s="9"/>
      <c r="B332" s="9"/>
      <c r="C332" s="9"/>
      <c r="D332" s="129" t="str">
        <f>Asset6</f>
        <v>Other Assets</v>
      </c>
      <c r="E332" s="9"/>
      <c r="F332" s="9"/>
      <c r="G332" s="9"/>
      <c r="H332" s="9"/>
      <c r="I332" s="9"/>
      <c r="J332" s="9"/>
      <c r="K332" s="9"/>
      <c r="L332" s="111">
        <f>IF(M$198=0, 'Adjustment for previous period'!L280, 0)</f>
        <v>0</v>
      </c>
      <c r="M332" s="111">
        <f>IF(N$198=0, 'Adjustment for previous period'!M280, 0)</f>
        <v>0</v>
      </c>
      <c r="N332" s="111">
        <f>IF(O$198=0, 'Adjustment for previous period'!N280, 0)</f>
        <v>0</v>
      </c>
      <c r="O332" s="111">
        <f>IF(P$198=0, 'Adjustment for previous period'!O280, 0)</f>
        <v>0</v>
      </c>
      <c r="P332" s="111">
        <f>IF(Q$198=0, 'Adjustment for previous period'!P280, 0)</f>
        <v>0</v>
      </c>
      <c r="Q332" s="111">
        <f>IF(R$198=0, 'Adjustment for previous period'!Q280, 0)</f>
        <v>0</v>
      </c>
      <c r="R332" s="9"/>
      <c r="S332" s="9"/>
      <c r="T332" s="9"/>
      <c r="U332" s="9"/>
      <c r="V332" s="9"/>
      <c r="W332" s="9"/>
      <c r="X332" s="9"/>
      <c r="Y332" s="9"/>
      <c r="Z332" s="9"/>
      <c r="AA332" s="9"/>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row>
    <row r="333" spans="1:64" hidden="1" outlineLevel="1">
      <c r="A333" s="9"/>
      <c r="B333" s="9"/>
      <c r="C333" s="9"/>
      <c r="D333" s="129" t="str">
        <f>Asset7</f>
        <v>Equity Raising Costs</v>
      </c>
      <c r="E333" s="9"/>
      <c r="F333" s="9"/>
      <c r="G333" s="9"/>
      <c r="H333" s="9"/>
      <c r="I333" s="9"/>
      <c r="J333" s="9"/>
      <c r="K333" s="9"/>
      <c r="L333" s="111">
        <f>IF(M$198=0, 'Adjustment for previous period'!L282, 0)</f>
        <v>0</v>
      </c>
      <c r="M333" s="111">
        <f>IF(N$198=0, 'Adjustment for previous period'!M282, 0)</f>
        <v>0</v>
      </c>
      <c r="N333" s="111">
        <f>IF(O$198=0, 'Adjustment for previous period'!N282, 0)</f>
        <v>0</v>
      </c>
      <c r="O333" s="111">
        <f>IF(P$198=0, 'Adjustment for previous period'!O282, 0)</f>
        <v>0</v>
      </c>
      <c r="P333" s="111">
        <f>IF(Q$198=0, 'Adjustment for previous period'!P282, 0)</f>
        <v>0</v>
      </c>
      <c r="Q333" s="111">
        <f>IF(R$198=0, 'Adjustment for previous period'!Q282, 0)</f>
        <v>0</v>
      </c>
      <c r="R333" s="9"/>
      <c r="S333" s="9"/>
      <c r="T333" s="9"/>
      <c r="U333" s="9"/>
      <c r="V333" s="9"/>
      <c r="W333" s="9"/>
      <c r="X333" s="9"/>
      <c r="Y333" s="9"/>
      <c r="Z333" s="9"/>
      <c r="AA333" s="9"/>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row>
    <row r="334" spans="1:64" hidden="1" outlineLevel="1">
      <c r="A334" s="9"/>
      <c r="B334" s="9"/>
      <c r="C334" s="9"/>
      <c r="D334" s="129" t="str">
        <f>Asset8</f>
        <v>Land</v>
      </c>
      <c r="E334" s="9"/>
      <c r="F334" s="9"/>
      <c r="G334" s="9"/>
      <c r="H334" s="9"/>
      <c r="I334" s="9"/>
      <c r="J334" s="9"/>
      <c r="K334" s="9"/>
      <c r="L334" s="111">
        <f>IF(M$198=0, 'Adjustment for previous period'!L284, 0)</f>
        <v>0</v>
      </c>
      <c r="M334" s="111">
        <f>IF(N$198=0, 'Adjustment for previous period'!M284, 0)</f>
        <v>0</v>
      </c>
      <c r="N334" s="111">
        <f>IF(O$198=0, 'Adjustment for previous period'!N284, 0)</f>
        <v>0</v>
      </c>
      <c r="O334" s="111">
        <f>IF(P$198=0, 'Adjustment for previous period'!O284, 0)</f>
        <v>0</v>
      </c>
      <c r="P334" s="111">
        <f>IF(Q$198=0, 'Adjustment for previous period'!P284, 0)</f>
        <v>0</v>
      </c>
      <c r="Q334" s="111">
        <f>IF(R$198=0, 'Adjustment for previous period'!Q284, 0)</f>
        <v>0</v>
      </c>
      <c r="R334" s="9"/>
      <c r="S334" s="9"/>
      <c r="T334" s="9"/>
      <c r="U334" s="9"/>
      <c r="V334" s="9"/>
      <c r="W334" s="9"/>
      <c r="X334" s="9"/>
      <c r="Y334" s="9"/>
      <c r="Z334" s="9"/>
      <c r="AA334" s="9"/>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row>
    <row r="335" spans="1:64" hidden="1" outlineLevel="1">
      <c r="A335" s="9"/>
      <c r="B335" s="9"/>
      <c r="C335" s="9"/>
      <c r="D335" s="129">
        <f>Asset9</f>
        <v>0</v>
      </c>
      <c r="E335" s="9"/>
      <c r="F335" s="9"/>
      <c r="G335" s="9"/>
      <c r="H335" s="9"/>
      <c r="I335" s="9"/>
      <c r="J335" s="9"/>
      <c r="K335" s="9"/>
      <c r="L335" s="111">
        <f>IF(M$198=0, 'Adjustment for previous period'!L286, 0)</f>
        <v>0</v>
      </c>
      <c r="M335" s="111">
        <f>IF(N$198=0, 'Adjustment for previous period'!M286, 0)</f>
        <v>0</v>
      </c>
      <c r="N335" s="111">
        <f>IF(O$198=0, 'Adjustment for previous period'!N286, 0)</f>
        <v>0</v>
      </c>
      <c r="O335" s="111">
        <f>IF(P$198=0, 'Adjustment for previous period'!O286, 0)</f>
        <v>0</v>
      </c>
      <c r="P335" s="111">
        <f>IF(Q$198=0, 'Adjustment for previous period'!P286, 0)</f>
        <v>0</v>
      </c>
      <c r="Q335" s="111">
        <f>IF(R$198=0, 'Adjustment for previous period'!Q286, 0)</f>
        <v>0</v>
      </c>
      <c r="R335" s="9"/>
      <c r="S335" s="9"/>
      <c r="T335" s="9"/>
      <c r="U335" s="9"/>
      <c r="V335" s="9"/>
      <c r="W335" s="9"/>
      <c r="X335" s="9"/>
      <c r="Y335" s="9"/>
      <c r="Z335" s="9"/>
      <c r="AA335" s="9"/>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row>
    <row r="336" spans="1:64" hidden="1" outlineLevel="1">
      <c r="A336" s="9"/>
      <c r="B336" s="9"/>
      <c r="C336" s="9"/>
      <c r="D336" s="129">
        <f>Asset10</f>
        <v>0</v>
      </c>
      <c r="E336" s="9"/>
      <c r="F336" s="9"/>
      <c r="G336" s="9"/>
      <c r="H336" s="9"/>
      <c r="I336" s="9"/>
      <c r="J336" s="9"/>
      <c r="K336" s="9"/>
      <c r="L336" s="111">
        <f>IF(M$198=0, 'Adjustment for previous period'!L288, 0)</f>
        <v>0</v>
      </c>
      <c r="M336" s="111">
        <f>IF(N$198=0, 'Adjustment for previous period'!M288, 0)</f>
        <v>0</v>
      </c>
      <c r="N336" s="111">
        <f>IF(O$198=0, 'Adjustment for previous period'!N288, 0)</f>
        <v>0</v>
      </c>
      <c r="O336" s="111">
        <f>IF(P$198=0, 'Adjustment for previous period'!O288, 0)</f>
        <v>0</v>
      </c>
      <c r="P336" s="111">
        <f>IF(Q$198=0, 'Adjustment for previous period'!P288, 0)</f>
        <v>0</v>
      </c>
      <c r="Q336" s="111">
        <f>IF(R$198=0, 'Adjustment for previous period'!Q288, 0)</f>
        <v>0</v>
      </c>
      <c r="R336" s="9"/>
      <c r="S336" s="9"/>
      <c r="T336" s="9"/>
      <c r="U336" s="9"/>
      <c r="V336" s="9"/>
      <c r="W336" s="9"/>
      <c r="X336" s="9"/>
      <c r="Y336" s="9"/>
      <c r="Z336" s="9"/>
      <c r="AA336" s="9"/>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row>
    <row r="337" spans="1:64" hidden="1" outlineLevel="1">
      <c r="A337" s="9"/>
      <c r="B337" s="9"/>
      <c r="C337" s="9"/>
      <c r="D337" s="129">
        <f>Asset11</f>
        <v>0</v>
      </c>
      <c r="E337" s="9"/>
      <c r="F337" s="9"/>
      <c r="G337" s="9"/>
      <c r="H337" s="9"/>
      <c r="I337" s="9"/>
      <c r="J337" s="9"/>
      <c r="K337" s="9"/>
      <c r="L337" s="111">
        <f>IF(M$198=0, 'Adjustment for previous period'!L290, 0)</f>
        <v>0</v>
      </c>
      <c r="M337" s="111">
        <f>IF(N$198=0, 'Adjustment for previous period'!M290, 0)</f>
        <v>0</v>
      </c>
      <c r="N337" s="111">
        <f>IF(O$198=0, 'Adjustment for previous period'!N290, 0)</f>
        <v>0</v>
      </c>
      <c r="O337" s="111">
        <f>IF(P$198=0, 'Adjustment for previous period'!O290, 0)</f>
        <v>0</v>
      </c>
      <c r="P337" s="111">
        <f>IF(Q$198=0, 'Adjustment for previous period'!P290, 0)</f>
        <v>0</v>
      </c>
      <c r="Q337" s="111">
        <f>IF(R$198=0, 'Adjustment for previous period'!Q290, 0)</f>
        <v>0</v>
      </c>
      <c r="R337" s="9"/>
      <c r="S337" s="9"/>
      <c r="T337" s="9"/>
      <c r="U337" s="9"/>
      <c r="V337" s="9"/>
      <c r="W337" s="9"/>
      <c r="X337" s="9"/>
      <c r="Y337" s="9"/>
      <c r="Z337" s="9"/>
      <c r="AA337" s="9"/>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row>
    <row r="338" spans="1:64" hidden="1" outlineLevel="1">
      <c r="A338" s="9"/>
      <c r="B338" s="9"/>
      <c r="C338" s="9"/>
      <c r="D338" s="129">
        <f>Asset12</f>
        <v>0</v>
      </c>
      <c r="E338" s="9"/>
      <c r="F338" s="9"/>
      <c r="G338" s="9"/>
      <c r="H338" s="9"/>
      <c r="I338" s="9"/>
      <c r="J338" s="9"/>
      <c r="K338" s="9"/>
      <c r="L338" s="111">
        <f>IF(M$198=0, 'Adjustment for previous period'!L292, 0)</f>
        <v>0</v>
      </c>
      <c r="M338" s="111">
        <f>IF(N$198=0, 'Adjustment for previous period'!M292, 0)</f>
        <v>0</v>
      </c>
      <c r="N338" s="111">
        <f>IF(O$198=0, 'Adjustment for previous period'!N292, 0)</f>
        <v>0</v>
      </c>
      <c r="O338" s="111">
        <f>IF(P$198=0, 'Adjustment for previous period'!O292, 0)</f>
        <v>0</v>
      </c>
      <c r="P338" s="111">
        <f>IF(Q$198=0, 'Adjustment for previous period'!P292, 0)</f>
        <v>0</v>
      </c>
      <c r="Q338" s="111">
        <f>IF(R$198=0, 'Adjustment for previous period'!Q292, 0)</f>
        <v>0</v>
      </c>
      <c r="R338" s="9"/>
      <c r="S338" s="9"/>
      <c r="T338" s="9"/>
      <c r="U338" s="9"/>
      <c r="V338" s="9"/>
      <c r="W338" s="9"/>
      <c r="X338" s="9"/>
      <c r="Y338" s="9"/>
      <c r="Z338" s="9"/>
      <c r="AA338" s="9"/>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row>
    <row r="339" spans="1:64" hidden="1" outlineLevel="1">
      <c r="A339" s="9"/>
      <c r="B339" s="9"/>
      <c r="C339" s="9"/>
      <c r="D339" s="129">
        <f>Asset13</f>
        <v>0</v>
      </c>
      <c r="E339" s="9"/>
      <c r="F339" s="9"/>
      <c r="G339" s="9"/>
      <c r="H339" s="9"/>
      <c r="I339" s="9"/>
      <c r="J339" s="9"/>
      <c r="K339" s="9"/>
      <c r="L339" s="111">
        <f>IF(M$198=0, 'Adjustment for previous period'!L294, 0)</f>
        <v>0</v>
      </c>
      <c r="M339" s="111">
        <f>IF(N$198=0, 'Adjustment for previous period'!M294, 0)</f>
        <v>0</v>
      </c>
      <c r="N339" s="111">
        <f>IF(O$198=0, 'Adjustment for previous period'!N294, 0)</f>
        <v>0</v>
      </c>
      <c r="O339" s="111">
        <f>IF(P$198=0, 'Adjustment for previous period'!O294, 0)</f>
        <v>0</v>
      </c>
      <c r="P339" s="111">
        <f>IF(Q$198=0, 'Adjustment for previous period'!P294, 0)</f>
        <v>0</v>
      </c>
      <c r="Q339" s="111">
        <f>IF(R$198=0, 'Adjustment for previous period'!Q294, 0)</f>
        <v>0</v>
      </c>
      <c r="R339" s="9"/>
      <c r="S339" s="9"/>
      <c r="T339" s="9"/>
      <c r="U339" s="9"/>
      <c r="V339" s="9"/>
      <c r="W339" s="9"/>
      <c r="X339" s="9"/>
      <c r="Y339" s="9"/>
      <c r="Z339" s="9"/>
      <c r="AA339" s="9"/>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row>
    <row r="340" spans="1:64" hidden="1" outlineLevel="1">
      <c r="A340" s="9"/>
      <c r="B340" s="9"/>
      <c r="C340" s="9"/>
      <c r="D340" s="129">
        <f>Asset14</f>
        <v>0</v>
      </c>
      <c r="E340" s="9"/>
      <c r="F340" s="9"/>
      <c r="G340" s="9"/>
      <c r="H340" s="9"/>
      <c r="I340" s="9"/>
      <c r="J340" s="9"/>
      <c r="K340" s="9"/>
      <c r="L340" s="111">
        <f>IF(M$198=0, 'Adjustment for previous period'!L296, 0)</f>
        <v>0</v>
      </c>
      <c r="M340" s="111">
        <f>IF(N$198=0, 'Adjustment for previous period'!M296, 0)</f>
        <v>0</v>
      </c>
      <c r="N340" s="111">
        <f>IF(O$198=0, 'Adjustment for previous period'!N296, 0)</f>
        <v>0</v>
      </c>
      <c r="O340" s="111">
        <f>IF(P$198=0, 'Adjustment for previous period'!O296, 0)</f>
        <v>0</v>
      </c>
      <c r="P340" s="111">
        <f>IF(Q$198=0, 'Adjustment for previous period'!P296, 0)</f>
        <v>0</v>
      </c>
      <c r="Q340" s="111">
        <f>IF(R$198=0, 'Adjustment for previous period'!Q296, 0)</f>
        <v>0</v>
      </c>
      <c r="R340" s="9"/>
      <c r="S340" s="9"/>
      <c r="T340" s="9"/>
      <c r="U340" s="9"/>
      <c r="V340" s="9"/>
      <c r="W340" s="9"/>
      <c r="X340" s="9"/>
      <c r="Y340" s="9"/>
      <c r="Z340" s="9"/>
      <c r="AA340" s="9"/>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row>
    <row r="341" spans="1:64" hidden="1" outlineLevel="1">
      <c r="A341" s="9"/>
      <c r="B341" s="9"/>
      <c r="C341" s="9"/>
      <c r="D341" s="129">
        <f>Asset15</f>
        <v>0</v>
      </c>
      <c r="E341" s="9"/>
      <c r="F341" s="9"/>
      <c r="G341" s="9"/>
      <c r="H341" s="9"/>
      <c r="I341" s="9"/>
      <c r="J341" s="9"/>
      <c r="K341" s="9"/>
      <c r="L341" s="111">
        <f>IF(M$198=0, 'Adjustment for previous period'!L298, 0)</f>
        <v>0</v>
      </c>
      <c r="M341" s="111">
        <f>IF(N$198=0, 'Adjustment for previous period'!M298, 0)</f>
        <v>0</v>
      </c>
      <c r="N341" s="111">
        <f>IF(O$198=0, 'Adjustment for previous period'!N298, 0)</f>
        <v>0</v>
      </c>
      <c r="O341" s="111">
        <f>IF(P$198=0, 'Adjustment for previous period'!O298, 0)</f>
        <v>0</v>
      </c>
      <c r="P341" s="111">
        <f>IF(Q$198=0, 'Adjustment for previous period'!P298, 0)</f>
        <v>0</v>
      </c>
      <c r="Q341" s="111">
        <f>IF(R$198=0, 'Adjustment for previous period'!Q298, 0)</f>
        <v>0</v>
      </c>
      <c r="R341" s="9"/>
      <c r="S341" s="9"/>
      <c r="T341" s="9"/>
      <c r="U341" s="9"/>
      <c r="V341" s="9"/>
      <c r="W341" s="9"/>
      <c r="X341" s="9"/>
      <c r="Y341" s="9"/>
      <c r="Z341" s="9"/>
      <c r="AA341" s="9"/>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row>
    <row r="342" spans="1:64" hidden="1" outlineLevel="1">
      <c r="A342" s="9"/>
      <c r="B342" s="9"/>
      <c r="C342" s="9"/>
      <c r="D342" s="129">
        <f>Asset16</f>
        <v>0</v>
      </c>
      <c r="E342" s="9"/>
      <c r="F342" s="9"/>
      <c r="G342" s="9"/>
      <c r="H342" s="9"/>
      <c r="I342" s="9"/>
      <c r="J342" s="9"/>
      <c r="K342" s="9"/>
      <c r="L342" s="111">
        <f>IF(M$198=0, 'Adjustment for previous period'!L300, 0)</f>
        <v>0</v>
      </c>
      <c r="M342" s="111">
        <f>IF(N$198=0, 'Adjustment for previous period'!M300, 0)</f>
        <v>0</v>
      </c>
      <c r="N342" s="111">
        <f>IF(O$198=0, 'Adjustment for previous period'!N300, 0)</f>
        <v>0</v>
      </c>
      <c r="O342" s="111">
        <f>IF(P$198=0, 'Adjustment for previous period'!O300, 0)</f>
        <v>0</v>
      </c>
      <c r="P342" s="111">
        <f>IF(Q$198=0, 'Adjustment for previous period'!P300, 0)</f>
        <v>0</v>
      </c>
      <c r="Q342" s="111">
        <f>IF(R$198=0, 'Adjustment for previous period'!Q300, 0)</f>
        <v>0</v>
      </c>
      <c r="R342" s="9"/>
      <c r="S342" s="9"/>
      <c r="T342" s="9"/>
      <c r="U342" s="9"/>
      <c r="V342" s="9"/>
      <c r="W342" s="9"/>
      <c r="X342" s="9"/>
      <c r="Y342" s="9"/>
      <c r="Z342" s="9"/>
      <c r="AA342" s="9"/>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row>
    <row r="343" spans="1:64" hidden="1" outlineLevel="1">
      <c r="A343" s="9"/>
      <c r="B343" s="9"/>
      <c r="C343" s="9"/>
      <c r="D343" s="129">
        <f>Asset17</f>
        <v>0</v>
      </c>
      <c r="E343" s="9"/>
      <c r="F343" s="9"/>
      <c r="G343" s="9"/>
      <c r="H343" s="9"/>
      <c r="I343" s="9"/>
      <c r="J343" s="9"/>
      <c r="K343" s="9"/>
      <c r="L343" s="111">
        <f>IF(M$198=0, 'Adjustment for previous period'!L302, 0)</f>
        <v>0</v>
      </c>
      <c r="M343" s="111">
        <f>IF(N$198=0, 'Adjustment for previous period'!M302, 0)</f>
        <v>0</v>
      </c>
      <c r="N343" s="111">
        <f>IF(O$198=0, 'Adjustment for previous period'!N302, 0)</f>
        <v>0</v>
      </c>
      <c r="O343" s="111">
        <f>IF(P$198=0, 'Adjustment for previous period'!O302, 0)</f>
        <v>0</v>
      </c>
      <c r="P343" s="111">
        <f>IF(Q$198=0, 'Adjustment for previous period'!P302, 0)</f>
        <v>0</v>
      </c>
      <c r="Q343" s="111">
        <f>IF(R$198=0, 'Adjustment for previous period'!Q302, 0)</f>
        <v>0</v>
      </c>
      <c r="R343" s="9"/>
      <c r="S343" s="9"/>
      <c r="T343" s="9"/>
      <c r="U343" s="9"/>
      <c r="V343" s="9"/>
      <c r="W343" s="9"/>
      <c r="X343" s="9"/>
      <c r="Y343" s="9"/>
      <c r="Z343" s="9"/>
      <c r="AA343" s="9"/>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row>
    <row r="344" spans="1:64" hidden="1" outlineLevel="1">
      <c r="A344" s="9"/>
      <c r="B344" s="9"/>
      <c r="C344" s="9"/>
      <c r="D344" s="129">
        <f>Asset18</f>
        <v>0</v>
      </c>
      <c r="E344" s="9"/>
      <c r="F344" s="9"/>
      <c r="G344" s="9"/>
      <c r="H344" s="9"/>
      <c r="I344" s="9"/>
      <c r="J344" s="9"/>
      <c r="K344" s="9"/>
      <c r="L344" s="111">
        <f>IF(M$198=0, 'Adjustment for previous period'!L304, 0)</f>
        <v>0</v>
      </c>
      <c r="M344" s="111">
        <f>IF(N$198=0, 'Adjustment for previous period'!M304, 0)</f>
        <v>0</v>
      </c>
      <c r="N344" s="111">
        <f>IF(O$198=0, 'Adjustment for previous period'!N304, 0)</f>
        <v>0</v>
      </c>
      <c r="O344" s="111">
        <f>IF(P$198=0, 'Adjustment for previous period'!O304, 0)</f>
        <v>0</v>
      </c>
      <c r="P344" s="111">
        <f>IF(Q$198=0, 'Adjustment for previous period'!P304, 0)</f>
        <v>0</v>
      </c>
      <c r="Q344" s="111">
        <f>IF(R$198=0, 'Adjustment for previous period'!Q304, 0)</f>
        <v>0</v>
      </c>
      <c r="R344" s="9"/>
      <c r="S344" s="9"/>
      <c r="T344" s="9"/>
      <c r="U344" s="9"/>
      <c r="V344" s="9"/>
      <c r="W344" s="9"/>
      <c r="X344" s="9"/>
      <c r="Y344" s="9"/>
      <c r="Z344" s="9"/>
      <c r="AA344" s="9"/>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row>
    <row r="345" spans="1:64" hidden="1" outlineLevel="1">
      <c r="A345" s="9"/>
      <c r="B345" s="9"/>
      <c r="C345" s="9"/>
      <c r="D345" s="129">
        <f>Asset19</f>
        <v>0</v>
      </c>
      <c r="E345" s="9"/>
      <c r="F345" s="9"/>
      <c r="G345" s="9"/>
      <c r="H345" s="9"/>
      <c r="I345" s="9"/>
      <c r="J345" s="9"/>
      <c r="K345" s="9"/>
      <c r="L345" s="111">
        <f>IF(M$198=0, 'Adjustment for previous period'!L306, 0)</f>
        <v>0</v>
      </c>
      <c r="M345" s="111">
        <f>IF(N$198=0, 'Adjustment for previous period'!M306, 0)</f>
        <v>0</v>
      </c>
      <c r="N345" s="111">
        <f>IF(O$198=0, 'Adjustment for previous period'!N306, 0)</f>
        <v>0</v>
      </c>
      <c r="O345" s="111">
        <f>IF(P$198=0, 'Adjustment for previous period'!O306, 0)</f>
        <v>0</v>
      </c>
      <c r="P345" s="111">
        <f>IF(Q$198=0, 'Adjustment for previous period'!P306, 0)</f>
        <v>0</v>
      </c>
      <c r="Q345" s="111">
        <f>IF(R$198=0, 'Adjustment for previous period'!Q306, 0)</f>
        <v>0</v>
      </c>
      <c r="R345" s="9"/>
      <c r="S345" s="9"/>
      <c r="T345" s="9"/>
      <c r="U345" s="9"/>
      <c r="V345" s="9"/>
      <c r="W345" s="9"/>
      <c r="X345" s="9"/>
      <c r="Y345" s="9"/>
      <c r="Z345" s="9"/>
      <c r="AA345" s="9"/>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row>
    <row r="346" spans="1:64" hidden="1" outlineLevel="1">
      <c r="A346" s="9"/>
      <c r="B346" s="9"/>
      <c r="C346" s="9"/>
      <c r="D346" s="129">
        <f>Asset20</f>
        <v>0</v>
      </c>
      <c r="E346" s="9"/>
      <c r="F346" s="9"/>
      <c r="G346" s="9"/>
      <c r="H346" s="9"/>
      <c r="I346" s="9"/>
      <c r="J346" s="9"/>
      <c r="K346" s="9"/>
      <c r="L346" s="111">
        <f>IF(M$198=0, 'Adjustment for previous period'!L308, 0)</f>
        <v>0</v>
      </c>
      <c r="M346" s="111">
        <f>IF(N$198=0, 'Adjustment for previous period'!M308, 0)</f>
        <v>0</v>
      </c>
      <c r="N346" s="111">
        <f>IF(O$198=0, 'Adjustment for previous period'!N308, 0)</f>
        <v>0</v>
      </c>
      <c r="O346" s="111">
        <f>IF(P$198=0, 'Adjustment for previous period'!O308, 0)</f>
        <v>0</v>
      </c>
      <c r="P346" s="111">
        <f>IF(Q$198=0, 'Adjustment for previous period'!P308, 0)</f>
        <v>0</v>
      </c>
      <c r="Q346" s="111">
        <f>IF(R$198=0, 'Adjustment for previous period'!Q308, 0)</f>
        <v>0</v>
      </c>
      <c r="R346" s="9"/>
      <c r="S346" s="9"/>
      <c r="T346" s="9"/>
      <c r="U346" s="9"/>
      <c r="V346" s="9"/>
      <c r="W346" s="9"/>
      <c r="X346" s="9"/>
      <c r="Y346" s="9"/>
      <c r="Z346" s="9"/>
      <c r="AA346" s="9"/>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row>
    <row r="347" spans="1:64" hidden="1" outlineLevel="1">
      <c r="A347" s="9"/>
      <c r="B347" s="9"/>
      <c r="C347" s="9"/>
      <c r="D347" s="129">
        <f>Asset21</f>
        <v>0</v>
      </c>
      <c r="E347" s="9"/>
      <c r="F347" s="9"/>
      <c r="G347" s="9"/>
      <c r="H347" s="9"/>
      <c r="I347" s="9"/>
      <c r="J347" s="9"/>
      <c r="K347" s="9"/>
      <c r="L347" s="111">
        <f>IF(M$198=0, 'Adjustment for previous period'!L310, 0)</f>
        <v>0</v>
      </c>
      <c r="M347" s="111">
        <f>IF(N$198=0, 'Adjustment for previous period'!M310, 0)</f>
        <v>0</v>
      </c>
      <c r="N347" s="111">
        <f>IF(O$198=0, 'Adjustment for previous period'!N310, 0)</f>
        <v>0</v>
      </c>
      <c r="O347" s="111">
        <f>IF(P$198=0, 'Adjustment for previous period'!O310, 0)</f>
        <v>0</v>
      </c>
      <c r="P347" s="111">
        <f>IF(Q$198=0, 'Adjustment for previous period'!P310, 0)</f>
        <v>0</v>
      </c>
      <c r="Q347" s="111">
        <f>IF(R$198=0, 'Adjustment for previous period'!Q310, 0)</f>
        <v>0</v>
      </c>
      <c r="R347" s="9"/>
      <c r="S347" s="9"/>
      <c r="T347" s="9"/>
      <c r="U347" s="9"/>
      <c r="V347" s="9"/>
      <c r="W347" s="9"/>
      <c r="X347" s="9"/>
      <c r="Y347" s="9"/>
      <c r="Z347" s="9"/>
      <c r="AA347" s="9"/>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row>
    <row r="348" spans="1:64" hidden="1" outlineLevel="1">
      <c r="A348" s="9"/>
      <c r="B348" s="9"/>
      <c r="C348" s="9"/>
      <c r="D348" s="129">
        <f>Asset22</f>
        <v>0</v>
      </c>
      <c r="E348" s="9"/>
      <c r="F348" s="9"/>
      <c r="G348" s="9"/>
      <c r="H348" s="9"/>
      <c r="I348" s="9"/>
      <c r="J348" s="9"/>
      <c r="K348" s="9"/>
      <c r="L348" s="111">
        <f>IF(M$198=0, 'Adjustment for previous period'!L312, 0)</f>
        <v>0</v>
      </c>
      <c r="M348" s="111">
        <f>IF(N$198=0, 'Adjustment for previous period'!M312, 0)</f>
        <v>0</v>
      </c>
      <c r="N348" s="111">
        <f>IF(O$198=0, 'Adjustment for previous period'!N312, 0)</f>
        <v>0</v>
      </c>
      <c r="O348" s="111">
        <f>IF(P$198=0, 'Adjustment for previous period'!O312, 0)</f>
        <v>0</v>
      </c>
      <c r="P348" s="111">
        <f>IF(Q$198=0, 'Adjustment for previous period'!P312, 0)</f>
        <v>0</v>
      </c>
      <c r="Q348" s="111">
        <f>IF(R$198=0, 'Adjustment for previous period'!Q312, 0)</f>
        <v>0</v>
      </c>
      <c r="R348" s="9"/>
      <c r="S348" s="9"/>
      <c r="T348" s="9"/>
      <c r="U348" s="9"/>
      <c r="V348" s="9"/>
      <c r="W348" s="9"/>
      <c r="X348" s="9"/>
      <c r="Y348" s="9"/>
      <c r="Z348" s="9"/>
      <c r="AA348" s="9"/>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row>
    <row r="349" spans="1:64" hidden="1" outlineLevel="1">
      <c r="A349" s="9"/>
      <c r="B349" s="9"/>
      <c r="C349" s="9"/>
      <c r="D349" s="129">
        <f>Asset23</f>
        <v>0</v>
      </c>
      <c r="E349" s="9"/>
      <c r="F349" s="9"/>
      <c r="G349" s="9"/>
      <c r="H349" s="9"/>
      <c r="I349" s="9"/>
      <c r="J349" s="9"/>
      <c r="K349" s="9"/>
      <c r="L349" s="111">
        <f>IF(M$198=0, 'Adjustment for previous period'!L314, 0)</f>
        <v>0</v>
      </c>
      <c r="M349" s="111">
        <f>IF(N$198=0, 'Adjustment for previous period'!M314, 0)</f>
        <v>0</v>
      </c>
      <c r="N349" s="111">
        <f>IF(O$198=0, 'Adjustment for previous period'!N314, 0)</f>
        <v>0</v>
      </c>
      <c r="O349" s="111">
        <f>IF(P$198=0, 'Adjustment for previous period'!O314, 0)</f>
        <v>0</v>
      </c>
      <c r="P349" s="111">
        <f>IF(Q$198=0, 'Adjustment for previous period'!P314, 0)</f>
        <v>0</v>
      </c>
      <c r="Q349" s="111">
        <f>IF(R$198=0, 'Adjustment for previous period'!Q314, 0)</f>
        <v>0</v>
      </c>
      <c r="R349" s="9"/>
      <c r="S349" s="9"/>
      <c r="T349" s="9"/>
      <c r="U349" s="9"/>
      <c r="V349" s="9"/>
      <c r="W349" s="9"/>
      <c r="X349" s="9"/>
      <c r="Y349" s="9"/>
      <c r="Z349" s="9"/>
      <c r="AA349" s="9"/>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row>
    <row r="350" spans="1:64" hidden="1" outlineLevel="1">
      <c r="A350" s="9"/>
      <c r="B350" s="9"/>
      <c r="C350" s="9"/>
      <c r="D350" s="129">
        <f>Asset24</f>
        <v>0</v>
      </c>
      <c r="E350" s="9"/>
      <c r="F350" s="9"/>
      <c r="G350" s="9"/>
      <c r="H350" s="9"/>
      <c r="I350" s="9"/>
      <c r="J350" s="9"/>
      <c r="K350" s="9"/>
      <c r="L350" s="111">
        <f>IF(M$198=0, 'Adjustment for previous period'!L316, 0)</f>
        <v>0</v>
      </c>
      <c r="M350" s="111">
        <f>IF(N$198=0, 'Adjustment for previous period'!M316, 0)</f>
        <v>0</v>
      </c>
      <c r="N350" s="111">
        <f>IF(O$198=0, 'Adjustment for previous period'!N316, 0)</f>
        <v>0</v>
      </c>
      <c r="O350" s="111">
        <f>IF(P$198=0, 'Adjustment for previous period'!O316, 0)</f>
        <v>0</v>
      </c>
      <c r="P350" s="111">
        <f>IF(Q$198=0, 'Adjustment for previous period'!P316, 0)</f>
        <v>0</v>
      </c>
      <c r="Q350" s="111">
        <f>IF(R$198=0, 'Adjustment for previous period'!Q316, 0)</f>
        <v>0</v>
      </c>
      <c r="R350" s="9"/>
      <c r="S350" s="9"/>
      <c r="T350" s="9"/>
      <c r="U350" s="9"/>
      <c r="V350" s="9"/>
      <c r="W350" s="9"/>
      <c r="X350" s="9"/>
      <c r="Y350" s="9"/>
      <c r="Z350" s="9"/>
      <c r="AA350" s="9"/>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row>
    <row r="351" spans="1:64" hidden="1" outlineLevel="1">
      <c r="A351" s="9"/>
      <c r="B351" s="9"/>
      <c r="C351" s="9"/>
      <c r="D351" s="129">
        <f>Asset25</f>
        <v>0</v>
      </c>
      <c r="E351" s="9"/>
      <c r="F351" s="9"/>
      <c r="G351" s="9"/>
      <c r="H351" s="9"/>
      <c r="I351" s="9"/>
      <c r="J351" s="9"/>
      <c r="K351" s="9"/>
      <c r="L351" s="111">
        <f>IF(M$198=0, 'Adjustment for previous period'!L318, 0)</f>
        <v>0</v>
      </c>
      <c r="M351" s="111">
        <f>IF(N$198=0, 'Adjustment for previous period'!M318, 0)</f>
        <v>0</v>
      </c>
      <c r="N351" s="111">
        <f>IF(O$198=0, 'Adjustment for previous period'!N318, 0)</f>
        <v>0</v>
      </c>
      <c r="O351" s="111">
        <f>IF(P$198=0, 'Adjustment for previous period'!O318, 0)</f>
        <v>0</v>
      </c>
      <c r="P351" s="111">
        <f>IF(Q$198=0, 'Adjustment for previous period'!P318, 0)</f>
        <v>0</v>
      </c>
      <c r="Q351" s="111">
        <f>IF(R$198=0, 'Adjustment for previous period'!Q318, 0)</f>
        <v>0</v>
      </c>
      <c r="R351" s="9"/>
      <c r="S351" s="9"/>
      <c r="T351" s="9"/>
      <c r="U351" s="9"/>
      <c r="V351" s="9"/>
      <c r="W351" s="9"/>
      <c r="X351" s="9"/>
      <c r="Y351" s="9"/>
      <c r="Z351" s="9"/>
      <c r="AA351" s="9"/>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row>
    <row r="352" spans="1:64" hidden="1" outlineLevel="1">
      <c r="A352" s="9"/>
      <c r="B352" s="9"/>
      <c r="C352" s="9"/>
      <c r="D352" s="129">
        <f>Asset26</f>
        <v>0</v>
      </c>
      <c r="E352" s="9"/>
      <c r="F352" s="9"/>
      <c r="G352" s="9"/>
      <c r="H352" s="9"/>
      <c r="I352" s="9"/>
      <c r="J352" s="9"/>
      <c r="K352" s="9"/>
      <c r="L352" s="111">
        <f>IF(M$198=0, 'Adjustment for previous period'!L320, 0)</f>
        <v>0</v>
      </c>
      <c r="M352" s="111">
        <f>IF(N$198=0, 'Adjustment for previous period'!M320, 0)</f>
        <v>0</v>
      </c>
      <c r="N352" s="111">
        <f>IF(O$198=0, 'Adjustment for previous period'!N320, 0)</f>
        <v>0</v>
      </c>
      <c r="O352" s="111">
        <f>IF(P$198=0, 'Adjustment for previous period'!O320, 0)</f>
        <v>0</v>
      </c>
      <c r="P352" s="111">
        <f>IF(Q$198=0, 'Adjustment for previous period'!P320, 0)</f>
        <v>0</v>
      </c>
      <c r="Q352" s="111">
        <f>IF(R$198=0, 'Adjustment for previous period'!Q320, 0)</f>
        <v>0</v>
      </c>
      <c r="R352" s="9"/>
      <c r="S352" s="9"/>
      <c r="T352" s="9"/>
      <c r="U352" s="9"/>
      <c r="V352" s="9"/>
      <c r="W352" s="9"/>
      <c r="X352" s="9"/>
      <c r="Y352" s="9"/>
      <c r="Z352" s="9"/>
      <c r="AA352" s="9"/>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row>
    <row r="353" spans="1:64" hidden="1" outlineLevel="1">
      <c r="A353" s="9"/>
      <c r="B353" s="9"/>
      <c r="C353" s="9"/>
      <c r="D353" s="129">
        <f>Asset27</f>
        <v>0</v>
      </c>
      <c r="E353" s="9"/>
      <c r="F353" s="9"/>
      <c r="G353" s="9"/>
      <c r="H353" s="9"/>
      <c r="I353" s="9"/>
      <c r="J353" s="9"/>
      <c r="K353" s="9"/>
      <c r="L353" s="111">
        <f>IF(M$198=0, 'Adjustment for previous period'!L322, 0)</f>
        <v>0</v>
      </c>
      <c r="M353" s="111">
        <f>IF(N$198=0, 'Adjustment for previous period'!M322, 0)</f>
        <v>0</v>
      </c>
      <c r="N353" s="111">
        <f>IF(O$198=0, 'Adjustment for previous period'!N322, 0)</f>
        <v>0</v>
      </c>
      <c r="O353" s="111">
        <f>IF(P$198=0, 'Adjustment for previous period'!O322, 0)</f>
        <v>0</v>
      </c>
      <c r="P353" s="111">
        <f>IF(Q$198=0, 'Adjustment for previous period'!P322, 0)</f>
        <v>0</v>
      </c>
      <c r="Q353" s="111">
        <f>IF(R$198=0, 'Adjustment for previous period'!Q322, 0)</f>
        <v>0</v>
      </c>
      <c r="R353" s="9"/>
      <c r="S353" s="9"/>
      <c r="T353" s="9"/>
      <c r="U353" s="9"/>
      <c r="V353" s="9"/>
      <c r="W353" s="9"/>
      <c r="X353" s="9"/>
      <c r="Y353" s="9"/>
      <c r="Z353" s="9"/>
      <c r="AA353" s="9"/>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row>
    <row r="354" spans="1:64" hidden="1" outlineLevel="1">
      <c r="A354" s="9"/>
      <c r="B354" s="9"/>
      <c r="C354" s="9"/>
      <c r="D354" s="129">
        <f>Asset28</f>
        <v>0</v>
      </c>
      <c r="E354" s="9"/>
      <c r="F354" s="9"/>
      <c r="G354" s="9"/>
      <c r="H354" s="9"/>
      <c r="I354" s="9"/>
      <c r="J354" s="9"/>
      <c r="K354" s="9"/>
      <c r="L354" s="111">
        <f>IF(M$198=0, 'Adjustment for previous period'!L324, 0)</f>
        <v>0</v>
      </c>
      <c r="M354" s="111">
        <f>IF(N$198=0, 'Adjustment for previous period'!M324, 0)</f>
        <v>0</v>
      </c>
      <c r="N354" s="111">
        <f>IF(O$198=0, 'Adjustment for previous period'!N324, 0)</f>
        <v>0</v>
      </c>
      <c r="O354" s="111">
        <f>IF(P$198=0, 'Adjustment for previous period'!O324, 0)</f>
        <v>0</v>
      </c>
      <c r="P354" s="111">
        <f>IF(Q$198=0, 'Adjustment for previous period'!P324, 0)</f>
        <v>0</v>
      </c>
      <c r="Q354" s="111">
        <f>IF(R$198=0, 'Adjustment for previous period'!Q324, 0)</f>
        <v>0</v>
      </c>
      <c r="R354" s="9"/>
      <c r="S354" s="9"/>
      <c r="T354" s="9"/>
      <c r="U354" s="9"/>
      <c r="V354" s="9"/>
      <c r="W354" s="9"/>
      <c r="X354" s="9"/>
      <c r="Y354" s="9"/>
      <c r="Z354" s="9"/>
      <c r="AA354" s="9"/>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row>
    <row r="355" spans="1:64" hidden="1" outlineLevel="1">
      <c r="A355" s="9"/>
      <c r="B355" s="9"/>
      <c r="C355" s="9"/>
      <c r="D355" s="129">
        <f>Asset29</f>
        <v>0</v>
      </c>
      <c r="E355" s="9"/>
      <c r="F355" s="9"/>
      <c r="G355" s="9"/>
      <c r="H355" s="9"/>
      <c r="I355" s="9"/>
      <c r="J355" s="9"/>
      <c r="K355" s="9"/>
      <c r="L355" s="111">
        <f>IF(M$198=0, 'Adjustment for previous period'!L326, 0)</f>
        <v>0</v>
      </c>
      <c r="M355" s="111">
        <f>IF(N$198=0, 'Adjustment for previous period'!M326, 0)</f>
        <v>0</v>
      </c>
      <c r="N355" s="111">
        <f>IF(O$198=0, 'Adjustment for previous period'!N326, 0)</f>
        <v>0</v>
      </c>
      <c r="O355" s="111">
        <f>IF(P$198=0, 'Adjustment for previous period'!O326, 0)</f>
        <v>0</v>
      </c>
      <c r="P355" s="111">
        <f>IF(Q$198=0, 'Adjustment for previous period'!P326, 0)</f>
        <v>0</v>
      </c>
      <c r="Q355" s="111">
        <f>IF(R$198=0, 'Adjustment for previous period'!Q326, 0)</f>
        <v>0</v>
      </c>
      <c r="R355" s="9"/>
      <c r="S355" s="9"/>
      <c r="T355" s="9"/>
      <c r="U355" s="9"/>
      <c r="V355" s="9"/>
      <c r="W355" s="9"/>
      <c r="X355" s="9"/>
      <c r="Y355" s="9"/>
      <c r="Z355" s="9"/>
      <c r="AA355" s="9"/>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row>
    <row r="356" spans="1:64" hidden="1" outlineLevel="1">
      <c r="A356" s="9"/>
      <c r="B356" s="9"/>
      <c r="C356" s="9"/>
      <c r="D356" s="129">
        <f>Asset30</f>
        <v>0</v>
      </c>
      <c r="E356" s="9"/>
      <c r="F356" s="9"/>
      <c r="G356" s="9"/>
      <c r="H356" s="9"/>
      <c r="I356" s="9"/>
      <c r="J356" s="9"/>
      <c r="K356" s="9"/>
      <c r="L356" s="111">
        <f>IF(M$198=0, 'Adjustment for previous period'!L328, 0)</f>
        <v>0</v>
      </c>
      <c r="M356" s="111">
        <f>IF(N$198=0, 'Adjustment for previous period'!M328, 0)</f>
        <v>0</v>
      </c>
      <c r="N356" s="111">
        <f>IF(O$198=0, 'Adjustment for previous period'!N328, 0)</f>
        <v>0</v>
      </c>
      <c r="O356" s="111">
        <f>IF(P$198=0, 'Adjustment for previous period'!O328, 0)</f>
        <v>0</v>
      </c>
      <c r="P356" s="111">
        <f>IF(Q$198=0, 'Adjustment for previous period'!P328, 0)</f>
        <v>0</v>
      </c>
      <c r="Q356" s="111">
        <f>IF(R$198=0, 'Adjustment for previous period'!Q328, 0)</f>
        <v>0</v>
      </c>
      <c r="R356" s="9"/>
      <c r="S356" s="9"/>
      <c r="T356" s="9"/>
      <c r="U356" s="9"/>
      <c r="V356" s="9"/>
      <c r="W356" s="9"/>
      <c r="X356" s="9"/>
      <c r="Y356" s="9"/>
      <c r="Z356" s="9"/>
      <c r="AA356" s="9"/>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row>
    <row r="358" spans="1:64">
      <c r="A358" s="73"/>
      <c r="B358" s="73"/>
      <c r="C358" s="80" t="s">
        <v>46</v>
      </c>
      <c r="D358" s="73"/>
      <c r="E358" s="73"/>
      <c r="F358" s="73"/>
      <c r="G358" s="73"/>
      <c r="H358" s="73"/>
      <c r="I358" s="73"/>
      <c r="J358" s="73"/>
      <c r="K358" s="73"/>
      <c r="L358" s="157">
        <f t="shared" ref="L358:Q358" si="18">SUM(L359:L388)</f>
        <v>1534.0197737398782</v>
      </c>
      <c r="M358" s="157">
        <f t="shared" si="18"/>
        <v>0</v>
      </c>
      <c r="N358" s="157">
        <f t="shared" si="18"/>
        <v>0</v>
      </c>
      <c r="O358" s="157">
        <f t="shared" si="18"/>
        <v>0</v>
      </c>
      <c r="P358" s="157">
        <f t="shared" si="18"/>
        <v>0</v>
      </c>
      <c r="Q358" s="157">
        <f t="shared" si="18"/>
        <v>0</v>
      </c>
      <c r="R358" s="157"/>
      <c r="S358" s="9"/>
      <c r="T358" s="9"/>
      <c r="U358" s="9"/>
      <c r="V358" s="9"/>
      <c r="W358" s="9"/>
      <c r="X358" s="9"/>
      <c r="Y358" s="9"/>
      <c r="Z358" s="9"/>
      <c r="AA358" s="9"/>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row>
    <row r="359" spans="1:64" hidden="1" outlineLevel="1">
      <c r="B359" s="9"/>
      <c r="C359" s="9"/>
      <c r="D359" s="129" t="str">
        <f>Asset1</f>
        <v>Mains &amp; Services</v>
      </c>
      <c r="E359" s="9"/>
      <c r="F359" s="9"/>
      <c r="G359" s="9"/>
      <c r="H359" s="9"/>
      <c r="I359" s="9"/>
      <c r="J359" s="9"/>
      <c r="K359" s="9"/>
      <c r="L359" s="37">
        <f t="shared" ref="L359:Q359" si="19">IF(M$198=0, L199+L231+L263+L295+L327, 0)</f>
        <v>1378.2126061700721</v>
      </c>
      <c r="M359" s="37">
        <f t="shared" si="19"/>
        <v>0</v>
      </c>
      <c r="N359" s="37">
        <f t="shared" si="19"/>
        <v>0</v>
      </c>
      <c r="O359" s="37">
        <f t="shared" si="19"/>
        <v>0</v>
      </c>
      <c r="P359" s="37">
        <f t="shared" si="19"/>
        <v>0</v>
      </c>
      <c r="Q359" s="37">
        <f t="shared" si="19"/>
        <v>0</v>
      </c>
      <c r="R359" s="9"/>
      <c r="S359" s="9"/>
      <c r="T359" s="9"/>
      <c r="U359" s="9"/>
      <c r="V359" s="9"/>
      <c r="W359" s="9"/>
      <c r="X359" s="9"/>
      <c r="Y359" s="9"/>
      <c r="Z359" s="9"/>
      <c r="AA359" s="9"/>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row>
    <row r="360" spans="1:64" hidden="1" outlineLevel="1">
      <c r="B360" s="9"/>
      <c r="C360" s="9"/>
      <c r="D360" s="129" t="str">
        <f>Asset2</f>
        <v>Meters</v>
      </c>
      <c r="E360" s="9"/>
      <c r="F360" s="9"/>
      <c r="G360" s="9"/>
      <c r="H360" s="9"/>
      <c r="I360" s="9"/>
      <c r="J360" s="9"/>
      <c r="K360" s="9"/>
      <c r="L360" s="37">
        <f t="shared" ref="L360:Q369" si="20">IF(M$198=0, L200+L232+L264+L296+L328, 0)</f>
        <v>88.936827627645513</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row>
    <row r="361" spans="1:64" hidden="1" outlineLevel="1">
      <c r="B361" s="9"/>
      <c r="C361" s="9"/>
      <c r="D361" s="129" t="str">
        <f>Asset3</f>
        <v>Buildings</v>
      </c>
      <c r="E361" s="9"/>
      <c r="F361" s="9"/>
      <c r="G361" s="9"/>
      <c r="H361" s="9"/>
      <c r="I361" s="9"/>
      <c r="J361" s="9"/>
      <c r="K361" s="9"/>
      <c r="L361" s="37">
        <f t="shared" si="20"/>
        <v>6.5415457751568304</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row>
    <row r="362" spans="1:64" hidden="1" outlineLevel="1">
      <c r="B362" s="9"/>
      <c r="C362" s="9"/>
      <c r="D362" s="129" t="str">
        <f>Asset4</f>
        <v>SCADA</v>
      </c>
      <c r="E362" s="9"/>
      <c r="F362" s="9"/>
      <c r="G362" s="9"/>
      <c r="H362" s="9"/>
      <c r="I362" s="9"/>
      <c r="J362" s="9"/>
      <c r="K362" s="9"/>
      <c r="L362" s="37">
        <f t="shared" si="20"/>
        <v>1.7280694402627039</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row>
    <row r="363" spans="1:64" hidden="1" outlineLevel="1">
      <c r="B363" s="9"/>
      <c r="C363" s="9"/>
      <c r="D363" s="129" t="str">
        <f>Asset5</f>
        <v>Computer Equipment</v>
      </c>
      <c r="E363" s="9"/>
      <c r="F363" s="9"/>
      <c r="G363" s="9"/>
      <c r="H363" s="9"/>
      <c r="I363" s="9"/>
      <c r="J363" s="9"/>
      <c r="K363" s="9"/>
      <c r="L363" s="37">
        <f t="shared" si="20"/>
        <v>10.626769420312243</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row>
    <row r="364" spans="1:64" hidden="1" outlineLevel="1">
      <c r="B364" s="9"/>
      <c r="C364" s="9"/>
      <c r="D364" s="129" t="str">
        <f>Asset6</f>
        <v>Other Assets</v>
      </c>
      <c r="E364" s="9"/>
      <c r="F364" s="9"/>
      <c r="G364" s="9"/>
      <c r="H364" s="9"/>
      <c r="I364" s="9"/>
      <c r="J364" s="9"/>
      <c r="K364" s="9"/>
      <c r="L364" s="37">
        <f t="shared" si="20"/>
        <v>47.973955306428799</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row>
    <row r="365" spans="1:64" hidden="1" outlineLevel="1">
      <c r="B365" s="9"/>
      <c r="C365" s="9"/>
      <c r="D365" s="129" t="str">
        <f>Asset7</f>
        <v>Equity Raising Costs</v>
      </c>
      <c r="E365" s="9"/>
      <c r="F365" s="9"/>
      <c r="G365" s="9"/>
      <c r="H365" s="9"/>
      <c r="I365" s="9"/>
      <c r="J365" s="9"/>
      <c r="K365" s="9"/>
      <c r="L365" s="37">
        <f t="shared" si="20"/>
        <v>0</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row>
    <row r="366" spans="1:64" hidden="1" outlineLevel="1">
      <c r="B366" s="9"/>
      <c r="C366" s="9"/>
      <c r="D366" s="129" t="str">
        <f>Asset8</f>
        <v>Land</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row>
    <row r="367" spans="1:64" hidden="1" outlineLevel="1">
      <c r="B367" s="9"/>
      <c r="C367" s="9"/>
      <c r="D367" s="129">
        <f>Asset9</f>
        <v>0</v>
      </c>
      <c r="E367" s="9"/>
      <c r="F367" s="9"/>
      <c r="G367" s="9"/>
      <c r="H367" s="9"/>
      <c r="I367" s="9"/>
      <c r="J367" s="9"/>
      <c r="K367" s="9"/>
      <c r="L367" s="37">
        <f t="shared" si="20"/>
        <v>0</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row>
    <row r="368" spans="1:64" hidden="1" outlineLevel="1">
      <c r="B368" s="9"/>
      <c r="C368" s="9"/>
      <c r="D368" s="129">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row>
    <row r="369" spans="2:64" hidden="1" outlineLevel="1">
      <c r="B369" s="9"/>
      <c r="C369" s="9"/>
      <c r="D369" s="129">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row>
    <row r="370" spans="2:64" hidden="1" outlineLevel="1">
      <c r="B370" s="9"/>
      <c r="C370" s="9"/>
      <c r="D370" s="129">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row>
    <row r="371" spans="2:64" hidden="1" outlineLevel="1">
      <c r="B371" s="9"/>
      <c r="C371" s="9"/>
      <c r="D371" s="129">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row>
    <row r="372" spans="2:64" hidden="1" outlineLevel="1">
      <c r="B372" s="9"/>
      <c r="C372" s="9"/>
      <c r="D372" s="129">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row>
    <row r="373" spans="2:64" hidden="1" outlineLevel="1">
      <c r="B373" s="9"/>
      <c r="C373" s="9"/>
      <c r="D373" s="129">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row>
    <row r="374" spans="2:64" hidden="1" outlineLevel="1">
      <c r="B374" s="9"/>
      <c r="C374" s="9"/>
      <c r="D374" s="129">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row>
    <row r="375" spans="2:64" hidden="1" outlineLevel="1">
      <c r="B375" s="9"/>
      <c r="C375" s="9"/>
      <c r="D375" s="129">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row>
    <row r="376" spans="2:64" hidden="1" outlineLevel="1">
      <c r="B376" s="9"/>
      <c r="C376" s="9"/>
      <c r="D376" s="129">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row>
    <row r="377" spans="2:64" hidden="1" outlineLevel="1">
      <c r="B377" s="9"/>
      <c r="C377" s="9"/>
      <c r="D377" s="129">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row>
    <row r="378" spans="2:64" hidden="1" outlineLevel="1">
      <c r="B378" s="9"/>
      <c r="C378" s="9"/>
      <c r="D378" s="129">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row>
    <row r="379" spans="2:64" hidden="1" outlineLevel="1">
      <c r="B379" s="9"/>
      <c r="C379" s="9"/>
      <c r="D379" s="129">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row>
    <row r="380" spans="2:64" hidden="1" outlineLevel="1">
      <c r="B380" s="9"/>
      <c r="C380" s="9"/>
      <c r="D380" s="129">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row>
    <row r="381" spans="2:64" hidden="1" outlineLevel="1">
      <c r="B381" s="9"/>
      <c r="C381" s="9"/>
      <c r="D381" s="129">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row>
    <row r="382" spans="2:64" hidden="1" outlineLevel="1">
      <c r="B382" s="9"/>
      <c r="C382" s="9"/>
      <c r="D382" s="129">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row>
    <row r="383" spans="2:64" hidden="1" outlineLevel="1">
      <c r="B383" s="9"/>
      <c r="C383" s="9"/>
      <c r="D383" s="129">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row>
    <row r="384" spans="2:64" hidden="1" outlineLevel="1">
      <c r="B384" s="9"/>
      <c r="C384" s="9"/>
      <c r="D384" s="129">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row>
    <row r="385" spans="1:64" hidden="1" outlineLevel="1">
      <c r="B385" s="9"/>
      <c r="C385" s="9"/>
      <c r="D385" s="129">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row>
    <row r="386" spans="1:64" hidden="1" outlineLevel="1">
      <c r="B386" s="9"/>
      <c r="C386" s="9"/>
      <c r="D386" s="129">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row>
    <row r="387" spans="1:64" hidden="1" outlineLevel="1">
      <c r="B387" s="9"/>
      <c r="C387" s="9"/>
      <c r="D387" s="129">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row>
    <row r="388" spans="1:64" hidden="1" outlineLevel="1">
      <c r="B388" s="9"/>
      <c r="C388" s="9"/>
      <c r="D388" s="129">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6">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row>
    <row r="462" spans="1:66">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row>
    <row r="463" spans="1:66">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row>
    <row r="464" spans="1:66">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row>
    <row r="465" spans="2:66">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row>
    <row r="466" spans="2:66">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row>
    <row r="467" spans="2:66">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row>
    <row r="468" spans="2:66">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row>
    <row r="469" spans="2:66">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row>
    <row r="470" spans="2:66">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J936"/>
  <sheetViews>
    <sheetView zoomScale="70" zoomScaleNormal="70" workbookViewId="0"/>
  </sheetViews>
  <sheetFormatPr defaultRowHeight="12.75" outlineLevelRow="1"/>
  <cols>
    <col min="1" max="1" width="20.42578125" style="344" customWidth="1"/>
    <col min="2" max="2" width="8.7109375" style="344" customWidth="1"/>
    <col min="3" max="3" width="12.5703125" style="344" bestFit="1" customWidth="1"/>
    <col min="4" max="13" width="8.7109375" style="344" customWidth="1"/>
    <col min="14" max="16384" width="9.140625" style="344"/>
  </cols>
  <sheetData>
    <row r="1" spans="1:5" ht="14.25">
      <c r="A1" s="505" t="s">
        <v>194</v>
      </c>
    </row>
    <row r="3" spans="1:5">
      <c r="A3" s="356" t="s">
        <v>193</v>
      </c>
    </row>
    <row r="5" spans="1:5" ht="25.5" customHeight="1" outlineLevel="1">
      <c r="A5" s="415" t="s">
        <v>192</v>
      </c>
      <c r="B5" s="478" t="s">
        <v>163</v>
      </c>
      <c r="C5" s="478" t="s">
        <v>162</v>
      </c>
      <c r="D5" s="658" t="s">
        <v>161</v>
      </c>
      <c r="E5" s="658"/>
    </row>
    <row r="6" spans="1:5" ht="12.75" customHeight="1" outlineLevel="1">
      <c r="A6" s="394" t="s">
        <v>121</v>
      </c>
      <c r="B6" s="504">
        <v>452.11799999999999</v>
      </c>
      <c r="C6" s="429">
        <v>7.5</v>
      </c>
      <c r="D6" s="503" t="s">
        <v>168</v>
      </c>
      <c r="E6" s="412"/>
    </row>
    <row r="7" spans="1:5" ht="12.75" customHeight="1" outlineLevel="1">
      <c r="A7" s="389" t="s">
        <v>122</v>
      </c>
      <c r="B7" s="502">
        <v>44.963000000000001</v>
      </c>
      <c r="C7" s="427">
        <v>1</v>
      </c>
      <c r="D7" s="427" t="s">
        <v>158</v>
      </c>
      <c r="E7" s="410"/>
    </row>
    <row r="8" spans="1:5" ht="12.75" customHeight="1" outlineLevel="1">
      <c r="A8" s="389" t="s">
        <v>132</v>
      </c>
      <c r="B8" s="502">
        <v>3.7789999999999999</v>
      </c>
      <c r="C8" s="427">
        <v>40</v>
      </c>
      <c r="D8" s="427" t="s">
        <v>153</v>
      </c>
      <c r="E8" s="410"/>
    </row>
    <row r="9" spans="1:5" ht="12.75" customHeight="1" outlineLevel="1">
      <c r="A9" s="388" t="s">
        <v>126</v>
      </c>
      <c r="B9" s="501">
        <v>4.0919999999999996</v>
      </c>
      <c r="C9" s="421">
        <v>5</v>
      </c>
      <c r="D9" s="421" t="s">
        <v>168</v>
      </c>
      <c r="E9" s="407"/>
    </row>
    <row r="10" spans="1:5" ht="13.5" customHeight="1" outlineLevel="1" thickBot="1">
      <c r="B10" s="500">
        <f>SUM(B6:B9)</f>
        <v>504.952</v>
      </c>
    </row>
    <row r="11" spans="1:5" ht="13.5" customHeight="1" outlineLevel="1" thickTop="1"/>
    <row r="12" spans="1:5" ht="12.75" customHeight="1" outlineLevel="1">
      <c r="A12" s="350" t="s">
        <v>157</v>
      </c>
    </row>
    <row r="13" spans="1:5" ht="12.75" customHeight="1" outlineLevel="1"/>
    <row r="14" spans="1:5" ht="12.75" customHeight="1" outlineLevel="1">
      <c r="A14" s="350" t="str">
        <f>A$6</f>
        <v>Mains &amp; Services</v>
      </c>
    </row>
    <row r="15" spans="1:5" ht="12.75" customHeight="1" outlineLevel="1">
      <c r="A15" s="394" t="s">
        <v>131</v>
      </c>
      <c r="B15" s="498">
        <f>B6</f>
        <v>452.11799999999999</v>
      </c>
      <c r="C15" s="412"/>
      <c r="E15" s="497"/>
    </row>
    <row r="16" spans="1:5" ht="12.75" customHeight="1" outlineLevel="1">
      <c r="A16" s="389" t="s">
        <v>155</v>
      </c>
      <c r="B16" s="426">
        <f>C6</f>
        <v>7.5</v>
      </c>
      <c r="C16" s="410"/>
    </row>
    <row r="17" spans="1:23" ht="12.75" customHeight="1" outlineLevel="1">
      <c r="A17" s="389" t="s">
        <v>154</v>
      </c>
      <c r="B17" s="426" t="str">
        <f>D6</f>
        <v>Declining Balance</v>
      </c>
      <c r="C17" s="410"/>
    </row>
    <row r="18" spans="1:23" ht="12.75" customHeight="1" outlineLevel="1">
      <c r="A18" s="409" t="s">
        <v>152</v>
      </c>
      <c r="B18" s="408">
        <f>IF(B17="Straight Line",1/B16,IF(B17="Declining Balance",1/B16*1.5,1))</f>
        <v>0.2</v>
      </c>
      <c r="C18" s="407"/>
    </row>
    <row r="19" spans="1:23" ht="12.75" customHeight="1" outlineLevel="1">
      <c r="A19" s="380"/>
      <c r="B19" s="426"/>
      <c r="C19" s="380"/>
      <c r="D19" s="380"/>
    </row>
    <row r="20" spans="1:23" ht="12.75" customHeight="1" outlineLevel="1">
      <c r="B20" s="364">
        <v>1996</v>
      </c>
      <c r="C20" s="362">
        <v>1997</v>
      </c>
      <c r="D20" s="364">
        <v>1998</v>
      </c>
      <c r="E20" s="363">
        <v>1999</v>
      </c>
      <c r="F20" s="363">
        <v>2000</v>
      </c>
      <c r="G20" s="363">
        <v>2001</v>
      </c>
      <c r="H20" s="362">
        <v>2002</v>
      </c>
      <c r="I20" s="364">
        <v>2003</v>
      </c>
      <c r="J20" s="363">
        <v>2004</v>
      </c>
      <c r="K20" s="363">
        <v>2005</v>
      </c>
      <c r="L20" s="363">
        <v>2006</v>
      </c>
      <c r="M20" s="362">
        <v>2007</v>
      </c>
      <c r="N20" s="364">
        <v>2008</v>
      </c>
      <c r="O20" s="363">
        <v>2009</v>
      </c>
      <c r="P20" s="363">
        <v>2010</v>
      </c>
      <c r="Q20" s="363">
        <v>2011</v>
      </c>
      <c r="R20" s="362">
        <v>2012</v>
      </c>
      <c r="S20" s="364">
        <f t="shared" ref="S20:W20" si="0">R20+1</f>
        <v>2013</v>
      </c>
      <c r="T20" s="363">
        <f t="shared" si="0"/>
        <v>2014</v>
      </c>
      <c r="U20" s="363">
        <f t="shared" si="0"/>
        <v>2015</v>
      </c>
      <c r="V20" s="363">
        <f t="shared" si="0"/>
        <v>2016</v>
      </c>
      <c r="W20" s="362">
        <f t="shared" si="0"/>
        <v>2017</v>
      </c>
    </row>
    <row r="21" spans="1:23" ht="12.75" customHeight="1" outlineLevel="1">
      <c r="A21" s="394" t="s">
        <v>2</v>
      </c>
      <c r="B21" s="427">
        <f>B15</f>
        <v>452.11799999999999</v>
      </c>
      <c r="C21" s="428">
        <f t="shared" ref="C21:W21" si="1">B23</f>
        <v>406.90620000000001</v>
      </c>
      <c r="D21" s="427">
        <f t="shared" si="1"/>
        <v>325.52496000000002</v>
      </c>
      <c r="E21" s="426">
        <f t="shared" si="1"/>
        <v>260.41996800000004</v>
      </c>
      <c r="F21" s="426">
        <f t="shared" si="1"/>
        <v>208.33597440000003</v>
      </c>
      <c r="G21" s="426">
        <f t="shared" si="1"/>
        <v>166.66877952000002</v>
      </c>
      <c r="H21" s="428">
        <f t="shared" si="1"/>
        <v>133.335023616</v>
      </c>
      <c r="I21" s="427">
        <f t="shared" si="1"/>
        <v>106.66801889280001</v>
      </c>
      <c r="J21" s="426">
        <f t="shared" si="1"/>
        <v>85.334415114240002</v>
      </c>
      <c r="K21" s="426">
        <f t="shared" si="1"/>
        <v>68.267532091391999</v>
      </c>
      <c r="L21" s="426">
        <f t="shared" si="1"/>
        <v>54.614025673113602</v>
      </c>
      <c r="M21" s="428">
        <f t="shared" si="1"/>
        <v>43.691220538490882</v>
      </c>
      <c r="N21" s="427">
        <f t="shared" si="1"/>
        <v>34.952976430792702</v>
      </c>
      <c r="O21" s="426">
        <f t="shared" si="1"/>
        <v>27.962381144634161</v>
      </c>
      <c r="P21" s="426">
        <f t="shared" si="1"/>
        <v>22.36990491570733</v>
      </c>
      <c r="Q21" s="426">
        <f t="shared" si="1"/>
        <v>17.895923932565864</v>
      </c>
      <c r="R21" s="428">
        <f t="shared" si="1"/>
        <v>14.316739146052692</v>
      </c>
      <c r="S21" s="427">
        <f t="shared" si="1"/>
        <v>11.453391316842154</v>
      </c>
      <c r="T21" s="426">
        <f t="shared" si="1"/>
        <v>9.1627130534737233</v>
      </c>
      <c r="U21" s="426">
        <f t="shared" si="1"/>
        <v>7.3301704427789787</v>
      </c>
      <c r="V21" s="426">
        <f t="shared" si="1"/>
        <v>5.8641363542231826</v>
      </c>
      <c r="W21" s="428">
        <f t="shared" si="1"/>
        <v>4.6913090833785462</v>
      </c>
    </row>
    <row r="22" spans="1:23" ht="12.75" customHeight="1" outlineLevel="1">
      <c r="A22" s="389" t="s">
        <v>136</v>
      </c>
      <c r="B22" s="427">
        <f>B18*B21*0.5</f>
        <v>45.211800000000004</v>
      </c>
      <c r="C22" s="428">
        <f t="shared" ref="C22:W22" si="2">$B18*C21</f>
        <v>81.381240000000005</v>
      </c>
      <c r="D22" s="427">
        <f t="shared" si="2"/>
        <v>65.10499200000001</v>
      </c>
      <c r="E22" s="426">
        <f t="shared" si="2"/>
        <v>52.083993600000014</v>
      </c>
      <c r="F22" s="426">
        <f t="shared" si="2"/>
        <v>41.667194880000011</v>
      </c>
      <c r="G22" s="426">
        <f t="shared" si="2"/>
        <v>33.333755904000007</v>
      </c>
      <c r="H22" s="428">
        <f t="shared" si="2"/>
        <v>26.667004723200002</v>
      </c>
      <c r="I22" s="427">
        <f t="shared" si="2"/>
        <v>21.333603778560004</v>
      </c>
      <c r="J22" s="426">
        <f t="shared" si="2"/>
        <v>17.066883022848</v>
      </c>
      <c r="K22" s="426">
        <f t="shared" si="2"/>
        <v>13.653506418278401</v>
      </c>
      <c r="L22" s="426">
        <f t="shared" si="2"/>
        <v>10.92280513462272</v>
      </c>
      <c r="M22" s="428">
        <f t="shared" si="2"/>
        <v>8.7382441076981774</v>
      </c>
      <c r="N22" s="427">
        <f t="shared" si="2"/>
        <v>6.9905952861585412</v>
      </c>
      <c r="O22" s="426">
        <f t="shared" si="2"/>
        <v>5.5924762289268326</v>
      </c>
      <c r="P22" s="426">
        <f t="shared" si="2"/>
        <v>4.4739809831414661</v>
      </c>
      <c r="Q22" s="426">
        <f t="shared" si="2"/>
        <v>3.579184786513173</v>
      </c>
      <c r="R22" s="428">
        <f t="shared" si="2"/>
        <v>2.8633478292105385</v>
      </c>
      <c r="S22" s="427">
        <f t="shared" si="2"/>
        <v>2.2906782633684308</v>
      </c>
      <c r="T22" s="426">
        <f t="shared" si="2"/>
        <v>1.8325426106947447</v>
      </c>
      <c r="U22" s="426">
        <f t="shared" si="2"/>
        <v>1.4660340885557959</v>
      </c>
      <c r="V22" s="426">
        <f t="shared" si="2"/>
        <v>1.1728272708446366</v>
      </c>
      <c r="W22" s="428">
        <f t="shared" si="2"/>
        <v>0.93826181667570929</v>
      </c>
    </row>
    <row r="23" spans="1:23" ht="12.75" customHeight="1" outlineLevel="1">
      <c r="A23" s="388" t="s">
        <v>113</v>
      </c>
      <c r="B23" s="421">
        <f t="shared" ref="B23:W23" si="3">B21-B22</f>
        <v>406.90620000000001</v>
      </c>
      <c r="C23" s="422">
        <f t="shared" si="3"/>
        <v>325.52496000000002</v>
      </c>
      <c r="D23" s="421">
        <f t="shared" si="3"/>
        <v>260.41996800000004</v>
      </c>
      <c r="E23" s="420">
        <f t="shared" si="3"/>
        <v>208.33597440000003</v>
      </c>
      <c r="F23" s="420">
        <f t="shared" si="3"/>
        <v>166.66877952000002</v>
      </c>
      <c r="G23" s="420">
        <f t="shared" si="3"/>
        <v>133.335023616</v>
      </c>
      <c r="H23" s="422">
        <f t="shared" si="3"/>
        <v>106.66801889280001</v>
      </c>
      <c r="I23" s="421">
        <f t="shared" si="3"/>
        <v>85.334415114240002</v>
      </c>
      <c r="J23" s="420">
        <f t="shared" si="3"/>
        <v>68.267532091391999</v>
      </c>
      <c r="K23" s="420">
        <f t="shared" si="3"/>
        <v>54.614025673113602</v>
      </c>
      <c r="L23" s="420">
        <f t="shared" si="3"/>
        <v>43.691220538490882</v>
      </c>
      <c r="M23" s="422">
        <f t="shared" si="3"/>
        <v>34.952976430792702</v>
      </c>
      <c r="N23" s="421">
        <f t="shared" si="3"/>
        <v>27.962381144634161</v>
      </c>
      <c r="O23" s="420">
        <f t="shared" si="3"/>
        <v>22.36990491570733</v>
      </c>
      <c r="P23" s="420">
        <f t="shared" si="3"/>
        <v>17.895923932565864</v>
      </c>
      <c r="Q23" s="420">
        <f t="shared" si="3"/>
        <v>14.316739146052692</v>
      </c>
      <c r="R23" s="422">
        <f t="shared" si="3"/>
        <v>11.453391316842154</v>
      </c>
      <c r="S23" s="421">
        <f t="shared" si="3"/>
        <v>9.1627130534737233</v>
      </c>
      <c r="T23" s="420">
        <f t="shared" si="3"/>
        <v>7.3301704427789787</v>
      </c>
      <c r="U23" s="420">
        <f t="shared" si="3"/>
        <v>5.8641363542231826</v>
      </c>
      <c r="V23" s="420">
        <f t="shared" si="3"/>
        <v>4.6913090833785462</v>
      </c>
      <c r="W23" s="612">
        <f t="shared" si="3"/>
        <v>3.7530472667028372</v>
      </c>
    </row>
    <row r="24" spans="1:23" ht="12.75" customHeight="1" outlineLevel="1"/>
    <row r="25" spans="1:23" ht="12.75" customHeight="1" outlineLevel="1">
      <c r="A25" s="350" t="str">
        <f>A$7</f>
        <v>Meters</v>
      </c>
      <c r="B25" s="499"/>
      <c r="C25" s="499"/>
      <c r="D25" s="499"/>
      <c r="E25" s="499"/>
      <c r="F25" s="499"/>
      <c r="G25" s="499"/>
      <c r="H25" s="499"/>
      <c r="I25" s="499"/>
      <c r="J25" s="499"/>
      <c r="K25" s="499"/>
      <c r="L25" s="499"/>
      <c r="M25" s="499"/>
    </row>
    <row r="26" spans="1:23" ht="12.75" customHeight="1" outlineLevel="1">
      <c r="A26" s="394" t="s">
        <v>131</v>
      </c>
      <c r="B26" s="498">
        <f>B7</f>
        <v>44.963000000000001</v>
      </c>
      <c r="C26" s="412"/>
      <c r="E26" s="497"/>
    </row>
    <row r="27" spans="1:23" ht="12.75" customHeight="1" outlineLevel="1">
      <c r="A27" s="389" t="s">
        <v>155</v>
      </c>
      <c r="B27" s="426">
        <f>C7</f>
        <v>1</v>
      </c>
      <c r="C27" s="410"/>
    </row>
    <row r="28" spans="1:23" ht="12.75" customHeight="1" outlineLevel="1">
      <c r="A28" s="389" t="s">
        <v>154</v>
      </c>
      <c r="B28" s="426" t="str">
        <f>D7</f>
        <v>Fully Deductible</v>
      </c>
      <c r="C28" s="410"/>
    </row>
    <row r="29" spans="1:23" ht="12.75" customHeight="1" outlineLevel="1">
      <c r="A29" s="409" t="s">
        <v>152</v>
      </c>
      <c r="B29" s="408">
        <f>IF(B28="Straight Line",1/B27,IF(B28="Declining Balance",1/B27*1.5,1))</f>
        <v>1</v>
      </c>
      <c r="C29" s="407"/>
    </row>
    <row r="30" spans="1:23" ht="12.75" customHeight="1" outlineLevel="1">
      <c r="A30" s="380"/>
      <c r="B30" s="426"/>
      <c r="C30" s="380"/>
      <c r="D30" s="380"/>
    </row>
    <row r="31" spans="1:23" ht="12.75" customHeight="1" outlineLevel="1">
      <c r="B31" s="364">
        <v>1996</v>
      </c>
      <c r="C31" s="362">
        <v>1997</v>
      </c>
      <c r="D31" s="364">
        <v>1998</v>
      </c>
      <c r="E31" s="363">
        <v>1999</v>
      </c>
      <c r="F31" s="363">
        <v>2000</v>
      </c>
      <c r="G31" s="363">
        <v>2001</v>
      </c>
      <c r="H31" s="362">
        <v>2002</v>
      </c>
      <c r="I31" s="364">
        <v>2003</v>
      </c>
      <c r="J31" s="363">
        <v>2004</v>
      </c>
      <c r="K31" s="363">
        <v>2005</v>
      </c>
      <c r="L31" s="363">
        <v>2006</v>
      </c>
      <c r="M31" s="362">
        <v>2007</v>
      </c>
      <c r="N31" s="364">
        <v>2008</v>
      </c>
      <c r="O31" s="363">
        <v>2009</v>
      </c>
      <c r="P31" s="363">
        <v>2010</v>
      </c>
      <c r="Q31" s="363">
        <v>2011</v>
      </c>
      <c r="R31" s="362">
        <v>2012</v>
      </c>
      <c r="S31" s="364">
        <f t="shared" ref="S31:W31" si="4">R31+1</f>
        <v>2013</v>
      </c>
      <c r="T31" s="363">
        <f t="shared" si="4"/>
        <v>2014</v>
      </c>
      <c r="U31" s="363">
        <f t="shared" si="4"/>
        <v>2015</v>
      </c>
      <c r="V31" s="363">
        <f t="shared" si="4"/>
        <v>2016</v>
      </c>
      <c r="W31" s="362">
        <f t="shared" si="4"/>
        <v>2017</v>
      </c>
    </row>
    <row r="32" spans="1:23" ht="12.75" customHeight="1" outlineLevel="1">
      <c r="A32" s="394" t="s">
        <v>2</v>
      </c>
      <c r="B32" s="427">
        <f>B26</f>
        <v>44.963000000000001</v>
      </c>
      <c r="C32" s="428">
        <f t="shared" ref="C32:W32" si="5">B34</f>
        <v>22.4815</v>
      </c>
      <c r="D32" s="427">
        <f t="shared" si="5"/>
        <v>0</v>
      </c>
      <c r="E32" s="426">
        <f t="shared" si="5"/>
        <v>0</v>
      </c>
      <c r="F32" s="426">
        <f t="shared" si="5"/>
        <v>0</v>
      </c>
      <c r="G32" s="426">
        <f t="shared" si="5"/>
        <v>0</v>
      </c>
      <c r="H32" s="428">
        <f t="shared" si="5"/>
        <v>0</v>
      </c>
      <c r="I32" s="427">
        <f t="shared" si="5"/>
        <v>0</v>
      </c>
      <c r="J32" s="426">
        <f t="shared" si="5"/>
        <v>0</v>
      </c>
      <c r="K32" s="426">
        <f t="shared" si="5"/>
        <v>0</v>
      </c>
      <c r="L32" s="426">
        <f t="shared" si="5"/>
        <v>0</v>
      </c>
      <c r="M32" s="428">
        <f t="shared" si="5"/>
        <v>0</v>
      </c>
      <c r="N32" s="427">
        <f t="shared" si="5"/>
        <v>0</v>
      </c>
      <c r="O32" s="426">
        <f t="shared" si="5"/>
        <v>0</v>
      </c>
      <c r="P32" s="426">
        <f t="shared" si="5"/>
        <v>0</v>
      </c>
      <c r="Q32" s="426">
        <f t="shared" si="5"/>
        <v>0</v>
      </c>
      <c r="R32" s="428">
        <f t="shared" si="5"/>
        <v>0</v>
      </c>
      <c r="S32" s="427">
        <f t="shared" si="5"/>
        <v>0</v>
      </c>
      <c r="T32" s="426">
        <f t="shared" si="5"/>
        <v>0</v>
      </c>
      <c r="U32" s="426">
        <f t="shared" si="5"/>
        <v>0</v>
      </c>
      <c r="V32" s="426">
        <f t="shared" si="5"/>
        <v>0</v>
      </c>
      <c r="W32" s="428">
        <f t="shared" si="5"/>
        <v>0</v>
      </c>
    </row>
    <row r="33" spans="1:23" ht="12.75" customHeight="1" outlineLevel="1">
      <c r="A33" s="389" t="s">
        <v>136</v>
      </c>
      <c r="B33" s="427">
        <f>B29*B32*0.5</f>
        <v>22.4815</v>
      </c>
      <c r="C33" s="428">
        <f t="shared" ref="C33:W33" si="6">$B29*C32</f>
        <v>22.4815</v>
      </c>
      <c r="D33" s="427">
        <f t="shared" si="6"/>
        <v>0</v>
      </c>
      <c r="E33" s="426">
        <f t="shared" si="6"/>
        <v>0</v>
      </c>
      <c r="F33" s="426">
        <f t="shared" si="6"/>
        <v>0</v>
      </c>
      <c r="G33" s="426">
        <f t="shared" si="6"/>
        <v>0</v>
      </c>
      <c r="H33" s="428">
        <f t="shared" si="6"/>
        <v>0</v>
      </c>
      <c r="I33" s="427">
        <f t="shared" si="6"/>
        <v>0</v>
      </c>
      <c r="J33" s="426">
        <f t="shared" si="6"/>
        <v>0</v>
      </c>
      <c r="K33" s="426">
        <f t="shared" si="6"/>
        <v>0</v>
      </c>
      <c r="L33" s="426">
        <f t="shared" si="6"/>
        <v>0</v>
      </c>
      <c r="M33" s="428">
        <f t="shared" si="6"/>
        <v>0</v>
      </c>
      <c r="N33" s="427">
        <f t="shared" si="6"/>
        <v>0</v>
      </c>
      <c r="O33" s="426">
        <f t="shared" si="6"/>
        <v>0</v>
      </c>
      <c r="P33" s="426">
        <f t="shared" si="6"/>
        <v>0</v>
      </c>
      <c r="Q33" s="426">
        <f t="shared" si="6"/>
        <v>0</v>
      </c>
      <c r="R33" s="428">
        <f t="shared" si="6"/>
        <v>0</v>
      </c>
      <c r="S33" s="427">
        <f t="shared" si="6"/>
        <v>0</v>
      </c>
      <c r="T33" s="426">
        <f t="shared" si="6"/>
        <v>0</v>
      </c>
      <c r="U33" s="426">
        <f t="shared" si="6"/>
        <v>0</v>
      </c>
      <c r="V33" s="426">
        <f t="shared" si="6"/>
        <v>0</v>
      </c>
      <c r="W33" s="428">
        <f t="shared" si="6"/>
        <v>0</v>
      </c>
    </row>
    <row r="34" spans="1:23" ht="12.75" customHeight="1" outlineLevel="1">
      <c r="A34" s="388" t="s">
        <v>113</v>
      </c>
      <c r="B34" s="421">
        <f t="shared" ref="B34:W34" si="7">B32-B33</f>
        <v>22.4815</v>
      </c>
      <c r="C34" s="422">
        <f t="shared" si="7"/>
        <v>0</v>
      </c>
      <c r="D34" s="421">
        <f t="shared" si="7"/>
        <v>0</v>
      </c>
      <c r="E34" s="420">
        <f t="shared" si="7"/>
        <v>0</v>
      </c>
      <c r="F34" s="420">
        <f t="shared" si="7"/>
        <v>0</v>
      </c>
      <c r="G34" s="420">
        <f t="shared" si="7"/>
        <v>0</v>
      </c>
      <c r="H34" s="422">
        <f t="shared" si="7"/>
        <v>0</v>
      </c>
      <c r="I34" s="421">
        <f t="shared" si="7"/>
        <v>0</v>
      </c>
      <c r="J34" s="420">
        <f t="shared" si="7"/>
        <v>0</v>
      </c>
      <c r="K34" s="420">
        <f t="shared" si="7"/>
        <v>0</v>
      </c>
      <c r="L34" s="420">
        <f t="shared" si="7"/>
        <v>0</v>
      </c>
      <c r="M34" s="422">
        <f t="shared" si="7"/>
        <v>0</v>
      </c>
      <c r="N34" s="421">
        <f t="shared" si="7"/>
        <v>0</v>
      </c>
      <c r="O34" s="420">
        <f t="shared" si="7"/>
        <v>0</v>
      </c>
      <c r="P34" s="420">
        <f t="shared" si="7"/>
        <v>0</v>
      </c>
      <c r="Q34" s="420">
        <f t="shared" si="7"/>
        <v>0</v>
      </c>
      <c r="R34" s="422">
        <f t="shared" si="7"/>
        <v>0</v>
      </c>
      <c r="S34" s="421">
        <f t="shared" si="7"/>
        <v>0</v>
      </c>
      <c r="T34" s="420">
        <f t="shared" si="7"/>
        <v>0</v>
      </c>
      <c r="U34" s="420">
        <f t="shared" si="7"/>
        <v>0</v>
      </c>
      <c r="V34" s="420">
        <f t="shared" si="7"/>
        <v>0</v>
      </c>
      <c r="W34" s="422">
        <f t="shared" si="7"/>
        <v>0</v>
      </c>
    </row>
    <row r="35" spans="1:23" ht="12.75" customHeight="1" outlineLevel="1"/>
    <row r="36" spans="1:23" ht="12.75" customHeight="1" outlineLevel="1">
      <c r="A36" s="350" t="str">
        <f>A$8</f>
        <v>Land &amp; Buildings</v>
      </c>
    </row>
    <row r="37" spans="1:23" ht="12.75" customHeight="1" outlineLevel="1">
      <c r="A37" s="394" t="s">
        <v>131</v>
      </c>
      <c r="B37" s="498">
        <f>B8</f>
        <v>3.7789999999999999</v>
      </c>
      <c r="C37" s="412"/>
      <c r="E37" s="497"/>
    </row>
    <row r="38" spans="1:23" ht="12.75" customHeight="1" outlineLevel="1">
      <c r="A38" s="389" t="s">
        <v>155</v>
      </c>
      <c r="B38" s="426">
        <f>C8</f>
        <v>40</v>
      </c>
      <c r="C38" s="410"/>
    </row>
    <row r="39" spans="1:23" ht="12.75" customHeight="1" outlineLevel="1">
      <c r="A39" s="389" t="s">
        <v>154</v>
      </c>
      <c r="B39" s="426" t="str">
        <f>D8</f>
        <v>Straight Line</v>
      </c>
      <c r="C39" s="410"/>
    </row>
    <row r="40" spans="1:23" ht="12.75" customHeight="1" outlineLevel="1">
      <c r="A40" s="409" t="s">
        <v>152</v>
      </c>
      <c r="B40" s="408">
        <f>IF(B39="Straight Line",1/B38,IF(B39="Declining Balance",1/B38*1.5,1))</f>
        <v>2.5000000000000001E-2</v>
      </c>
      <c r="C40" s="407"/>
    </row>
    <row r="41" spans="1:23" ht="12.75" customHeight="1" outlineLevel="1">
      <c r="A41" s="380"/>
      <c r="B41" s="426"/>
      <c r="C41" s="380"/>
      <c r="D41" s="380"/>
    </row>
    <row r="42" spans="1:23" ht="12.75" customHeight="1" outlineLevel="1">
      <c r="B42" s="364">
        <v>1996</v>
      </c>
      <c r="C42" s="362">
        <v>1997</v>
      </c>
      <c r="D42" s="364">
        <v>1998</v>
      </c>
      <c r="E42" s="363">
        <v>1999</v>
      </c>
      <c r="F42" s="363">
        <v>2000</v>
      </c>
      <c r="G42" s="363">
        <v>2001</v>
      </c>
      <c r="H42" s="362">
        <v>2002</v>
      </c>
      <c r="I42" s="364">
        <v>2003</v>
      </c>
      <c r="J42" s="363">
        <v>2004</v>
      </c>
      <c r="K42" s="363">
        <v>2005</v>
      </c>
      <c r="L42" s="363">
        <v>2006</v>
      </c>
      <c r="M42" s="362">
        <v>2007</v>
      </c>
      <c r="N42" s="364">
        <v>2008</v>
      </c>
      <c r="O42" s="363">
        <v>2009</v>
      </c>
      <c r="P42" s="363">
        <v>2010</v>
      </c>
      <c r="Q42" s="363">
        <v>2011</v>
      </c>
      <c r="R42" s="362">
        <v>2012</v>
      </c>
      <c r="S42" s="364">
        <f t="shared" ref="S42:W42" si="8">R42+1</f>
        <v>2013</v>
      </c>
      <c r="T42" s="363">
        <f t="shared" si="8"/>
        <v>2014</v>
      </c>
      <c r="U42" s="363">
        <f t="shared" si="8"/>
        <v>2015</v>
      </c>
      <c r="V42" s="363">
        <f t="shared" si="8"/>
        <v>2016</v>
      </c>
      <c r="W42" s="362">
        <f t="shared" si="8"/>
        <v>2017</v>
      </c>
    </row>
    <row r="43" spans="1:23" ht="12.75" customHeight="1" outlineLevel="1">
      <c r="A43" s="394" t="s">
        <v>2</v>
      </c>
      <c r="B43" s="427">
        <f>B37</f>
        <v>3.7789999999999999</v>
      </c>
      <c r="C43" s="428">
        <f t="shared" ref="C43:W43" si="9">B45</f>
        <v>3.7317624999999999</v>
      </c>
      <c r="D43" s="427">
        <f t="shared" si="9"/>
        <v>3.6372874999999998</v>
      </c>
      <c r="E43" s="426">
        <f t="shared" si="9"/>
        <v>3.5428124999999997</v>
      </c>
      <c r="F43" s="426">
        <f t="shared" si="9"/>
        <v>3.4483374999999996</v>
      </c>
      <c r="G43" s="426">
        <f t="shared" si="9"/>
        <v>3.3538624999999995</v>
      </c>
      <c r="H43" s="428">
        <f t="shared" si="9"/>
        <v>3.2593874999999994</v>
      </c>
      <c r="I43" s="427">
        <f t="shared" si="9"/>
        <v>3.1649124999999994</v>
      </c>
      <c r="J43" s="426">
        <f t="shared" si="9"/>
        <v>3.0704374999999993</v>
      </c>
      <c r="K43" s="426">
        <f t="shared" si="9"/>
        <v>2.9759624999999992</v>
      </c>
      <c r="L43" s="426">
        <f t="shared" si="9"/>
        <v>2.8814874999999991</v>
      </c>
      <c r="M43" s="428">
        <f t="shared" si="9"/>
        <v>2.787012499999999</v>
      </c>
      <c r="N43" s="427">
        <f t="shared" si="9"/>
        <v>2.6925374999999989</v>
      </c>
      <c r="O43" s="426">
        <f t="shared" si="9"/>
        <v>2.5980624999999988</v>
      </c>
      <c r="P43" s="426">
        <f t="shared" si="9"/>
        <v>2.5035874999999987</v>
      </c>
      <c r="Q43" s="426">
        <f t="shared" si="9"/>
        <v>2.4091124999999987</v>
      </c>
      <c r="R43" s="428">
        <f t="shared" si="9"/>
        <v>2.3146374999999986</v>
      </c>
      <c r="S43" s="427">
        <f t="shared" si="9"/>
        <v>2.2201624999999985</v>
      </c>
      <c r="T43" s="426">
        <f t="shared" si="9"/>
        <v>2.1256874999999984</v>
      </c>
      <c r="U43" s="426">
        <f t="shared" si="9"/>
        <v>2.0312124999999983</v>
      </c>
      <c r="V43" s="426">
        <f t="shared" si="9"/>
        <v>1.9367374999999982</v>
      </c>
      <c r="W43" s="428">
        <f t="shared" si="9"/>
        <v>1.8422624999999981</v>
      </c>
    </row>
    <row r="44" spans="1:23" ht="12.75" customHeight="1" outlineLevel="1">
      <c r="A44" s="389" t="s">
        <v>136</v>
      </c>
      <c r="B44" s="427">
        <f>B40*B43*0.5</f>
        <v>4.7237500000000002E-2</v>
      </c>
      <c r="C44" s="428">
        <f>IF(SUM($B44:B44)&gt;=$B42,0,$B40*$B43)</f>
        <v>9.4475000000000003E-2</v>
      </c>
      <c r="D44" s="427">
        <f>IF(SUM($B44:C44)&gt;=$B42,0,MIN(D43,$B40*$B43))</f>
        <v>9.4475000000000003E-2</v>
      </c>
      <c r="E44" s="426">
        <f>IF(SUM($B44:D44)&gt;=$B42,0,MIN(E43,$B40*$B43))</f>
        <v>9.4475000000000003E-2</v>
      </c>
      <c r="F44" s="426">
        <f>IF(SUM($B44:E44)&gt;=$B42,0,MIN(F43,$B40*$B43))</f>
        <v>9.4475000000000003E-2</v>
      </c>
      <c r="G44" s="426">
        <f>IF(SUM($B44:F44)&gt;=$B42,0,MIN(G43,$B40*$B43))</f>
        <v>9.4475000000000003E-2</v>
      </c>
      <c r="H44" s="428">
        <f>IF(SUM($B44:G44)&gt;=$B42,0,MIN(H43,$B40*$B43))</f>
        <v>9.4475000000000003E-2</v>
      </c>
      <c r="I44" s="427">
        <f>IF(SUM($B44:H44)&gt;=$B42,0,MIN(I43,$B40*$B43))</f>
        <v>9.4475000000000003E-2</v>
      </c>
      <c r="J44" s="426">
        <f>IF(SUM($B44:I44)&gt;=$B42,0,MIN(J43,$B40*$B43))</f>
        <v>9.4475000000000003E-2</v>
      </c>
      <c r="K44" s="426">
        <f>IF(SUM($B44:J44)&gt;=$B42,0,MIN(K43,$B40*$B43))</f>
        <v>9.4475000000000003E-2</v>
      </c>
      <c r="L44" s="426">
        <f>IF(SUM($B44:K44)&gt;=$B42,0,MIN(L43,$B40*$B43))</f>
        <v>9.4475000000000003E-2</v>
      </c>
      <c r="M44" s="428">
        <f>IF(SUM($B44:L44)&gt;=$B42,0,MIN(M43,$B40*$B43))</f>
        <v>9.4475000000000003E-2</v>
      </c>
      <c r="N44" s="427">
        <f>IF(SUM($B44:M44)&gt;=$B42,0,MIN(N43,$B40*$B43))</f>
        <v>9.4475000000000003E-2</v>
      </c>
      <c r="O44" s="426">
        <f>IF(SUM($B44:N44)&gt;=$B42,0,MIN(O43,$B40*$B43))</f>
        <v>9.4475000000000003E-2</v>
      </c>
      <c r="P44" s="426">
        <f>IF(SUM($B44:O44)&gt;=$B42,0,MIN(P43,$B40*$B43))</f>
        <v>9.4475000000000003E-2</v>
      </c>
      <c r="Q44" s="426">
        <f>IF(SUM($B44:P44)&gt;=$B42,0,MIN(Q43,$B40*$B43))</f>
        <v>9.4475000000000003E-2</v>
      </c>
      <c r="R44" s="428">
        <f>IF(SUM($B44:Q44)&gt;=$B42,0,MIN(R43,$B40*$B43))</f>
        <v>9.4475000000000003E-2</v>
      </c>
      <c r="S44" s="427">
        <f>IF(SUM($B44:R44)&gt;=$B42,0,MIN(S43,$B40*$B43))</f>
        <v>9.4475000000000003E-2</v>
      </c>
      <c r="T44" s="426">
        <f>IF(SUM($B44:S44)&gt;=$B42,0,MIN(T43,$B40*$B43))</f>
        <v>9.4475000000000003E-2</v>
      </c>
      <c r="U44" s="426">
        <f>IF(SUM($B44:T44)&gt;=$B42,0,MIN(U43,$B40*$B43))</f>
        <v>9.4475000000000003E-2</v>
      </c>
      <c r="V44" s="426">
        <f>IF(SUM($B44:U44)&gt;=$B42,0,MIN(V43,$B40*$B43))</f>
        <v>9.4475000000000003E-2</v>
      </c>
      <c r="W44" s="428">
        <f>IF(SUM($B44:V44)&gt;=$B42,0,MIN(W43,$B40*$B43))</f>
        <v>9.4475000000000003E-2</v>
      </c>
    </row>
    <row r="45" spans="1:23" ht="12.75" customHeight="1" outlineLevel="1">
      <c r="A45" s="388" t="s">
        <v>113</v>
      </c>
      <c r="B45" s="421">
        <f t="shared" ref="B45:W45" si="10">B43-B44</f>
        <v>3.7317624999999999</v>
      </c>
      <c r="C45" s="422">
        <f t="shared" si="10"/>
        <v>3.6372874999999998</v>
      </c>
      <c r="D45" s="421">
        <f t="shared" si="10"/>
        <v>3.5428124999999997</v>
      </c>
      <c r="E45" s="420">
        <f t="shared" si="10"/>
        <v>3.4483374999999996</v>
      </c>
      <c r="F45" s="420">
        <f t="shared" si="10"/>
        <v>3.3538624999999995</v>
      </c>
      <c r="G45" s="420">
        <f t="shared" si="10"/>
        <v>3.2593874999999994</v>
      </c>
      <c r="H45" s="422">
        <f t="shared" si="10"/>
        <v>3.1649124999999994</v>
      </c>
      <c r="I45" s="421">
        <f t="shared" si="10"/>
        <v>3.0704374999999993</v>
      </c>
      <c r="J45" s="420">
        <f t="shared" si="10"/>
        <v>2.9759624999999992</v>
      </c>
      <c r="K45" s="420">
        <f t="shared" si="10"/>
        <v>2.8814874999999991</v>
      </c>
      <c r="L45" s="420">
        <f t="shared" si="10"/>
        <v>2.787012499999999</v>
      </c>
      <c r="M45" s="422">
        <f t="shared" si="10"/>
        <v>2.6925374999999989</v>
      </c>
      <c r="N45" s="421">
        <f t="shared" si="10"/>
        <v>2.5980624999999988</v>
      </c>
      <c r="O45" s="420">
        <f t="shared" si="10"/>
        <v>2.5035874999999987</v>
      </c>
      <c r="P45" s="420">
        <f t="shared" si="10"/>
        <v>2.4091124999999987</v>
      </c>
      <c r="Q45" s="420">
        <f t="shared" si="10"/>
        <v>2.3146374999999986</v>
      </c>
      <c r="R45" s="422">
        <f t="shared" si="10"/>
        <v>2.2201624999999985</v>
      </c>
      <c r="S45" s="421">
        <f t="shared" si="10"/>
        <v>2.1256874999999984</v>
      </c>
      <c r="T45" s="420">
        <f t="shared" si="10"/>
        <v>2.0312124999999983</v>
      </c>
      <c r="U45" s="420">
        <f t="shared" si="10"/>
        <v>1.9367374999999982</v>
      </c>
      <c r="V45" s="420">
        <f t="shared" si="10"/>
        <v>1.8422624999999981</v>
      </c>
      <c r="W45" s="422">
        <f t="shared" si="10"/>
        <v>1.7477874999999981</v>
      </c>
    </row>
    <row r="46" spans="1:23" ht="12.75" customHeight="1" outlineLevel="1"/>
    <row r="47" spans="1:23" ht="12.75" customHeight="1" outlineLevel="1">
      <c r="A47" s="350" t="str">
        <f>A$9</f>
        <v>Other Assets</v>
      </c>
    </row>
    <row r="48" spans="1:23" ht="12.75" customHeight="1" outlineLevel="1">
      <c r="A48" s="394" t="s">
        <v>131</v>
      </c>
      <c r="B48" s="498">
        <f>B9</f>
        <v>4.0919999999999996</v>
      </c>
      <c r="C48" s="412"/>
      <c r="E48" s="497"/>
    </row>
    <row r="49" spans="1:23" ht="12.75" customHeight="1" outlineLevel="1">
      <c r="A49" s="389" t="s">
        <v>155</v>
      </c>
      <c r="B49" s="426">
        <f>C9</f>
        <v>5</v>
      </c>
      <c r="C49" s="410"/>
    </row>
    <row r="50" spans="1:23" ht="12.75" customHeight="1" outlineLevel="1">
      <c r="A50" s="389" t="s">
        <v>154</v>
      </c>
      <c r="B50" s="426" t="str">
        <f>D9</f>
        <v>Declining Balance</v>
      </c>
      <c r="C50" s="410"/>
    </row>
    <row r="51" spans="1:23" ht="12.75" customHeight="1" outlineLevel="1">
      <c r="A51" s="409" t="s">
        <v>152</v>
      </c>
      <c r="B51" s="408">
        <f>IF(B50="Straight Line",1/B49,IF(B50="Declining Balance",1/B49*1.5,1))</f>
        <v>0.30000000000000004</v>
      </c>
      <c r="C51" s="407"/>
    </row>
    <row r="52" spans="1:23" ht="12.75" customHeight="1" outlineLevel="1">
      <c r="A52" s="380"/>
      <c r="B52" s="426"/>
      <c r="C52" s="380"/>
      <c r="D52" s="380"/>
    </row>
    <row r="53" spans="1:23" ht="12.75" customHeight="1" outlineLevel="1">
      <c r="B53" s="364">
        <v>1996</v>
      </c>
      <c r="C53" s="362">
        <v>1997</v>
      </c>
      <c r="D53" s="364">
        <v>1998</v>
      </c>
      <c r="E53" s="363">
        <v>1999</v>
      </c>
      <c r="F53" s="363">
        <v>2000</v>
      </c>
      <c r="G53" s="363">
        <v>2001</v>
      </c>
      <c r="H53" s="362">
        <v>2002</v>
      </c>
      <c r="I53" s="364">
        <v>2003</v>
      </c>
      <c r="J53" s="363">
        <v>2004</v>
      </c>
      <c r="K53" s="363">
        <v>2005</v>
      </c>
      <c r="L53" s="363">
        <v>2006</v>
      </c>
      <c r="M53" s="362">
        <v>2007</v>
      </c>
      <c r="N53" s="364">
        <v>2008</v>
      </c>
      <c r="O53" s="363">
        <v>2009</v>
      </c>
      <c r="P53" s="363">
        <v>2010</v>
      </c>
      <c r="Q53" s="363">
        <v>2011</v>
      </c>
      <c r="R53" s="362">
        <v>2012</v>
      </c>
      <c r="S53" s="364">
        <f t="shared" ref="S53:W53" si="11">R53+1</f>
        <v>2013</v>
      </c>
      <c r="T53" s="363">
        <f t="shared" si="11"/>
        <v>2014</v>
      </c>
      <c r="U53" s="363">
        <f t="shared" si="11"/>
        <v>2015</v>
      </c>
      <c r="V53" s="363">
        <f t="shared" si="11"/>
        <v>2016</v>
      </c>
      <c r="W53" s="362">
        <f t="shared" si="11"/>
        <v>2017</v>
      </c>
    </row>
    <row r="54" spans="1:23" ht="12.75" customHeight="1" outlineLevel="1">
      <c r="A54" s="394" t="s">
        <v>2</v>
      </c>
      <c r="B54" s="427">
        <f>B48</f>
        <v>4.0919999999999996</v>
      </c>
      <c r="C54" s="428">
        <f t="shared" ref="C54:W54" si="12">B56</f>
        <v>3.4781999999999997</v>
      </c>
      <c r="D54" s="427">
        <f t="shared" si="12"/>
        <v>2.4347399999999997</v>
      </c>
      <c r="E54" s="426">
        <f t="shared" si="12"/>
        <v>1.7043179999999998</v>
      </c>
      <c r="F54" s="426">
        <f t="shared" si="12"/>
        <v>1.1930225999999999</v>
      </c>
      <c r="G54" s="426">
        <f t="shared" si="12"/>
        <v>0.83511581999999995</v>
      </c>
      <c r="H54" s="428">
        <f t="shared" si="12"/>
        <v>0.58458107399999992</v>
      </c>
      <c r="I54" s="427">
        <f t="shared" si="12"/>
        <v>0.40920675179999988</v>
      </c>
      <c r="J54" s="426">
        <f t="shared" si="12"/>
        <v>0.28644472625999989</v>
      </c>
      <c r="K54" s="426">
        <f t="shared" si="12"/>
        <v>0.20051130838199993</v>
      </c>
      <c r="L54" s="426">
        <f t="shared" si="12"/>
        <v>0.14035791586739993</v>
      </c>
      <c r="M54" s="428">
        <f t="shared" si="12"/>
        <v>9.8250541107179942E-2</v>
      </c>
      <c r="N54" s="427">
        <f t="shared" si="12"/>
        <v>6.8775378775025958E-2</v>
      </c>
      <c r="O54" s="426">
        <f t="shared" si="12"/>
        <v>4.8142765142518168E-2</v>
      </c>
      <c r="P54" s="426">
        <f t="shared" si="12"/>
        <v>3.3699935599762712E-2</v>
      </c>
      <c r="Q54" s="426">
        <f t="shared" si="12"/>
        <v>2.3589954919833896E-2</v>
      </c>
      <c r="R54" s="428">
        <f t="shared" si="12"/>
        <v>1.6512968443883724E-2</v>
      </c>
      <c r="S54" s="427">
        <f t="shared" si="12"/>
        <v>1.1559077910718606E-2</v>
      </c>
      <c r="T54" s="426">
        <f t="shared" si="12"/>
        <v>8.0913545375030232E-3</v>
      </c>
      <c r="U54" s="426">
        <f t="shared" si="12"/>
        <v>5.6639481762521156E-3</v>
      </c>
      <c r="V54" s="426">
        <f t="shared" si="12"/>
        <v>3.9647637233764807E-3</v>
      </c>
      <c r="W54" s="428">
        <f t="shared" si="12"/>
        <v>2.7753346063635366E-3</v>
      </c>
    </row>
    <row r="55" spans="1:23" ht="12.75" customHeight="1" outlineLevel="1">
      <c r="A55" s="389" t="s">
        <v>136</v>
      </c>
      <c r="B55" s="427">
        <f>B51*B54*0.5</f>
        <v>0.61380000000000001</v>
      </c>
      <c r="C55" s="428">
        <f t="shared" ref="C55:W55" si="13">$B51*C54</f>
        <v>1.0434600000000001</v>
      </c>
      <c r="D55" s="427">
        <f t="shared" si="13"/>
        <v>0.73042200000000002</v>
      </c>
      <c r="E55" s="426">
        <f t="shared" si="13"/>
        <v>0.51129539999999996</v>
      </c>
      <c r="F55" s="426">
        <f t="shared" si="13"/>
        <v>0.35790678000000004</v>
      </c>
      <c r="G55" s="426">
        <f t="shared" si="13"/>
        <v>0.25053474600000003</v>
      </c>
      <c r="H55" s="428">
        <f t="shared" si="13"/>
        <v>0.17537432220000002</v>
      </c>
      <c r="I55" s="427">
        <f t="shared" si="13"/>
        <v>0.12276202553999999</v>
      </c>
      <c r="J55" s="426">
        <f t="shared" si="13"/>
        <v>8.5933417877999976E-2</v>
      </c>
      <c r="K55" s="426">
        <f t="shared" si="13"/>
        <v>6.0153392514599988E-2</v>
      </c>
      <c r="L55" s="426">
        <f t="shared" si="13"/>
        <v>4.2107374760219987E-2</v>
      </c>
      <c r="M55" s="428">
        <f t="shared" si="13"/>
        <v>2.9475162332153988E-2</v>
      </c>
      <c r="N55" s="427">
        <f t="shared" si="13"/>
        <v>2.063261363250779E-2</v>
      </c>
      <c r="O55" s="426">
        <f t="shared" si="13"/>
        <v>1.4442829542755452E-2</v>
      </c>
      <c r="P55" s="426">
        <f t="shared" si="13"/>
        <v>1.0109980679928816E-2</v>
      </c>
      <c r="Q55" s="426">
        <f t="shared" si="13"/>
        <v>7.0769864759501703E-3</v>
      </c>
      <c r="R55" s="428">
        <f t="shared" si="13"/>
        <v>4.9538905331651178E-3</v>
      </c>
      <c r="S55" s="427">
        <f t="shared" si="13"/>
        <v>3.4677233732155824E-3</v>
      </c>
      <c r="T55" s="426">
        <f t="shared" si="13"/>
        <v>2.4274063612509072E-3</v>
      </c>
      <c r="U55" s="426">
        <f t="shared" si="13"/>
        <v>1.6991844528756348E-3</v>
      </c>
      <c r="V55" s="426">
        <f t="shared" si="13"/>
        <v>1.1894291170129443E-3</v>
      </c>
      <c r="W55" s="428">
        <f t="shared" si="13"/>
        <v>8.3260038190906109E-4</v>
      </c>
    </row>
    <row r="56" spans="1:23" ht="12.75" customHeight="1" outlineLevel="1">
      <c r="A56" s="388" t="s">
        <v>113</v>
      </c>
      <c r="B56" s="421">
        <f t="shared" ref="B56:W56" si="14">B54-B55</f>
        <v>3.4781999999999997</v>
      </c>
      <c r="C56" s="422">
        <f t="shared" si="14"/>
        <v>2.4347399999999997</v>
      </c>
      <c r="D56" s="421">
        <f t="shared" si="14"/>
        <v>1.7043179999999998</v>
      </c>
      <c r="E56" s="420">
        <f t="shared" si="14"/>
        <v>1.1930225999999999</v>
      </c>
      <c r="F56" s="420">
        <f t="shared" si="14"/>
        <v>0.83511581999999995</v>
      </c>
      <c r="G56" s="420">
        <f t="shared" si="14"/>
        <v>0.58458107399999992</v>
      </c>
      <c r="H56" s="422">
        <f t="shared" si="14"/>
        <v>0.40920675179999988</v>
      </c>
      <c r="I56" s="421">
        <f t="shared" si="14"/>
        <v>0.28644472625999989</v>
      </c>
      <c r="J56" s="420">
        <f t="shared" si="14"/>
        <v>0.20051130838199993</v>
      </c>
      <c r="K56" s="420">
        <f t="shared" si="14"/>
        <v>0.14035791586739993</v>
      </c>
      <c r="L56" s="420">
        <f t="shared" si="14"/>
        <v>9.8250541107179942E-2</v>
      </c>
      <c r="M56" s="422">
        <f t="shared" si="14"/>
        <v>6.8775378775025958E-2</v>
      </c>
      <c r="N56" s="421">
        <f t="shared" si="14"/>
        <v>4.8142765142518168E-2</v>
      </c>
      <c r="O56" s="420">
        <f t="shared" si="14"/>
        <v>3.3699935599762712E-2</v>
      </c>
      <c r="P56" s="420">
        <f t="shared" si="14"/>
        <v>2.3589954919833896E-2</v>
      </c>
      <c r="Q56" s="420">
        <f t="shared" si="14"/>
        <v>1.6512968443883724E-2</v>
      </c>
      <c r="R56" s="422">
        <f t="shared" si="14"/>
        <v>1.1559077910718606E-2</v>
      </c>
      <c r="S56" s="421">
        <f t="shared" si="14"/>
        <v>8.0913545375030232E-3</v>
      </c>
      <c r="T56" s="420">
        <f t="shared" si="14"/>
        <v>5.6639481762521156E-3</v>
      </c>
      <c r="U56" s="420">
        <f t="shared" si="14"/>
        <v>3.9647637233764807E-3</v>
      </c>
      <c r="V56" s="420">
        <f t="shared" si="14"/>
        <v>2.7753346063635366E-3</v>
      </c>
      <c r="W56" s="422">
        <f t="shared" si="14"/>
        <v>1.9427342244544756E-3</v>
      </c>
    </row>
    <row r="57" spans="1:23" ht="12.75" customHeight="1" outlineLevel="1"/>
    <row r="58" spans="1:23" ht="12.75" customHeight="1" outlineLevel="1"/>
    <row r="59" spans="1:23" ht="12.75" customHeight="1" outlineLevel="1">
      <c r="A59" s="350" t="s">
        <v>191</v>
      </c>
    </row>
    <row r="60" spans="1:23" ht="12.75" customHeight="1" outlineLevel="1">
      <c r="A60" s="350"/>
    </row>
    <row r="61" spans="1:23" ht="12.75" customHeight="1" outlineLevel="1">
      <c r="B61" s="364">
        <v>1996</v>
      </c>
      <c r="C61" s="362">
        <v>1997</v>
      </c>
      <c r="D61" s="364">
        <v>1998</v>
      </c>
      <c r="E61" s="363">
        <v>1999</v>
      </c>
      <c r="F61" s="363">
        <v>2000</v>
      </c>
      <c r="G61" s="363">
        <v>2001</v>
      </c>
      <c r="H61" s="362">
        <v>2002</v>
      </c>
      <c r="I61" s="364">
        <v>2003</v>
      </c>
      <c r="J61" s="363">
        <v>2004</v>
      </c>
      <c r="K61" s="363">
        <v>2005</v>
      </c>
      <c r="L61" s="363">
        <v>2006</v>
      </c>
      <c r="M61" s="362">
        <v>2007</v>
      </c>
      <c r="N61" s="364">
        <v>2008</v>
      </c>
      <c r="O61" s="363">
        <v>2009</v>
      </c>
      <c r="P61" s="363">
        <v>2010</v>
      </c>
      <c r="Q61" s="363">
        <v>2011</v>
      </c>
      <c r="R61" s="362">
        <v>2012</v>
      </c>
      <c r="S61" s="364">
        <f t="shared" ref="S61:W61" si="15">R61+1</f>
        <v>2013</v>
      </c>
      <c r="T61" s="363">
        <f t="shared" si="15"/>
        <v>2014</v>
      </c>
      <c r="U61" s="363">
        <f t="shared" si="15"/>
        <v>2015</v>
      </c>
      <c r="V61" s="363">
        <f t="shared" si="15"/>
        <v>2016</v>
      </c>
      <c r="W61" s="362">
        <f t="shared" si="15"/>
        <v>2017</v>
      </c>
    </row>
    <row r="62" spans="1:23" ht="12.75" customHeight="1" outlineLevel="1">
      <c r="A62" s="394" t="s">
        <v>2</v>
      </c>
      <c r="B62" s="427">
        <f>B21+B32+B43+B54</f>
        <v>504.952</v>
      </c>
      <c r="C62" s="428">
        <f t="shared" ref="C62:W62" si="16">B64</f>
        <v>436.59766250000001</v>
      </c>
      <c r="D62" s="427">
        <f t="shared" si="16"/>
        <v>331.59698750000001</v>
      </c>
      <c r="E62" s="426">
        <f t="shared" si="16"/>
        <v>265.66709850000001</v>
      </c>
      <c r="F62" s="426">
        <f t="shared" si="16"/>
        <v>212.97733449999998</v>
      </c>
      <c r="G62" s="426">
        <f t="shared" si="16"/>
        <v>170.85775783999998</v>
      </c>
      <c r="H62" s="428">
        <f t="shared" si="16"/>
        <v>137.17899218999997</v>
      </c>
      <c r="I62" s="427">
        <f t="shared" si="16"/>
        <v>110.24213814459998</v>
      </c>
      <c r="J62" s="426">
        <f t="shared" si="16"/>
        <v>88.691297340499972</v>
      </c>
      <c r="K62" s="426">
        <f t="shared" si="16"/>
        <v>71.44400589977397</v>
      </c>
      <c r="L62" s="426">
        <f t="shared" si="16"/>
        <v>57.63587108898097</v>
      </c>
      <c r="M62" s="428">
        <f t="shared" si="16"/>
        <v>46.576483579598033</v>
      </c>
      <c r="N62" s="427">
        <f t="shared" si="16"/>
        <v>37.714289309567704</v>
      </c>
      <c r="O62" s="426">
        <f t="shared" si="16"/>
        <v>30.608586409776656</v>
      </c>
      <c r="P62" s="426">
        <f t="shared" si="16"/>
        <v>24.907192351307067</v>
      </c>
      <c r="Q62" s="426">
        <f t="shared" si="16"/>
        <v>20.32862638748567</v>
      </c>
      <c r="R62" s="428">
        <f t="shared" si="16"/>
        <v>16.647889614496545</v>
      </c>
      <c r="S62" s="427">
        <f t="shared" si="16"/>
        <v>13.685112894752841</v>
      </c>
      <c r="T62" s="426">
        <f t="shared" si="16"/>
        <v>11.296491908011195</v>
      </c>
      <c r="U62" s="426">
        <f t="shared" si="16"/>
        <v>9.3670468909551996</v>
      </c>
      <c r="V62" s="426">
        <f t="shared" si="16"/>
        <v>7.8048386179465279</v>
      </c>
      <c r="W62" s="428">
        <f t="shared" si="16"/>
        <v>6.5363469179848783</v>
      </c>
    </row>
    <row r="63" spans="1:23" ht="12.75" customHeight="1" outlineLevel="1">
      <c r="A63" s="389" t="s">
        <v>136</v>
      </c>
      <c r="B63" s="427">
        <f>B22+B33+B44+B55</f>
        <v>68.3543375</v>
      </c>
      <c r="C63" s="428">
        <f t="shared" ref="C63:W63" si="17">C22+C33+C44+C55</f>
        <v>105.000675</v>
      </c>
      <c r="D63" s="427">
        <f t="shared" si="17"/>
        <v>65.929889000000017</v>
      </c>
      <c r="E63" s="426">
        <f t="shared" si="17"/>
        <v>52.689764000000018</v>
      </c>
      <c r="F63" s="426">
        <f t="shared" si="17"/>
        <v>42.119576660000014</v>
      </c>
      <c r="G63" s="426">
        <f t="shared" si="17"/>
        <v>33.67876565000001</v>
      </c>
      <c r="H63" s="428">
        <f t="shared" si="17"/>
        <v>26.936854045400001</v>
      </c>
      <c r="I63" s="427">
        <f t="shared" si="17"/>
        <v>21.550840804100002</v>
      </c>
      <c r="J63" s="426">
        <f t="shared" si="17"/>
        <v>17.247291440725999</v>
      </c>
      <c r="K63" s="426">
        <f t="shared" si="17"/>
        <v>13.808134810793</v>
      </c>
      <c r="L63" s="426">
        <f t="shared" si="17"/>
        <v>11.05938750938294</v>
      </c>
      <c r="M63" s="428">
        <f t="shared" si="17"/>
        <v>8.8621942700303311</v>
      </c>
      <c r="N63" s="427">
        <f t="shared" si="17"/>
        <v>7.1057028997910487</v>
      </c>
      <c r="O63" s="426">
        <f t="shared" si="17"/>
        <v>5.7013940584695879</v>
      </c>
      <c r="P63" s="426">
        <f t="shared" si="17"/>
        <v>4.5785659638213954</v>
      </c>
      <c r="Q63" s="426">
        <f t="shared" si="17"/>
        <v>3.6807367729891234</v>
      </c>
      <c r="R63" s="428">
        <f t="shared" si="17"/>
        <v>2.9627767197437036</v>
      </c>
      <c r="S63" s="427">
        <f t="shared" si="17"/>
        <v>2.3886209867416466</v>
      </c>
      <c r="T63" s="426">
        <f t="shared" si="17"/>
        <v>1.9294450170559956</v>
      </c>
      <c r="U63" s="426">
        <f t="shared" si="17"/>
        <v>1.5622082730086715</v>
      </c>
      <c r="V63" s="426">
        <f t="shared" si="17"/>
        <v>1.2684916999616496</v>
      </c>
      <c r="W63" s="428">
        <f t="shared" si="17"/>
        <v>1.0335694170576184</v>
      </c>
    </row>
    <row r="64" spans="1:23" ht="12.75" customHeight="1" outlineLevel="1">
      <c r="A64" s="388" t="s">
        <v>113</v>
      </c>
      <c r="B64" s="421">
        <f t="shared" ref="B64:W64" si="18">B62-B63</f>
        <v>436.59766250000001</v>
      </c>
      <c r="C64" s="422">
        <f t="shared" si="18"/>
        <v>331.59698750000001</v>
      </c>
      <c r="D64" s="421">
        <f t="shared" si="18"/>
        <v>265.66709850000001</v>
      </c>
      <c r="E64" s="420">
        <f t="shared" si="18"/>
        <v>212.97733449999998</v>
      </c>
      <c r="F64" s="420">
        <f t="shared" si="18"/>
        <v>170.85775783999998</v>
      </c>
      <c r="G64" s="420">
        <f t="shared" si="18"/>
        <v>137.17899218999997</v>
      </c>
      <c r="H64" s="422">
        <f t="shared" si="18"/>
        <v>110.24213814459998</v>
      </c>
      <c r="I64" s="421">
        <f t="shared" si="18"/>
        <v>88.691297340499972</v>
      </c>
      <c r="J64" s="420">
        <f t="shared" si="18"/>
        <v>71.44400589977397</v>
      </c>
      <c r="K64" s="420">
        <f t="shared" si="18"/>
        <v>57.63587108898097</v>
      </c>
      <c r="L64" s="420">
        <f t="shared" si="18"/>
        <v>46.576483579598033</v>
      </c>
      <c r="M64" s="422">
        <f t="shared" si="18"/>
        <v>37.714289309567704</v>
      </c>
      <c r="N64" s="421">
        <f t="shared" si="18"/>
        <v>30.608586409776656</v>
      </c>
      <c r="O64" s="420">
        <f t="shared" si="18"/>
        <v>24.907192351307067</v>
      </c>
      <c r="P64" s="420">
        <f t="shared" si="18"/>
        <v>20.32862638748567</v>
      </c>
      <c r="Q64" s="420">
        <f t="shared" si="18"/>
        <v>16.647889614496545</v>
      </c>
      <c r="R64" s="422">
        <f t="shared" si="18"/>
        <v>13.685112894752841</v>
      </c>
      <c r="S64" s="421">
        <f t="shared" si="18"/>
        <v>11.296491908011195</v>
      </c>
      <c r="T64" s="420">
        <f t="shared" si="18"/>
        <v>9.3670468909551996</v>
      </c>
      <c r="U64" s="420">
        <f t="shared" si="18"/>
        <v>7.8048386179465279</v>
      </c>
      <c r="V64" s="420">
        <f t="shared" si="18"/>
        <v>6.5363469179848783</v>
      </c>
      <c r="W64" s="422">
        <f t="shared" si="18"/>
        <v>5.5027775009272597</v>
      </c>
    </row>
    <row r="65" spans="1:13" ht="12.75" customHeight="1" outlineLevel="1"/>
    <row r="66" spans="1:13" ht="12.75" customHeight="1" outlineLevel="1">
      <c r="A66" s="350"/>
      <c r="B66" s="496"/>
      <c r="C66" s="496"/>
      <c r="D66" s="496"/>
      <c r="E66" s="496"/>
      <c r="F66" s="496"/>
      <c r="G66" s="496"/>
      <c r="H66" s="496"/>
      <c r="I66" s="496"/>
      <c r="J66" s="496"/>
      <c r="K66" s="496"/>
      <c r="L66" s="496"/>
      <c r="M66" s="496"/>
    </row>
    <row r="67" spans="1:13" ht="12.75" customHeight="1" outlineLevel="1">
      <c r="B67" s="347"/>
      <c r="C67" s="347"/>
      <c r="D67" s="347"/>
      <c r="E67" s="347"/>
      <c r="F67" s="347"/>
      <c r="G67" s="347"/>
      <c r="H67" s="347"/>
      <c r="I67" s="347"/>
      <c r="J67" s="347"/>
      <c r="K67" s="347"/>
      <c r="L67" s="347"/>
      <c r="M67" s="347"/>
    </row>
    <row r="68" spans="1:13" ht="12.75" customHeight="1" outlineLevel="1">
      <c r="B68" s="347"/>
      <c r="C68" s="347"/>
      <c r="D68" s="347"/>
      <c r="E68" s="347"/>
      <c r="F68" s="347"/>
      <c r="G68" s="347"/>
      <c r="H68" s="347"/>
      <c r="I68" s="347"/>
      <c r="J68" s="347"/>
      <c r="K68" s="347"/>
      <c r="L68" s="347"/>
      <c r="M68" s="347"/>
    </row>
    <row r="70" spans="1:13">
      <c r="A70" s="356" t="s">
        <v>190</v>
      </c>
    </row>
    <row r="72" spans="1:13" ht="25.5" customHeight="1" outlineLevel="1">
      <c r="A72" s="415" t="s">
        <v>189</v>
      </c>
      <c r="B72" s="478" t="s">
        <v>163</v>
      </c>
      <c r="C72" s="478" t="s">
        <v>162</v>
      </c>
      <c r="D72" s="658" t="s">
        <v>161</v>
      </c>
      <c r="E72" s="658"/>
    </row>
    <row r="73" spans="1:13" ht="12.75" customHeight="1" outlineLevel="1">
      <c r="A73" s="394" t="s">
        <v>121</v>
      </c>
      <c r="B73" s="477">
        <v>0</v>
      </c>
      <c r="C73" s="413">
        <v>7.5</v>
      </c>
      <c r="D73" s="413" t="s">
        <v>168</v>
      </c>
      <c r="E73" s="412"/>
    </row>
    <row r="74" spans="1:13" ht="12.75" customHeight="1" outlineLevel="1">
      <c r="A74" s="389" t="s">
        <v>122</v>
      </c>
      <c r="B74" s="475">
        <f>B73</f>
        <v>0</v>
      </c>
      <c r="C74" s="393">
        <v>1</v>
      </c>
      <c r="D74" s="393" t="s">
        <v>158</v>
      </c>
      <c r="E74" s="410"/>
    </row>
    <row r="75" spans="1:13" ht="12.75" customHeight="1" outlineLevel="1">
      <c r="A75" s="389" t="s">
        <v>132</v>
      </c>
      <c r="B75" s="475">
        <f>B74</f>
        <v>0</v>
      </c>
      <c r="C75" s="393">
        <v>40</v>
      </c>
      <c r="D75" s="393" t="s">
        <v>153</v>
      </c>
      <c r="E75" s="410"/>
    </row>
    <row r="76" spans="1:13" ht="12.75" customHeight="1" outlineLevel="1">
      <c r="A76" s="389" t="s">
        <v>126</v>
      </c>
      <c r="B76" s="475">
        <f>B75</f>
        <v>0</v>
      </c>
      <c r="C76" s="393">
        <v>5</v>
      </c>
      <c r="D76" s="393" t="s">
        <v>168</v>
      </c>
      <c r="E76" s="410"/>
    </row>
    <row r="77" spans="1:13" ht="12.75" customHeight="1" outlineLevel="1">
      <c r="A77" s="389" t="s">
        <v>159</v>
      </c>
      <c r="B77" s="474">
        <f>B76</f>
        <v>0</v>
      </c>
      <c r="C77" s="473">
        <v>0</v>
      </c>
      <c r="D77" s="387" t="s">
        <v>158</v>
      </c>
      <c r="E77" s="407"/>
    </row>
    <row r="78" spans="1:13" ht="12.75" customHeight="1" outlineLevel="1">
      <c r="A78" s="380"/>
      <c r="B78" s="392">
        <f>SUM(B73:B77)</f>
        <v>0</v>
      </c>
      <c r="C78" s="396"/>
      <c r="D78" s="392"/>
      <c r="E78" s="380"/>
    </row>
    <row r="79" spans="1:13" ht="12.75" customHeight="1" outlineLevel="1"/>
    <row r="80" spans="1:13" ht="12.75" customHeight="1" outlineLevel="1">
      <c r="A80" s="350" t="s">
        <v>157</v>
      </c>
    </row>
    <row r="81" spans="1:23" ht="12.75" customHeight="1" outlineLevel="1"/>
    <row r="82" spans="1:23" ht="12.75" customHeight="1" outlineLevel="1">
      <c r="A82" s="350" t="str">
        <f>A73</f>
        <v>Mains &amp; Services</v>
      </c>
    </row>
    <row r="83" spans="1:23" ht="12.75" customHeight="1" outlineLevel="1">
      <c r="A83" s="414" t="s">
        <v>131</v>
      </c>
      <c r="B83" s="413">
        <f>B73</f>
        <v>0</v>
      </c>
      <c r="C83" s="412"/>
      <c r="D83" s="380"/>
      <c r="E83" s="380"/>
    </row>
    <row r="84" spans="1:23" ht="12.75" customHeight="1" outlineLevel="1">
      <c r="A84" s="411" t="s">
        <v>155</v>
      </c>
      <c r="B84" s="393">
        <f>C73</f>
        <v>7.5</v>
      </c>
      <c r="C84" s="410"/>
      <c r="D84" s="380"/>
      <c r="E84" s="380"/>
    </row>
    <row r="85" spans="1:23" ht="12.75" customHeight="1" outlineLevel="1">
      <c r="A85" s="411" t="s">
        <v>154</v>
      </c>
      <c r="B85" s="393" t="str">
        <f>D73</f>
        <v>Declining Balance</v>
      </c>
      <c r="C85" s="410"/>
      <c r="D85" s="380"/>
      <c r="E85" s="380"/>
    </row>
    <row r="86" spans="1:23" ht="12.75" customHeight="1" outlineLevel="1">
      <c r="A86" s="409" t="s">
        <v>152</v>
      </c>
      <c r="B86" s="408">
        <f>IF(B85="Straight Line",1/B84,IF(B85="Declining Balance",1/B84*1.5,1))</f>
        <v>0.2</v>
      </c>
      <c r="C86" s="407"/>
      <c r="D86" s="380"/>
      <c r="E86" s="380"/>
    </row>
    <row r="87" spans="1:23" ht="12.75" customHeight="1" outlineLevel="1">
      <c r="A87" s="380"/>
      <c r="B87" s="392"/>
      <c r="C87" s="380"/>
      <c r="D87" s="380"/>
      <c r="E87" s="380"/>
    </row>
    <row r="88" spans="1:23" ht="12.75" customHeight="1" outlineLevel="1">
      <c r="A88" s="380" t="s">
        <v>137</v>
      </c>
      <c r="B88" s="494">
        <v>1996</v>
      </c>
      <c r="C88" s="493">
        <v>1997</v>
      </c>
      <c r="D88" s="492">
        <v>1998</v>
      </c>
      <c r="E88" s="491">
        <v>1999</v>
      </c>
    </row>
    <row r="89" spans="1:23" ht="12.75" customHeight="1" outlineLevel="1">
      <c r="A89" s="402" t="s">
        <v>150</v>
      </c>
      <c r="B89" s="401">
        <v>11.253</v>
      </c>
      <c r="C89" s="400">
        <v>25.704999999999998</v>
      </c>
      <c r="D89" s="400">
        <v>25.954000000000001</v>
      </c>
      <c r="E89" s="479">
        <v>14.782999999999999</v>
      </c>
    </row>
    <row r="90" spans="1:23" ht="12.75" customHeight="1" outlineLevel="1">
      <c r="A90" s="380"/>
      <c r="B90" s="392"/>
      <c r="C90" s="380"/>
    </row>
    <row r="91" spans="1:23" ht="12.75" customHeight="1" outlineLevel="1">
      <c r="B91" s="364">
        <v>1996</v>
      </c>
      <c r="C91" s="362">
        <v>1997</v>
      </c>
      <c r="D91" s="364">
        <v>1998</v>
      </c>
      <c r="E91" s="363">
        <v>1999</v>
      </c>
      <c r="F91" s="363">
        <v>2000</v>
      </c>
      <c r="G91" s="363">
        <v>2001</v>
      </c>
      <c r="H91" s="362">
        <v>2002</v>
      </c>
      <c r="I91" s="364">
        <v>2003</v>
      </c>
      <c r="J91" s="363">
        <v>2004</v>
      </c>
      <c r="K91" s="363">
        <v>2005</v>
      </c>
      <c r="L91" s="363">
        <v>2006</v>
      </c>
      <c r="M91" s="362">
        <v>2007</v>
      </c>
      <c r="N91" s="364">
        <v>2008</v>
      </c>
      <c r="O91" s="363">
        <v>2009</v>
      </c>
      <c r="P91" s="363">
        <v>2010</v>
      </c>
      <c r="Q91" s="363">
        <v>2011</v>
      </c>
      <c r="R91" s="362">
        <v>2012</v>
      </c>
      <c r="S91" s="364">
        <f t="shared" ref="S91:W91" si="19">R91+1</f>
        <v>2013</v>
      </c>
      <c r="T91" s="363">
        <f t="shared" si="19"/>
        <v>2014</v>
      </c>
      <c r="U91" s="363">
        <f t="shared" si="19"/>
        <v>2015</v>
      </c>
      <c r="V91" s="363">
        <f t="shared" si="19"/>
        <v>2016</v>
      </c>
      <c r="W91" s="362">
        <f t="shared" si="19"/>
        <v>2017</v>
      </c>
    </row>
    <row r="92" spans="1:23" ht="12.75" customHeight="1" outlineLevel="1">
      <c r="A92" s="394" t="s">
        <v>2</v>
      </c>
      <c r="B92" s="393">
        <f>B83</f>
        <v>0</v>
      </c>
      <c r="C92" s="391">
        <f t="shared" ref="C92:W92" si="20">B95</f>
        <v>10.127700000000001</v>
      </c>
      <c r="D92" s="393">
        <f t="shared" si="20"/>
        <v>31.236660000000001</v>
      </c>
      <c r="E92" s="392">
        <f t="shared" si="20"/>
        <v>48.347927999999996</v>
      </c>
      <c r="F92" s="392">
        <f t="shared" si="20"/>
        <v>51.983042399999995</v>
      </c>
      <c r="G92" s="392">
        <f t="shared" si="20"/>
        <v>41.586433919999997</v>
      </c>
      <c r="H92" s="391">
        <f t="shared" si="20"/>
        <v>33.269147136000001</v>
      </c>
      <c r="I92" s="393">
        <f t="shared" si="20"/>
        <v>26.615317708799999</v>
      </c>
      <c r="J92" s="392">
        <f t="shared" si="20"/>
        <v>21.292254167039999</v>
      </c>
      <c r="K92" s="392">
        <f t="shared" si="20"/>
        <v>17.033803333632001</v>
      </c>
      <c r="L92" s="392">
        <f t="shared" si="20"/>
        <v>13.6270426669056</v>
      </c>
      <c r="M92" s="391">
        <f t="shared" si="20"/>
        <v>10.90163413352448</v>
      </c>
      <c r="N92" s="393">
        <f t="shared" si="20"/>
        <v>8.7213073068195843</v>
      </c>
      <c r="O92" s="392">
        <f t="shared" si="20"/>
        <v>6.9770458454556676</v>
      </c>
      <c r="P92" s="392">
        <f t="shared" si="20"/>
        <v>5.5816366763645338</v>
      </c>
      <c r="Q92" s="392">
        <f t="shared" si="20"/>
        <v>4.4653093410916274</v>
      </c>
      <c r="R92" s="391">
        <f t="shared" si="20"/>
        <v>3.5722474728733018</v>
      </c>
      <c r="S92" s="393">
        <f t="shared" si="20"/>
        <v>2.8577979782986414</v>
      </c>
      <c r="T92" s="392">
        <f t="shared" si="20"/>
        <v>2.286238382638913</v>
      </c>
      <c r="U92" s="392">
        <f t="shared" si="20"/>
        <v>1.8289907061111303</v>
      </c>
      <c r="V92" s="392">
        <f t="shared" si="20"/>
        <v>1.4631925648889044</v>
      </c>
      <c r="W92" s="391">
        <f t="shared" si="20"/>
        <v>1.1705540519111235</v>
      </c>
    </row>
    <row r="93" spans="1:23" ht="12.75" customHeight="1" outlineLevel="1">
      <c r="A93" s="389" t="s">
        <v>149</v>
      </c>
      <c r="B93" s="393">
        <f>B89</f>
        <v>11.253</v>
      </c>
      <c r="C93" s="391">
        <f>C89</f>
        <v>25.704999999999998</v>
      </c>
      <c r="D93" s="393">
        <f>D89</f>
        <v>25.954000000000001</v>
      </c>
      <c r="E93" s="392">
        <f>E89</f>
        <v>14.782999999999999</v>
      </c>
      <c r="F93" s="392">
        <v>0</v>
      </c>
      <c r="G93" s="392">
        <v>0</v>
      </c>
      <c r="H93" s="391">
        <v>0</v>
      </c>
      <c r="I93" s="393">
        <v>0</v>
      </c>
      <c r="J93" s="392">
        <v>0</v>
      </c>
      <c r="K93" s="392">
        <v>0</v>
      </c>
      <c r="L93" s="392">
        <v>0</v>
      </c>
      <c r="M93" s="391">
        <v>0</v>
      </c>
      <c r="N93" s="393">
        <v>0</v>
      </c>
      <c r="O93" s="392">
        <v>0</v>
      </c>
      <c r="P93" s="392">
        <v>0</v>
      </c>
      <c r="Q93" s="392">
        <v>0</v>
      </c>
      <c r="R93" s="391">
        <v>0</v>
      </c>
      <c r="S93" s="393">
        <v>0</v>
      </c>
      <c r="T93" s="392">
        <v>0</v>
      </c>
      <c r="U93" s="392">
        <v>0</v>
      </c>
      <c r="V93" s="392">
        <v>0</v>
      </c>
      <c r="W93" s="391">
        <v>0</v>
      </c>
    </row>
    <row r="94" spans="1:23" ht="12.75" customHeight="1" outlineLevel="1">
      <c r="A94" s="389" t="s">
        <v>148</v>
      </c>
      <c r="B94" s="347">
        <f>IF($B86=1,B93+B92,B93*$B86*0.5)</f>
        <v>1.1253</v>
      </c>
      <c r="C94" s="347">
        <f t="shared" ref="C94:W94" si="21">IF($B86=1,C93+C92,(C92+C93*0.5)*$B86)</f>
        <v>4.5960400000000003</v>
      </c>
      <c r="D94" s="369">
        <f t="shared" si="21"/>
        <v>8.8427320000000016</v>
      </c>
      <c r="E94" s="347">
        <f t="shared" si="21"/>
        <v>11.1478856</v>
      </c>
      <c r="F94" s="347">
        <f t="shared" si="21"/>
        <v>10.396608479999999</v>
      </c>
      <c r="G94" s="347">
        <f t="shared" si="21"/>
        <v>8.3172867840000002</v>
      </c>
      <c r="H94" s="368">
        <f t="shared" si="21"/>
        <v>6.6538294272000007</v>
      </c>
      <c r="I94" s="369">
        <f t="shared" si="21"/>
        <v>5.3230635417599999</v>
      </c>
      <c r="J94" s="347">
        <f t="shared" si="21"/>
        <v>4.2584508334080002</v>
      </c>
      <c r="K94" s="347">
        <f t="shared" si="21"/>
        <v>3.4067606667264005</v>
      </c>
      <c r="L94" s="347">
        <f t="shared" si="21"/>
        <v>2.7254085333811204</v>
      </c>
      <c r="M94" s="368">
        <f t="shared" si="21"/>
        <v>2.1803268267048961</v>
      </c>
      <c r="N94" s="369">
        <f t="shared" si="21"/>
        <v>1.7442614613639169</v>
      </c>
      <c r="O94" s="347">
        <f t="shared" si="21"/>
        <v>1.3954091690911337</v>
      </c>
      <c r="P94" s="347">
        <f t="shared" si="21"/>
        <v>1.1163273352729068</v>
      </c>
      <c r="Q94" s="347">
        <f t="shared" si="21"/>
        <v>0.89306186821832556</v>
      </c>
      <c r="R94" s="368">
        <f t="shared" si="21"/>
        <v>0.71444949457466045</v>
      </c>
      <c r="S94" s="369">
        <f t="shared" si="21"/>
        <v>0.57155959565972825</v>
      </c>
      <c r="T94" s="347">
        <f t="shared" si="21"/>
        <v>0.45724767652778264</v>
      </c>
      <c r="U94" s="347">
        <f t="shared" si="21"/>
        <v>0.36579814122222609</v>
      </c>
      <c r="V94" s="347">
        <f t="shared" si="21"/>
        <v>0.29263851297778087</v>
      </c>
      <c r="W94" s="368">
        <f t="shared" si="21"/>
        <v>0.2341108103822247</v>
      </c>
    </row>
    <row r="95" spans="1:23" ht="12.75" customHeight="1" outlineLevel="1">
      <c r="A95" s="388" t="s">
        <v>113</v>
      </c>
      <c r="B95" s="387">
        <f t="shared" ref="B95:W95" si="22">B92+B93-B94</f>
        <v>10.127700000000001</v>
      </c>
      <c r="C95" s="385">
        <f t="shared" si="22"/>
        <v>31.236660000000001</v>
      </c>
      <c r="D95" s="387">
        <f t="shared" si="22"/>
        <v>48.347927999999996</v>
      </c>
      <c r="E95" s="386">
        <f t="shared" si="22"/>
        <v>51.983042399999995</v>
      </c>
      <c r="F95" s="386">
        <f t="shared" si="22"/>
        <v>41.586433919999997</v>
      </c>
      <c r="G95" s="386">
        <f t="shared" si="22"/>
        <v>33.269147136000001</v>
      </c>
      <c r="H95" s="385">
        <f t="shared" si="22"/>
        <v>26.615317708799999</v>
      </c>
      <c r="I95" s="387">
        <f t="shared" si="22"/>
        <v>21.292254167039999</v>
      </c>
      <c r="J95" s="386">
        <f t="shared" si="22"/>
        <v>17.033803333632001</v>
      </c>
      <c r="K95" s="386">
        <f t="shared" si="22"/>
        <v>13.6270426669056</v>
      </c>
      <c r="L95" s="386">
        <f t="shared" si="22"/>
        <v>10.90163413352448</v>
      </c>
      <c r="M95" s="385">
        <f t="shared" si="22"/>
        <v>8.7213073068195843</v>
      </c>
      <c r="N95" s="387">
        <f t="shared" si="22"/>
        <v>6.9770458454556676</v>
      </c>
      <c r="O95" s="386">
        <f t="shared" si="22"/>
        <v>5.5816366763645338</v>
      </c>
      <c r="P95" s="386">
        <f t="shared" si="22"/>
        <v>4.4653093410916274</v>
      </c>
      <c r="Q95" s="386">
        <f t="shared" si="22"/>
        <v>3.5722474728733018</v>
      </c>
      <c r="R95" s="385">
        <f t="shared" si="22"/>
        <v>2.8577979782986414</v>
      </c>
      <c r="S95" s="387">
        <f t="shared" si="22"/>
        <v>2.286238382638913</v>
      </c>
      <c r="T95" s="386">
        <f t="shared" si="22"/>
        <v>1.8289907061111303</v>
      </c>
      <c r="U95" s="386">
        <f t="shared" si="22"/>
        <v>1.4631925648889044</v>
      </c>
      <c r="V95" s="386">
        <f t="shared" si="22"/>
        <v>1.1705540519111235</v>
      </c>
      <c r="W95" s="385">
        <f t="shared" si="22"/>
        <v>0.9364432415288988</v>
      </c>
    </row>
    <row r="96" spans="1:23" ht="12.75" customHeight="1" outlineLevel="1"/>
    <row r="97" spans="1:23" ht="12.75" customHeight="1" outlineLevel="1">
      <c r="A97" s="350" t="str">
        <f>A74</f>
        <v>Meters</v>
      </c>
    </row>
    <row r="98" spans="1:23" ht="12.75" customHeight="1" outlineLevel="1">
      <c r="A98" s="414" t="s">
        <v>131</v>
      </c>
      <c r="B98" s="413">
        <f>B74</f>
        <v>0</v>
      </c>
      <c r="C98" s="412"/>
      <c r="D98" s="380"/>
      <c r="E98" s="380"/>
    </row>
    <row r="99" spans="1:23" ht="12.75" customHeight="1" outlineLevel="1">
      <c r="A99" s="411" t="s">
        <v>155</v>
      </c>
      <c r="B99" s="393">
        <f>C74</f>
        <v>1</v>
      </c>
      <c r="C99" s="410"/>
      <c r="D99" s="380"/>
      <c r="E99" s="380"/>
    </row>
    <row r="100" spans="1:23" ht="12.75" customHeight="1" outlineLevel="1">
      <c r="A100" s="411" t="s">
        <v>154</v>
      </c>
      <c r="B100" s="393" t="str">
        <f>D74</f>
        <v>Fully Deductible</v>
      </c>
      <c r="C100" s="410"/>
      <c r="D100" s="380"/>
      <c r="E100" s="380"/>
    </row>
    <row r="101" spans="1:23" ht="12.75" customHeight="1" outlineLevel="1">
      <c r="A101" s="409" t="s">
        <v>152</v>
      </c>
      <c r="B101" s="408">
        <f>IF(AND(B99=0,B100=""),0,IF(B100="Straight Line",1/B99,IF(B100="Declining Balance",1/B99*1.5,1)))</f>
        <v>1</v>
      </c>
      <c r="C101" s="407"/>
      <c r="D101" s="380"/>
      <c r="E101" s="380"/>
    </row>
    <row r="102" spans="1:23" ht="12.75" customHeight="1" outlineLevel="1">
      <c r="A102" s="380"/>
      <c r="B102" s="392"/>
      <c r="C102" s="380"/>
      <c r="D102" s="380"/>
      <c r="E102" s="380"/>
    </row>
    <row r="103" spans="1:23" ht="12.75" customHeight="1" outlineLevel="1">
      <c r="A103" s="380" t="s">
        <v>137</v>
      </c>
      <c r="B103" s="494">
        <v>1996</v>
      </c>
      <c r="C103" s="493">
        <v>1997</v>
      </c>
      <c r="D103" s="492">
        <v>1998</v>
      </c>
      <c r="E103" s="491">
        <v>1999</v>
      </c>
    </row>
    <row r="104" spans="1:23" ht="12.75" customHeight="1" outlineLevel="1">
      <c r="A104" s="402" t="s">
        <v>150</v>
      </c>
      <c r="B104" s="401">
        <v>0.84450000000000003</v>
      </c>
      <c r="C104" s="400">
        <v>2.2324999999999999</v>
      </c>
      <c r="D104" s="400">
        <v>4.125</v>
      </c>
      <c r="E104" s="479">
        <v>3.2479999999999998</v>
      </c>
    </row>
    <row r="105" spans="1:23" ht="12.75" customHeight="1" outlineLevel="1">
      <c r="A105" s="380"/>
      <c r="B105" s="392"/>
      <c r="C105" s="380"/>
    </row>
    <row r="106" spans="1:23" ht="12.75" customHeight="1" outlineLevel="1">
      <c r="B106" s="364">
        <v>1996</v>
      </c>
      <c r="C106" s="362">
        <v>1997</v>
      </c>
      <c r="D106" s="364">
        <v>1998</v>
      </c>
      <c r="E106" s="363">
        <v>1999</v>
      </c>
      <c r="F106" s="363">
        <v>2000</v>
      </c>
      <c r="G106" s="363">
        <v>2001</v>
      </c>
      <c r="H106" s="362">
        <v>2002</v>
      </c>
      <c r="I106" s="364">
        <v>2003</v>
      </c>
      <c r="J106" s="363">
        <v>2004</v>
      </c>
      <c r="K106" s="363">
        <v>2005</v>
      </c>
      <c r="L106" s="363">
        <v>2006</v>
      </c>
      <c r="M106" s="362">
        <v>2007</v>
      </c>
      <c r="N106" s="364">
        <v>2008</v>
      </c>
      <c r="O106" s="363">
        <v>2009</v>
      </c>
      <c r="P106" s="363">
        <v>2010</v>
      </c>
      <c r="Q106" s="363">
        <v>2011</v>
      </c>
      <c r="R106" s="362">
        <v>2012</v>
      </c>
      <c r="S106" s="364">
        <f t="shared" ref="S106:W106" si="23">R106+1</f>
        <v>2013</v>
      </c>
      <c r="T106" s="363">
        <f t="shared" si="23"/>
        <v>2014</v>
      </c>
      <c r="U106" s="363">
        <f t="shared" si="23"/>
        <v>2015</v>
      </c>
      <c r="V106" s="363">
        <f t="shared" si="23"/>
        <v>2016</v>
      </c>
      <c r="W106" s="362">
        <f t="shared" si="23"/>
        <v>2017</v>
      </c>
    </row>
    <row r="107" spans="1:23" ht="12.75" customHeight="1" outlineLevel="1">
      <c r="A107" s="394" t="s">
        <v>2</v>
      </c>
      <c r="B107" s="393">
        <f>B98</f>
        <v>0</v>
      </c>
      <c r="C107" s="391">
        <f t="shared" ref="C107:W107" si="24">B110</f>
        <v>0</v>
      </c>
      <c r="D107" s="393">
        <f t="shared" si="24"/>
        <v>0</v>
      </c>
      <c r="E107" s="392">
        <f t="shared" si="24"/>
        <v>0</v>
      </c>
      <c r="F107" s="392">
        <f t="shared" si="24"/>
        <v>0</v>
      </c>
      <c r="G107" s="392">
        <f t="shared" si="24"/>
        <v>0</v>
      </c>
      <c r="H107" s="391">
        <f t="shared" si="24"/>
        <v>0</v>
      </c>
      <c r="I107" s="393">
        <f t="shared" si="24"/>
        <v>0</v>
      </c>
      <c r="J107" s="392">
        <f t="shared" si="24"/>
        <v>0</v>
      </c>
      <c r="K107" s="392">
        <f t="shared" si="24"/>
        <v>0</v>
      </c>
      <c r="L107" s="392">
        <f t="shared" si="24"/>
        <v>0</v>
      </c>
      <c r="M107" s="391">
        <f t="shared" si="24"/>
        <v>0</v>
      </c>
      <c r="N107" s="393">
        <f t="shared" si="24"/>
        <v>0</v>
      </c>
      <c r="O107" s="392">
        <f t="shared" si="24"/>
        <v>0</v>
      </c>
      <c r="P107" s="392">
        <f t="shared" si="24"/>
        <v>0</v>
      </c>
      <c r="Q107" s="392">
        <f t="shared" si="24"/>
        <v>0</v>
      </c>
      <c r="R107" s="391">
        <f t="shared" si="24"/>
        <v>0</v>
      </c>
      <c r="S107" s="393">
        <f t="shared" si="24"/>
        <v>0</v>
      </c>
      <c r="T107" s="392">
        <f t="shared" si="24"/>
        <v>0</v>
      </c>
      <c r="U107" s="392">
        <f t="shared" si="24"/>
        <v>0</v>
      </c>
      <c r="V107" s="392">
        <f t="shared" si="24"/>
        <v>0</v>
      </c>
      <c r="W107" s="391">
        <f t="shared" si="24"/>
        <v>0</v>
      </c>
    </row>
    <row r="108" spans="1:23" ht="12.75" customHeight="1" outlineLevel="1">
      <c r="A108" s="389" t="s">
        <v>149</v>
      </c>
      <c r="B108" s="393">
        <f>B104</f>
        <v>0.84450000000000003</v>
      </c>
      <c r="C108" s="391">
        <f>C104</f>
        <v>2.2324999999999999</v>
      </c>
      <c r="D108" s="393">
        <f>D104</f>
        <v>4.125</v>
      </c>
      <c r="E108" s="392">
        <f>E104</f>
        <v>3.2479999999999998</v>
      </c>
      <c r="F108" s="392">
        <v>0</v>
      </c>
      <c r="G108" s="392">
        <v>0</v>
      </c>
      <c r="H108" s="391">
        <v>0</v>
      </c>
      <c r="I108" s="393">
        <v>0</v>
      </c>
      <c r="J108" s="392">
        <v>0</v>
      </c>
      <c r="K108" s="392">
        <v>0</v>
      </c>
      <c r="L108" s="392">
        <v>0</v>
      </c>
      <c r="M108" s="391">
        <v>0</v>
      </c>
      <c r="N108" s="393">
        <v>0</v>
      </c>
      <c r="O108" s="392">
        <v>0</v>
      </c>
      <c r="P108" s="392">
        <v>0</v>
      </c>
      <c r="Q108" s="392">
        <v>0</v>
      </c>
      <c r="R108" s="391">
        <v>0</v>
      </c>
      <c r="S108" s="393">
        <v>0</v>
      </c>
      <c r="T108" s="392">
        <v>0</v>
      </c>
      <c r="U108" s="392">
        <v>0</v>
      </c>
      <c r="V108" s="392">
        <v>0</v>
      </c>
      <c r="W108" s="391">
        <v>0</v>
      </c>
    </row>
    <row r="109" spans="1:23" ht="12.75" customHeight="1" outlineLevel="1">
      <c r="A109" s="389" t="s">
        <v>148</v>
      </c>
      <c r="B109" s="347">
        <f>IF($B101=1,B108+B107,B108*$B101*0.5)</f>
        <v>0.84450000000000003</v>
      </c>
      <c r="C109" s="347">
        <f t="shared" ref="C109:W109" si="25">IF($B101=1,C108+C107,(C107+C108*0.5)*$B101)</f>
        <v>2.2324999999999999</v>
      </c>
      <c r="D109" s="369">
        <f t="shared" si="25"/>
        <v>4.125</v>
      </c>
      <c r="E109" s="347">
        <f t="shared" si="25"/>
        <v>3.2479999999999998</v>
      </c>
      <c r="F109" s="347">
        <f t="shared" si="25"/>
        <v>0</v>
      </c>
      <c r="G109" s="347">
        <f t="shared" si="25"/>
        <v>0</v>
      </c>
      <c r="H109" s="368">
        <f t="shared" si="25"/>
        <v>0</v>
      </c>
      <c r="I109" s="369">
        <f t="shared" si="25"/>
        <v>0</v>
      </c>
      <c r="J109" s="347">
        <f t="shared" si="25"/>
        <v>0</v>
      </c>
      <c r="K109" s="347">
        <f t="shared" si="25"/>
        <v>0</v>
      </c>
      <c r="L109" s="347">
        <f t="shared" si="25"/>
        <v>0</v>
      </c>
      <c r="M109" s="368">
        <f t="shared" si="25"/>
        <v>0</v>
      </c>
      <c r="N109" s="369">
        <f t="shared" si="25"/>
        <v>0</v>
      </c>
      <c r="O109" s="347">
        <f t="shared" si="25"/>
        <v>0</v>
      </c>
      <c r="P109" s="347">
        <f t="shared" si="25"/>
        <v>0</v>
      </c>
      <c r="Q109" s="347">
        <f t="shared" si="25"/>
        <v>0</v>
      </c>
      <c r="R109" s="368">
        <f t="shared" si="25"/>
        <v>0</v>
      </c>
      <c r="S109" s="369">
        <f t="shared" si="25"/>
        <v>0</v>
      </c>
      <c r="T109" s="347">
        <f t="shared" si="25"/>
        <v>0</v>
      </c>
      <c r="U109" s="347">
        <f t="shared" si="25"/>
        <v>0</v>
      </c>
      <c r="V109" s="347">
        <f t="shared" si="25"/>
        <v>0</v>
      </c>
      <c r="W109" s="368">
        <f t="shared" si="25"/>
        <v>0</v>
      </c>
    </row>
    <row r="110" spans="1:23" ht="12.75" customHeight="1" outlineLevel="1">
      <c r="A110" s="388" t="s">
        <v>113</v>
      </c>
      <c r="B110" s="387">
        <f t="shared" ref="B110:W110" si="26">B107+B108-B109</f>
        <v>0</v>
      </c>
      <c r="C110" s="385">
        <f t="shared" si="26"/>
        <v>0</v>
      </c>
      <c r="D110" s="387">
        <f t="shared" si="26"/>
        <v>0</v>
      </c>
      <c r="E110" s="386">
        <f t="shared" si="26"/>
        <v>0</v>
      </c>
      <c r="F110" s="386">
        <f t="shared" si="26"/>
        <v>0</v>
      </c>
      <c r="G110" s="386">
        <f t="shared" si="26"/>
        <v>0</v>
      </c>
      <c r="H110" s="385">
        <f t="shared" si="26"/>
        <v>0</v>
      </c>
      <c r="I110" s="387">
        <f t="shared" si="26"/>
        <v>0</v>
      </c>
      <c r="J110" s="386">
        <f t="shared" si="26"/>
        <v>0</v>
      </c>
      <c r="K110" s="386">
        <f t="shared" si="26"/>
        <v>0</v>
      </c>
      <c r="L110" s="386">
        <f t="shared" si="26"/>
        <v>0</v>
      </c>
      <c r="M110" s="385">
        <f t="shared" si="26"/>
        <v>0</v>
      </c>
      <c r="N110" s="387">
        <f t="shared" si="26"/>
        <v>0</v>
      </c>
      <c r="O110" s="386">
        <f t="shared" si="26"/>
        <v>0</v>
      </c>
      <c r="P110" s="386">
        <f t="shared" si="26"/>
        <v>0</v>
      </c>
      <c r="Q110" s="386">
        <f t="shared" si="26"/>
        <v>0</v>
      </c>
      <c r="R110" s="385">
        <f t="shared" si="26"/>
        <v>0</v>
      </c>
      <c r="S110" s="387">
        <f t="shared" si="26"/>
        <v>0</v>
      </c>
      <c r="T110" s="386">
        <f t="shared" si="26"/>
        <v>0</v>
      </c>
      <c r="U110" s="386">
        <f t="shared" si="26"/>
        <v>0</v>
      </c>
      <c r="V110" s="386">
        <f t="shared" si="26"/>
        <v>0</v>
      </c>
      <c r="W110" s="385">
        <f t="shared" si="26"/>
        <v>0</v>
      </c>
    </row>
    <row r="111" spans="1:23" ht="12.75" customHeight="1" outlineLevel="1"/>
    <row r="112" spans="1:23" ht="12.75" customHeight="1" outlineLevel="1">
      <c r="A112" s="350" t="str">
        <f>A75</f>
        <v>Land &amp; Buildings</v>
      </c>
    </row>
    <row r="113" spans="1:23" ht="12.75" customHeight="1" outlineLevel="1">
      <c r="A113" s="414" t="s">
        <v>131</v>
      </c>
      <c r="B113" s="413">
        <f>B75</f>
        <v>0</v>
      </c>
      <c r="C113" s="412"/>
      <c r="D113" s="380"/>
      <c r="E113" s="380"/>
    </row>
    <row r="114" spans="1:23" ht="12.75" customHeight="1" outlineLevel="1">
      <c r="A114" s="411" t="s">
        <v>155</v>
      </c>
      <c r="B114" s="393">
        <f>C75</f>
        <v>40</v>
      </c>
      <c r="C114" s="410"/>
      <c r="D114" s="380"/>
      <c r="E114" s="380"/>
    </row>
    <row r="115" spans="1:23" ht="12.75" customHeight="1" outlineLevel="1">
      <c r="A115" s="411" t="s">
        <v>154</v>
      </c>
      <c r="B115" s="393" t="str">
        <f>D75</f>
        <v>Straight Line</v>
      </c>
      <c r="C115" s="410"/>
      <c r="D115" s="380"/>
      <c r="E115" s="380"/>
    </row>
    <row r="116" spans="1:23" ht="12.75" customHeight="1" outlineLevel="1">
      <c r="A116" s="409" t="s">
        <v>152</v>
      </c>
      <c r="B116" s="408">
        <f>IF(AND(B114=0,B115=""),0,IF(B115="Straight Line",1/B114,IF(B115="Declining Balance",1/B114*1.5,1)))</f>
        <v>2.5000000000000001E-2</v>
      </c>
      <c r="C116" s="407"/>
      <c r="D116" s="380"/>
      <c r="E116" s="380"/>
    </row>
    <row r="117" spans="1:23" ht="12.75" customHeight="1" outlineLevel="1">
      <c r="A117" s="380"/>
      <c r="B117" s="392"/>
      <c r="C117" s="380"/>
      <c r="D117" s="380"/>
      <c r="E117" s="380"/>
    </row>
    <row r="118" spans="1:23" ht="12.75" customHeight="1" outlineLevel="1">
      <c r="A118" s="380" t="s">
        <v>137</v>
      </c>
      <c r="B118" s="494">
        <v>1996</v>
      </c>
      <c r="C118" s="493">
        <v>1997</v>
      </c>
      <c r="D118" s="492">
        <v>1998</v>
      </c>
      <c r="E118" s="491">
        <v>1999</v>
      </c>
    </row>
    <row r="119" spans="1:23" ht="12.75" customHeight="1" outlineLevel="1">
      <c r="A119" s="402" t="s">
        <v>150</v>
      </c>
      <c r="B119" s="401">
        <v>0</v>
      </c>
      <c r="C119" s="400">
        <v>9.8500000000000004E-2</v>
      </c>
      <c r="D119" s="400">
        <v>0.159</v>
      </c>
      <c r="E119" s="479">
        <v>0</v>
      </c>
    </row>
    <row r="120" spans="1:23" ht="12.75" customHeight="1" outlineLevel="1">
      <c r="A120" s="380"/>
      <c r="B120" s="392"/>
      <c r="C120" s="380"/>
    </row>
    <row r="121" spans="1:23" ht="12.75" customHeight="1" outlineLevel="1">
      <c r="B121" s="364">
        <v>1996</v>
      </c>
      <c r="C121" s="362">
        <v>1997</v>
      </c>
      <c r="D121" s="364">
        <v>1998</v>
      </c>
      <c r="E121" s="363">
        <v>1999</v>
      </c>
      <c r="F121" s="363">
        <v>2000</v>
      </c>
      <c r="G121" s="363">
        <v>2001</v>
      </c>
      <c r="H121" s="362">
        <v>2002</v>
      </c>
      <c r="I121" s="364">
        <v>2003</v>
      </c>
      <c r="J121" s="363">
        <v>2004</v>
      </c>
      <c r="K121" s="363">
        <v>2005</v>
      </c>
      <c r="L121" s="363">
        <v>2006</v>
      </c>
      <c r="M121" s="362">
        <v>2007</v>
      </c>
      <c r="N121" s="364">
        <v>2008</v>
      </c>
      <c r="O121" s="363">
        <v>2009</v>
      </c>
      <c r="P121" s="363">
        <v>2010</v>
      </c>
      <c r="Q121" s="363">
        <v>2011</v>
      </c>
      <c r="R121" s="362">
        <v>2012</v>
      </c>
      <c r="S121" s="364">
        <f t="shared" ref="S121:W121" si="27">R121+1</f>
        <v>2013</v>
      </c>
      <c r="T121" s="363">
        <f t="shared" si="27"/>
        <v>2014</v>
      </c>
      <c r="U121" s="363">
        <f t="shared" si="27"/>
        <v>2015</v>
      </c>
      <c r="V121" s="363">
        <f t="shared" si="27"/>
        <v>2016</v>
      </c>
      <c r="W121" s="362">
        <f t="shared" si="27"/>
        <v>2017</v>
      </c>
    </row>
    <row r="122" spans="1:23" ht="12.75" customHeight="1" outlineLevel="1">
      <c r="A122" s="394" t="s">
        <v>2</v>
      </c>
      <c r="B122" s="393">
        <f>B113</f>
        <v>0</v>
      </c>
      <c r="C122" s="391">
        <f t="shared" ref="C122:W122" si="28">B125</f>
        <v>0</v>
      </c>
      <c r="D122" s="393">
        <f t="shared" si="28"/>
        <v>9.7268750000000001E-2</v>
      </c>
      <c r="E122" s="392">
        <f t="shared" si="28"/>
        <v>0.25181874999999998</v>
      </c>
      <c r="F122" s="392">
        <f t="shared" si="28"/>
        <v>0.24538124999999997</v>
      </c>
      <c r="G122" s="392">
        <f t="shared" si="28"/>
        <v>0.23894374999999995</v>
      </c>
      <c r="H122" s="391">
        <f t="shared" si="28"/>
        <v>0.23250624999999994</v>
      </c>
      <c r="I122" s="393">
        <f t="shared" si="28"/>
        <v>0.22606874999999993</v>
      </c>
      <c r="J122" s="392">
        <f t="shared" si="28"/>
        <v>0.21963124999999992</v>
      </c>
      <c r="K122" s="392">
        <f t="shared" si="28"/>
        <v>0.2131937499999999</v>
      </c>
      <c r="L122" s="392">
        <f t="shared" si="28"/>
        <v>0.20675624999999989</v>
      </c>
      <c r="M122" s="391">
        <f t="shared" si="28"/>
        <v>0.20031874999999988</v>
      </c>
      <c r="N122" s="393">
        <f t="shared" si="28"/>
        <v>0.19388124999999987</v>
      </c>
      <c r="O122" s="392">
        <f t="shared" si="28"/>
        <v>0.18744374999999985</v>
      </c>
      <c r="P122" s="392">
        <f t="shared" si="28"/>
        <v>0.18100624999999984</v>
      </c>
      <c r="Q122" s="392">
        <f t="shared" si="28"/>
        <v>0.17456874999999983</v>
      </c>
      <c r="R122" s="391">
        <f t="shared" si="28"/>
        <v>0.16813124999999982</v>
      </c>
      <c r="S122" s="393">
        <f t="shared" si="28"/>
        <v>0.1616937499999998</v>
      </c>
      <c r="T122" s="392">
        <f t="shared" si="28"/>
        <v>0.15525624999999979</v>
      </c>
      <c r="U122" s="392">
        <f t="shared" si="28"/>
        <v>0.14881874999999978</v>
      </c>
      <c r="V122" s="392">
        <f t="shared" si="28"/>
        <v>0.14238124999999976</v>
      </c>
      <c r="W122" s="391">
        <f t="shared" si="28"/>
        <v>0.13594374999999975</v>
      </c>
    </row>
    <row r="123" spans="1:23" ht="12.75" customHeight="1" outlineLevel="1">
      <c r="A123" s="389" t="s">
        <v>149</v>
      </c>
      <c r="B123" s="393">
        <f>B119</f>
        <v>0</v>
      </c>
      <c r="C123" s="391">
        <f>C119</f>
        <v>9.8500000000000004E-2</v>
      </c>
      <c r="D123" s="393">
        <f>D119</f>
        <v>0.159</v>
      </c>
      <c r="E123" s="392">
        <f>E119</f>
        <v>0</v>
      </c>
      <c r="F123" s="392">
        <v>0</v>
      </c>
      <c r="G123" s="392">
        <v>0</v>
      </c>
      <c r="H123" s="391">
        <v>0</v>
      </c>
      <c r="I123" s="393">
        <v>0</v>
      </c>
      <c r="J123" s="392">
        <v>0</v>
      </c>
      <c r="K123" s="392">
        <v>0</v>
      </c>
      <c r="L123" s="392">
        <v>0</v>
      </c>
      <c r="M123" s="391">
        <v>0</v>
      </c>
      <c r="N123" s="393">
        <v>0</v>
      </c>
      <c r="O123" s="392">
        <v>0</v>
      </c>
      <c r="P123" s="392">
        <v>0</v>
      </c>
      <c r="Q123" s="392">
        <v>0</v>
      </c>
      <c r="R123" s="391">
        <v>0</v>
      </c>
      <c r="S123" s="393">
        <v>0</v>
      </c>
      <c r="T123" s="392">
        <v>0</v>
      </c>
      <c r="U123" s="392">
        <v>0</v>
      </c>
      <c r="V123" s="392">
        <v>0</v>
      </c>
      <c r="W123" s="391">
        <v>0</v>
      </c>
    </row>
    <row r="124" spans="1:23" ht="12.75" customHeight="1" outlineLevel="1">
      <c r="A124" s="389" t="s">
        <v>148</v>
      </c>
      <c r="B124" s="393">
        <f>B123*$B116*0.5</f>
        <v>0</v>
      </c>
      <c r="C124" s="391">
        <f>(SUM($B123:B123)+C123*0.5)*$B116</f>
        <v>1.2312500000000001E-3</v>
      </c>
      <c r="D124" s="393">
        <f>(SUM($B123:C123)+D123*0.5)*$B116</f>
        <v>4.45E-3</v>
      </c>
      <c r="E124" s="392">
        <f>(SUM($B123:D123)+E123*0.5)*$B116</f>
        <v>6.4375000000000005E-3</v>
      </c>
      <c r="F124" s="392">
        <f>(SUM($B123:E123)+F123*0.5)*$B116</f>
        <v>6.4375000000000005E-3</v>
      </c>
      <c r="G124" s="392">
        <f>(SUM($B123:F123)+G123*0.5)*$B116</f>
        <v>6.4375000000000005E-3</v>
      </c>
      <c r="H124" s="391">
        <f>(SUM($B123:G123)+H123*0.5)*$B116</f>
        <v>6.4375000000000005E-3</v>
      </c>
      <c r="I124" s="393">
        <f>(SUM($B123:H123)+I123*0.5)*$B116</f>
        <v>6.4375000000000005E-3</v>
      </c>
      <c r="J124" s="392">
        <f>(SUM($B123:I123)+J123*0.5)*$B116</f>
        <v>6.4375000000000005E-3</v>
      </c>
      <c r="K124" s="392">
        <f>(SUM($B123:J123)+K123*0.5)*$B116</f>
        <v>6.4375000000000005E-3</v>
      </c>
      <c r="L124" s="392">
        <f>(SUM($B123:K123)+L123*0.5)*$B116</f>
        <v>6.4375000000000005E-3</v>
      </c>
      <c r="M124" s="391">
        <f>(SUM($B123:L123)+M123*0.5)*$B116</f>
        <v>6.4375000000000005E-3</v>
      </c>
      <c r="N124" s="393">
        <f>(SUM($B123:M123)+N123*0.5)*$B116</f>
        <v>6.4375000000000005E-3</v>
      </c>
      <c r="O124" s="392">
        <f>(SUM($B123:N123)+O123*0.5)*$B116</f>
        <v>6.4375000000000005E-3</v>
      </c>
      <c r="P124" s="392">
        <f>(SUM($B123:O123)+P123*0.5)*$B116</f>
        <v>6.4375000000000005E-3</v>
      </c>
      <c r="Q124" s="392">
        <f>(SUM($B123:P123)+Q123*0.5)*$B116</f>
        <v>6.4375000000000005E-3</v>
      </c>
      <c r="R124" s="391">
        <f>(SUM($B123:Q123)+R123*0.5)*$B116</f>
        <v>6.4375000000000005E-3</v>
      </c>
      <c r="S124" s="619">
        <f>(SUM($B123:R123)+S123*0.5)*$B116</f>
        <v>6.4375000000000005E-3</v>
      </c>
      <c r="T124" s="620">
        <f>(SUM($B123:S123)+T123*0.5)*$B116</f>
        <v>6.4375000000000005E-3</v>
      </c>
      <c r="U124" s="620">
        <f>(SUM($B123:T123)+U123*0.5)*$B116</f>
        <v>6.4375000000000005E-3</v>
      </c>
      <c r="V124" s="620">
        <f>(SUM($B123:U123)+V123*0.5)*$B116</f>
        <v>6.4375000000000005E-3</v>
      </c>
      <c r="W124" s="621">
        <f>(SUM($B123:V123)+W123*0.5)*$B116</f>
        <v>6.4375000000000005E-3</v>
      </c>
    </row>
    <row r="125" spans="1:23" ht="12.75" customHeight="1" outlineLevel="1">
      <c r="A125" s="388" t="s">
        <v>113</v>
      </c>
      <c r="B125" s="387">
        <f t="shared" ref="B125:W125" si="29">B122+B123-B124</f>
        <v>0</v>
      </c>
      <c r="C125" s="385">
        <f t="shared" si="29"/>
        <v>9.7268750000000001E-2</v>
      </c>
      <c r="D125" s="387">
        <f t="shared" si="29"/>
        <v>0.25181874999999998</v>
      </c>
      <c r="E125" s="386">
        <f t="shared" si="29"/>
        <v>0.24538124999999997</v>
      </c>
      <c r="F125" s="386">
        <f t="shared" si="29"/>
        <v>0.23894374999999995</v>
      </c>
      <c r="G125" s="386">
        <f t="shared" si="29"/>
        <v>0.23250624999999994</v>
      </c>
      <c r="H125" s="385">
        <f t="shared" si="29"/>
        <v>0.22606874999999993</v>
      </c>
      <c r="I125" s="387">
        <f t="shared" si="29"/>
        <v>0.21963124999999992</v>
      </c>
      <c r="J125" s="386">
        <f t="shared" si="29"/>
        <v>0.2131937499999999</v>
      </c>
      <c r="K125" s="386">
        <f t="shared" si="29"/>
        <v>0.20675624999999989</v>
      </c>
      <c r="L125" s="386">
        <f t="shared" si="29"/>
        <v>0.20031874999999988</v>
      </c>
      <c r="M125" s="385">
        <f t="shared" si="29"/>
        <v>0.19388124999999987</v>
      </c>
      <c r="N125" s="387">
        <f t="shared" si="29"/>
        <v>0.18744374999999985</v>
      </c>
      <c r="O125" s="386">
        <f t="shared" si="29"/>
        <v>0.18100624999999984</v>
      </c>
      <c r="P125" s="386">
        <f t="shared" si="29"/>
        <v>0.17456874999999983</v>
      </c>
      <c r="Q125" s="386">
        <f t="shared" si="29"/>
        <v>0.16813124999999982</v>
      </c>
      <c r="R125" s="385">
        <f t="shared" si="29"/>
        <v>0.1616937499999998</v>
      </c>
      <c r="S125" s="387">
        <f t="shared" si="29"/>
        <v>0.15525624999999979</v>
      </c>
      <c r="T125" s="386">
        <f t="shared" si="29"/>
        <v>0.14881874999999978</v>
      </c>
      <c r="U125" s="386">
        <f t="shared" si="29"/>
        <v>0.14238124999999976</v>
      </c>
      <c r="V125" s="386">
        <f t="shared" si="29"/>
        <v>0.13594374999999975</v>
      </c>
      <c r="W125" s="385">
        <f t="shared" si="29"/>
        <v>0.12950624999999974</v>
      </c>
    </row>
    <row r="126" spans="1:23" ht="12.75" customHeight="1" outlineLevel="1">
      <c r="M126" s="438"/>
    </row>
    <row r="127" spans="1:23" ht="12.75" customHeight="1" outlineLevel="1">
      <c r="A127" s="350" t="str">
        <f>A76</f>
        <v>Other Assets</v>
      </c>
    </row>
    <row r="128" spans="1:23" ht="12.75" customHeight="1" outlineLevel="1">
      <c r="A128" s="414" t="s">
        <v>131</v>
      </c>
      <c r="B128" s="413">
        <f>B76</f>
        <v>0</v>
      </c>
      <c r="C128" s="412"/>
      <c r="D128" s="380"/>
      <c r="E128" s="380"/>
    </row>
    <row r="129" spans="1:23" ht="12.75" customHeight="1" outlineLevel="1">
      <c r="A129" s="411" t="s">
        <v>155</v>
      </c>
      <c r="B129" s="393">
        <f>C76</f>
        <v>5</v>
      </c>
      <c r="C129" s="410"/>
      <c r="D129" s="380"/>
      <c r="E129" s="380"/>
    </row>
    <row r="130" spans="1:23" ht="12.75" customHeight="1" outlineLevel="1">
      <c r="A130" s="411" t="s">
        <v>154</v>
      </c>
      <c r="B130" s="393" t="str">
        <f>D76</f>
        <v>Declining Balance</v>
      </c>
      <c r="C130" s="410"/>
      <c r="D130" s="380"/>
      <c r="E130" s="380"/>
    </row>
    <row r="131" spans="1:23" ht="12.75" customHeight="1" outlineLevel="1">
      <c r="A131" s="409" t="s">
        <v>152</v>
      </c>
      <c r="B131" s="408">
        <f>IF(AND(B129=0,B130=""),0,IF(B130="Straight Line",1/B129,IF(B130="Declining Balance",1/B129*1.5,1)))</f>
        <v>0.30000000000000004</v>
      </c>
      <c r="C131" s="407"/>
      <c r="D131" s="380"/>
      <c r="E131" s="380"/>
    </row>
    <row r="132" spans="1:23" ht="12.75" customHeight="1" outlineLevel="1">
      <c r="A132" s="380"/>
      <c r="B132" s="392"/>
      <c r="C132" s="380"/>
      <c r="D132" s="380"/>
      <c r="E132" s="380"/>
    </row>
    <row r="133" spans="1:23" ht="12.75" customHeight="1" outlineLevel="1">
      <c r="A133" s="380" t="s">
        <v>137</v>
      </c>
      <c r="B133" s="494">
        <v>1996</v>
      </c>
      <c r="C133" s="493">
        <v>1997</v>
      </c>
      <c r="D133" s="492">
        <v>1998</v>
      </c>
      <c r="E133" s="491">
        <v>1999</v>
      </c>
    </row>
    <row r="134" spans="1:23" ht="12.75" customHeight="1" outlineLevel="1">
      <c r="A134" s="402" t="s">
        <v>150</v>
      </c>
      <c r="B134" s="401">
        <v>0</v>
      </c>
      <c r="C134" s="400">
        <v>0.61349999999999993</v>
      </c>
      <c r="D134" s="400">
        <v>1.9209999999999998</v>
      </c>
      <c r="E134" s="479">
        <v>0.69399999999999995</v>
      </c>
    </row>
    <row r="135" spans="1:23" ht="12.75" customHeight="1" outlineLevel="1">
      <c r="A135" s="380"/>
      <c r="B135" s="392"/>
      <c r="C135" s="380"/>
    </row>
    <row r="136" spans="1:23" ht="12.75" customHeight="1" outlineLevel="1">
      <c r="B136" s="364">
        <v>1996</v>
      </c>
      <c r="C136" s="362">
        <v>1997</v>
      </c>
      <c r="D136" s="364">
        <v>1998</v>
      </c>
      <c r="E136" s="363">
        <v>1999</v>
      </c>
      <c r="F136" s="363">
        <v>2000</v>
      </c>
      <c r="G136" s="363">
        <v>2001</v>
      </c>
      <c r="H136" s="362">
        <v>2002</v>
      </c>
      <c r="I136" s="364">
        <v>2003</v>
      </c>
      <c r="J136" s="363">
        <v>2004</v>
      </c>
      <c r="K136" s="363">
        <v>2005</v>
      </c>
      <c r="L136" s="363">
        <v>2006</v>
      </c>
      <c r="M136" s="362">
        <v>2007</v>
      </c>
      <c r="N136" s="364">
        <v>2008</v>
      </c>
      <c r="O136" s="363">
        <v>2009</v>
      </c>
      <c r="P136" s="363">
        <v>2010</v>
      </c>
      <c r="Q136" s="363">
        <v>2011</v>
      </c>
      <c r="R136" s="362">
        <v>2012</v>
      </c>
      <c r="S136" s="364">
        <f t="shared" ref="S136:W136" si="30">R136+1</f>
        <v>2013</v>
      </c>
      <c r="T136" s="363">
        <f t="shared" si="30"/>
        <v>2014</v>
      </c>
      <c r="U136" s="363">
        <f t="shared" si="30"/>
        <v>2015</v>
      </c>
      <c r="V136" s="363">
        <f t="shared" si="30"/>
        <v>2016</v>
      </c>
      <c r="W136" s="362">
        <f t="shared" si="30"/>
        <v>2017</v>
      </c>
    </row>
    <row r="137" spans="1:23" ht="12.75" customHeight="1" outlineLevel="1">
      <c r="A137" s="394" t="s">
        <v>2</v>
      </c>
      <c r="B137" s="393">
        <f>B128</f>
        <v>0</v>
      </c>
      <c r="C137" s="391">
        <f t="shared" ref="C137:W137" si="31">B140</f>
        <v>0</v>
      </c>
      <c r="D137" s="393">
        <f t="shared" si="31"/>
        <v>0.52147499999999991</v>
      </c>
      <c r="E137" s="392">
        <f t="shared" si="31"/>
        <v>1.9978825</v>
      </c>
      <c r="F137" s="392">
        <f t="shared" si="31"/>
        <v>1.98841775</v>
      </c>
      <c r="G137" s="392">
        <f t="shared" si="31"/>
        <v>1.391892425</v>
      </c>
      <c r="H137" s="391">
        <f t="shared" si="31"/>
        <v>0.97432469749999995</v>
      </c>
      <c r="I137" s="393">
        <f t="shared" si="31"/>
        <v>0.68202728824999992</v>
      </c>
      <c r="J137" s="392">
        <f t="shared" si="31"/>
        <v>0.47741910177499991</v>
      </c>
      <c r="K137" s="392">
        <f t="shared" si="31"/>
        <v>0.33419337124249993</v>
      </c>
      <c r="L137" s="392">
        <f t="shared" si="31"/>
        <v>0.23393535986974995</v>
      </c>
      <c r="M137" s="391">
        <f t="shared" si="31"/>
        <v>0.16375475190882494</v>
      </c>
      <c r="N137" s="393">
        <f t="shared" si="31"/>
        <v>0.11462832633617745</v>
      </c>
      <c r="O137" s="392">
        <f t="shared" si="31"/>
        <v>8.0239828435324206E-2</v>
      </c>
      <c r="P137" s="392">
        <f t="shared" si="31"/>
        <v>5.6167879904726936E-2</v>
      </c>
      <c r="Q137" s="392">
        <f t="shared" si="31"/>
        <v>3.9317515933308851E-2</v>
      </c>
      <c r="R137" s="391">
        <f t="shared" si="31"/>
        <v>2.7522261153316192E-2</v>
      </c>
      <c r="S137" s="393">
        <f t="shared" si="31"/>
        <v>1.9265582807321331E-2</v>
      </c>
      <c r="T137" s="392">
        <f t="shared" si="31"/>
        <v>1.348590796512493E-2</v>
      </c>
      <c r="U137" s="392">
        <f t="shared" si="31"/>
        <v>9.4401355755874515E-3</v>
      </c>
      <c r="V137" s="392">
        <f t="shared" si="31"/>
        <v>6.6080949029112155E-3</v>
      </c>
      <c r="W137" s="391">
        <f t="shared" si="31"/>
        <v>4.6256664320378504E-3</v>
      </c>
    </row>
    <row r="138" spans="1:23" ht="12.75" customHeight="1" outlineLevel="1">
      <c r="A138" s="389" t="s">
        <v>149</v>
      </c>
      <c r="B138" s="393">
        <f>B134</f>
        <v>0</v>
      </c>
      <c r="C138" s="391">
        <f>C134</f>
        <v>0.61349999999999993</v>
      </c>
      <c r="D138" s="393">
        <f>D134</f>
        <v>1.9209999999999998</v>
      </c>
      <c r="E138" s="392">
        <f>E134</f>
        <v>0.69399999999999995</v>
      </c>
      <c r="F138" s="392">
        <v>0</v>
      </c>
      <c r="G138" s="392">
        <v>0</v>
      </c>
      <c r="H138" s="391">
        <v>0</v>
      </c>
      <c r="I138" s="393">
        <v>0</v>
      </c>
      <c r="J138" s="392">
        <v>0</v>
      </c>
      <c r="K138" s="392">
        <v>0</v>
      </c>
      <c r="L138" s="392">
        <v>0</v>
      </c>
      <c r="M138" s="391">
        <v>0</v>
      </c>
      <c r="N138" s="393">
        <v>0</v>
      </c>
      <c r="O138" s="392">
        <v>0</v>
      </c>
      <c r="P138" s="392">
        <v>0</v>
      </c>
      <c r="Q138" s="392">
        <v>0</v>
      </c>
      <c r="R138" s="391">
        <v>0</v>
      </c>
      <c r="S138" s="393">
        <v>0</v>
      </c>
      <c r="T138" s="392">
        <v>0</v>
      </c>
      <c r="U138" s="392">
        <v>0</v>
      </c>
      <c r="V138" s="392">
        <v>0</v>
      </c>
      <c r="W138" s="391">
        <v>0</v>
      </c>
    </row>
    <row r="139" spans="1:23" ht="12.75" customHeight="1" outlineLevel="1">
      <c r="A139" s="389" t="s">
        <v>148</v>
      </c>
      <c r="B139" s="347">
        <f>IF($B131=1,B138+B137,B138*$B131*0.5)</f>
        <v>0</v>
      </c>
      <c r="C139" s="347">
        <f t="shared" ref="C139:W139" si="32">IF($B131=1,C138+C137,(C137+C138*0.5)*$B131)</f>
        <v>9.202500000000001E-2</v>
      </c>
      <c r="D139" s="369">
        <f t="shared" si="32"/>
        <v>0.4445925</v>
      </c>
      <c r="E139" s="347">
        <f t="shared" si="32"/>
        <v>0.70346475000000008</v>
      </c>
      <c r="F139" s="347">
        <f t="shared" si="32"/>
        <v>0.59652532500000011</v>
      </c>
      <c r="G139" s="347">
        <f t="shared" si="32"/>
        <v>0.41756772750000004</v>
      </c>
      <c r="H139" s="368">
        <f t="shared" si="32"/>
        <v>0.29229740925000003</v>
      </c>
      <c r="I139" s="369">
        <f t="shared" si="32"/>
        <v>0.20460818647500001</v>
      </c>
      <c r="J139" s="347">
        <f t="shared" si="32"/>
        <v>0.14322573053249998</v>
      </c>
      <c r="K139" s="347">
        <f t="shared" si="32"/>
        <v>0.10025801137274999</v>
      </c>
      <c r="L139" s="347">
        <f t="shared" si="32"/>
        <v>7.0180607960924998E-2</v>
      </c>
      <c r="M139" s="368">
        <f t="shared" si="32"/>
        <v>4.9126425572647486E-2</v>
      </c>
      <c r="N139" s="369">
        <f t="shared" si="32"/>
        <v>3.4388497900853243E-2</v>
      </c>
      <c r="O139" s="347">
        <f t="shared" si="32"/>
        <v>2.4071948530597267E-2</v>
      </c>
      <c r="P139" s="347">
        <f t="shared" si="32"/>
        <v>1.6850363971418085E-2</v>
      </c>
      <c r="Q139" s="347">
        <f t="shared" si="32"/>
        <v>1.1795254779992657E-2</v>
      </c>
      <c r="R139" s="368">
        <f t="shared" si="32"/>
        <v>8.2566783459948594E-3</v>
      </c>
      <c r="S139" s="369">
        <f t="shared" si="32"/>
        <v>5.7796748421964006E-3</v>
      </c>
      <c r="T139" s="347">
        <f t="shared" si="32"/>
        <v>4.0457723895374791E-3</v>
      </c>
      <c r="U139" s="347">
        <f t="shared" si="32"/>
        <v>2.832040672676236E-3</v>
      </c>
      <c r="V139" s="347">
        <f t="shared" si="32"/>
        <v>1.9824284708733651E-3</v>
      </c>
      <c r="W139" s="368">
        <f t="shared" si="32"/>
        <v>1.3876999296113554E-3</v>
      </c>
    </row>
    <row r="140" spans="1:23" ht="12.75" customHeight="1" outlineLevel="1">
      <c r="A140" s="388" t="s">
        <v>113</v>
      </c>
      <c r="B140" s="387">
        <f t="shared" ref="B140:W140" si="33">B137+B138-B139</f>
        <v>0</v>
      </c>
      <c r="C140" s="385">
        <f t="shared" si="33"/>
        <v>0.52147499999999991</v>
      </c>
      <c r="D140" s="387">
        <f t="shared" si="33"/>
        <v>1.9978825</v>
      </c>
      <c r="E140" s="386">
        <f t="shared" si="33"/>
        <v>1.98841775</v>
      </c>
      <c r="F140" s="386">
        <f t="shared" si="33"/>
        <v>1.391892425</v>
      </c>
      <c r="G140" s="386">
        <f t="shared" si="33"/>
        <v>0.97432469749999995</v>
      </c>
      <c r="H140" s="385">
        <f t="shared" si="33"/>
        <v>0.68202728824999992</v>
      </c>
      <c r="I140" s="387">
        <f t="shared" si="33"/>
        <v>0.47741910177499991</v>
      </c>
      <c r="J140" s="386">
        <f t="shared" si="33"/>
        <v>0.33419337124249993</v>
      </c>
      <c r="K140" s="386">
        <f t="shared" si="33"/>
        <v>0.23393535986974995</v>
      </c>
      <c r="L140" s="386">
        <f t="shared" si="33"/>
        <v>0.16375475190882494</v>
      </c>
      <c r="M140" s="385">
        <f t="shared" si="33"/>
        <v>0.11462832633617745</v>
      </c>
      <c r="N140" s="387">
        <f t="shared" si="33"/>
        <v>8.0239828435324206E-2</v>
      </c>
      <c r="O140" s="386">
        <f t="shared" si="33"/>
        <v>5.6167879904726936E-2</v>
      </c>
      <c r="P140" s="386">
        <f t="shared" si="33"/>
        <v>3.9317515933308851E-2</v>
      </c>
      <c r="Q140" s="386">
        <f t="shared" si="33"/>
        <v>2.7522261153316192E-2</v>
      </c>
      <c r="R140" s="385">
        <f t="shared" si="33"/>
        <v>1.9265582807321331E-2</v>
      </c>
      <c r="S140" s="387">
        <f t="shared" si="33"/>
        <v>1.348590796512493E-2</v>
      </c>
      <c r="T140" s="386">
        <f t="shared" si="33"/>
        <v>9.4401355755874515E-3</v>
      </c>
      <c r="U140" s="386">
        <f t="shared" si="33"/>
        <v>6.6080949029112155E-3</v>
      </c>
      <c r="V140" s="386">
        <f t="shared" si="33"/>
        <v>4.6256664320378504E-3</v>
      </c>
      <c r="W140" s="385">
        <f t="shared" si="33"/>
        <v>3.237966502426495E-3</v>
      </c>
    </row>
    <row r="141" spans="1:23" ht="12.75" customHeight="1" outlineLevel="1"/>
    <row r="142" spans="1:23" ht="12.75" customHeight="1" outlineLevel="1"/>
    <row r="143" spans="1:23" ht="12.75" customHeight="1" outlineLevel="1">
      <c r="A143" s="350" t="str">
        <f>A77</f>
        <v>Repairs</v>
      </c>
    </row>
    <row r="144" spans="1:23" ht="12.75" customHeight="1" outlineLevel="1">
      <c r="A144" s="414" t="s">
        <v>131</v>
      </c>
      <c r="B144" s="413">
        <f>B77</f>
        <v>0</v>
      </c>
      <c r="C144" s="412"/>
      <c r="D144" s="380"/>
      <c r="E144" s="380"/>
    </row>
    <row r="145" spans="1:23" ht="12.75" customHeight="1" outlineLevel="1">
      <c r="A145" s="411" t="s">
        <v>155</v>
      </c>
      <c r="B145" s="393">
        <f>C77</f>
        <v>0</v>
      </c>
      <c r="C145" s="410"/>
      <c r="D145" s="380"/>
      <c r="E145" s="380"/>
    </row>
    <row r="146" spans="1:23" ht="12.75" customHeight="1" outlineLevel="1">
      <c r="A146" s="411" t="s">
        <v>154</v>
      </c>
      <c r="B146" s="393" t="str">
        <f>D77</f>
        <v>Fully Deductible</v>
      </c>
      <c r="C146" s="410"/>
      <c r="D146" s="380"/>
      <c r="E146" s="380"/>
    </row>
    <row r="147" spans="1:23" ht="12.75" customHeight="1" outlineLevel="1">
      <c r="A147" s="409" t="s">
        <v>152</v>
      </c>
      <c r="B147" s="408">
        <f>IF(AND(B145=0,B146=""),0,IF(B146="Straight Line",1/B145,IF(B146="Declining Balance",1/B145*1.5,1)))</f>
        <v>1</v>
      </c>
      <c r="C147" s="407"/>
      <c r="D147" s="380"/>
      <c r="E147" s="380"/>
    </row>
    <row r="148" spans="1:23" ht="12.75" customHeight="1" outlineLevel="1">
      <c r="A148" s="380"/>
      <c r="B148" s="392"/>
      <c r="C148" s="380"/>
      <c r="D148" s="380"/>
      <c r="E148" s="380"/>
    </row>
    <row r="149" spans="1:23" ht="12.75" customHeight="1" outlineLevel="1">
      <c r="A149" s="380" t="s">
        <v>137</v>
      </c>
      <c r="B149" s="494">
        <v>1996</v>
      </c>
      <c r="C149" s="493">
        <v>1997</v>
      </c>
      <c r="D149" s="492">
        <v>1998</v>
      </c>
      <c r="E149" s="491">
        <v>1999</v>
      </c>
    </row>
    <row r="150" spans="1:23" ht="12.75" customHeight="1" outlineLevel="1">
      <c r="A150" s="402" t="s">
        <v>150</v>
      </c>
      <c r="B150" s="401">
        <v>0</v>
      </c>
      <c r="C150" s="400">
        <v>0</v>
      </c>
      <c r="D150" s="400">
        <v>2.3010000000000002</v>
      </c>
      <c r="E150" s="479">
        <v>2.6440000000000001</v>
      </c>
    </row>
    <row r="151" spans="1:23" ht="12.75" customHeight="1" outlineLevel="1">
      <c r="A151" s="380"/>
      <c r="B151" s="392"/>
      <c r="C151" s="380"/>
    </row>
    <row r="152" spans="1:23" ht="12.75" customHeight="1" outlineLevel="1">
      <c r="B152" s="364">
        <v>1996</v>
      </c>
      <c r="C152" s="362">
        <v>1997</v>
      </c>
      <c r="D152" s="364">
        <v>1998</v>
      </c>
      <c r="E152" s="363">
        <v>1999</v>
      </c>
      <c r="F152" s="363">
        <v>2000</v>
      </c>
      <c r="G152" s="363">
        <v>2001</v>
      </c>
      <c r="H152" s="362">
        <v>2002</v>
      </c>
      <c r="I152" s="364">
        <v>2003</v>
      </c>
      <c r="J152" s="363">
        <v>2004</v>
      </c>
      <c r="K152" s="363">
        <v>2005</v>
      </c>
      <c r="L152" s="363">
        <v>2006</v>
      </c>
      <c r="M152" s="362">
        <v>2007</v>
      </c>
      <c r="N152" s="364">
        <v>2008</v>
      </c>
      <c r="O152" s="363">
        <v>2009</v>
      </c>
      <c r="P152" s="363">
        <v>2010</v>
      </c>
      <c r="Q152" s="363">
        <v>2011</v>
      </c>
      <c r="R152" s="362">
        <v>2012</v>
      </c>
      <c r="S152" s="364">
        <f t="shared" ref="S152:W152" si="34">R152+1</f>
        <v>2013</v>
      </c>
      <c r="T152" s="363">
        <f t="shared" si="34"/>
        <v>2014</v>
      </c>
      <c r="U152" s="363">
        <f t="shared" si="34"/>
        <v>2015</v>
      </c>
      <c r="V152" s="363">
        <f t="shared" si="34"/>
        <v>2016</v>
      </c>
      <c r="W152" s="362">
        <f t="shared" si="34"/>
        <v>2017</v>
      </c>
    </row>
    <row r="153" spans="1:23" ht="12.75" customHeight="1" outlineLevel="1">
      <c r="A153" s="394" t="s">
        <v>2</v>
      </c>
      <c r="B153" s="393">
        <f>B144</f>
        <v>0</v>
      </c>
      <c r="C153" s="391">
        <f t="shared" ref="C153:W153" si="35">B156</f>
        <v>0</v>
      </c>
      <c r="D153" s="393">
        <f t="shared" si="35"/>
        <v>0</v>
      </c>
      <c r="E153" s="392">
        <f t="shared" si="35"/>
        <v>0</v>
      </c>
      <c r="F153" s="392">
        <f t="shared" si="35"/>
        <v>0</v>
      </c>
      <c r="G153" s="392">
        <f t="shared" si="35"/>
        <v>0</v>
      </c>
      <c r="H153" s="391">
        <f t="shared" si="35"/>
        <v>0</v>
      </c>
      <c r="I153" s="393">
        <f t="shared" si="35"/>
        <v>0</v>
      </c>
      <c r="J153" s="392">
        <f t="shared" si="35"/>
        <v>0</v>
      </c>
      <c r="K153" s="392">
        <f t="shared" si="35"/>
        <v>0</v>
      </c>
      <c r="L153" s="392">
        <f t="shared" si="35"/>
        <v>0</v>
      </c>
      <c r="M153" s="391">
        <f t="shared" si="35"/>
        <v>0</v>
      </c>
      <c r="N153" s="393">
        <f t="shared" si="35"/>
        <v>0</v>
      </c>
      <c r="O153" s="392">
        <f t="shared" si="35"/>
        <v>0</v>
      </c>
      <c r="P153" s="392">
        <f t="shared" si="35"/>
        <v>0</v>
      </c>
      <c r="Q153" s="392">
        <f t="shared" si="35"/>
        <v>0</v>
      </c>
      <c r="R153" s="391">
        <f t="shared" si="35"/>
        <v>0</v>
      </c>
      <c r="S153" s="393">
        <f t="shared" si="35"/>
        <v>0</v>
      </c>
      <c r="T153" s="392">
        <f t="shared" si="35"/>
        <v>0</v>
      </c>
      <c r="U153" s="392">
        <f t="shared" si="35"/>
        <v>0</v>
      </c>
      <c r="V153" s="392">
        <f t="shared" si="35"/>
        <v>0</v>
      </c>
      <c r="W153" s="391">
        <f t="shared" si="35"/>
        <v>0</v>
      </c>
    </row>
    <row r="154" spans="1:23" ht="12.75" customHeight="1" outlineLevel="1">
      <c r="A154" s="389" t="s">
        <v>149</v>
      </c>
      <c r="B154" s="393">
        <f>B150</f>
        <v>0</v>
      </c>
      <c r="C154" s="391">
        <f>C150</f>
        <v>0</v>
      </c>
      <c r="D154" s="393">
        <f>D150</f>
        <v>2.3010000000000002</v>
      </c>
      <c r="E154" s="392">
        <f>E150</f>
        <v>2.6440000000000001</v>
      </c>
      <c r="F154" s="392">
        <v>0</v>
      </c>
      <c r="G154" s="392">
        <v>0</v>
      </c>
      <c r="H154" s="391">
        <v>0</v>
      </c>
      <c r="I154" s="393">
        <v>0</v>
      </c>
      <c r="J154" s="392">
        <v>0</v>
      </c>
      <c r="K154" s="392">
        <v>0</v>
      </c>
      <c r="L154" s="392">
        <v>0</v>
      </c>
      <c r="M154" s="391">
        <v>0</v>
      </c>
      <c r="N154" s="393">
        <v>0</v>
      </c>
      <c r="O154" s="392">
        <v>0</v>
      </c>
      <c r="P154" s="392">
        <v>0</v>
      </c>
      <c r="Q154" s="392">
        <v>0</v>
      </c>
      <c r="R154" s="391">
        <v>0</v>
      </c>
      <c r="S154" s="393">
        <v>0</v>
      </c>
      <c r="T154" s="392">
        <v>0</v>
      </c>
      <c r="U154" s="392">
        <v>0</v>
      </c>
      <c r="V154" s="392">
        <v>0</v>
      </c>
      <c r="W154" s="391">
        <v>0</v>
      </c>
    </row>
    <row r="155" spans="1:23" ht="12.75" customHeight="1" outlineLevel="1">
      <c r="A155" s="389" t="s">
        <v>148</v>
      </c>
      <c r="B155" s="347">
        <f>IF($B147=1,B154+B153,B154*$B147*0.5)</f>
        <v>0</v>
      </c>
      <c r="C155" s="347">
        <f t="shared" ref="C155:W155" si="36">IF($B147=1,C154+C153,(C153+C154*0.5)*$B147)</f>
        <v>0</v>
      </c>
      <c r="D155" s="369">
        <f t="shared" si="36"/>
        <v>2.3010000000000002</v>
      </c>
      <c r="E155" s="347">
        <f t="shared" si="36"/>
        <v>2.6440000000000001</v>
      </c>
      <c r="F155" s="347">
        <f t="shared" si="36"/>
        <v>0</v>
      </c>
      <c r="G155" s="347">
        <f t="shared" si="36"/>
        <v>0</v>
      </c>
      <c r="H155" s="368">
        <f t="shared" si="36"/>
        <v>0</v>
      </c>
      <c r="I155" s="369">
        <f t="shared" si="36"/>
        <v>0</v>
      </c>
      <c r="J155" s="347">
        <f t="shared" si="36"/>
        <v>0</v>
      </c>
      <c r="K155" s="347">
        <f t="shared" si="36"/>
        <v>0</v>
      </c>
      <c r="L155" s="347">
        <f t="shared" si="36"/>
        <v>0</v>
      </c>
      <c r="M155" s="368">
        <f t="shared" si="36"/>
        <v>0</v>
      </c>
      <c r="N155" s="369">
        <f t="shared" si="36"/>
        <v>0</v>
      </c>
      <c r="O155" s="347">
        <f t="shared" si="36"/>
        <v>0</v>
      </c>
      <c r="P155" s="347">
        <f t="shared" si="36"/>
        <v>0</v>
      </c>
      <c r="Q155" s="347">
        <f t="shared" si="36"/>
        <v>0</v>
      </c>
      <c r="R155" s="368">
        <f t="shared" si="36"/>
        <v>0</v>
      </c>
      <c r="S155" s="369">
        <f t="shared" si="36"/>
        <v>0</v>
      </c>
      <c r="T155" s="347">
        <f t="shared" si="36"/>
        <v>0</v>
      </c>
      <c r="U155" s="347">
        <f t="shared" si="36"/>
        <v>0</v>
      </c>
      <c r="V155" s="347">
        <f t="shared" si="36"/>
        <v>0</v>
      </c>
      <c r="W155" s="368">
        <f t="shared" si="36"/>
        <v>0</v>
      </c>
    </row>
    <row r="156" spans="1:23" ht="12.75" customHeight="1" outlineLevel="1">
      <c r="A156" s="388" t="s">
        <v>113</v>
      </c>
      <c r="B156" s="387">
        <f t="shared" ref="B156:W156" si="37">B153+B154-B155</f>
        <v>0</v>
      </c>
      <c r="C156" s="385">
        <f t="shared" si="37"/>
        <v>0</v>
      </c>
      <c r="D156" s="387">
        <f t="shared" si="37"/>
        <v>0</v>
      </c>
      <c r="E156" s="386">
        <f t="shared" si="37"/>
        <v>0</v>
      </c>
      <c r="F156" s="386">
        <f t="shared" si="37"/>
        <v>0</v>
      </c>
      <c r="G156" s="386">
        <f t="shared" si="37"/>
        <v>0</v>
      </c>
      <c r="H156" s="385">
        <f t="shared" si="37"/>
        <v>0</v>
      </c>
      <c r="I156" s="387">
        <f t="shared" si="37"/>
        <v>0</v>
      </c>
      <c r="J156" s="386">
        <f t="shared" si="37"/>
        <v>0</v>
      </c>
      <c r="K156" s="386">
        <f t="shared" si="37"/>
        <v>0</v>
      </c>
      <c r="L156" s="386">
        <f t="shared" si="37"/>
        <v>0</v>
      </c>
      <c r="M156" s="385">
        <f t="shared" si="37"/>
        <v>0</v>
      </c>
      <c r="N156" s="387">
        <f t="shared" si="37"/>
        <v>0</v>
      </c>
      <c r="O156" s="386">
        <f t="shared" si="37"/>
        <v>0</v>
      </c>
      <c r="P156" s="386">
        <f t="shared" si="37"/>
        <v>0</v>
      </c>
      <c r="Q156" s="386">
        <f t="shared" si="37"/>
        <v>0</v>
      </c>
      <c r="R156" s="385">
        <f t="shared" si="37"/>
        <v>0</v>
      </c>
      <c r="S156" s="387">
        <f t="shared" si="37"/>
        <v>0</v>
      </c>
      <c r="T156" s="386">
        <f t="shared" si="37"/>
        <v>0</v>
      </c>
      <c r="U156" s="386">
        <f t="shared" si="37"/>
        <v>0</v>
      </c>
      <c r="V156" s="386">
        <f t="shared" si="37"/>
        <v>0</v>
      </c>
      <c r="W156" s="385">
        <f t="shared" si="37"/>
        <v>0</v>
      </c>
    </row>
    <row r="157" spans="1:23" ht="12.75" customHeight="1" outlineLevel="1"/>
    <row r="158" spans="1:23" ht="12.75" customHeight="1" outlineLevel="1"/>
    <row r="159" spans="1:23" ht="12.75" customHeight="1" outlineLevel="1">
      <c r="A159" s="350" t="s">
        <v>188</v>
      </c>
    </row>
    <row r="160" spans="1:23" ht="12.75" customHeight="1" outlineLevel="1">
      <c r="A160" s="350"/>
    </row>
    <row r="161" spans="1:23" ht="12.75" customHeight="1" outlineLevel="1">
      <c r="B161" s="364">
        <v>1996</v>
      </c>
      <c r="C161" s="362">
        <v>1997</v>
      </c>
      <c r="D161" s="364">
        <v>1998</v>
      </c>
      <c r="E161" s="363">
        <v>1999</v>
      </c>
      <c r="F161" s="363">
        <v>2000</v>
      </c>
      <c r="G161" s="363">
        <v>2001</v>
      </c>
      <c r="H161" s="362">
        <v>2002</v>
      </c>
      <c r="I161" s="364">
        <v>2003</v>
      </c>
      <c r="J161" s="363">
        <v>2004</v>
      </c>
      <c r="K161" s="363">
        <v>2005</v>
      </c>
      <c r="L161" s="363">
        <v>2006</v>
      </c>
      <c r="M161" s="362">
        <v>2007</v>
      </c>
      <c r="N161" s="364">
        <v>2008</v>
      </c>
      <c r="O161" s="363">
        <v>2009</v>
      </c>
      <c r="P161" s="363">
        <v>2010</v>
      </c>
      <c r="Q161" s="363">
        <v>2011</v>
      </c>
      <c r="R161" s="362">
        <v>2012</v>
      </c>
      <c r="S161" s="364">
        <f t="shared" ref="S161:W161" si="38">R161+1</f>
        <v>2013</v>
      </c>
      <c r="T161" s="363">
        <f t="shared" si="38"/>
        <v>2014</v>
      </c>
      <c r="U161" s="363">
        <f t="shared" si="38"/>
        <v>2015</v>
      </c>
      <c r="V161" s="363">
        <f t="shared" si="38"/>
        <v>2016</v>
      </c>
      <c r="W161" s="362">
        <f t="shared" si="38"/>
        <v>2017</v>
      </c>
    </row>
    <row r="162" spans="1:23" ht="12.75" customHeight="1" outlineLevel="1">
      <c r="A162" s="394" t="s">
        <v>2</v>
      </c>
      <c r="B162" s="427">
        <f t="shared" ref="B162:W162" si="39">B92+B107+B122+B137+B153</f>
        <v>0</v>
      </c>
      <c r="C162" s="428">
        <f t="shared" si="39"/>
        <v>10.127700000000001</v>
      </c>
      <c r="D162" s="427">
        <f t="shared" si="39"/>
        <v>31.855403750000001</v>
      </c>
      <c r="E162" s="426">
        <f t="shared" si="39"/>
        <v>50.597629249999997</v>
      </c>
      <c r="F162" s="426">
        <f t="shared" si="39"/>
        <v>54.216841399999993</v>
      </c>
      <c r="G162" s="426">
        <f t="shared" si="39"/>
        <v>43.217270094999996</v>
      </c>
      <c r="H162" s="428">
        <f t="shared" si="39"/>
        <v>34.475978083500003</v>
      </c>
      <c r="I162" s="427">
        <f t="shared" si="39"/>
        <v>27.52341374705</v>
      </c>
      <c r="J162" s="426">
        <f t="shared" si="39"/>
        <v>21.989304518814997</v>
      </c>
      <c r="K162" s="426">
        <f t="shared" si="39"/>
        <v>17.581190454874498</v>
      </c>
      <c r="L162" s="426">
        <f t="shared" si="39"/>
        <v>14.067734276775351</v>
      </c>
      <c r="M162" s="428">
        <f t="shared" si="39"/>
        <v>11.265707635433305</v>
      </c>
      <c r="N162" s="427">
        <f t="shared" si="39"/>
        <v>9.0298168831557621</v>
      </c>
      <c r="O162" s="426">
        <f t="shared" si="39"/>
        <v>7.2447294238909921</v>
      </c>
      <c r="P162" s="426">
        <f t="shared" si="39"/>
        <v>5.8188108062692612</v>
      </c>
      <c r="Q162" s="426">
        <f t="shared" si="39"/>
        <v>4.6791956070249361</v>
      </c>
      <c r="R162" s="428">
        <f t="shared" si="39"/>
        <v>3.7679009840266176</v>
      </c>
      <c r="S162" s="427">
        <f t="shared" si="39"/>
        <v>3.0387573111059627</v>
      </c>
      <c r="T162" s="426">
        <f t="shared" si="39"/>
        <v>2.4549805406040379</v>
      </c>
      <c r="U162" s="426">
        <f t="shared" si="39"/>
        <v>1.9872495916867177</v>
      </c>
      <c r="V162" s="426">
        <f t="shared" si="39"/>
        <v>1.6121819097918153</v>
      </c>
      <c r="W162" s="428">
        <f t="shared" si="39"/>
        <v>1.3111234683431612</v>
      </c>
    </row>
    <row r="163" spans="1:23" ht="12.75" customHeight="1" outlineLevel="1">
      <c r="A163" s="389" t="s">
        <v>137</v>
      </c>
      <c r="B163" s="427">
        <f t="shared" ref="B163:W163" si="40">B93+B108+B123+B138+B154</f>
        <v>12.0975</v>
      </c>
      <c r="C163" s="428">
        <f t="shared" si="40"/>
        <v>28.6495</v>
      </c>
      <c r="D163" s="427">
        <f t="shared" si="40"/>
        <v>34.46</v>
      </c>
      <c r="E163" s="426">
        <f t="shared" si="40"/>
        <v>21.369</v>
      </c>
      <c r="F163" s="426">
        <f t="shared" si="40"/>
        <v>0</v>
      </c>
      <c r="G163" s="426">
        <f t="shared" si="40"/>
        <v>0</v>
      </c>
      <c r="H163" s="428">
        <f t="shared" si="40"/>
        <v>0</v>
      </c>
      <c r="I163" s="427">
        <f t="shared" si="40"/>
        <v>0</v>
      </c>
      <c r="J163" s="426">
        <f t="shared" si="40"/>
        <v>0</v>
      </c>
      <c r="K163" s="426">
        <f t="shared" si="40"/>
        <v>0</v>
      </c>
      <c r="L163" s="426">
        <f t="shared" si="40"/>
        <v>0</v>
      </c>
      <c r="M163" s="428">
        <f t="shared" si="40"/>
        <v>0</v>
      </c>
      <c r="N163" s="427">
        <f t="shared" si="40"/>
        <v>0</v>
      </c>
      <c r="O163" s="426">
        <f t="shared" si="40"/>
        <v>0</v>
      </c>
      <c r="P163" s="426">
        <f t="shared" si="40"/>
        <v>0</v>
      </c>
      <c r="Q163" s="426">
        <f t="shared" si="40"/>
        <v>0</v>
      </c>
      <c r="R163" s="428">
        <f t="shared" si="40"/>
        <v>0</v>
      </c>
      <c r="S163" s="427">
        <f t="shared" si="40"/>
        <v>0</v>
      </c>
      <c r="T163" s="426">
        <f t="shared" si="40"/>
        <v>0</v>
      </c>
      <c r="U163" s="426">
        <f t="shared" si="40"/>
        <v>0</v>
      </c>
      <c r="V163" s="426">
        <f t="shared" si="40"/>
        <v>0</v>
      </c>
      <c r="W163" s="428">
        <f t="shared" si="40"/>
        <v>0</v>
      </c>
    </row>
    <row r="164" spans="1:23" ht="12.75" customHeight="1" outlineLevel="1">
      <c r="A164" s="389" t="s">
        <v>136</v>
      </c>
      <c r="B164" s="427">
        <f t="shared" ref="B164:W164" si="41">B94+B109+B124+B139+B155</f>
        <v>1.9698</v>
      </c>
      <c r="C164" s="428">
        <f t="shared" si="41"/>
        <v>6.9217962499999999</v>
      </c>
      <c r="D164" s="427">
        <f t="shared" si="41"/>
        <v>15.717774500000003</v>
      </c>
      <c r="E164" s="426">
        <f t="shared" si="41"/>
        <v>17.749787850000001</v>
      </c>
      <c r="F164" s="426">
        <f t="shared" si="41"/>
        <v>10.999571305</v>
      </c>
      <c r="G164" s="426">
        <f t="shared" si="41"/>
        <v>8.7412920115000006</v>
      </c>
      <c r="H164" s="428">
        <f t="shared" si="41"/>
        <v>6.95256433645</v>
      </c>
      <c r="I164" s="427">
        <f t="shared" si="41"/>
        <v>5.5341092282349997</v>
      </c>
      <c r="J164" s="426">
        <f t="shared" si="41"/>
        <v>4.4081140639405003</v>
      </c>
      <c r="K164" s="426">
        <f t="shared" si="41"/>
        <v>3.5134561780991507</v>
      </c>
      <c r="L164" s="426">
        <f t="shared" si="41"/>
        <v>2.8020266413420454</v>
      </c>
      <c r="M164" s="428">
        <f t="shared" si="41"/>
        <v>2.2358907522775437</v>
      </c>
      <c r="N164" s="427">
        <f t="shared" si="41"/>
        <v>1.7850874592647703</v>
      </c>
      <c r="O164" s="426">
        <f t="shared" si="41"/>
        <v>1.4259186176217311</v>
      </c>
      <c r="P164" s="426">
        <f t="shared" si="41"/>
        <v>1.1396151992443251</v>
      </c>
      <c r="Q164" s="426">
        <f t="shared" si="41"/>
        <v>0.9112946229983182</v>
      </c>
      <c r="R164" s="428">
        <f t="shared" si="41"/>
        <v>0.72914367292065529</v>
      </c>
      <c r="S164" s="427">
        <f t="shared" si="41"/>
        <v>0.58377677050192467</v>
      </c>
      <c r="T164" s="426">
        <f t="shared" si="41"/>
        <v>0.46773094891732009</v>
      </c>
      <c r="U164" s="426">
        <f t="shared" si="41"/>
        <v>0.37506768189490231</v>
      </c>
      <c r="V164" s="426">
        <f t="shared" si="41"/>
        <v>0.30105844144865423</v>
      </c>
      <c r="W164" s="428">
        <f t="shared" si="41"/>
        <v>0.24193601031183606</v>
      </c>
    </row>
    <row r="165" spans="1:23" ht="12.75" customHeight="1" outlineLevel="1">
      <c r="A165" s="388" t="s">
        <v>113</v>
      </c>
      <c r="B165" s="421">
        <f t="shared" ref="B165:W165" si="42">B162+B163-B164</f>
        <v>10.127700000000001</v>
      </c>
      <c r="C165" s="422">
        <f t="shared" si="42"/>
        <v>31.855403750000001</v>
      </c>
      <c r="D165" s="421">
        <f t="shared" si="42"/>
        <v>50.597629249999997</v>
      </c>
      <c r="E165" s="420">
        <f t="shared" si="42"/>
        <v>54.216841399999993</v>
      </c>
      <c r="F165" s="420">
        <f t="shared" si="42"/>
        <v>43.217270094999989</v>
      </c>
      <c r="G165" s="420">
        <f t="shared" si="42"/>
        <v>34.475978083499996</v>
      </c>
      <c r="H165" s="422">
        <f t="shared" si="42"/>
        <v>27.523413747050004</v>
      </c>
      <c r="I165" s="421">
        <f t="shared" si="42"/>
        <v>21.989304518815</v>
      </c>
      <c r="J165" s="420">
        <f t="shared" si="42"/>
        <v>17.581190454874495</v>
      </c>
      <c r="K165" s="420">
        <f t="shared" si="42"/>
        <v>14.067734276775347</v>
      </c>
      <c r="L165" s="420">
        <f t="shared" si="42"/>
        <v>11.265707635433305</v>
      </c>
      <c r="M165" s="422">
        <f t="shared" si="42"/>
        <v>9.0298168831557604</v>
      </c>
      <c r="N165" s="421">
        <f t="shared" si="42"/>
        <v>7.2447294238909921</v>
      </c>
      <c r="O165" s="420">
        <f t="shared" si="42"/>
        <v>5.8188108062692612</v>
      </c>
      <c r="P165" s="420">
        <f t="shared" si="42"/>
        <v>4.6791956070249361</v>
      </c>
      <c r="Q165" s="420">
        <f t="shared" si="42"/>
        <v>3.767900984026618</v>
      </c>
      <c r="R165" s="422">
        <f t="shared" si="42"/>
        <v>3.0387573111059623</v>
      </c>
      <c r="S165" s="421">
        <f t="shared" si="42"/>
        <v>2.4549805406040379</v>
      </c>
      <c r="T165" s="420">
        <f t="shared" si="42"/>
        <v>1.9872495916867179</v>
      </c>
      <c r="U165" s="420">
        <f t="shared" si="42"/>
        <v>1.6121819097918153</v>
      </c>
      <c r="V165" s="420">
        <f t="shared" si="42"/>
        <v>1.311123468343161</v>
      </c>
      <c r="W165" s="422">
        <f t="shared" si="42"/>
        <v>1.0691874580313252</v>
      </c>
    </row>
    <row r="166" spans="1:23" ht="12.75" customHeight="1" outlineLevel="1"/>
    <row r="167" spans="1:23" ht="12.75" customHeight="1" outlineLevel="1">
      <c r="A167" s="350"/>
      <c r="B167" s="495"/>
      <c r="C167" s="495"/>
      <c r="D167" s="495"/>
      <c r="E167" s="495"/>
      <c r="F167" s="495"/>
      <c r="G167" s="495"/>
      <c r="H167" s="495"/>
      <c r="I167" s="495"/>
      <c r="J167" s="495"/>
      <c r="K167" s="495"/>
      <c r="L167" s="495"/>
      <c r="M167" s="495"/>
    </row>
    <row r="168" spans="1:23" ht="12.75" customHeight="1" outlineLevel="1">
      <c r="B168" s="347"/>
      <c r="C168" s="347"/>
      <c r="D168" s="347"/>
      <c r="E168" s="347"/>
      <c r="F168" s="347"/>
      <c r="G168" s="347"/>
      <c r="H168" s="347"/>
      <c r="I168" s="347"/>
      <c r="J168" s="347"/>
      <c r="K168" s="347"/>
      <c r="L168" s="347"/>
      <c r="M168" s="347"/>
    </row>
    <row r="169" spans="1:23" ht="12.75" customHeight="1" outlineLevel="1">
      <c r="B169" s="347"/>
      <c r="C169" s="347"/>
      <c r="D169" s="347"/>
      <c r="E169" s="347"/>
      <c r="F169" s="347"/>
      <c r="G169" s="347"/>
      <c r="H169" s="347"/>
      <c r="I169" s="347"/>
      <c r="J169" s="347"/>
      <c r="K169" s="347"/>
      <c r="L169" s="347"/>
      <c r="M169" s="347"/>
    </row>
    <row r="171" spans="1:23">
      <c r="A171" s="356" t="s">
        <v>187</v>
      </c>
    </row>
    <row r="173" spans="1:23" ht="25.5" customHeight="1" outlineLevel="1">
      <c r="A173" s="415" t="s">
        <v>186</v>
      </c>
      <c r="B173" s="478" t="s">
        <v>163</v>
      </c>
      <c r="C173" s="478" t="s">
        <v>162</v>
      </c>
      <c r="D173" s="658" t="s">
        <v>161</v>
      </c>
      <c r="E173" s="658"/>
    </row>
    <row r="174" spans="1:23" ht="12.75" customHeight="1" outlineLevel="1">
      <c r="A174" s="394" t="s">
        <v>121</v>
      </c>
      <c r="B174" s="477">
        <v>0</v>
      </c>
      <c r="C174" s="413">
        <v>50</v>
      </c>
      <c r="D174" s="413" t="s">
        <v>168</v>
      </c>
      <c r="E174" s="412"/>
    </row>
    <row r="175" spans="1:23" ht="12.75" customHeight="1" outlineLevel="1">
      <c r="A175" s="389" t="s">
        <v>122</v>
      </c>
      <c r="B175" s="475">
        <f>B174</f>
        <v>0</v>
      </c>
      <c r="C175" s="393">
        <v>4</v>
      </c>
      <c r="D175" s="393" t="s">
        <v>168</v>
      </c>
      <c r="E175" s="410"/>
    </row>
    <row r="176" spans="1:23" ht="12.75" customHeight="1" outlineLevel="1">
      <c r="A176" s="389" t="s">
        <v>132</v>
      </c>
      <c r="B176" s="475">
        <f>B175</f>
        <v>0</v>
      </c>
      <c r="C176" s="393">
        <v>40</v>
      </c>
      <c r="D176" s="393" t="s">
        <v>153</v>
      </c>
      <c r="E176" s="410"/>
    </row>
    <row r="177" spans="1:23" ht="12.75" customHeight="1" outlineLevel="1">
      <c r="A177" s="389" t="s">
        <v>126</v>
      </c>
      <c r="B177" s="475">
        <f>B176</f>
        <v>0</v>
      </c>
      <c r="C177" s="393">
        <v>10</v>
      </c>
      <c r="D177" s="393" t="s">
        <v>168</v>
      </c>
      <c r="E177" s="410"/>
    </row>
    <row r="178" spans="1:23" ht="12.75" customHeight="1" outlineLevel="1">
      <c r="A178" s="389" t="s">
        <v>159</v>
      </c>
      <c r="B178" s="474">
        <f>B177</f>
        <v>0</v>
      </c>
      <c r="C178" s="473">
        <v>0</v>
      </c>
      <c r="D178" s="387" t="s">
        <v>158</v>
      </c>
      <c r="E178" s="407"/>
    </row>
    <row r="179" spans="1:23" ht="12.75" customHeight="1" outlineLevel="1">
      <c r="A179" s="380"/>
      <c r="B179" s="392">
        <f>SUM(B174:B178)</f>
        <v>0</v>
      </c>
      <c r="C179" s="396"/>
      <c r="D179" s="392"/>
      <c r="E179" s="380"/>
    </row>
    <row r="180" spans="1:23" ht="12.75" customHeight="1" outlineLevel="1"/>
    <row r="181" spans="1:23" ht="12.75" customHeight="1" outlineLevel="1">
      <c r="A181" s="350" t="s">
        <v>157</v>
      </c>
    </row>
    <row r="182" spans="1:23" ht="12.75" customHeight="1" outlineLevel="1"/>
    <row r="183" spans="1:23" ht="12.75" customHeight="1" outlineLevel="1">
      <c r="A183" s="350" t="str">
        <f>A174</f>
        <v>Mains &amp; Services</v>
      </c>
    </row>
    <row r="184" spans="1:23" ht="12.75" customHeight="1" outlineLevel="1">
      <c r="A184" s="414" t="s">
        <v>131</v>
      </c>
      <c r="B184" s="413">
        <f>B174</f>
        <v>0</v>
      </c>
      <c r="C184" s="412"/>
      <c r="D184" s="380"/>
      <c r="E184" s="380"/>
    </row>
    <row r="185" spans="1:23" ht="12.75" customHeight="1" outlineLevel="1">
      <c r="A185" s="411" t="s">
        <v>155</v>
      </c>
      <c r="B185" s="393">
        <f>C174</f>
        <v>50</v>
      </c>
      <c r="C185" s="410"/>
      <c r="D185" s="380"/>
      <c r="E185" s="380"/>
    </row>
    <row r="186" spans="1:23" ht="12.75" customHeight="1" outlineLevel="1">
      <c r="A186" s="411" t="s">
        <v>154</v>
      </c>
      <c r="B186" s="393" t="str">
        <f>D174</f>
        <v>Declining Balance</v>
      </c>
      <c r="C186" s="410"/>
      <c r="D186" s="380"/>
      <c r="E186" s="380"/>
    </row>
    <row r="187" spans="1:23" ht="12.75" customHeight="1" outlineLevel="1">
      <c r="A187" s="409" t="s">
        <v>152</v>
      </c>
      <c r="B187" s="408">
        <f>IF(B186="Straight Line",1/B185,IF(B186="Declining Balance",1/B185*1.5,1))</f>
        <v>0.03</v>
      </c>
      <c r="C187" s="407"/>
      <c r="D187" s="380"/>
      <c r="E187" s="380"/>
    </row>
    <row r="188" spans="1:23" ht="12.75" customHeight="1" outlineLevel="1">
      <c r="A188" s="380"/>
      <c r="B188" s="392"/>
      <c r="C188" s="380"/>
      <c r="D188" s="380"/>
      <c r="E188" s="380"/>
    </row>
    <row r="189" spans="1:23" ht="12.75" customHeight="1" outlineLevel="1">
      <c r="A189" s="380" t="s">
        <v>137</v>
      </c>
      <c r="B189" s="494" t="s">
        <v>185</v>
      </c>
      <c r="C189" s="493" t="s">
        <v>184</v>
      </c>
      <c r="D189" s="492" t="s">
        <v>183</v>
      </c>
      <c r="E189" s="491" t="s">
        <v>179</v>
      </c>
    </row>
    <row r="190" spans="1:23" ht="12.75" customHeight="1" outlineLevel="1">
      <c r="A190" s="402" t="s">
        <v>150</v>
      </c>
      <c r="B190" s="401">
        <v>5.4530000000000003</v>
      </c>
      <c r="C190" s="400">
        <v>18.413</v>
      </c>
      <c r="D190" s="400">
        <v>18.198</v>
      </c>
      <c r="E190" s="479">
        <v>8.892244545567781</v>
      </c>
    </row>
    <row r="191" spans="1:23" ht="12.75" customHeight="1" outlineLevel="1">
      <c r="A191" s="380"/>
      <c r="B191" s="392"/>
      <c r="C191" s="380"/>
    </row>
    <row r="192" spans="1:23" ht="12.75" customHeight="1" outlineLevel="1">
      <c r="B192" s="364">
        <v>1996</v>
      </c>
      <c r="C192" s="362">
        <v>1997</v>
      </c>
      <c r="D192" s="364">
        <v>1998</v>
      </c>
      <c r="E192" s="363">
        <v>1999</v>
      </c>
      <c r="F192" s="363">
        <v>2000</v>
      </c>
      <c r="G192" s="363">
        <v>2001</v>
      </c>
      <c r="H192" s="362">
        <v>2002</v>
      </c>
      <c r="I192" s="364">
        <v>2003</v>
      </c>
      <c r="J192" s="363">
        <v>2004</v>
      </c>
      <c r="K192" s="363">
        <v>2005</v>
      </c>
      <c r="L192" s="363">
        <v>2006</v>
      </c>
      <c r="M192" s="362">
        <v>2007</v>
      </c>
      <c r="N192" s="364">
        <v>2008</v>
      </c>
      <c r="O192" s="363">
        <v>2009</v>
      </c>
      <c r="P192" s="363">
        <v>2010</v>
      </c>
      <c r="Q192" s="363">
        <v>2011</v>
      </c>
      <c r="R192" s="362">
        <v>2012</v>
      </c>
      <c r="S192" s="364">
        <f t="shared" ref="S192:W192" si="43">R192+1</f>
        <v>2013</v>
      </c>
      <c r="T192" s="363">
        <f t="shared" si="43"/>
        <v>2014</v>
      </c>
      <c r="U192" s="363">
        <f t="shared" si="43"/>
        <v>2015</v>
      </c>
      <c r="V192" s="363">
        <f t="shared" si="43"/>
        <v>2016</v>
      </c>
      <c r="W192" s="362">
        <f t="shared" si="43"/>
        <v>2017</v>
      </c>
    </row>
    <row r="193" spans="1:23" ht="12.75" customHeight="1" outlineLevel="1">
      <c r="A193" s="394" t="s">
        <v>2</v>
      </c>
      <c r="B193" s="393">
        <f>B184</f>
        <v>0</v>
      </c>
      <c r="C193" s="391">
        <f t="shared" ref="C193:W193" si="44">B196</f>
        <v>0</v>
      </c>
      <c r="D193" s="393">
        <f t="shared" si="44"/>
        <v>0</v>
      </c>
      <c r="E193" s="392">
        <f t="shared" si="44"/>
        <v>0</v>
      </c>
      <c r="F193" s="392">
        <f t="shared" si="44"/>
        <v>5.3712050000000007</v>
      </c>
      <c r="G193" s="392">
        <f t="shared" si="44"/>
        <v>23.346873850000001</v>
      </c>
      <c r="H193" s="391">
        <f t="shared" si="44"/>
        <v>40.571497634500005</v>
      </c>
      <c r="I193" s="393">
        <f t="shared" si="44"/>
        <v>48.113213582849269</v>
      </c>
      <c r="J193" s="392">
        <f t="shared" si="44"/>
        <v>46.669817175363789</v>
      </c>
      <c r="K193" s="392">
        <f t="shared" si="44"/>
        <v>45.269722660102879</v>
      </c>
      <c r="L193" s="392">
        <f t="shared" si="44"/>
        <v>43.91163098029979</v>
      </c>
      <c r="M193" s="391">
        <f t="shared" si="44"/>
        <v>42.594282050890797</v>
      </c>
      <c r="N193" s="393">
        <f t="shared" si="44"/>
        <v>41.316453589364073</v>
      </c>
      <c r="O193" s="392">
        <f t="shared" si="44"/>
        <v>40.076959981683153</v>
      </c>
      <c r="P193" s="392">
        <f t="shared" si="44"/>
        <v>38.874651182232661</v>
      </c>
      <c r="Q193" s="392">
        <f t="shared" si="44"/>
        <v>37.708411646765683</v>
      </c>
      <c r="R193" s="391">
        <f t="shared" si="44"/>
        <v>36.577159297362712</v>
      </c>
      <c r="S193" s="393">
        <f t="shared" si="44"/>
        <v>35.47984451844183</v>
      </c>
      <c r="T193" s="392">
        <f t="shared" si="44"/>
        <v>34.415449182888572</v>
      </c>
      <c r="U193" s="392">
        <f t="shared" si="44"/>
        <v>33.382985707401915</v>
      </c>
      <c r="V193" s="392">
        <f t="shared" si="44"/>
        <v>32.381496136179855</v>
      </c>
      <c r="W193" s="391">
        <f t="shared" si="44"/>
        <v>31.410051252094458</v>
      </c>
    </row>
    <row r="194" spans="1:23" ht="12.75" customHeight="1" outlineLevel="1">
      <c r="A194" s="389" t="s">
        <v>149</v>
      </c>
      <c r="B194" s="393">
        <v>0</v>
      </c>
      <c r="C194" s="391">
        <v>0</v>
      </c>
      <c r="D194" s="393">
        <v>0</v>
      </c>
      <c r="E194" s="392">
        <f>B190</f>
        <v>5.4530000000000003</v>
      </c>
      <c r="F194" s="392">
        <f>C190</f>
        <v>18.413</v>
      </c>
      <c r="G194" s="392">
        <f>D190</f>
        <v>18.198</v>
      </c>
      <c r="H194" s="391">
        <f>E190</f>
        <v>8.892244545567781</v>
      </c>
      <c r="I194" s="393">
        <v>0</v>
      </c>
      <c r="J194" s="392">
        <v>0</v>
      </c>
      <c r="K194" s="392">
        <v>0</v>
      </c>
      <c r="L194" s="392">
        <v>0</v>
      </c>
      <c r="M194" s="391">
        <v>0</v>
      </c>
      <c r="N194" s="393">
        <v>0</v>
      </c>
      <c r="O194" s="392">
        <v>0</v>
      </c>
      <c r="P194" s="392">
        <v>0</v>
      </c>
      <c r="Q194" s="392">
        <v>0</v>
      </c>
      <c r="R194" s="391">
        <v>0</v>
      </c>
      <c r="S194" s="393">
        <v>0</v>
      </c>
      <c r="T194" s="392">
        <v>0</v>
      </c>
      <c r="U194" s="392">
        <v>0</v>
      </c>
      <c r="V194" s="392">
        <v>0</v>
      </c>
      <c r="W194" s="391">
        <v>0</v>
      </c>
    </row>
    <row r="195" spans="1:23" ht="12.75" customHeight="1" outlineLevel="1">
      <c r="A195" s="389" t="s">
        <v>148</v>
      </c>
      <c r="B195" s="347">
        <f>IF($B187=1,B194+B193,B194*$B187*0.5)</f>
        <v>0</v>
      </c>
      <c r="C195" s="347">
        <f t="shared" ref="C195:W195" si="45">IF($B187=1,C194+C193,(C193+C194*0.5)*$B187)</f>
        <v>0</v>
      </c>
      <c r="D195" s="369">
        <f t="shared" si="45"/>
        <v>0</v>
      </c>
      <c r="E195" s="347">
        <f t="shared" si="45"/>
        <v>8.1795000000000007E-2</v>
      </c>
      <c r="F195" s="347">
        <f t="shared" si="45"/>
        <v>0.43733115000000006</v>
      </c>
      <c r="G195" s="347">
        <f t="shared" si="45"/>
        <v>0.97337621549999986</v>
      </c>
      <c r="H195" s="368">
        <f t="shared" si="45"/>
        <v>1.3505285972185168</v>
      </c>
      <c r="I195" s="369">
        <f t="shared" si="45"/>
        <v>1.4433964074854779</v>
      </c>
      <c r="J195" s="347">
        <f t="shared" si="45"/>
        <v>1.4000945152609137</v>
      </c>
      <c r="K195" s="347">
        <f t="shared" si="45"/>
        <v>1.3580916798030862</v>
      </c>
      <c r="L195" s="347">
        <f t="shared" si="45"/>
        <v>1.3173489294089937</v>
      </c>
      <c r="M195" s="368">
        <f t="shared" si="45"/>
        <v>1.2778284615267239</v>
      </c>
      <c r="N195" s="369">
        <f t="shared" si="45"/>
        <v>1.2394936076809222</v>
      </c>
      <c r="O195" s="347">
        <f t="shared" si="45"/>
        <v>1.2023087994504946</v>
      </c>
      <c r="P195" s="347">
        <f t="shared" si="45"/>
        <v>1.1662395354669799</v>
      </c>
      <c r="Q195" s="347">
        <f t="shared" si="45"/>
        <v>1.1312523494029705</v>
      </c>
      <c r="R195" s="368">
        <f t="shared" si="45"/>
        <v>1.0973147789208813</v>
      </c>
      <c r="S195" s="369">
        <f t="shared" si="45"/>
        <v>1.0643953355532549</v>
      </c>
      <c r="T195" s="347">
        <f t="shared" si="45"/>
        <v>1.0324634754866571</v>
      </c>
      <c r="U195" s="347">
        <f t="shared" si="45"/>
        <v>1.0014895712220575</v>
      </c>
      <c r="V195" s="347">
        <f t="shared" si="45"/>
        <v>0.97144488408539564</v>
      </c>
      <c r="W195" s="368">
        <f t="shared" si="45"/>
        <v>0.94230153756283375</v>
      </c>
    </row>
    <row r="196" spans="1:23" ht="12.75" customHeight="1" outlineLevel="1">
      <c r="A196" s="388" t="s">
        <v>113</v>
      </c>
      <c r="B196" s="387">
        <f t="shared" ref="B196:W196" si="46">B193+B194-B195</f>
        <v>0</v>
      </c>
      <c r="C196" s="385">
        <f t="shared" si="46"/>
        <v>0</v>
      </c>
      <c r="D196" s="387">
        <f t="shared" si="46"/>
        <v>0</v>
      </c>
      <c r="E196" s="386">
        <f t="shared" si="46"/>
        <v>5.3712050000000007</v>
      </c>
      <c r="F196" s="386">
        <f t="shared" si="46"/>
        <v>23.346873850000001</v>
      </c>
      <c r="G196" s="386">
        <f t="shared" si="46"/>
        <v>40.571497634500005</v>
      </c>
      <c r="H196" s="385">
        <f t="shared" si="46"/>
        <v>48.113213582849269</v>
      </c>
      <c r="I196" s="387">
        <f t="shared" si="46"/>
        <v>46.669817175363789</v>
      </c>
      <c r="J196" s="386">
        <f t="shared" si="46"/>
        <v>45.269722660102879</v>
      </c>
      <c r="K196" s="386">
        <f t="shared" si="46"/>
        <v>43.91163098029979</v>
      </c>
      <c r="L196" s="386">
        <f t="shared" si="46"/>
        <v>42.594282050890797</v>
      </c>
      <c r="M196" s="385">
        <f t="shared" si="46"/>
        <v>41.316453589364073</v>
      </c>
      <c r="N196" s="387">
        <f t="shared" si="46"/>
        <v>40.076959981683153</v>
      </c>
      <c r="O196" s="386">
        <f t="shared" si="46"/>
        <v>38.874651182232661</v>
      </c>
      <c r="P196" s="386">
        <f t="shared" si="46"/>
        <v>37.708411646765683</v>
      </c>
      <c r="Q196" s="386">
        <f t="shared" si="46"/>
        <v>36.577159297362712</v>
      </c>
      <c r="R196" s="385">
        <f t="shared" si="46"/>
        <v>35.47984451844183</v>
      </c>
      <c r="S196" s="387">
        <f t="shared" si="46"/>
        <v>34.415449182888572</v>
      </c>
      <c r="T196" s="386">
        <f t="shared" si="46"/>
        <v>33.382985707401915</v>
      </c>
      <c r="U196" s="386">
        <f t="shared" si="46"/>
        <v>32.381496136179855</v>
      </c>
      <c r="V196" s="386">
        <f t="shared" si="46"/>
        <v>31.410051252094458</v>
      </c>
      <c r="W196" s="385">
        <f t="shared" si="46"/>
        <v>30.467749714531625</v>
      </c>
    </row>
    <row r="197" spans="1:23" ht="12.75" customHeight="1" outlineLevel="1"/>
    <row r="198" spans="1:23" ht="12.75" customHeight="1" outlineLevel="1">
      <c r="A198" s="350" t="str">
        <f>A175</f>
        <v>Meters</v>
      </c>
    </row>
    <row r="199" spans="1:23" ht="12.75" customHeight="1" outlineLevel="1">
      <c r="A199" s="414" t="s">
        <v>131</v>
      </c>
      <c r="B199" s="413">
        <f>B175</f>
        <v>0</v>
      </c>
      <c r="C199" s="412"/>
      <c r="D199" s="380"/>
      <c r="E199" s="380"/>
    </row>
    <row r="200" spans="1:23" ht="12.75" customHeight="1" outlineLevel="1">
      <c r="A200" s="411" t="s">
        <v>155</v>
      </c>
      <c r="B200" s="393">
        <f>C175</f>
        <v>4</v>
      </c>
      <c r="C200" s="410"/>
      <c r="D200" s="380"/>
      <c r="E200" s="380"/>
    </row>
    <row r="201" spans="1:23" ht="12.75" customHeight="1" outlineLevel="1">
      <c r="A201" s="411" t="s">
        <v>154</v>
      </c>
      <c r="B201" s="393" t="str">
        <f>D175</f>
        <v>Declining Balance</v>
      </c>
      <c r="C201" s="410"/>
      <c r="D201" s="380"/>
      <c r="E201" s="380"/>
    </row>
    <row r="202" spans="1:23" ht="12.75" customHeight="1" outlineLevel="1">
      <c r="A202" s="409" t="s">
        <v>152</v>
      </c>
      <c r="B202" s="408">
        <f>IF(AND(B200=0,B201=""),0,IF(B201="Straight Line",1/B200,IF(B201="Declining Balance",1/B200*1.5,1)))</f>
        <v>0.375</v>
      </c>
      <c r="C202" s="407"/>
      <c r="D202" s="380"/>
      <c r="E202" s="380"/>
    </row>
    <row r="203" spans="1:23" ht="12.75" customHeight="1" outlineLevel="1">
      <c r="A203" s="380"/>
      <c r="B203" s="392"/>
      <c r="C203" s="380"/>
      <c r="D203" s="380"/>
      <c r="E203" s="380"/>
    </row>
    <row r="204" spans="1:23" ht="12.75" customHeight="1" outlineLevel="1">
      <c r="A204" s="380" t="s">
        <v>137</v>
      </c>
      <c r="B204" s="494" t="s">
        <v>185</v>
      </c>
      <c r="C204" s="493" t="s">
        <v>184</v>
      </c>
      <c r="D204" s="492" t="s">
        <v>183</v>
      </c>
      <c r="E204" s="491" t="s">
        <v>179</v>
      </c>
    </row>
    <row r="205" spans="1:23" ht="12.75" customHeight="1" outlineLevel="1">
      <c r="A205" s="402" t="s">
        <v>150</v>
      </c>
      <c r="B205" s="401">
        <v>1.7430000000000001</v>
      </c>
      <c r="C205" s="400">
        <v>5.859</v>
      </c>
      <c r="D205" s="400">
        <v>6.7439999999999998</v>
      </c>
      <c r="E205" s="479">
        <v>2.6543346786709177</v>
      </c>
    </row>
    <row r="206" spans="1:23" ht="12.75" customHeight="1" outlineLevel="1">
      <c r="A206" s="380"/>
      <c r="B206" s="392"/>
      <c r="C206" s="380"/>
    </row>
    <row r="207" spans="1:23" ht="12.75" customHeight="1" outlineLevel="1">
      <c r="B207" s="364">
        <v>1996</v>
      </c>
      <c r="C207" s="362">
        <v>1997</v>
      </c>
      <c r="D207" s="364">
        <v>1998</v>
      </c>
      <c r="E207" s="363">
        <v>1999</v>
      </c>
      <c r="F207" s="363">
        <v>2000</v>
      </c>
      <c r="G207" s="363">
        <v>2001</v>
      </c>
      <c r="H207" s="362">
        <v>2002</v>
      </c>
      <c r="I207" s="364">
        <v>2003</v>
      </c>
      <c r="J207" s="363">
        <v>2004</v>
      </c>
      <c r="K207" s="363">
        <v>2005</v>
      </c>
      <c r="L207" s="363">
        <v>2006</v>
      </c>
      <c r="M207" s="362">
        <v>2007</v>
      </c>
      <c r="N207" s="364">
        <v>2008</v>
      </c>
      <c r="O207" s="363">
        <v>2009</v>
      </c>
      <c r="P207" s="363">
        <v>2010</v>
      </c>
      <c r="Q207" s="363">
        <v>2011</v>
      </c>
      <c r="R207" s="362">
        <v>2012</v>
      </c>
      <c r="S207" s="364">
        <f t="shared" ref="S207:W207" si="47">R207+1</f>
        <v>2013</v>
      </c>
      <c r="T207" s="363">
        <f t="shared" si="47"/>
        <v>2014</v>
      </c>
      <c r="U207" s="363">
        <f t="shared" si="47"/>
        <v>2015</v>
      </c>
      <c r="V207" s="363">
        <f t="shared" si="47"/>
        <v>2016</v>
      </c>
      <c r="W207" s="362">
        <f t="shared" si="47"/>
        <v>2017</v>
      </c>
    </row>
    <row r="208" spans="1:23" ht="12.75" customHeight="1" outlineLevel="1">
      <c r="A208" s="394" t="s">
        <v>2</v>
      </c>
      <c r="B208" s="393">
        <f>B199</f>
        <v>0</v>
      </c>
      <c r="C208" s="391">
        <f t="shared" ref="C208:W208" si="48">B211</f>
        <v>0</v>
      </c>
      <c r="D208" s="393">
        <f t="shared" si="48"/>
        <v>0</v>
      </c>
      <c r="E208" s="392">
        <f t="shared" si="48"/>
        <v>0</v>
      </c>
      <c r="F208" s="392">
        <f t="shared" si="48"/>
        <v>1.4161875000000002</v>
      </c>
      <c r="G208" s="392">
        <f t="shared" si="48"/>
        <v>5.6455546875000007</v>
      </c>
      <c r="H208" s="391">
        <f t="shared" si="48"/>
        <v>9.0079716796875005</v>
      </c>
      <c r="I208" s="393">
        <f t="shared" si="48"/>
        <v>7.7866292262248082</v>
      </c>
      <c r="J208" s="392">
        <f t="shared" si="48"/>
        <v>4.866643266390505</v>
      </c>
      <c r="K208" s="392">
        <f t="shared" si="48"/>
        <v>3.0416520414940655</v>
      </c>
      <c r="L208" s="392">
        <f t="shared" si="48"/>
        <v>1.901032525933791</v>
      </c>
      <c r="M208" s="391">
        <f t="shared" si="48"/>
        <v>1.1881453287086194</v>
      </c>
      <c r="N208" s="393">
        <f t="shared" si="48"/>
        <v>0.74259083044288721</v>
      </c>
      <c r="O208" s="392">
        <f t="shared" si="48"/>
        <v>0.4641192690268045</v>
      </c>
      <c r="P208" s="392">
        <f t="shared" si="48"/>
        <v>0.29007454314175285</v>
      </c>
      <c r="Q208" s="392">
        <f t="shared" si="48"/>
        <v>0.18129658946359553</v>
      </c>
      <c r="R208" s="391">
        <f t="shared" si="48"/>
        <v>0.1133103684147472</v>
      </c>
      <c r="S208" s="393">
        <f t="shared" si="48"/>
        <v>7.0818980259216999E-2</v>
      </c>
      <c r="T208" s="392">
        <f t="shared" si="48"/>
        <v>4.4261862662010626E-2</v>
      </c>
      <c r="U208" s="392">
        <f t="shared" si="48"/>
        <v>2.7663664163756641E-2</v>
      </c>
      <c r="V208" s="392">
        <f t="shared" si="48"/>
        <v>1.72897901023479E-2</v>
      </c>
      <c r="W208" s="391">
        <f t="shared" si="48"/>
        <v>1.0806118813967439E-2</v>
      </c>
    </row>
    <row r="209" spans="1:23" ht="12.75" customHeight="1" outlineLevel="1">
      <c r="A209" s="389" t="s">
        <v>149</v>
      </c>
      <c r="B209" s="393">
        <v>0</v>
      </c>
      <c r="C209" s="391">
        <v>0</v>
      </c>
      <c r="D209" s="393">
        <v>0</v>
      </c>
      <c r="E209" s="392">
        <f>B205</f>
        <v>1.7430000000000001</v>
      </c>
      <c r="F209" s="392">
        <f>C205</f>
        <v>5.859</v>
      </c>
      <c r="G209" s="392">
        <f>D205</f>
        <v>6.7439999999999998</v>
      </c>
      <c r="H209" s="391">
        <f>E205</f>
        <v>2.6543346786709177</v>
      </c>
      <c r="I209" s="393">
        <v>0</v>
      </c>
      <c r="J209" s="392">
        <v>0</v>
      </c>
      <c r="K209" s="392">
        <v>0</v>
      </c>
      <c r="L209" s="392">
        <v>0</v>
      </c>
      <c r="M209" s="391">
        <v>0</v>
      </c>
      <c r="N209" s="393">
        <v>0</v>
      </c>
      <c r="O209" s="392">
        <v>0</v>
      </c>
      <c r="P209" s="392">
        <v>0</v>
      </c>
      <c r="Q209" s="392">
        <v>0</v>
      </c>
      <c r="R209" s="391">
        <v>0</v>
      </c>
      <c r="S209" s="393">
        <v>0</v>
      </c>
      <c r="T209" s="392">
        <v>0</v>
      </c>
      <c r="U209" s="392">
        <v>0</v>
      </c>
      <c r="V209" s="392">
        <v>0</v>
      </c>
      <c r="W209" s="391">
        <v>0</v>
      </c>
    </row>
    <row r="210" spans="1:23" ht="12.75" customHeight="1" outlineLevel="1">
      <c r="A210" s="389" t="s">
        <v>148</v>
      </c>
      <c r="B210" s="347">
        <f>IF($B202=1,B209+B208,B209*$B202*0.5)</f>
        <v>0</v>
      </c>
      <c r="C210" s="347">
        <f t="shared" ref="C210:W210" si="49">IF($B202=1,C209+C208,(C208+C209*0.5)*$B202)</f>
        <v>0</v>
      </c>
      <c r="D210" s="369">
        <f t="shared" si="49"/>
        <v>0</v>
      </c>
      <c r="E210" s="347">
        <f t="shared" si="49"/>
        <v>0.32681250000000001</v>
      </c>
      <c r="F210" s="347">
        <f t="shared" si="49"/>
        <v>1.6296328125000001</v>
      </c>
      <c r="G210" s="347">
        <f t="shared" si="49"/>
        <v>3.3815830078125</v>
      </c>
      <c r="H210" s="368">
        <f t="shared" si="49"/>
        <v>3.8756771321336094</v>
      </c>
      <c r="I210" s="369">
        <f t="shared" si="49"/>
        <v>2.9199859598343032</v>
      </c>
      <c r="J210" s="347">
        <f t="shared" si="49"/>
        <v>1.8249912248964395</v>
      </c>
      <c r="K210" s="347">
        <f t="shared" si="49"/>
        <v>1.1406195155602745</v>
      </c>
      <c r="L210" s="347">
        <f t="shared" si="49"/>
        <v>0.71288719722517158</v>
      </c>
      <c r="M210" s="368">
        <f t="shared" si="49"/>
        <v>0.44555449826573229</v>
      </c>
      <c r="N210" s="369">
        <f t="shared" si="49"/>
        <v>0.2784715614160827</v>
      </c>
      <c r="O210" s="347">
        <f t="shared" si="49"/>
        <v>0.17404472588505168</v>
      </c>
      <c r="P210" s="347">
        <f t="shared" si="49"/>
        <v>0.10877795367815732</v>
      </c>
      <c r="Q210" s="347">
        <f t="shared" si="49"/>
        <v>6.7986221048848328E-2</v>
      </c>
      <c r="R210" s="368">
        <f t="shared" si="49"/>
        <v>4.2491388155530205E-2</v>
      </c>
      <c r="S210" s="369">
        <f t="shared" si="49"/>
        <v>2.6557117597206373E-2</v>
      </c>
      <c r="T210" s="347">
        <f t="shared" si="49"/>
        <v>1.6598198498253985E-2</v>
      </c>
      <c r="U210" s="347">
        <f t="shared" si="49"/>
        <v>1.0373874061408741E-2</v>
      </c>
      <c r="V210" s="347">
        <f t="shared" si="49"/>
        <v>6.4836712883804626E-3</v>
      </c>
      <c r="W210" s="368">
        <f t="shared" si="49"/>
        <v>4.0522945552377895E-3</v>
      </c>
    </row>
    <row r="211" spans="1:23" ht="12.75" customHeight="1" outlineLevel="1">
      <c r="A211" s="388" t="s">
        <v>113</v>
      </c>
      <c r="B211" s="387">
        <f t="shared" ref="B211:W211" si="50">B208+B209-B210</f>
        <v>0</v>
      </c>
      <c r="C211" s="385">
        <f t="shared" si="50"/>
        <v>0</v>
      </c>
      <c r="D211" s="387">
        <f t="shared" si="50"/>
        <v>0</v>
      </c>
      <c r="E211" s="386">
        <f t="shared" si="50"/>
        <v>1.4161875000000002</v>
      </c>
      <c r="F211" s="386">
        <f t="shared" si="50"/>
        <v>5.6455546875000007</v>
      </c>
      <c r="G211" s="386">
        <f t="shared" si="50"/>
        <v>9.0079716796875005</v>
      </c>
      <c r="H211" s="385">
        <f t="shared" si="50"/>
        <v>7.7866292262248082</v>
      </c>
      <c r="I211" s="387">
        <f t="shared" si="50"/>
        <v>4.866643266390505</v>
      </c>
      <c r="J211" s="386">
        <f t="shared" si="50"/>
        <v>3.0416520414940655</v>
      </c>
      <c r="K211" s="386">
        <f t="shared" si="50"/>
        <v>1.901032525933791</v>
      </c>
      <c r="L211" s="386">
        <f t="shared" si="50"/>
        <v>1.1881453287086194</v>
      </c>
      <c r="M211" s="385">
        <f t="shared" si="50"/>
        <v>0.74259083044288721</v>
      </c>
      <c r="N211" s="387">
        <f t="shared" si="50"/>
        <v>0.4641192690268045</v>
      </c>
      <c r="O211" s="386">
        <f t="shared" si="50"/>
        <v>0.29007454314175285</v>
      </c>
      <c r="P211" s="386">
        <f t="shared" si="50"/>
        <v>0.18129658946359553</v>
      </c>
      <c r="Q211" s="386">
        <f t="shared" si="50"/>
        <v>0.1133103684147472</v>
      </c>
      <c r="R211" s="385">
        <f t="shared" si="50"/>
        <v>7.0818980259216999E-2</v>
      </c>
      <c r="S211" s="387">
        <f t="shared" si="50"/>
        <v>4.4261862662010626E-2</v>
      </c>
      <c r="T211" s="386">
        <f t="shared" si="50"/>
        <v>2.7663664163756641E-2</v>
      </c>
      <c r="U211" s="386">
        <f t="shared" si="50"/>
        <v>1.72897901023479E-2</v>
      </c>
      <c r="V211" s="386">
        <f t="shared" si="50"/>
        <v>1.0806118813967439E-2</v>
      </c>
      <c r="W211" s="385">
        <f t="shared" si="50"/>
        <v>6.7538242587296491E-3</v>
      </c>
    </row>
    <row r="212" spans="1:23" ht="12.75" customHeight="1" outlineLevel="1"/>
    <row r="213" spans="1:23" ht="12.75" customHeight="1" outlineLevel="1">
      <c r="A213" s="350" t="str">
        <f>A176</f>
        <v>Land &amp; Buildings</v>
      </c>
    </row>
    <row r="214" spans="1:23" ht="12.75" customHeight="1" outlineLevel="1">
      <c r="A214" s="414" t="s">
        <v>131</v>
      </c>
      <c r="B214" s="413">
        <f>B176</f>
        <v>0</v>
      </c>
      <c r="C214" s="412"/>
      <c r="D214" s="380"/>
      <c r="E214" s="380"/>
    </row>
    <row r="215" spans="1:23" ht="12.75" customHeight="1" outlineLevel="1">
      <c r="A215" s="411" t="s">
        <v>155</v>
      </c>
      <c r="B215" s="393">
        <f>C176</f>
        <v>40</v>
      </c>
      <c r="C215" s="410"/>
      <c r="D215" s="380"/>
      <c r="E215" s="380"/>
    </row>
    <row r="216" spans="1:23" ht="12.75" customHeight="1" outlineLevel="1">
      <c r="A216" s="411" t="s">
        <v>154</v>
      </c>
      <c r="B216" s="393" t="str">
        <f>D176</f>
        <v>Straight Line</v>
      </c>
      <c r="C216" s="410"/>
      <c r="D216" s="380"/>
      <c r="E216" s="380"/>
    </row>
    <row r="217" spans="1:23" ht="12.75" customHeight="1" outlineLevel="1">
      <c r="A217" s="409" t="s">
        <v>152</v>
      </c>
      <c r="B217" s="408">
        <f>IF(AND(B215=0,B216=""),0,IF(B216="Straight Line",1/B215,IF(B216="Declining Balance",1/B215*1.5,1)))</f>
        <v>2.5000000000000001E-2</v>
      </c>
      <c r="C217" s="407"/>
      <c r="D217" s="380"/>
      <c r="E217" s="380"/>
    </row>
    <row r="218" spans="1:23" ht="12.75" customHeight="1" outlineLevel="1">
      <c r="A218" s="380"/>
      <c r="B218" s="392"/>
      <c r="C218" s="380"/>
      <c r="D218" s="380"/>
      <c r="E218" s="380"/>
    </row>
    <row r="219" spans="1:23" ht="12.75" customHeight="1" outlineLevel="1">
      <c r="A219" s="380" t="s">
        <v>137</v>
      </c>
      <c r="B219" s="494" t="s">
        <v>185</v>
      </c>
      <c r="C219" s="493" t="s">
        <v>184</v>
      </c>
      <c r="D219" s="492" t="s">
        <v>183</v>
      </c>
      <c r="E219" s="491" t="s">
        <v>179</v>
      </c>
    </row>
    <row r="220" spans="1:23" ht="12.75" customHeight="1" outlineLevel="1">
      <c r="A220" s="402" t="s">
        <v>150</v>
      </c>
      <c r="B220" s="401">
        <v>0</v>
      </c>
      <c r="C220" s="400">
        <v>0</v>
      </c>
      <c r="D220" s="400">
        <v>0</v>
      </c>
      <c r="E220" s="479">
        <v>0</v>
      </c>
    </row>
    <row r="221" spans="1:23" ht="12.75" customHeight="1" outlineLevel="1">
      <c r="A221" s="380"/>
      <c r="B221" s="392"/>
      <c r="C221" s="380"/>
    </row>
    <row r="222" spans="1:23" ht="12.75" customHeight="1" outlineLevel="1">
      <c r="B222" s="364">
        <v>1996</v>
      </c>
      <c r="C222" s="362">
        <v>1997</v>
      </c>
      <c r="D222" s="364">
        <v>1998</v>
      </c>
      <c r="E222" s="363">
        <v>1999</v>
      </c>
      <c r="F222" s="363">
        <v>2000</v>
      </c>
      <c r="G222" s="363">
        <v>2001</v>
      </c>
      <c r="H222" s="362">
        <v>2002</v>
      </c>
      <c r="I222" s="364">
        <v>2003</v>
      </c>
      <c r="J222" s="363">
        <v>2004</v>
      </c>
      <c r="K222" s="363">
        <v>2005</v>
      </c>
      <c r="L222" s="363">
        <v>2006</v>
      </c>
      <c r="M222" s="362">
        <v>2007</v>
      </c>
      <c r="N222" s="364">
        <v>2008</v>
      </c>
      <c r="O222" s="363">
        <v>2009</v>
      </c>
      <c r="P222" s="363">
        <v>2010</v>
      </c>
      <c r="Q222" s="363">
        <v>2011</v>
      </c>
      <c r="R222" s="362">
        <v>2012</v>
      </c>
      <c r="S222" s="364">
        <f t="shared" ref="S222:W222" si="51">R222+1</f>
        <v>2013</v>
      </c>
      <c r="T222" s="363">
        <f t="shared" si="51"/>
        <v>2014</v>
      </c>
      <c r="U222" s="363">
        <f t="shared" si="51"/>
        <v>2015</v>
      </c>
      <c r="V222" s="363">
        <f t="shared" si="51"/>
        <v>2016</v>
      </c>
      <c r="W222" s="362">
        <f t="shared" si="51"/>
        <v>2017</v>
      </c>
    </row>
    <row r="223" spans="1:23" ht="12.75" customHeight="1" outlineLevel="1">
      <c r="A223" s="394" t="s">
        <v>2</v>
      </c>
      <c r="B223" s="393">
        <f>B214</f>
        <v>0</v>
      </c>
      <c r="C223" s="391">
        <f t="shared" ref="C223:W223" si="52">B226</f>
        <v>0</v>
      </c>
      <c r="D223" s="393">
        <f t="shared" si="52"/>
        <v>0</v>
      </c>
      <c r="E223" s="392">
        <f t="shared" si="52"/>
        <v>0</v>
      </c>
      <c r="F223" s="392">
        <f t="shared" si="52"/>
        <v>0</v>
      </c>
      <c r="G223" s="392">
        <f t="shared" si="52"/>
        <v>0</v>
      </c>
      <c r="H223" s="391">
        <f t="shared" si="52"/>
        <v>0</v>
      </c>
      <c r="I223" s="393">
        <f t="shared" si="52"/>
        <v>0</v>
      </c>
      <c r="J223" s="392">
        <f t="shared" si="52"/>
        <v>0</v>
      </c>
      <c r="K223" s="392">
        <f t="shared" si="52"/>
        <v>0</v>
      </c>
      <c r="L223" s="392">
        <f t="shared" si="52"/>
        <v>0</v>
      </c>
      <c r="M223" s="391">
        <f t="shared" si="52"/>
        <v>0</v>
      </c>
      <c r="N223" s="393">
        <f t="shared" si="52"/>
        <v>0</v>
      </c>
      <c r="O223" s="392">
        <f t="shared" si="52"/>
        <v>0</v>
      </c>
      <c r="P223" s="392">
        <f t="shared" si="52"/>
        <v>0</v>
      </c>
      <c r="Q223" s="392">
        <f t="shared" si="52"/>
        <v>0</v>
      </c>
      <c r="R223" s="391">
        <f t="shared" si="52"/>
        <v>0</v>
      </c>
      <c r="S223" s="393">
        <f t="shared" si="52"/>
        <v>0</v>
      </c>
      <c r="T223" s="392">
        <f t="shared" si="52"/>
        <v>0</v>
      </c>
      <c r="U223" s="392">
        <f t="shared" si="52"/>
        <v>0</v>
      </c>
      <c r="V223" s="392">
        <f t="shared" si="52"/>
        <v>0</v>
      </c>
      <c r="W223" s="391">
        <f t="shared" si="52"/>
        <v>0</v>
      </c>
    </row>
    <row r="224" spans="1:23" ht="12.75" customHeight="1" outlineLevel="1">
      <c r="A224" s="389" t="s">
        <v>149</v>
      </c>
      <c r="B224" s="393">
        <v>0</v>
      </c>
      <c r="C224" s="391">
        <v>0</v>
      </c>
      <c r="D224" s="393">
        <v>0</v>
      </c>
      <c r="E224" s="392">
        <f>B220</f>
        <v>0</v>
      </c>
      <c r="F224" s="392">
        <f>C220</f>
        <v>0</v>
      </c>
      <c r="G224" s="392">
        <f>D220</f>
        <v>0</v>
      </c>
      <c r="H224" s="391">
        <f>E220</f>
        <v>0</v>
      </c>
      <c r="I224" s="393">
        <v>0</v>
      </c>
      <c r="J224" s="392">
        <v>0</v>
      </c>
      <c r="K224" s="392">
        <v>0</v>
      </c>
      <c r="L224" s="392">
        <v>0</v>
      </c>
      <c r="M224" s="391">
        <v>0</v>
      </c>
      <c r="N224" s="393">
        <v>0</v>
      </c>
      <c r="O224" s="392">
        <v>0</v>
      </c>
      <c r="P224" s="392">
        <v>0</v>
      </c>
      <c r="Q224" s="392">
        <v>0</v>
      </c>
      <c r="R224" s="391">
        <v>0</v>
      </c>
      <c r="S224" s="393">
        <v>0</v>
      </c>
      <c r="T224" s="392">
        <v>0</v>
      </c>
      <c r="U224" s="392">
        <v>0</v>
      </c>
      <c r="V224" s="392">
        <v>0</v>
      </c>
      <c r="W224" s="391">
        <v>0</v>
      </c>
    </row>
    <row r="225" spans="1:23" ht="12.75" customHeight="1" outlineLevel="1">
      <c r="A225" s="389" t="s">
        <v>148</v>
      </c>
      <c r="B225" s="393">
        <f>B224*$B217*0.5</f>
        <v>0</v>
      </c>
      <c r="C225" s="391">
        <f>(SUM($B224:B224)+C224*0.5)*$B217</f>
        <v>0</v>
      </c>
      <c r="D225" s="393">
        <f>(SUM($B224:C224)+D224*0.5)*$B217</f>
        <v>0</v>
      </c>
      <c r="E225" s="392">
        <f>(SUM($B224:D224)+E224*0.5)*$B217</f>
        <v>0</v>
      </c>
      <c r="F225" s="392">
        <f>(SUM($B224:E224)+F224*0.5)*$B217</f>
        <v>0</v>
      </c>
      <c r="G225" s="392">
        <f>(SUM($B224:F224)+G224*0.5)*$B217</f>
        <v>0</v>
      </c>
      <c r="H225" s="391">
        <f>(SUM($B224:G224)+H224*0.5)*$B217</f>
        <v>0</v>
      </c>
      <c r="I225" s="393">
        <f>(SUM($B224:H224)+I224*0.5)*$B217</f>
        <v>0</v>
      </c>
      <c r="J225" s="392">
        <f>(SUM($B224:I224)+J224*0.5)*$B217</f>
        <v>0</v>
      </c>
      <c r="K225" s="392">
        <f>(SUM($B224:J224)+K224*0.5)*$B217</f>
        <v>0</v>
      </c>
      <c r="L225" s="392">
        <f>(SUM($B224:K224)+L224*0.5)*$B217</f>
        <v>0</v>
      </c>
      <c r="M225" s="391">
        <f>(SUM($B224:L224)+M224*0.5)*$B217</f>
        <v>0</v>
      </c>
      <c r="N225" s="393">
        <f>(SUM($B224:M224)+N224*0.5)*$B217</f>
        <v>0</v>
      </c>
      <c r="O225" s="392">
        <f>(SUM($B224:N224)+O224*0.5)*$B217</f>
        <v>0</v>
      </c>
      <c r="P225" s="392">
        <f>(SUM($B224:O224)+P224*0.5)*$B217</f>
        <v>0</v>
      </c>
      <c r="Q225" s="392">
        <f>(SUM($B224:P224)+Q224*0.5)*$B217</f>
        <v>0</v>
      </c>
      <c r="R225" s="391">
        <f>(SUM($B224:Q224)+R224*0.5)*$B217</f>
        <v>0</v>
      </c>
      <c r="S225" s="393">
        <f>(SUM($B224:R224)+S224*0.5)*$B217</f>
        <v>0</v>
      </c>
      <c r="T225" s="392">
        <f>(SUM($B224:S224)+T224*0.5)*$B217</f>
        <v>0</v>
      </c>
      <c r="U225" s="392">
        <f>(SUM($B224:T224)+U224*0.5)*$B217</f>
        <v>0</v>
      </c>
      <c r="V225" s="392">
        <f>(SUM($B224:U224)+V224*0.5)*$B217</f>
        <v>0</v>
      </c>
      <c r="W225" s="391">
        <f>(SUM($B224:V224)+W224*0.5)*$B217</f>
        <v>0</v>
      </c>
    </row>
    <row r="226" spans="1:23" ht="12.75" customHeight="1" outlineLevel="1">
      <c r="A226" s="388" t="s">
        <v>113</v>
      </c>
      <c r="B226" s="387">
        <f t="shared" ref="B226:W226" si="53">B223+B224-B225</f>
        <v>0</v>
      </c>
      <c r="C226" s="385">
        <f t="shared" si="53"/>
        <v>0</v>
      </c>
      <c r="D226" s="387">
        <f t="shared" si="53"/>
        <v>0</v>
      </c>
      <c r="E226" s="386">
        <f t="shared" si="53"/>
        <v>0</v>
      </c>
      <c r="F226" s="386">
        <f t="shared" si="53"/>
        <v>0</v>
      </c>
      <c r="G226" s="386">
        <f t="shared" si="53"/>
        <v>0</v>
      </c>
      <c r="H226" s="385">
        <f t="shared" si="53"/>
        <v>0</v>
      </c>
      <c r="I226" s="387">
        <f t="shared" si="53"/>
        <v>0</v>
      </c>
      <c r="J226" s="386">
        <f t="shared" si="53"/>
        <v>0</v>
      </c>
      <c r="K226" s="386">
        <f t="shared" si="53"/>
        <v>0</v>
      </c>
      <c r="L226" s="386">
        <f t="shared" si="53"/>
        <v>0</v>
      </c>
      <c r="M226" s="385">
        <f t="shared" si="53"/>
        <v>0</v>
      </c>
      <c r="N226" s="387">
        <f t="shared" si="53"/>
        <v>0</v>
      </c>
      <c r="O226" s="386">
        <f t="shared" si="53"/>
        <v>0</v>
      </c>
      <c r="P226" s="386">
        <f t="shared" si="53"/>
        <v>0</v>
      </c>
      <c r="Q226" s="386">
        <f t="shared" si="53"/>
        <v>0</v>
      </c>
      <c r="R226" s="385">
        <f t="shared" si="53"/>
        <v>0</v>
      </c>
      <c r="S226" s="387">
        <f t="shared" si="53"/>
        <v>0</v>
      </c>
      <c r="T226" s="386">
        <f t="shared" si="53"/>
        <v>0</v>
      </c>
      <c r="U226" s="386">
        <f t="shared" si="53"/>
        <v>0</v>
      </c>
      <c r="V226" s="386">
        <f t="shared" si="53"/>
        <v>0</v>
      </c>
      <c r="W226" s="385">
        <f t="shared" si="53"/>
        <v>0</v>
      </c>
    </row>
    <row r="227" spans="1:23" ht="12.75" customHeight="1" outlineLevel="1">
      <c r="M227" s="438"/>
    </row>
    <row r="228" spans="1:23" ht="12.75" customHeight="1" outlineLevel="1">
      <c r="A228" s="350" t="str">
        <f>A177</f>
        <v>Other Assets</v>
      </c>
    </row>
    <row r="229" spans="1:23" ht="12.75" customHeight="1" outlineLevel="1">
      <c r="A229" s="414" t="s">
        <v>131</v>
      </c>
      <c r="B229" s="413">
        <f>B177</f>
        <v>0</v>
      </c>
      <c r="C229" s="412"/>
      <c r="D229" s="380"/>
      <c r="E229" s="380"/>
    </row>
    <row r="230" spans="1:23" ht="12.75" customHeight="1" outlineLevel="1">
      <c r="A230" s="411" t="s">
        <v>155</v>
      </c>
      <c r="B230" s="393">
        <f>C177</f>
        <v>10</v>
      </c>
      <c r="C230" s="410"/>
      <c r="D230" s="380"/>
      <c r="E230" s="380"/>
    </row>
    <row r="231" spans="1:23" ht="12.75" customHeight="1" outlineLevel="1">
      <c r="A231" s="411" t="s">
        <v>154</v>
      </c>
      <c r="B231" s="393" t="str">
        <f>D177</f>
        <v>Declining Balance</v>
      </c>
      <c r="C231" s="410"/>
      <c r="D231" s="380"/>
      <c r="E231" s="380"/>
    </row>
    <row r="232" spans="1:23" ht="12.75" customHeight="1" outlineLevel="1">
      <c r="A232" s="409" t="s">
        <v>152</v>
      </c>
      <c r="B232" s="408">
        <f>IF(AND(B230=0,B231=""),0,IF(B231="Straight Line",1/B230,IF(B231="Declining Balance",1/B230*1.5,1)))</f>
        <v>0.15000000000000002</v>
      </c>
      <c r="C232" s="407"/>
      <c r="D232" s="380"/>
      <c r="E232" s="380"/>
    </row>
    <row r="233" spans="1:23" ht="12.75" customHeight="1" outlineLevel="1">
      <c r="A233" s="380"/>
      <c r="B233" s="392"/>
      <c r="C233" s="380"/>
      <c r="D233" s="380"/>
      <c r="E233" s="380"/>
    </row>
    <row r="234" spans="1:23" ht="12.75" customHeight="1" outlineLevel="1">
      <c r="A234" s="380" t="s">
        <v>137</v>
      </c>
      <c r="B234" s="494" t="s">
        <v>185</v>
      </c>
      <c r="C234" s="493" t="s">
        <v>184</v>
      </c>
      <c r="D234" s="492" t="s">
        <v>183</v>
      </c>
      <c r="E234" s="491" t="s">
        <v>179</v>
      </c>
    </row>
    <row r="235" spans="1:23" ht="12.75" customHeight="1" outlineLevel="1">
      <c r="A235" s="402" t="s">
        <v>150</v>
      </c>
      <c r="B235" s="401">
        <v>5.3999999999999999E-2</v>
      </c>
      <c r="C235" s="400">
        <v>3.48</v>
      </c>
      <c r="D235" s="400">
        <v>1.9239999999999999</v>
      </c>
      <c r="E235" s="479">
        <v>2.1725812602739731</v>
      </c>
    </row>
    <row r="236" spans="1:23" ht="12.75" customHeight="1" outlineLevel="1">
      <c r="A236" s="380"/>
      <c r="B236" s="392"/>
      <c r="C236" s="380"/>
    </row>
    <row r="237" spans="1:23" ht="12.75" customHeight="1" outlineLevel="1">
      <c r="B237" s="364">
        <v>1996</v>
      </c>
      <c r="C237" s="362">
        <v>1997</v>
      </c>
      <c r="D237" s="364">
        <v>1998</v>
      </c>
      <c r="E237" s="363">
        <v>1999</v>
      </c>
      <c r="F237" s="363">
        <v>2000</v>
      </c>
      <c r="G237" s="363">
        <v>2001</v>
      </c>
      <c r="H237" s="362">
        <v>2002</v>
      </c>
      <c r="I237" s="364">
        <v>2003</v>
      </c>
      <c r="J237" s="363">
        <v>2004</v>
      </c>
      <c r="K237" s="363">
        <v>2005</v>
      </c>
      <c r="L237" s="363">
        <v>2006</v>
      </c>
      <c r="M237" s="362">
        <v>2007</v>
      </c>
      <c r="N237" s="364">
        <v>2008</v>
      </c>
      <c r="O237" s="363">
        <v>2009</v>
      </c>
      <c r="P237" s="363">
        <v>2010</v>
      </c>
      <c r="Q237" s="363">
        <v>2011</v>
      </c>
      <c r="R237" s="362">
        <v>2012</v>
      </c>
      <c r="S237" s="364">
        <f t="shared" ref="S237:W237" si="54">R237+1</f>
        <v>2013</v>
      </c>
      <c r="T237" s="363">
        <f t="shared" si="54"/>
        <v>2014</v>
      </c>
      <c r="U237" s="363">
        <f t="shared" si="54"/>
        <v>2015</v>
      </c>
      <c r="V237" s="363">
        <f t="shared" si="54"/>
        <v>2016</v>
      </c>
      <c r="W237" s="362">
        <f t="shared" si="54"/>
        <v>2017</v>
      </c>
    </row>
    <row r="238" spans="1:23" ht="12.75" customHeight="1" outlineLevel="1">
      <c r="A238" s="394" t="s">
        <v>2</v>
      </c>
      <c r="B238" s="393">
        <f>B229</f>
        <v>0</v>
      </c>
      <c r="C238" s="391">
        <f t="shared" ref="C238:W238" si="55">B241</f>
        <v>0</v>
      </c>
      <c r="D238" s="393">
        <f t="shared" si="55"/>
        <v>0</v>
      </c>
      <c r="E238" s="392">
        <f t="shared" si="55"/>
        <v>0</v>
      </c>
      <c r="F238" s="392">
        <f t="shared" si="55"/>
        <v>4.9950000000000001E-2</v>
      </c>
      <c r="G238" s="392">
        <f t="shared" si="55"/>
        <v>3.2614574999999997</v>
      </c>
      <c r="H238" s="391">
        <f t="shared" si="55"/>
        <v>4.5519388750000003</v>
      </c>
      <c r="I238" s="393">
        <f t="shared" si="55"/>
        <v>5.8787857095034255</v>
      </c>
      <c r="J238" s="392">
        <f t="shared" si="55"/>
        <v>4.996967853077912</v>
      </c>
      <c r="K238" s="392">
        <f t="shared" si="55"/>
        <v>4.2474226751162254</v>
      </c>
      <c r="L238" s="392">
        <f t="shared" si="55"/>
        <v>3.6103092738487916</v>
      </c>
      <c r="M238" s="391">
        <f t="shared" si="55"/>
        <v>3.0687628827714728</v>
      </c>
      <c r="N238" s="393">
        <f t="shared" si="55"/>
        <v>2.6084484503557519</v>
      </c>
      <c r="O238" s="392">
        <f t="shared" si="55"/>
        <v>2.2171811828023893</v>
      </c>
      <c r="P238" s="392">
        <f t="shared" si="55"/>
        <v>1.8846040053820308</v>
      </c>
      <c r="Q238" s="392">
        <f t="shared" si="55"/>
        <v>1.6019134045747261</v>
      </c>
      <c r="R238" s="391">
        <f t="shared" si="55"/>
        <v>1.3616263938885171</v>
      </c>
      <c r="S238" s="393">
        <f t="shared" si="55"/>
        <v>1.1573824348052395</v>
      </c>
      <c r="T238" s="392">
        <f t="shared" si="55"/>
        <v>0.9837750695844536</v>
      </c>
      <c r="U238" s="392">
        <f t="shared" si="55"/>
        <v>0.83620880914678553</v>
      </c>
      <c r="V238" s="392">
        <f t="shared" si="55"/>
        <v>0.71077748777476768</v>
      </c>
      <c r="W238" s="391">
        <f t="shared" si="55"/>
        <v>0.60416086460855256</v>
      </c>
    </row>
    <row r="239" spans="1:23" ht="12.75" customHeight="1" outlineLevel="1">
      <c r="A239" s="389" t="s">
        <v>149</v>
      </c>
      <c r="B239" s="393">
        <v>0</v>
      </c>
      <c r="C239" s="391">
        <v>0</v>
      </c>
      <c r="D239" s="393">
        <v>0</v>
      </c>
      <c r="E239" s="392">
        <f>B235</f>
        <v>5.3999999999999999E-2</v>
      </c>
      <c r="F239" s="392">
        <f>C235</f>
        <v>3.48</v>
      </c>
      <c r="G239" s="392">
        <f>D235</f>
        <v>1.9239999999999999</v>
      </c>
      <c r="H239" s="391">
        <f>E235</f>
        <v>2.1725812602739731</v>
      </c>
      <c r="I239" s="393">
        <v>0</v>
      </c>
      <c r="J239" s="392">
        <v>0</v>
      </c>
      <c r="K239" s="392">
        <v>0</v>
      </c>
      <c r="L239" s="392">
        <v>0</v>
      </c>
      <c r="M239" s="391">
        <v>0</v>
      </c>
      <c r="N239" s="393">
        <v>0</v>
      </c>
      <c r="O239" s="392">
        <v>0</v>
      </c>
      <c r="P239" s="392">
        <v>0</v>
      </c>
      <c r="Q239" s="392">
        <v>0</v>
      </c>
      <c r="R239" s="391">
        <v>0</v>
      </c>
      <c r="S239" s="393">
        <v>0</v>
      </c>
      <c r="T239" s="392">
        <v>0</v>
      </c>
      <c r="U239" s="392">
        <v>0</v>
      </c>
      <c r="V239" s="392">
        <v>0</v>
      </c>
      <c r="W239" s="391">
        <v>0</v>
      </c>
    </row>
    <row r="240" spans="1:23" ht="12.75" customHeight="1" outlineLevel="1">
      <c r="A240" s="389" t="s">
        <v>148</v>
      </c>
      <c r="B240" s="347">
        <f>IF($B232=1,B239+B238,B239*$B232*0.5)</f>
        <v>0</v>
      </c>
      <c r="C240" s="347">
        <f t="shared" ref="C240:W240" si="56">IF($B232=1,C239+C238,(C238+C239*0.5)*$B232)</f>
        <v>0</v>
      </c>
      <c r="D240" s="369">
        <f t="shared" si="56"/>
        <v>0</v>
      </c>
      <c r="E240" s="347">
        <f t="shared" si="56"/>
        <v>4.0500000000000006E-3</v>
      </c>
      <c r="F240" s="347">
        <f t="shared" si="56"/>
        <v>0.26849250000000002</v>
      </c>
      <c r="G240" s="347">
        <f t="shared" si="56"/>
        <v>0.633518625</v>
      </c>
      <c r="H240" s="368">
        <f t="shared" si="56"/>
        <v>0.84573442577054825</v>
      </c>
      <c r="I240" s="369">
        <f t="shared" si="56"/>
        <v>0.88181785642551391</v>
      </c>
      <c r="J240" s="347">
        <f t="shared" si="56"/>
        <v>0.74954517796168696</v>
      </c>
      <c r="K240" s="347">
        <f t="shared" si="56"/>
        <v>0.63711340126743388</v>
      </c>
      <c r="L240" s="347">
        <f t="shared" si="56"/>
        <v>0.54154639107731883</v>
      </c>
      <c r="M240" s="368">
        <f t="shared" si="56"/>
        <v>0.46031443241572101</v>
      </c>
      <c r="N240" s="369">
        <f t="shared" si="56"/>
        <v>0.39126726755336283</v>
      </c>
      <c r="O240" s="347">
        <f t="shared" si="56"/>
        <v>0.33257717742035842</v>
      </c>
      <c r="P240" s="347">
        <f t="shared" si="56"/>
        <v>0.28269060080730468</v>
      </c>
      <c r="Q240" s="347">
        <f t="shared" si="56"/>
        <v>0.24028701068620895</v>
      </c>
      <c r="R240" s="368">
        <f t="shared" si="56"/>
        <v>0.20424395908327761</v>
      </c>
      <c r="S240" s="369">
        <f t="shared" si="56"/>
        <v>0.17360736522078596</v>
      </c>
      <c r="T240" s="347">
        <f t="shared" si="56"/>
        <v>0.14756626043766807</v>
      </c>
      <c r="U240" s="347">
        <f t="shared" si="56"/>
        <v>0.12543132137201785</v>
      </c>
      <c r="V240" s="347">
        <f t="shared" si="56"/>
        <v>0.10661662316621517</v>
      </c>
      <c r="W240" s="368">
        <f t="shared" si="56"/>
        <v>9.0624129691282904E-2</v>
      </c>
    </row>
    <row r="241" spans="1:23" ht="12.75" customHeight="1" outlineLevel="1">
      <c r="A241" s="388" t="s">
        <v>113</v>
      </c>
      <c r="B241" s="387">
        <f t="shared" ref="B241:W241" si="57">B238+B239-B240</f>
        <v>0</v>
      </c>
      <c r="C241" s="385">
        <f t="shared" si="57"/>
        <v>0</v>
      </c>
      <c r="D241" s="387">
        <f t="shared" si="57"/>
        <v>0</v>
      </c>
      <c r="E241" s="386">
        <f t="shared" si="57"/>
        <v>4.9950000000000001E-2</v>
      </c>
      <c r="F241" s="386">
        <f t="shared" si="57"/>
        <v>3.2614574999999997</v>
      </c>
      <c r="G241" s="386">
        <f t="shared" si="57"/>
        <v>4.5519388750000003</v>
      </c>
      <c r="H241" s="385">
        <f t="shared" si="57"/>
        <v>5.8787857095034255</v>
      </c>
      <c r="I241" s="387">
        <f t="shared" si="57"/>
        <v>4.996967853077912</v>
      </c>
      <c r="J241" s="386">
        <f t="shared" si="57"/>
        <v>4.2474226751162254</v>
      </c>
      <c r="K241" s="386">
        <f t="shared" si="57"/>
        <v>3.6103092738487916</v>
      </c>
      <c r="L241" s="386">
        <f t="shared" si="57"/>
        <v>3.0687628827714728</v>
      </c>
      <c r="M241" s="385">
        <f t="shared" si="57"/>
        <v>2.6084484503557519</v>
      </c>
      <c r="N241" s="387">
        <f t="shared" si="57"/>
        <v>2.2171811828023893</v>
      </c>
      <c r="O241" s="386">
        <f t="shared" si="57"/>
        <v>1.8846040053820308</v>
      </c>
      <c r="P241" s="386">
        <f t="shared" si="57"/>
        <v>1.6019134045747261</v>
      </c>
      <c r="Q241" s="386">
        <f t="shared" si="57"/>
        <v>1.3616263938885171</v>
      </c>
      <c r="R241" s="385">
        <f t="shared" si="57"/>
        <v>1.1573824348052395</v>
      </c>
      <c r="S241" s="387">
        <f t="shared" si="57"/>
        <v>0.9837750695844536</v>
      </c>
      <c r="T241" s="386">
        <f t="shared" si="57"/>
        <v>0.83620880914678553</v>
      </c>
      <c r="U241" s="386">
        <f t="shared" si="57"/>
        <v>0.71077748777476768</v>
      </c>
      <c r="V241" s="386">
        <f t="shared" si="57"/>
        <v>0.60416086460855256</v>
      </c>
      <c r="W241" s="385">
        <f t="shared" si="57"/>
        <v>0.5135367349172697</v>
      </c>
    </row>
    <row r="242" spans="1:23" ht="12.75" customHeight="1" outlineLevel="1"/>
    <row r="243" spans="1:23" ht="12.75" customHeight="1" outlineLevel="1"/>
    <row r="244" spans="1:23" ht="12.75" customHeight="1" outlineLevel="1">
      <c r="A244" s="350" t="str">
        <f>A178</f>
        <v>Repairs</v>
      </c>
    </row>
    <row r="245" spans="1:23" ht="12.75" customHeight="1" outlineLevel="1">
      <c r="A245" s="414" t="s">
        <v>131</v>
      </c>
      <c r="B245" s="413">
        <f>B178</f>
        <v>0</v>
      </c>
      <c r="C245" s="412"/>
      <c r="D245" s="380"/>
      <c r="E245" s="380"/>
    </row>
    <row r="246" spans="1:23" ht="12.75" customHeight="1" outlineLevel="1">
      <c r="A246" s="411" t="s">
        <v>155</v>
      </c>
      <c r="B246" s="393">
        <f>C178</f>
        <v>0</v>
      </c>
      <c r="C246" s="410"/>
      <c r="D246" s="380"/>
      <c r="E246" s="380"/>
    </row>
    <row r="247" spans="1:23" ht="12.75" customHeight="1" outlineLevel="1">
      <c r="A247" s="411" t="s">
        <v>154</v>
      </c>
      <c r="B247" s="393" t="str">
        <f>D178</f>
        <v>Fully Deductible</v>
      </c>
      <c r="C247" s="410"/>
      <c r="D247" s="380"/>
      <c r="E247" s="380"/>
    </row>
    <row r="248" spans="1:23" ht="12.75" customHeight="1" outlineLevel="1">
      <c r="A248" s="409" t="s">
        <v>152</v>
      </c>
      <c r="B248" s="408">
        <f>IF(AND(B246=0,B247=""),0,IF(B247="Straight Line",1/B246,IF(B247="Declining Balance",1/B246*1.5,1)))</f>
        <v>1</v>
      </c>
      <c r="C248" s="407"/>
      <c r="D248" s="380"/>
      <c r="E248" s="380"/>
    </row>
    <row r="249" spans="1:23" ht="12.75" customHeight="1" outlineLevel="1">
      <c r="A249" s="380"/>
      <c r="B249" s="392"/>
      <c r="C249" s="380"/>
      <c r="D249" s="380"/>
      <c r="E249" s="380"/>
    </row>
    <row r="250" spans="1:23" ht="12.75" customHeight="1" outlineLevel="1">
      <c r="A250" s="380" t="s">
        <v>137</v>
      </c>
      <c r="B250" s="494" t="s">
        <v>185</v>
      </c>
      <c r="C250" s="493" t="s">
        <v>184</v>
      </c>
      <c r="D250" s="492" t="s">
        <v>183</v>
      </c>
      <c r="E250" s="491" t="s">
        <v>179</v>
      </c>
    </row>
    <row r="251" spans="1:23" ht="12.75" customHeight="1" outlineLevel="1">
      <c r="A251" s="402" t="s">
        <v>150</v>
      </c>
      <c r="B251" s="401">
        <v>0.45</v>
      </c>
      <c r="C251" s="400">
        <v>0.89900000000000002</v>
      </c>
      <c r="D251" s="400">
        <v>1.704</v>
      </c>
      <c r="E251" s="479">
        <v>0.77322193972602737</v>
      </c>
    </row>
    <row r="252" spans="1:23" ht="12.75" customHeight="1" outlineLevel="1">
      <c r="A252" s="380"/>
      <c r="B252" s="392"/>
      <c r="C252" s="380"/>
    </row>
    <row r="253" spans="1:23" ht="12.75" customHeight="1" outlineLevel="1">
      <c r="B253" s="364">
        <v>1996</v>
      </c>
      <c r="C253" s="362">
        <v>1997</v>
      </c>
      <c r="D253" s="364">
        <v>1998</v>
      </c>
      <c r="E253" s="363">
        <v>1999</v>
      </c>
      <c r="F253" s="363">
        <v>2000</v>
      </c>
      <c r="G253" s="363">
        <v>2001</v>
      </c>
      <c r="H253" s="362">
        <v>2002</v>
      </c>
      <c r="I253" s="364">
        <v>2003</v>
      </c>
      <c r="J253" s="363">
        <v>2004</v>
      </c>
      <c r="K253" s="363">
        <v>2005</v>
      </c>
      <c r="L253" s="363">
        <v>2006</v>
      </c>
      <c r="M253" s="362">
        <v>2007</v>
      </c>
      <c r="N253" s="364">
        <v>2008</v>
      </c>
      <c r="O253" s="363">
        <v>2009</v>
      </c>
      <c r="P253" s="363">
        <v>2010</v>
      </c>
      <c r="Q253" s="363">
        <v>2011</v>
      </c>
      <c r="R253" s="362">
        <v>2012</v>
      </c>
      <c r="S253" s="364">
        <f t="shared" ref="S253:W253" si="58">R253+1</f>
        <v>2013</v>
      </c>
      <c r="T253" s="363">
        <f t="shared" si="58"/>
        <v>2014</v>
      </c>
      <c r="U253" s="363">
        <f t="shared" si="58"/>
        <v>2015</v>
      </c>
      <c r="V253" s="363">
        <f t="shared" si="58"/>
        <v>2016</v>
      </c>
      <c r="W253" s="362">
        <f t="shared" si="58"/>
        <v>2017</v>
      </c>
    </row>
    <row r="254" spans="1:23" ht="12.75" customHeight="1" outlineLevel="1">
      <c r="A254" s="394" t="s">
        <v>2</v>
      </c>
      <c r="B254" s="393">
        <f>B245</f>
        <v>0</v>
      </c>
      <c r="C254" s="391">
        <f t="shared" ref="C254:W254" si="59">B257</f>
        <v>0</v>
      </c>
      <c r="D254" s="393">
        <f t="shared" si="59"/>
        <v>0</v>
      </c>
      <c r="E254" s="392">
        <f t="shared" si="59"/>
        <v>0</v>
      </c>
      <c r="F254" s="392">
        <f t="shared" si="59"/>
        <v>0</v>
      </c>
      <c r="G254" s="392">
        <f t="shared" si="59"/>
        <v>0</v>
      </c>
      <c r="H254" s="391">
        <f t="shared" si="59"/>
        <v>0</v>
      </c>
      <c r="I254" s="393">
        <f t="shared" si="59"/>
        <v>0</v>
      </c>
      <c r="J254" s="392">
        <f t="shared" si="59"/>
        <v>0</v>
      </c>
      <c r="K254" s="392">
        <f t="shared" si="59"/>
        <v>0</v>
      </c>
      <c r="L254" s="392">
        <f t="shared" si="59"/>
        <v>0</v>
      </c>
      <c r="M254" s="391">
        <f t="shared" si="59"/>
        <v>0</v>
      </c>
      <c r="N254" s="393">
        <f t="shared" si="59"/>
        <v>0</v>
      </c>
      <c r="O254" s="392">
        <f t="shared" si="59"/>
        <v>0</v>
      </c>
      <c r="P254" s="392">
        <f t="shared" si="59"/>
        <v>0</v>
      </c>
      <c r="Q254" s="392">
        <f t="shared" si="59"/>
        <v>0</v>
      </c>
      <c r="R254" s="391">
        <f t="shared" si="59"/>
        <v>0</v>
      </c>
      <c r="S254" s="393">
        <f t="shared" si="59"/>
        <v>0</v>
      </c>
      <c r="T254" s="392">
        <f t="shared" si="59"/>
        <v>0</v>
      </c>
      <c r="U254" s="392">
        <f t="shared" si="59"/>
        <v>0</v>
      </c>
      <c r="V254" s="392">
        <f t="shared" si="59"/>
        <v>0</v>
      </c>
      <c r="W254" s="391">
        <f t="shared" si="59"/>
        <v>0</v>
      </c>
    </row>
    <row r="255" spans="1:23" ht="12.75" customHeight="1" outlineLevel="1">
      <c r="A255" s="389" t="s">
        <v>149</v>
      </c>
      <c r="B255" s="393">
        <v>0</v>
      </c>
      <c r="C255" s="391">
        <v>0</v>
      </c>
      <c r="D255" s="393">
        <v>0</v>
      </c>
      <c r="E255" s="392">
        <f>B251</f>
        <v>0.45</v>
      </c>
      <c r="F255" s="392">
        <f>C251</f>
        <v>0.89900000000000002</v>
      </c>
      <c r="G255" s="392">
        <f>D251</f>
        <v>1.704</v>
      </c>
      <c r="H255" s="391">
        <f>E251</f>
        <v>0.77322193972602737</v>
      </c>
      <c r="I255" s="393">
        <v>0</v>
      </c>
      <c r="J255" s="392">
        <v>0</v>
      </c>
      <c r="K255" s="392">
        <v>0</v>
      </c>
      <c r="L255" s="392">
        <v>0</v>
      </c>
      <c r="M255" s="391">
        <v>0</v>
      </c>
      <c r="N255" s="393">
        <v>0</v>
      </c>
      <c r="O255" s="392">
        <v>0</v>
      </c>
      <c r="P255" s="392">
        <v>0</v>
      </c>
      <c r="Q255" s="392">
        <v>0</v>
      </c>
      <c r="R255" s="391">
        <v>0</v>
      </c>
      <c r="S255" s="393">
        <v>0</v>
      </c>
      <c r="T255" s="392">
        <v>0</v>
      </c>
      <c r="U255" s="392">
        <v>0</v>
      </c>
      <c r="V255" s="392">
        <v>0</v>
      </c>
      <c r="W255" s="391">
        <v>0</v>
      </c>
    </row>
    <row r="256" spans="1:23" ht="12.75" customHeight="1" outlineLevel="1">
      <c r="A256" s="389" t="s">
        <v>148</v>
      </c>
      <c r="B256" s="347">
        <f>IF($B248=1,B255+B254,B255*$B248*0.5)</f>
        <v>0</v>
      </c>
      <c r="C256" s="347">
        <f t="shared" ref="C256:W256" si="60">IF($B248=1,C255+C254,(C254+C255*0.5)*$B248)</f>
        <v>0</v>
      </c>
      <c r="D256" s="369">
        <f t="shared" si="60"/>
        <v>0</v>
      </c>
      <c r="E256" s="347">
        <f t="shared" si="60"/>
        <v>0.45</v>
      </c>
      <c r="F256" s="347">
        <f t="shared" si="60"/>
        <v>0.89900000000000002</v>
      </c>
      <c r="G256" s="347">
        <f t="shared" si="60"/>
        <v>1.704</v>
      </c>
      <c r="H256" s="368">
        <f t="shared" si="60"/>
        <v>0.77322193972602737</v>
      </c>
      <c r="I256" s="369">
        <f t="shared" si="60"/>
        <v>0</v>
      </c>
      <c r="J256" s="347">
        <f t="shared" si="60"/>
        <v>0</v>
      </c>
      <c r="K256" s="347">
        <f t="shared" si="60"/>
        <v>0</v>
      </c>
      <c r="L256" s="347">
        <f t="shared" si="60"/>
        <v>0</v>
      </c>
      <c r="M256" s="368">
        <f t="shared" si="60"/>
        <v>0</v>
      </c>
      <c r="N256" s="369">
        <f t="shared" si="60"/>
        <v>0</v>
      </c>
      <c r="O256" s="347">
        <f t="shared" si="60"/>
        <v>0</v>
      </c>
      <c r="P256" s="347">
        <f t="shared" si="60"/>
        <v>0</v>
      </c>
      <c r="Q256" s="347">
        <f t="shared" si="60"/>
        <v>0</v>
      </c>
      <c r="R256" s="368">
        <f t="shared" si="60"/>
        <v>0</v>
      </c>
      <c r="S256" s="369">
        <f t="shared" si="60"/>
        <v>0</v>
      </c>
      <c r="T256" s="347">
        <f t="shared" si="60"/>
        <v>0</v>
      </c>
      <c r="U256" s="347">
        <f t="shared" si="60"/>
        <v>0</v>
      </c>
      <c r="V256" s="347">
        <f t="shared" si="60"/>
        <v>0</v>
      </c>
      <c r="W256" s="368">
        <f t="shared" si="60"/>
        <v>0</v>
      </c>
    </row>
    <row r="257" spans="1:23" ht="12.75" customHeight="1" outlineLevel="1">
      <c r="A257" s="388" t="s">
        <v>113</v>
      </c>
      <c r="B257" s="387">
        <f t="shared" ref="B257:W257" si="61">B254+B255-B256</f>
        <v>0</v>
      </c>
      <c r="C257" s="385">
        <f t="shared" si="61"/>
        <v>0</v>
      </c>
      <c r="D257" s="387">
        <f t="shared" si="61"/>
        <v>0</v>
      </c>
      <c r="E257" s="386">
        <f t="shared" si="61"/>
        <v>0</v>
      </c>
      <c r="F257" s="386">
        <f t="shared" si="61"/>
        <v>0</v>
      </c>
      <c r="G257" s="386">
        <f t="shared" si="61"/>
        <v>0</v>
      </c>
      <c r="H257" s="385">
        <f t="shared" si="61"/>
        <v>0</v>
      </c>
      <c r="I257" s="387">
        <f t="shared" si="61"/>
        <v>0</v>
      </c>
      <c r="J257" s="386">
        <f t="shared" si="61"/>
        <v>0</v>
      </c>
      <c r="K257" s="386">
        <f t="shared" si="61"/>
        <v>0</v>
      </c>
      <c r="L257" s="386">
        <f t="shared" si="61"/>
        <v>0</v>
      </c>
      <c r="M257" s="385">
        <f t="shared" si="61"/>
        <v>0</v>
      </c>
      <c r="N257" s="387">
        <f t="shared" si="61"/>
        <v>0</v>
      </c>
      <c r="O257" s="386">
        <f t="shared" si="61"/>
        <v>0</v>
      </c>
      <c r="P257" s="386">
        <f t="shared" si="61"/>
        <v>0</v>
      </c>
      <c r="Q257" s="386">
        <f t="shared" si="61"/>
        <v>0</v>
      </c>
      <c r="R257" s="385">
        <f t="shared" si="61"/>
        <v>0</v>
      </c>
      <c r="S257" s="387">
        <f t="shared" si="61"/>
        <v>0</v>
      </c>
      <c r="T257" s="386">
        <f t="shared" si="61"/>
        <v>0</v>
      </c>
      <c r="U257" s="386">
        <f t="shared" si="61"/>
        <v>0</v>
      </c>
      <c r="V257" s="386">
        <f t="shared" si="61"/>
        <v>0</v>
      </c>
      <c r="W257" s="385">
        <f t="shared" si="61"/>
        <v>0</v>
      </c>
    </row>
    <row r="258" spans="1:23" ht="12.75" customHeight="1" outlineLevel="1"/>
    <row r="259" spans="1:23" ht="12.75" customHeight="1" outlineLevel="1"/>
    <row r="260" spans="1:23" ht="12.75" customHeight="1" outlineLevel="1">
      <c r="A260" s="350" t="s">
        <v>182</v>
      </c>
    </row>
    <row r="261" spans="1:23" ht="12.75" customHeight="1" outlineLevel="1">
      <c r="A261" s="350"/>
    </row>
    <row r="262" spans="1:23" ht="12.75" customHeight="1" outlineLevel="1">
      <c r="B262" s="364">
        <v>1996</v>
      </c>
      <c r="C262" s="362">
        <v>1997</v>
      </c>
      <c r="D262" s="364">
        <v>1998</v>
      </c>
      <c r="E262" s="363">
        <v>1999</v>
      </c>
      <c r="F262" s="363">
        <v>2000</v>
      </c>
      <c r="G262" s="363">
        <v>2001</v>
      </c>
      <c r="H262" s="362">
        <v>2002</v>
      </c>
      <c r="I262" s="364">
        <v>2003</v>
      </c>
      <c r="J262" s="363">
        <v>2004</v>
      </c>
      <c r="K262" s="363">
        <v>2005</v>
      </c>
      <c r="L262" s="363">
        <v>2006</v>
      </c>
      <c r="M262" s="362">
        <v>2007</v>
      </c>
      <c r="N262" s="364">
        <v>2008</v>
      </c>
      <c r="O262" s="363">
        <v>2009</v>
      </c>
      <c r="P262" s="363">
        <v>2010</v>
      </c>
      <c r="Q262" s="363">
        <v>2011</v>
      </c>
      <c r="R262" s="362">
        <v>2012</v>
      </c>
      <c r="S262" s="364">
        <f t="shared" ref="S262:W262" si="62">R262+1</f>
        <v>2013</v>
      </c>
      <c r="T262" s="363">
        <f t="shared" si="62"/>
        <v>2014</v>
      </c>
      <c r="U262" s="363">
        <f t="shared" si="62"/>
        <v>2015</v>
      </c>
      <c r="V262" s="363">
        <f t="shared" si="62"/>
        <v>2016</v>
      </c>
      <c r="W262" s="362">
        <f t="shared" si="62"/>
        <v>2017</v>
      </c>
    </row>
    <row r="263" spans="1:23" ht="12.75" customHeight="1" outlineLevel="1">
      <c r="A263" s="394" t="s">
        <v>2</v>
      </c>
      <c r="B263" s="427">
        <f t="shared" ref="B263:W263" si="63">B193+B208+B223+B238+B254</f>
        <v>0</v>
      </c>
      <c r="C263" s="428">
        <f t="shared" si="63"/>
        <v>0</v>
      </c>
      <c r="D263" s="427">
        <f t="shared" si="63"/>
        <v>0</v>
      </c>
      <c r="E263" s="426">
        <f t="shared" si="63"/>
        <v>0</v>
      </c>
      <c r="F263" s="426">
        <f t="shared" si="63"/>
        <v>6.837342500000001</v>
      </c>
      <c r="G263" s="426">
        <f t="shared" si="63"/>
        <v>32.253886037500003</v>
      </c>
      <c r="H263" s="428">
        <f t="shared" si="63"/>
        <v>54.131408189187503</v>
      </c>
      <c r="I263" s="427">
        <f t="shared" si="63"/>
        <v>61.778628518577506</v>
      </c>
      <c r="J263" s="426">
        <f t="shared" si="63"/>
        <v>56.533428294832206</v>
      </c>
      <c r="K263" s="426">
        <f t="shared" si="63"/>
        <v>52.558797376713173</v>
      </c>
      <c r="L263" s="426">
        <f t="shared" si="63"/>
        <v>49.422972780082375</v>
      </c>
      <c r="M263" s="428">
        <f t="shared" si="63"/>
        <v>46.851190262370892</v>
      </c>
      <c r="N263" s="427">
        <f t="shared" si="63"/>
        <v>44.667492870162711</v>
      </c>
      <c r="O263" s="426">
        <f t="shared" si="63"/>
        <v>42.758260433512348</v>
      </c>
      <c r="P263" s="426">
        <f t="shared" si="63"/>
        <v>41.049329730756448</v>
      </c>
      <c r="Q263" s="426">
        <f t="shared" si="63"/>
        <v>39.491621640803999</v>
      </c>
      <c r="R263" s="428">
        <f t="shared" si="63"/>
        <v>38.052096059665971</v>
      </c>
      <c r="S263" s="427">
        <f t="shared" si="63"/>
        <v>36.708045933506291</v>
      </c>
      <c r="T263" s="426">
        <f t="shared" si="63"/>
        <v>35.443486115135038</v>
      </c>
      <c r="U263" s="426">
        <f t="shared" si="63"/>
        <v>34.246858180712451</v>
      </c>
      <c r="V263" s="426">
        <f t="shared" si="63"/>
        <v>33.109563414056971</v>
      </c>
      <c r="W263" s="428">
        <f t="shared" si="63"/>
        <v>32.025018235516981</v>
      </c>
    </row>
    <row r="264" spans="1:23" ht="12.75" customHeight="1" outlineLevel="1">
      <c r="A264" s="389" t="s">
        <v>137</v>
      </c>
      <c r="B264" s="427">
        <f t="shared" ref="B264:W264" si="64">B194+B209+B224+B239+B255</f>
        <v>0</v>
      </c>
      <c r="C264" s="428">
        <f t="shared" si="64"/>
        <v>0</v>
      </c>
      <c r="D264" s="427">
        <f t="shared" si="64"/>
        <v>0</v>
      </c>
      <c r="E264" s="426">
        <f t="shared" si="64"/>
        <v>7.7000000000000011</v>
      </c>
      <c r="F264" s="426">
        <f t="shared" si="64"/>
        <v>28.651</v>
      </c>
      <c r="G264" s="426">
        <f t="shared" si="64"/>
        <v>28.57</v>
      </c>
      <c r="H264" s="428">
        <f t="shared" si="64"/>
        <v>14.492382424238698</v>
      </c>
      <c r="I264" s="427">
        <f t="shared" si="64"/>
        <v>0</v>
      </c>
      <c r="J264" s="426">
        <f t="shared" si="64"/>
        <v>0</v>
      </c>
      <c r="K264" s="426">
        <f t="shared" si="64"/>
        <v>0</v>
      </c>
      <c r="L264" s="426">
        <f t="shared" si="64"/>
        <v>0</v>
      </c>
      <c r="M264" s="428">
        <f t="shared" si="64"/>
        <v>0</v>
      </c>
      <c r="N264" s="427">
        <f t="shared" si="64"/>
        <v>0</v>
      </c>
      <c r="O264" s="426">
        <f t="shared" si="64"/>
        <v>0</v>
      </c>
      <c r="P264" s="426">
        <f t="shared" si="64"/>
        <v>0</v>
      </c>
      <c r="Q264" s="426">
        <f t="shared" si="64"/>
        <v>0</v>
      </c>
      <c r="R264" s="428">
        <f t="shared" si="64"/>
        <v>0</v>
      </c>
      <c r="S264" s="427">
        <f t="shared" si="64"/>
        <v>0</v>
      </c>
      <c r="T264" s="426">
        <f t="shared" si="64"/>
        <v>0</v>
      </c>
      <c r="U264" s="426">
        <f t="shared" si="64"/>
        <v>0</v>
      </c>
      <c r="V264" s="426">
        <f t="shared" si="64"/>
        <v>0</v>
      </c>
      <c r="W264" s="428">
        <f t="shared" si="64"/>
        <v>0</v>
      </c>
    </row>
    <row r="265" spans="1:23" ht="12.75" customHeight="1" outlineLevel="1">
      <c r="A265" s="389" t="s">
        <v>136</v>
      </c>
      <c r="B265" s="427">
        <f t="shared" ref="B265:W265" si="65">B195+B210+B225+B240+B256</f>
        <v>0</v>
      </c>
      <c r="C265" s="428">
        <f t="shared" si="65"/>
        <v>0</v>
      </c>
      <c r="D265" s="427">
        <f t="shared" si="65"/>
        <v>0</v>
      </c>
      <c r="E265" s="426">
        <f t="shared" si="65"/>
        <v>0.86265750000000008</v>
      </c>
      <c r="F265" s="426">
        <f t="shared" si="65"/>
        <v>3.2344564624999999</v>
      </c>
      <c r="G265" s="426">
        <f t="shared" si="65"/>
        <v>6.6924778483124996</v>
      </c>
      <c r="H265" s="428">
        <f t="shared" si="65"/>
        <v>6.8451620948487015</v>
      </c>
      <c r="I265" s="427">
        <f t="shared" si="65"/>
        <v>5.2452002237452948</v>
      </c>
      <c r="J265" s="426">
        <f t="shared" si="65"/>
        <v>3.9746309181190402</v>
      </c>
      <c r="K265" s="426">
        <f t="shared" si="65"/>
        <v>3.1358245966307945</v>
      </c>
      <c r="L265" s="426">
        <f t="shared" si="65"/>
        <v>2.5717825177114841</v>
      </c>
      <c r="M265" s="428">
        <f t="shared" si="65"/>
        <v>2.183697392208177</v>
      </c>
      <c r="N265" s="427">
        <f t="shared" si="65"/>
        <v>1.9092324366503677</v>
      </c>
      <c r="O265" s="426">
        <f t="shared" si="65"/>
        <v>1.7089307027559046</v>
      </c>
      <c r="P265" s="426">
        <f t="shared" si="65"/>
        <v>1.5577080899524418</v>
      </c>
      <c r="Q265" s="426">
        <f t="shared" si="65"/>
        <v>1.4395255811380279</v>
      </c>
      <c r="R265" s="428">
        <f t="shared" si="65"/>
        <v>1.3440501261596891</v>
      </c>
      <c r="S265" s="427">
        <f t="shared" si="65"/>
        <v>1.2645598183712472</v>
      </c>
      <c r="T265" s="426">
        <f t="shared" si="65"/>
        <v>1.1966279344225792</v>
      </c>
      <c r="U265" s="426">
        <f t="shared" si="65"/>
        <v>1.1372947666554842</v>
      </c>
      <c r="V265" s="426">
        <f t="shared" si="65"/>
        <v>1.0845451785399913</v>
      </c>
      <c r="W265" s="428">
        <f t="shared" si="65"/>
        <v>1.0369779618093544</v>
      </c>
    </row>
    <row r="266" spans="1:23" ht="12.75" customHeight="1" outlineLevel="1">
      <c r="A266" s="388" t="s">
        <v>113</v>
      </c>
      <c r="B266" s="421">
        <f t="shared" ref="B266:W266" si="66">B263+B264-B265</f>
        <v>0</v>
      </c>
      <c r="C266" s="422">
        <f t="shared" si="66"/>
        <v>0</v>
      </c>
      <c r="D266" s="421">
        <f t="shared" si="66"/>
        <v>0</v>
      </c>
      <c r="E266" s="420">
        <f t="shared" si="66"/>
        <v>6.837342500000001</v>
      </c>
      <c r="F266" s="420">
        <f t="shared" si="66"/>
        <v>32.253886037500003</v>
      </c>
      <c r="G266" s="420">
        <f t="shared" si="66"/>
        <v>54.131408189187503</v>
      </c>
      <c r="H266" s="422">
        <f t="shared" si="66"/>
        <v>61.778628518577491</v>
      </c>
      <c r="I266" s="421">
        <f t="shared" si="66"/>
        <v>56.533428294832213</v>
      </c>
      <c r="J266" s="420">
        <f t="shared" si="66"/>
        <v>52.558797376713166</v>
      </c>
      <c r="K266" s="420">
        <f t="shared" si="66"/>
        <v>49.422972780082375</v>
      </c>
      <c r="L266" s="420">
        <f t="shared" si="66"/>
        <v>46.851190262370892</v>
      </c>
      <c r="M266" s="422">
        <f t="shared" si="66"/>
        <v>44.667492870162718</v>
      </c>
      <c r="N266" s="421">
        <f t="shared" si="66"/>
        <v>42.758260433512341</v>
      </c>
      <c r="O266" s="420">
        <f t="shared" si="66"/>
        <v>41.04932973075644</v>
      </c>
      <c r="P266" s="420">
        <f t="shared" si="66"/>
        <v>39.491621640804006</v>
      </c>
      <c r="Q266" s="420">
        <f t="shared" si="66"/>
        <v>38.052096059665971</v>
      </c>
      <c r="R266" s="422">
        <f t="shared" si="66"/>
        <v>36.708045933506284</v>
      </c>
      <c r="S266" s="421">
        <f t="shared" si="66"/>
        <v>35.443486115135045</v>
      </c>
      <c r="T266" s="420">
        <f t="shared" si="66"/>
        <v>34.246858180712458</v>
      </c>
      <c r="U266" s="420">
        <f t="shared" si="66"/>
        <v>33.109563414056964</v>
      </c>
      <c r="V266" s="420">
        <f t="shared" si="66"/>
        <v>32.025018235516981</v>
      </c>
      <c r="W266" s="422">
        <f t="shared" si="66"/>
        <v>30.988040273707625</v>
      </c>
    </row>
    <row r="267" spans="1:23" ht="12.75" customHeight="1" outlineLevel="1">
      <c r="A267" s="380"/>
      <c r="B267" s="426"/>
      <c r="C267" s="426"/>
      <c r="D267" s="426"/>
      <c r="E267" s="426"/>
      <c r="F267" s="426"/>
      <c r="G267" s="426"/>
      <c r="H267" s="426"/>
      <c r="I267" s="426"/>
      <c r="J267" s="426"/>
      <c r="K267" s="426"/>
      <c r="L267" s="426"/>
      <c r="M267" s="426"/>
      <c r="N267" s="426"/>
      <c r="O267" s="426"/>
      <c r="P267" s="426"/>
      <c r="Q267" s="426"/>
      <c r="R267" s="426"/>
    </row>
    <row r="268" spans="1:23" ht="12.75" customHeight="1" outlineLevel="1">
      <c r="A268" s="380"/>
      <c r="B268" s="426"/>
      <c r="C268" s="426"/>
      <c r="D268" s="426"/>
      <c r="E268" s="426"/>
      <c r="F268" s="426"/>
      <c r="G268" s="426"/>
      <c r="H268" s="426"/>
      <c r="I268" s="426"/>
      <c r="J268" s="426"/>
      <c r="K268" s="426"/>
      <c r="L268" s="426"/>
      <c r="M268" s="426"/>
      <c r="N268" s="426"/>
      <c r="O268" s="426"/>
      <c r="P268" s="426"/>
      <c r="Q268" s="426"/>
      <c r="R268" s="426"/>
    </row>
    <row r="269" spans="1:23" ht="12.75" customHeight="1" outlineLevel="1">
      <c r="A269" s="380"/>
      <c r="B269" s="426"/>
      <c r="C269" s="426"/>
      <c r="D269" s="426"/>
      <c r="E269" s="426"/>
      <c r="F269" s="426"/>
      <c r="G269" s="426"/>
      <c r="H269" s="426"/>
      <c r="I269" s="426"/>
      <c r="J269" s="426"/>
      <c r="K269" s="426"/>
      <c r="L269" s="426"/>
      <c r="M269" s="426"/>
      <c r="N269" s="426"/>
      <c r="O269" s="426"/>
      <c r="P269" s="426"/>
      <c r="Q269" s="426"/>
      <c r="R269" s="426"/>
    </row>
    <row r="270" spans="1:23" ht="12.75" customHeight="1" outlineLevel="1">
      <c r="A270" s="380"/>
      <c r="B270" s="426"/>
      <c r="C270" s="426"/>
      <c r="D270" s="426"/>
      <c r="E270" s="426"/>
      <c r="F270" s="426"/>
      <c r="G270" s="426"/>
      <c r="H270" s="426"/>
      <c r="I270" s="426"/>
      <c r="J270" s="426"/>
      <c r="K270" s="426"/>
      <c r="L270" s="426"/>
      <c r="M270" s="426"/>
      <c r="N270" s="426"/>
      <c r="O270" s="426"/>
      <c r="P270" s="426"/>
      <c r="Q270" s="426"/>
      <c r="R270" s="426"/>
    </row>
    <row r="271" spans="1:23">
      <c r="A271" s="380"/>
      <c r="B271" s="426"/>
      <c r="C271" s="426"/>
      <c r="D271" s="426"/>
      <c r="E271" s="426"/>
      <c r="F271" s="426"/>
      <c r="G271" s="426"/>
      <c r="H271" s="426"/>
      <c r="I271" s="426"/>
      <c r="J271" s="426"/>
      <c r="K271" s="426"/>
      <c r="L271" s="426"/>
      <c r="M271" s="426"/>
      <c r="N271" s="426"/>
      <c r="O271" s="426"/>
      <c r="P271" s="426"/>
      <c r="Q271" s="426"/>
      <c r="R271" s="426"/>
    </row>
    <row r="272" spans="1:23">
      <c r="A272" s="356" t="s">
        <v>181</v>
      </c>
    </row>
    <row r="274" spans="1:5" ht="25.5" customHeight="1" outlineLevel="1">
      <c r="A274" s="415" t="s">
        <v>180</v>
      </c>
      <c r="B274" s="478" t="s">
        <v>163</v>
      </c>
      <c r="C274" s="478" t="s">
        <v>162</v>
      </c>
      <c r="D274" s="658" t="s">
        <v>161</v>
      </c>
      <c r="E274" s="658"/>
    </row>
    <row r="275" spans="1:5" ht="12.75" customHeight="1" outlineLevel="1">
      <c r="A275" s="394" t="s">
        <v>121</v>
      </c>
      <c r="B275" s="477">
        <v>0</v>
      </c>
      <c r="C275" s="413">
        <v>20</v>
      </c>
      <c r="D275" s="413" t="s">
        <v>168</v>
      </c>
      <c r="E275" s="412"/>
    </row>
    <row r="276" spans="1:5" ht="12.75" customHeight="1" outlineLevel="1">
      <c r="A276" s="389" t="s">
        <v>122</v>
      </c>
      <c r="B276" s="475">
        <f>B275</f>
        <v>0</v>
      </c>
      <c r="C276" s="393">
        <v>4</v>
      </c>
      <c r="D276" s="393" t="s">
        <v>168</v>
      </c>
      <c r="E276" s="410"/>
    </row>
    <row r="277" spans="1:5" ht="12.75" customHeight="1" outlineLevel="1">
      <c r="A277" s="389" t="s">
        <v>132</v>
      </c>
      <c r="B277" s="475">
        <f>B276</f>
        <v>0</v>
      </c>
      <c r="C277" s="393">
        <v>40</v>
      </c>
      <c r="D277" s="393" t="s">
        <v>153</v>
      </c>
      <c r="E277" s="410"/>
    </row>
    <row r="278" spans="1:5" ht="12.75" customHeight="1" outlineLevel="1">
      <c r="A278" s="389" t="s">
        <v>126</v>
      </c>
      <c r="B278" s="475">
        <f>B277</f>
        <v>0</v>
      </c>
      <c r="C278" s="393">
        <v>10</v>
      </c>
      <c r="D278" s="393" t="s">
        <v>168</v>
      </c>
      <c r="E278" s="410"/>
    </row>
    <row r="279" spans="1:5" ht="12.75" customHeight="1" outlineLevel="1">
      <c r="A279" s="389" t="s">
        <v>159</v>
      </c>
      <c r="B279" s="474">
        <f>B278</f>
        <v>0</v>
      </c>
      <c r="C279" s="473">
        <v>0</v>
      </c>
      <c r="D279" s="387" t="s">
        <v>158</v>
      </c>
      <c r="E279" s="407"/>
    </row>
    <row r="280" spans="1:5" ht="12.75" customHeight="1" outlineLevel="1">
      <c r="A280" s="380"/>
      <c r="B280" s="392">
        <f>SUM(B275:B279)</f>
        <v>0</v>
      </c>
      <c r="C280" s="396"/>
      <c r="D280" s="392"/>
      <c r="E280" s="380"/>
    </row>
    <row r="281" spans="1:5" ht="12.75" customHeight="1" outlineLevel="1"/>
    <row r="282" spans="1:5" ht="12.75" customHeight="1" outlineLevel="1">
      <c r="A282" s="350" t="s">
        <v>157</v>
      </c>
    </row>
    <row r="283" spans="1:5" ht="12.75" customHeight="1" outlineLevel="1"/>
    <row r="284" spans="1:5" ht="12.75" customHeight="1" outlineLevel="1">
      <c r="A284" s="350" t="str">
        <f>A275</f>
        <v>Mains &amp; Services</v>
      </c>
    </row>
    <row r="285" spans="1:5" ht="12.75" customHeight="1" outlineLevel="1">
      <c r="A285" s="414" t="s">
        <v>131</v>
      </c>
      <c r="B285" s="413">
        <f>B275</f>
        <v>0</v>
      </c>
      <c r="C285" s="412"/>
      <c r="D285" s="380"/>
      <c r="E285" s="380"/>
    </row>
    <row r="286" spans="1:5" ht="12.75" customHeight="1" outlineLevel="1">
      <c r="A286" s="411" t="s">
        <v>155</v>
      </c>
      <c r="B286" s="393">
        <f>C275</f>
        <v>20</v>
      </c>
      <c r="C286" s="410"/>
      <c r="D286" s="380"/>
      <c r="E286" s="380"/>
    </row>
    <row r="287" spans="1:5" ht="12.75" customHeight="1" outlineLevel="1">
      <c r="A287" s="411" t="s">
        <v>154</v>
      </c>
      <c r="B287" s="393" t="str">
        <f>D275</f>
        <v>Declining Balance</v>
      </c>
      <c r="C287" s="410"/>
      <c r="D287" s="380"/>
      <c r="E287" s="380"/>
    </row>
    <row r="288" spans="1:5" ht="12.75" customHeight="1" outlineLevel="1">
      <c r="A288" s="409" t="s">
        <v>152</v>
      </c>
      <c r="B288" s="408">
        <f>IF(B287="Straight Line",1/B286,IF(B287="Declining Balance",1/B286*1.5,1))</f>
        <v>7.5000000000000011E-2</v>
      </c>
      <c r="C288" s="407"/>
      <c r="D288" s="380"/>
      <c r="E288" s="380"/>
    </row>
    <row r="289" spans="1:23" ht="12.75" customHeight="1" outlineLevel="1">
      <c r="A289" s="380"/>
      <c r="B289" s="392"/>
      <c r="C289" s="380"/>
      <c r="D289" s="380"/>
      <c r="E289" s="380"/>
    </row>
    <row r="290" spans="1:23" ht="12.75" customHeight="1" outlineLevel="1">
      <c r="A290" s="380" t="s">
        <v>137</v>
      </c>
      <c r="B290" s="406" t="s">
        <v>179</v>
      </c>
      <c r="C290" s="489" t="s">
        <v>178</v>
      </c>
      <c r="D290" s="490" t="s">
        <v>177</v>
      </c>
      <c r="E290" s="489" t="s">
        <v>176</v>
      </c>
      <c r="F290" s="488" t="s">
        <v>167</v>
      </c>
      <c r="G290" s="487"/>
      <c r="H290" s="403"/>
      <c r="I290" s="403"/>
      <c r="J290" s="403"/>
      <c r="K290" s="403"/>
      <c r="L290" s="403"/>
    </row>
    <row r="291" spans="1:23" ht="12.75" customHeight="1" outlineLevel="1">
      <c r="A291" s="402" t="s">
        <v>150</v>
      </c>
      <c r="B291" s="401">
        <v>8.7472622975422176</v>
      </c>
      <c r="C291" s="486">
        <v>19.756280335370068</v>
      </c>
      <c r="D291" s="486">
        <v>24.281549695627426</v>
      </c>
      <c r="E291" s="486">
        <v>32.359868422939471</v>
      </c>
      <c r="F291" s="479">
        <v>11.678421088543562</v>
      </c>
      <c r="G291" s="485"/>
      <c r="H291" s="392"/>
      <c r="I291" s="392"/>
      <c r="J291" s="392"/>
      <c r="K291" s="392"/>
      <c r="L291" s="483"/>
      <c r="M291" s="395"/>
    </row>
    <row r="292" spans="1:23" ht="12.75" customHeight="1" outlineLevel="1">
      <c r="A292" s="380"/>
      <c r="B292" s="392"/>
      <c r="C292" s="380"/>
    </row>
    <row r="293" spans="1:23" ht="12.75" customHeight="1" outlineLevel="1">
      <c r="B293" s="364">
        <v>1996</v>
      </c>
      <c r="C293" s="362">
        <v>1997</v>
      </c>
      <c r="D293" s="364">
        <v>1998</v>
      </c>
      <c r="E293" s="363">
        <v>1999</v>
      </c>
      <c r="F293" s="363">
        <v>2000</v>
      </c>
      <c r="G293" s="363">
        <v>2001</v>
      </c>
      <c r="H293" s="362">
        <v>2002</v>
      </c>
      <c r="I293" s="364">
        <v>2003</v>
      </c>
      <c r="J293" s="363">
        <v>2004</v>
      </c>
      <c r="K293" s="363">
        <v>2005</v>
      </c>
      <c r="L293" s="363">
        <v>2006</v>
      </c>
      <c r="M293" s="362">
        <v>2007</v>
      </c>
      <c r="N293" s="364">
        <v>2008</v>
      </c>
      <c r="O293" s="363">
        <v>2009</v>
      </c>
      <c r="P293" s="363">
        <v>2010</v>
      </c>
      <c r="Q293" s="363">
        <v>2011</v>
      </c>
      <c r="R293" s="362">
        <v>2012</v>
      </c>
      <c r="S293" s="364">
        <f t="shared" ref="S293:W293" si="67">R293+1</f>
        <v>2013</v>
      </c>
      <c r="T293" s="363">
        <f t="shared" si="67"/>
        <v>2014</v>
      </c>
      <c r="U293" s="363">
        <f t="shared" si="67"/>
        <v>2015</v>
      </c>
      <c r="V293" s="363">
        <f t="shared" si="67"/>
        <v>2016</v>
      </c>
      <c r="W293" s="362">
        <f t="shared" si="67"/>
        <v>2017</v>
      </c>
    </row>
    <row r="294" spans="1:23" ht="12.75" customHeight="1" outlineLevel="1">
      <c r="A294" s="394" t="s">
        <v>2</v>
      </c>
      <c r="B294" s="393">
        <f>B285</f>
        <v>0</v>
      </c>
      <c r="C294" s="391">
        <f t="shared" ref="C294:W294" si="68">B297</f>
        <v>0</v>
      </c>
      <c r="D294" s="393">
        <f t="shared" si="68"/>
        <v>0</v>
      </c>
      <c r="E294" s="392">
        <f t="shared" si="68"/>
        <v>0</v>
      </c>
      <c r="F294" s="392">
        <f t="shared" si="68"/>
        <v>0</v>
      </c>
      <c r="G294" s="392">
        <f t="shared" si="68"/>
        <v>0</v>
      </c>
      <c r="H294" s="391">
        <f t="shared" si="68"/>
        <v>0</v>
      </c>
      <c r="I294" s="393">
        <f t="shared" si="68"/>
        <v>8.4192399613843847</v>
      </c>
      <c r="J294" s="392">
        <f t="shared" si="68"/>
        <v>26.803216787074245</v>
      </c>
      <c r="K294" s="392">
        <f t="shared" si="68"/>
        <v>48.163967110085068</v>
      </c>
      <c r="L294" s="392">
        <f t="shared" si="68"/>
        <v>75.698042933907928</v>
      </c>
      <c r="M294" s="391">
        <f t="shared" si="68"/>
        <v>81.261170011588007</v>
      </c>
      <c r="N294" s="390">
        <f t="shared" si="68"/>
        <v>75.166582260718911</v>
      </c>
      <c r="O294" s="392">
        <f t="shared" si="68"/>
        <v>69.529088591164992</v>
      </c>
      <c r="P294" s="392">
        <f t="shared" si="68"/>
        <v>64.314406946827617</v>
      </c>
      <c r="Q294" s="392">
        <f t="shared" si="68"/>
        <v>59.490826425815541</v>
      </c>
      <c r="R294" s="391">
        <f t="shared" si="68"/>
        <v>55.029014443879376</v>
      </c>
      <c r="S294" s="390">
        <f t="shared" si="68"/>
        <v>50.901838360588421</v>
      </c>
      <c r="T294" s="392">
        <f t="shared" si="68"/>
        <v>47.084200483544286</v>
      </c>
      <c r="U294" s="392">
        <f t="shared" si="68"/>
        <v>43.552885447278463</v>
      </c>
      <c r="V294" s="392">
        <f t="shared" si="68"/>
        <v>40.286419038732575</v>
      </c>
      <c r="W294" s="391">
        <f t="shared" si="68"/>
        <v>37.26493761082763</v>
      </c>
    </row>
    <row r="295" spans="1:23" ht="12.75" customHeight="1" outlineLevel="1">
      <c r="A295" s="389" t="s">
        <v>149</v>
      </c>
      <c r="B295" s="393">
        <v>0</v>
      </c>
      <c r="C295" s="391">
        <v>0</v>
      </c>
      <c r="D295" s="393">
        <v>0</v>
      </c>
      <c r="E295" s="392">
        <v>0</v>
      </c>
      <c r="F295" s="392">
        <v>0</v>
      </c>
      <c r="G295" s="392">
        <v>0</v>
      </c>
      <c r="H295" s="391">
        <f>B291</f>
        <v>8.7472622975422176</v>
      </c>
      <c r="I295" s="393">
        <f>C291</f>
        <v>19.756280335370068</v>
      </c>
      <c r="J295" s="392">
        <f>D291</f>
        <v>24.281549695627426</v>
      </c>
      <c r="K295" s="392">
        <f>E291</f>
        <v>32.359868422939471</v>
      </c>
      <c r="L295" s="392">
        <f>F291</f>
        <v>11.678421088543562</v>
      </c>
      <c r="M295" s="391">
        <v>0</v>
      </c>
      <c r="N295" s="393">
        <v>0</v>
      </c>
      <c r="O295" s="392">
        <v>0</v>
      </c>
      <c r="P295" s="392">
        <v>0</v>
      </c>
      <c r="Q295" s="392">
        <v>0</v>
      </c>
      <c r="R295" s="391">
        <v>0</v>
      </c>
      <c r="S295" s="393">
        <v>0</v>
      </c>
      <c r="T295" s="392">
        <v>0</v>
      </c>
      <c r="U295" s="392">
        <v>0</v>
      </c>
      <c r="V295" s="392">
        <v>0</v>
      </c>
      <c r="W295" s="391">
        <v>0</v>
      </c>
    </row>
    <row r="296" spans="1:23" ht="12.75" customHeight="1" outlineLevel="1">
      <c r="A296" s="389" t="s">
        <v>148</v>
      </c>
      <c r="B296" s="347">
        <f>IF($B288=1,B295+B294,B295*$B288*0.5)</f>
        <v>0</v>
      </c>
      <c r="C296" s="347">
        <f t="shared" ref="C296:W296" si="69">IF($B288=1,C295+C294,(C294+C295*0.5)*$B288)</f>
        <v>0</v>
      </c>
      <c r="D296" s="369">
        <f t="shared" si="69"/>
        <v>0</v>
      </c>
      <c r="E296" s="347">
        <f t="shared" si="69"/>
        <v>0</v>
      </c>
      <c r="F296" s="347">
        <f t="shared" si="69"/>
        <v>0</v>
      </c>
      <c r="G296" s="347">
        <f t="shared" si="69"/>
        <v>0</v>
      </c>
      <c r="H296" s="368">
        <f t="shared" si="69"/>
        <v>0.32802233615783322</v>
      </c>
      <c r="I296" s="369">
        <f t="shared" si="69"/>
        <v>1.3723035096802065</v>
      </c>
      <c r="J296" s="347">
        <f t="shared" si="69"/>
        <v>2.9207993726165973</v>
      </c>
      <c r="K296" s="347">
        <f t="shared" si="69"/>
        <v>4.8257925991166104</v>
      </c>
      <c r="L296" s="347">
        <f t="shared" si="69"/>
        <v>6.1152940108634786</v>
      </c>
      <c r="M296" s="368">
        <f t="shared" si="69"/>
        <v>6.0945877508691018</v>
      </c>
      <c r="N296" s="369">
        <f t="shared" si="69"/>
        <v>5.6374936695539191</v>
      </c>
      <c r="O296" s="347">
        <f t="shared" si="69"/>
        <v>5.2146816443373751</v>
      </c>
      <c r="P296" s="347">
        <f t="shared" si="69"/>
        <v>4.8235805210120724</v>
      </c>
      <c r="Q296" s="347">
        <f t="shared" si="69"/>
        <v>4.4618119819361661</v>
      </c>
      <c r="R296" s="368">
        <f t="shared" si="69"/>
        <v>4.1271760832909541</v>
      </c>
      <c r="S296" s="369">
        <f t="shared" si="69"/>
        <v>3.8176378770441319</v>
      </c>
      <c r="T296" s="347">
        <f t="shared" si="69"/>
        <v>3.5313150362658221</v>
      </c>
      <c r="U296" s="347">
        <f t="shared" si="69"/>
        <v>3.266466408545885</v>
      </c>
      <c r="V296" s="347">
        <f t="shared" si="69"/>
        <v>3.0214814279049436</v>
      </c>
      <c r="W296" s="368">
        <f t="shared" si="69"/>
        <v>2.7948703208120729</v>
      </c>
    </row>
    <row r="297" spans="1:23" ht="12.75" customHeight="1" outlineLevel="1">
      <c r="A297" s="388" t="s">
        <v>113</v>
      </c>
      <c r="B297" s="387">
        <f t="shared" ref="B297:W297" si="70">B294+B295-B296</f>
        <v>0</v>
      </c>
      <c r="C297" s="385">
        <f t="shared" si="70"/>
        <v>0</v>
      </c>
      <c r="D297" s="387">
        <f t="shared" si="70"/>
        <v>0</v>
      </c>
      <c r="E297" s="386">
        <f t="shared" si="70"/>
        <v>0</v>
      </c>
      <c r="F297" s="386">
        <f t="shared" si="70"/>
        <v>0</v>
      </c>
      <c r="G297" s="386">
        <f t="shared" si="70"/>
        <v>0</v>
      </c>
      <c r="H297" s="385">
        <f t="shared" si="70"/>
        <v>8.4192399613843847</v>
      </c>
      <c r="I297" s="387">
        <f t="shared" si="70"/>
        <v>26.803216787074245</v>
      </c>
      <c r="J297" s="386">
        <f t="shared" si="70"/>
        <v>48.163967110085068</v>
      </c>
      <c r="K297" s="386">
        <f t="shared" si="70"/>
        <v>75.698042933907928</v>
      </c>
      <c r="L297" s="386">
        <f t="shared" si="70"/>
        <v>81.261170011588007</v>
      </c>
      <c r="M297" s="385">
        <f t="shared" si="70"/>
        <v>75.166582260718911</v>
      </c>
      <c r="N297" s="387">
        <f t="shared" si="70"/>
        <v>69.529088591164992</v>
      </c>
      <c r="O297" s="386">
        <f t="shared" si="70"/>
        <v>64.314406946827617</v>
      </c>
      <c r="P297" s="386">
        <f t="shared" si="70"/>
        <v>59.490826425815541</v>
      </c>
      <c r="Q297" s="386">
        <f t="shared" si="70"/>
        <v>55.029014443879376</v>
      </c>
      <c r="R297" s="385">
        <f t="shared" si="70"/>
        <v>50.901838360588421</v>
      </c>
      <c r="S297" s="387">
        <f t="shared" si="70"/>
        <v>47.084200483544286</v>
      </c>
      <c r="T297" s="386">
        <f t="shared" si="70"/>
        <v>43.552885447278463</v>
      </c>
      <c r="U297" s="386">
        <f t="shared" si="70"/>
        <v>40.286419038732575</v>
      </c>
      <c r="V297" s="386">
        <f t="shared" si="70"/>
        <v>37.26493761082763</v>
      </c>
      <c r="W297" s="385">
        <f t="shared" si="70"/>
        <v>34.470067290015557</v>
      </c>
    </row>
    <row r="298" spans="1:23" ht="12.75" customHeight="1" outlineLevel="1"/>
    <row r="299" spans="1:23" ht="12.75" customHeight="1" outlineLevel="1">
      <c r="A299" s="350" t="str">
        <f>A276</f>
        <v>Meters</v>
      </c>
    </row>
    <row r="300" spans="1:23" ht="12.75" customHeight="1" outlineLevel="1">
      <c r="A300" s="414" t="s">
        <v>131</v>
      </c>
      <c r="B300" s="413">
        <f>B276</f>
        <v>0</v>
      </c>
      <c r="C300" s="412"/>
      <c r="D300" s="380"/>
      <c r="E300" s="380"/>
    </row>
    <row r="301" spans="1:23" ht="12.75" customHeight="1" outlineLevel="1">
      <c r="A301" s="411" t="s">
        <v>155</v>
      </c>
      <c r="B301" s="393">
        <f>C276</f>
        <v>4</v>
      </c>
      <c r="C301" s="410"/>
      <c r="D301" s="380"/>
      <c r="E301" s="380"/>
    </row>
    <row r="302" spans="1:23" ht="12.75" customHeight="1" outlineLevel="1">
      <c r="A302" s="411" t="s">
        <v>154</v>
      </c>
      <c r="B302" s="393" t="str">
        <f>D276</f>
        <v>Declining Balance</v>
      </c>
      <c r="C302" s="410"/>
      <c r="D302" s="380"/>
      <c r="E302" s="380"/>
    </row>
    <row r="303" spans="1:23" ht="12.75" customHeight="1" outlineLevel="1">
      <c r="A303" s="409" t="s">
        <v>152</v>
      </c>
      <c r="B303" s="408">
        <f>IF(AND(B301=0,B302=""),0,IF(B302="Straight Line",1/B301,IF(B302="Declining Balance",1/B301*1.5,1)))</f>
        <v>0.375</v>
      </c>
      <c r="C303" s="407"/>
      <c r="D303" s="380"/>
      <c r="E303" s="380"/>
    </row>
    <row r="304" spans="1:23" ht="12.75" customHeight="1" outlineLevel="1">
      <c r="A304" s="380"/>
      <c r="B304" s="392"/>
      <c r="C304" s="380"/>
      <c r="D304" s="380"/>
      <c r="E304" s="380"/>
    </row>
    <row r="305" spans="1:23" ht="12.75" customHeight="1" outlineLevel="1">
      <c r="A305" s="380" t="s">
        <v>137</v>
      </c>
      <c r="B305" s="406" t="s">
        <v>179</v>
      </c>
      <c r="C305" s="489" t="s">
        <v>178</v>
      </c>
      <c r="D305" s="490" t="s">
        <v>177</v>
      </c>
      <c r="E305" s="489" t="s">
        <v>176</v>
      </c>
      <c r="F305" s="488" t="s">
        <v>167</v>
      </c>
      <c r="G305" s="487"/>
      <c r="H305" s="403"/>
      <c r="I305" s="403"/>
      <c r="J305" s="403"/>
      <c r="K305" s="403"/>
      <c r="L305" s="403"/>
    </row>
    <row r="306" spans="1:23" ht="12.75" customHeight="1" outlineLevel="1">
      <c r="A306" s="402" t="s">
        <v>150</v>
      </c>
      <c r="B306" s="401">
        <v>2.6110574828230217</v>
      </c>
      <c r="C306" s="486">
        <v>6.8877592038704938</v>
      </c>
      <c r="D306" s="486">
        <v>6.8471501554709997</v>
      </c>
      <c r="E306" s="486">
        <v>6.9223296445708398</v>
      </c>
      <c r="F306" s="479">
        <v>2.5614484851129862</v>
      </c>
      <c r="G306" s="485"/>
      <c r="H306" s="392"/>
      <c r="I306" s="392"/>
      <c r="J306" s="392"/>
      <c r="K306" s="392"/>
      <c r="L306" s="483"/>
      <c r="M306" s="395"/>
    </row>
    <row r="307" spans="1:23" ht="12.75" customHeight="1" outlineLevel="1">
      <c r="A307" s="380"/>
      <c r="B307" s="392"/>
      <c r="C307" s="380"/>
    </row>
    <row r="308" spans="1:23" ht="12.75" customHeight="1" outlineLevel="1">
      <c r="B308" s="364">
        <v>1996</v>
      </c>
      <c r="C308" s="362">
        <v>1997</v>
      </c>
      <c r="D308" s="364">
        <v>1998</v>
      </c>
      <c r="E308" s="363">
        <v>1999</v>
      </c>
      <c r="F308" s="363">
        <v>2000</v>
      </c>
      <c r="G308" s="363">
        <v>2001</v>
      </c>
      <c r="H308" s="362">
        <v>2002</v>
      </c>
      <c r="I308" s="364">
        <v>2003</v>
      </c>
      <c r="J308" s="363">
        <v>2004</v>
      </c>
      <c r="K308" s="363">
        <v>2005</v>
      </c>
      <c r="L308" s="363">
        <v>2006</v>
      </c>
      <c r="M308" s="362">
        <v>2007</v>
      </c>
      <c r="N308" s="364">
        <v>2008</v>
      </c>
      <c r="O308" s="363">
        <v>2009</v>
      </c>
      <c r="P308" s="363">
        <v>2010</v>
      </c>
      <c r="Q308" s="363">
        <v>2011</v>
      </c>
      <c r="R308" s="362">
        <v>2012</v>
      </c>
      <c r="S308" s="364">
        <f t="shared" ref="S308:W308" si="71">R308+1</f>
        <v>2013</v>
      </c>
      <c r="T308" s="363">
        <f t="shared" si="71"/>
        <v>2014</v>
      </c>
      <c r="U308" s="363">
        <f t="shared" si="71"/>
        <v>2015</v>
      </c>
      <c r="V308" s="363">
        <f t="shared" si="71"/>
        <v>2016</v>
      </c>
      <c r="W308" s="362">
        <f t="shared" si="71"/>
        <v>2017</v>
      </c>
    </row>
    <row r="309" spans="1:23" ht="12.75" customHeight="1" outlineLevel="1">
      <c r="A309" s="394" t="s">
        <v>2</v>
      </c>
      <c r="B309" s="393">
        <f>B300</f>
        <v>0</v>
      </c>
      <c r="C309" s="391">
        <f t="shared" ref="C309:W309" si="72">B312</f>
        <v>0</v>
      </c>
      <c r="D309" s="393">
        <f t="shared" si="72"/>
        <v>0</v>
      </c>
      <c r="E309" s="392">
        <f t="shared" si="72"/>
        <v>0</v>
      </c>
      <c r="F309" s="392">
        <f t="shared" si="72"/>
        <v>0</v>
      </c>
      <c r="G309" s="392">
        <f t="shared" si="72"/>
        <v>0</v>
      </c>
      <c r="H309" s="391">
        <f t="shared" si="72"/>
        <v>0</v>
      </c>
      <c r="I309" s="393">
        <f t="shared" si="72"/>
        <v>2.1214842047937053</v>
      </c>
      <c r="J309" s="392">
        <f t="shared" si="72"/>
        <v>6.9222319811408424</v>
      </c>
      <c r="K309" s="392">
        <f t="shared" si="72"/>
        <v>9.889704489533214</v>
      </c>
      <c r="L309" s="392">
        <f t="shared" si="72"/>
        <v>11.805458142172064</v>
      </c>
      <c r="M309" s="391">
        <f t="shared" si="72"/>
        <v>9.4595882330118428</v>
      </c>
      <c r="N309" s="390">
        <f t="shared" si="72"/>
        <v>5.9122426456324018</v>
      </c>
      <c r="O309" s="392">
        <f t="shared" si="72"/>
        <v>3.6951516535202513</v>
      </c>
      <c r="P309" s="392">
        <f t="shared" si="72"/>
        <v>2.3094697834501572</v>
      </c>
      <c r="Q309" s="392">
        <f t="shared" si="72"/>
        <v>1.4434186146563484</v>
      </c>
      <c r="R309" s="391">
        <f t="shared" si="72"/>
        <v>0.90213663416021772</v>
      </c>
      <c r="S309" s="390">
        <f t="shared" si="72"/>
        <v>0.56383539635013613</v>
      </c>
      <c r="T309" s="392">
        <f t="shared" si="72"/>
        <v>0.35239712271883505</v>
      </c>
      <c r="U309" s="392">
        <f t="shared" si="72"/>
        <v>0.22024820169927189</v>
      </c>
      <c r="V309" s="392">
        <f t="shared" si="72"/>
        <v>0.13765512606204494</v>
      </c>
      <c r="W309" s="391">
        <f t="shared" si="72"/>
        <v>8.6034453788778081E-2</v>
      </c>
    </row>
    <row r="310" spans="1:23" ht="12.75" customHeight="1" outlineLevel="1">
      <c r="A310" s="389" t="s">
        <v>149</v>
      </c>
      <c r="B310" s="393">
        <v>0</v>
      </c>
      <c r="C310" s="391">
        <v>0</v>
      </c>
      <c r="D310" s="393">
        <v>0</v>
      </c>
      <c r="E310" s="392">
        <v>0</v>
      </c>
      <c r="F310" s="392">
        <v>0</v>
      </c>
      <c r="G310" s="392">
        <v>0</v>
      </c>
      <c r="H310" s="391">
        <f>B306</f>
        <v>2.6110574828230217</v>
      </c>
      <c r="I310" s="393">
        <f>C306</f>
        <v>6.8877592038704938</v>
      </c>
      <c r="J310" s="392">
        <f>D306</f>
        <v>6.8471501554709997</v>
      </c>
      <c r="K310" s="392">
        <f>E306</f>
        <v>6.9223296445708398</v>
      </c>
      <c r="L310" s="392">
        <f>F306</f>
        <v>2.5614484851129862</v>
      </c>
      <c r="M310" s="391">
        <v>0</v>
      </c>
      <c r="N310" s="393">
        <v>0</v>
      </c>
      <c r="O310" s="392">
        <v>0</v>
      </c>
      <c r="P310" s="392">
        <v>0</v>
      </c>
      <c r="Q310" s="392">
        <v>0</v>
      </c>
      <c r="R310" s="391">
        <v>0</v>
      </c>
      <c r="S310" s="393">
        <v>0</v>
      </c>
      <c r="T310" s="392">
        <v>0</v>
      </c>
      <c r="U310" s="392">
        <v>0</v>
      </c>
      <c r="V310" s="392">
        <v>0</v>
      </c>
      <c r="W310" s="391">
        <v>0</v>
      </c>
    </row>
    <row r="311" spans="1:23" ht="12.75" customHeight="1" outlineLevel="1">
      <c r="A311" s="389" t="s">
        <v>148</v>
      </c>
      <c r="B311" s="347">
        <f>IF($B303=1,B310+B309,B310*$B303*0.5)</f>
        <v>0</v>
      </c>
      <c r="C311" s="347">
        <f t="shared" ref="C311:W311" si="73">IF($B303=1,C310+C309,(C309+C310*0.5)*$B303)</f>
        <v>0</v>
      </c>
      <c r="D311" s="369">
        <f t="shared" si="73"/>
        <v>0</v>
      </c>
      <c r="E311" s="347">
        <f t="shared" si="73"/>
        <v>0</v>
      </c>
      <c r="F311" s="347">
        <f t="shared" si="73"/>
        <v>0</v>
      </c>
      <c r="G311" s="347">
        <f t="shared" si="73"/>
        <v>0</v>
      </c>
      <c r="H311" s="368">
        <f t="shared" si="73"/>
        <v>0.48957327802931661</v>
      </c>
      <c r="I311" s="369">
        <f t="shared" si="73"/>
        <v>2.0870114275233567</v>
      </c>
      <c r="J311" s="347">
        <f t="shared" si="73"/>
        <v>3.8796776470786285</v>
      </c>
      <c r="K311" s="347">
        <f t="shared" si="73"/>
        <v>5.0065759919319879</v>
      </c>
      <c r="L311" s="347">
        <f t="shared" si="73"/>
        <v>4.9073183942732088</v>
      </c>
      <c r="M311" s="368">
        <f t="shared" si="73"/>
        <v>3.5473455873794411</v>
      </c>
      <c r="N311" s="369">
        <f t="shared" si="73"/>
        <v>2.2170909921121504</v>
      </c>
      <c r="O311" s="347">
        <f t="shared" si="73"/>
        <v>1.3856818700700941</v>
      </c>
      <c r="P311" s="347">
        <f t="shared" si="73"/>
        <v>0.86605116879380895</v>
      </c>
      <c r="Q311" s="347">
        <f t="shared" si="73"/>
        <v>0.54128198049613063</v>
      </c>
      <c r="R311" s="368">
        <f t="shared" si="73"/>
        <v>0.33830123781008165</v>
      </c>
      <c r="S311" s="369">
        <f t="shared" si="73"/>
        <v>0.21143827363130105</v>
      </c>
      <c r="T311" s="347">
        <f t="shared" si="73"/>
        <v>0.13214892101956316</v>
      </c>
      <c r="U311" s="347">
        <f t="shared" si="73"/>
        <v>8.2593075637226954E-2</v>
      </c>
      <c r="V311" s="347">
        <f t="shared" si="73"/>
        <v>5.1620672273266853E-2</v>
      </c>
      <c r="W311" s="368">
        <f t="shared" si="73"/>
        <v>3.2262920170791784E-2</v>
      </c>
    </row>
    <row r="312" spans="1:23" ht="12.75" customHeight="1" outlineLevel="1">
      <c r="A312" s="388" t="s">
        <v>113</v>
      </c>
      <c r="B312" s="387">
        <f t="shared" ref="B312:W312" si="74">B309+B310-B311</f>
        <v>0</v>
      </c>
      <c r="C312" s="385">
        <f t="shared" si="74"/>
        <v>0</v>
      </c>
      <c r="D312" s="387">
        <f t="shared" si="74"/>
        <v>0</v>
      </c>
      <c r="E312" s="386">
        <f t="shared" si="74"/>
        <v>0</v>
      </c>
      <c r="F312" s="386">
        <f t="shared" si="74"/>
        <v>0</v>
      </c>
      <c r="G312" s="386">
        <f t="shared" si="74"/>
        <v>0</v>
      </c>
      <c r="H312" s="385">
        <f t="shared" si="74"/>
        <v>2.1214842047937053</v>
      </c>
      <c r="I312" s="387">
        <f t="shared" si="74"/>
        <v>6.9222319811408424</v>
      </c>
      <c r="J312" s="386">
        <f t="shared" si="74"/>
        <v>9.889704489533214</v>
      </c>
      <c r="K312" s="386">
        <f t="shared" si="74"/>
        <v>11.805458142172064</v>
      </c>
      <c r="L312" s="386">
        <f t="shared" si="74"/>
        <v>9.4595882330118428</v>
      </c>
      <c r="M312" s="385">
        <f t="shared" si="74"/>
        <v>5.9122426456324018</v>
      </c>
      <c r="N312" s="387">
        <f t="shared" si="74"/>
        <v>3.6951516535202513</v>
      </c>
      <c r="O312" s="386">
        <f t="shared" si="74"/>
        <v>2.3094697834501572</v>
      </c>
      <c r="P312" s="386">
        <f t="shared" si="74"/>
        <v>1.4434186146563484</v>
      </c>
      <c r="Q312" s="386">
        <f t="shared" si="74"/>
        <v>0.90213663416021772</v>
      </c>
      <c r="R312" s="385">
        <f t="shared" si="74"/>
        <v>0.56383539635013613</v>
      </c>
      <c r="S312" s="387">
        <f t="shared" si="74"/>
        <v>0.35239712271883505</v>
      </c>
      <c r="T312" s="386">
        <f t="shared" si="74"/>
        <v>0.22024820169927189</v>
      </c>
      <c r="U312" s="386">
        <f t="shared" si="74"/>
        <v>0.13765512606204494</v>
      </c>
      <c r="V312" s="386">
        <f t="shared" si="74"/>
        <v>8.6034453788778081E-2</v>
      </c>
      <c r="W312" s="385">
        <f t="shared" si="74"/>
        <v>5.3771533617986297E-2</v>
      </c>
    </row>
    <row r="313" spans="1:23" ht="12.75" customHeight="1" outlineLevel="1"/>
    <row r="314" spans="1:23" ht="12.75" customHeight="1" outlineLevel="1">
      <c r="A314" s="350" t="str">
        <f>A277</f>
        <v>Land &amp; Buildings</v>
      </c>
    </row>
    <row r="315" spans="1:23" ht="12.75" customHeight="1" outlineLevel="1">
      <c r="A315" s="414" t="s">
        <v>131</v>
      </c>
      <c r="B315" s="413">
        <f>B277</f>
        <v>0</v>
      </c>
      <c r="C315" s="412"/>
      <c r="D315" s="380"/>
      <c r="E315" s="380"/>
    </row>
    <row r="316" spans="1:23" ht="12.75" customHeight="1" outlineLevel="1">
      <c r="A316" s="411" t="s">
        <v>155</v>
      </c>
      <c r="B316" s="393">
        <f>C277</f>
        <v>40</v>
      </c>
      <c r="C316" s="410"/>
      <c r="D316" s="380"/>
      <c r="E316" s="380"/>
    </row>
    <row r="317" spans="1:23" ht="12.75" customHeight="1" outlineLevel="1">
      <c r="A317" s="411" t="s">
        <v>154</v>
      </c>
      <c r="B317" s="393" t="str">
        <f>D277</f>
        <v>Straight Line</v>
      </c>
      <c r="C317" s="410"/>
      <c r="D317" s="380"/>
      <c r="E317" s="380"/>
    </row>
    <row r="318" spans="1:23" ht="12.75" customHeight="1" outlineLevel="1">
      <c r="A318" s="409" t="s">
        <v>152</v>
      </c>
      <c r="B318" s="408">
        <f>IF(AND(B316=0,B317=""),0,IF(B317="Straight Line",1/B316,IF(B317="Declining Balance",1/B316*1.5,1)))</f>
        <v>2.5000000000000001E-2</v>
      </c>
      <c r="C318" s="407"/>
      <c r="D318" s="380"/>
      <c r="E318" s="380"/>
    </row>
    <row r="319" spans="1:23" ht="12.75" customHeight="1" outlineLevel="1">
      <c r="A319" s="380"/>
      <c r="B319" s="392"/>
      <c r="C319" s="380"/>
      <c r="D319" s="380"/>
      <c r="E319" s="380"/>
    </row>
    <row r="320" spans="1:23" ht="12.75" customHeight="1" outlineLevel="1">
      <c r="A320" s="380" t="s">
        <v>137</v>
      </c>
      <c r="B320" s="406" t="s">
        <v>179</v>
      </c>
      <c r="C320" s="489" t="s">
        <v>178</v>
      </c>
      <c r="D320" s="490" t="s">
        <v>177</v>
      </c>
      <c r="E320" s="489" t="s">
        <v>176</v>
      </c>
      <c r="F320" s="488" t="s">
        <v>167</v>
      </c>
      <c r="G320" s="487"/>
      <c r="H320" s="403"/>
      <c r="I320" s="403"/>
      <c r="J320" s="403"/>
      <c r="K320" s="403"/>
      <c r="L320" s="403"/>
    </row>
    <row r="321" spans="1:23" ht="12.75" customHeight="1" outlineLevel="1">
      <c r="A321" s="402" t="s">
        <v>150</v>
      </c>
      <c r="B321" s="401">
        <v>0</v>
      </c>
      <c r="C321" s="486">
        <v>0</v>
      </c>
      <c r="D321" s="486">
        <v>0</v>
      </c>
      <c r="E321" s="486">
        <v>0</v>
      </c>
      <c r="F321" s="479">
        <v>0</v>
      </c>
      <c r="G321" s="485"/>
      <c r="H321" s="392"/>
      <c r="I321" s="392"/>
      <c r="J321" s="392"/>
      <c r="K321" s="392"/>
      <c r="L321" s="483"/>
      <c r="M321" s="395"/>
    </row>
    <row r="322" spans="1:23" ht="12.75" customHeight="1" outlineLevel="1">
      <c r="A322" s="380"/>
      <c r="B322" s="392"/>
      <c r="C322" s="380"/>
    </row>
    <row r="323" spans="1:23" ht="12.75" customHeight="1" outlineLevel="1">
      <c r="B323" s="364">
        <v>1996</v>
      </c>
      <c r="C323" s="362">
        <v>1997</v>
      </c>
      <c r="D323" s="364">
        <v>1998</v>
      </c>
      <c r="E323" s="363">
        <v>1999</v>
      </c>
      <c r="F323" s="363">
        <v>2000</v>
      </c>
      <c r="G323" s="363">
        <v>2001</v>
      </c>
      <c r="H323" s="362">
        <v>2002</v>
      </c>
      <c r="I323" s="364">
        <v>2003</v>
      </c>
      <c r="J323" s="363">
        <v>2004</v>
      </c>
      <c r="K323" s="363">
        <v>2005</v>
      </c>
      <c r="L323" s="363">
        <v>2006</v>
      </c>
      <c r="M323" s="362">
        <v>2007</v>
      </c>
      <c r="N323" s="364">
        <v>2008</v>
      </c>
      <c r="O323" s="363">
        <v>2009</v>
      </c>
      <c r="P323" s="363">
        <v>2010</v>
      </c>
      <c r="Q323" s="363">
        <v>2011</v>
      </c>
      <c r="R323" s="362">
        <v>2012</v>
      </c>
      <c r="S323" s="364">
        <f t="shared" ref="S323:W323" si="75">R323+1</f>
        <v>2013</v>
      </c>
      <c r="T323" s="363">
        <f t="shared" si="75"/>
        <v>2014</v>
      </c>
      <c r="U323" s="363">
        <f t="shared" si="75"/>
        <v>2015</v>
      </c>
      <c r="V323" s="363">
        <f t="shared" si="75"/>
        <v>2016</v>
      </c>
      <c r="W323" s="362">
        <f t="shared" si="75"/>
        <v>2017</v>
      </c>
    </row>
    <row r="324" spans="1:23" ht="12.75" customHeight="1" outlineLevel="1">
      <c r="A324" s="394" t="s">
        <v>2</v>
      </c>
      <c r="B324" s="393">
        <f>B315</f>
        <v>0</v>
      </c>
      <c r="C324" s="391">
        <f t="shared" ref="C324:W324" si="76">B327</f>
        <v>0</v>
      </c>
      <c r="D324" s="393">
        <f t="shared" si="76"/>
        <v>0</v>
      </c>
      <c r="E324" s="392">
        <f t="shared" si="76"/>
        <v>0</v>
      </c>
      <c r="F324" s="392">
        <f t="shared" si="76"/>
        <v>0</v>
      </c>
      <c r="G324" s="392">
        <f t="shared" si="76"/>
        <v>0</v>
      </c>
      <c r="H324" s="391">
        <f t="shared" si="76"/>
        <v>0</v>
      </c>
      <c r="I324" s="393">
        <f t="shared" si="76"/>
        <v>0</v>
      </c>
      <c r="J324" s="392">
        <f t="shared" si="76"/>
        <v>0</v>
      </c>
      <c r="K324" s="392">
        <f t="shared" si="76"/>
        <v>0</v>
      </c>
      <c r="L324" s="392">
        <f t="shared" si="76"/>
        <v>0</v>
      </c>
      <c r="M324" s="391">
        <f t="shared" si="76"/>
        <v>0</v>
      </c>
      <c r="N324" s="390">
        <f t="shared" si="76"/>
        <v>0</v>
      </c>
      <c r="O324" s="392">
        <f t="shared" si="76"/>
        <v>0</v>
      </c>
      <c r="P324" s="392">
        <f t="shared" si="76"/>
        <v>0</v>
      </c>
      <c r="Q324" s="392">
        <f t="shared" si="76"/>
        <v>0</v>
      </c>
      <c r="R324" s="391">
        <f t="shared" si="76"/>
        <v>0</v>
      </c>
      <c r="S324" s="390">
        <f t="shared" si="76"/>
        <v>0</v>
      </c>
      <c r="T324" s="392">
        <f t="shared" si="76"/>
        <v>0</v>
      </c>
      <c r="U324" s="392">
        <f t="shared" si="76"/>
        <v>0</v>
      </c>
      <c r="V324" s="392">
        <f t="shared" si="76"/>
        <v>0</v>
      </c>
      <c r="W324" s="391">
        <f t="shared" si="76"/>
        <v>0</v>
      </c>
    </row>
    <row r="325" spans="1:23" ht="12.75" customHeight="1" outlineLevel="1">
      <c r="A325" s="389" t="s">
        <v>149</v>
      </c>
      <c r="B325" s="393">
        <v>0</v>
      </c>
      <c r="C325" s="391">
        <v>0</v>
      </c>
      <c r="D325" s="393">
        <v>0</v>
      </c>
      <c r="E325" s="392">
        <v>0</v>
      </c>
      <c r="F325" s="392">
        <v>0</v>
      </c>
      <c r="G325" s="392">
        <v>0</v>
      </c>
      <c r="H325" s="391">
        <f>B321</f>
        <v>0</v>
      </c>
      <c r="I325" s="393">
        <f>C321</f>
        <v>0</v>
      </c>
      <c r="J325" s="392">
        <f>D321</f>
        <v>0</v>
      </c>
      <c r="K325" s="392">
        <f>E321</f>
        <v>0</v>
      </c>
      <c r="L325" s="392">
        <f>F321</f>
        <v>0</v>
      </c>
      <c r="M325" s="391">
        <v>0</v>
      </c>
      <c r="N325" s="393">
        <v>0</v>
      </c>
      <c r="O325" s="392">
        <v>0</v>
      </c>
      <c r="P325" s="392">
        <v>0</v>
      </c>
      <c r="Q325" s="392">
        <v>0</v>
      </c>
      <c r="R325" s="391">
        <v>0</v>
      </c>
      <c r="S325" s="393">
        <v>0</v>
      </c>
      <c r="T325" s="392">
        <v>0</v>
      </c>
      <c r="U325" s="392">
        <v>0</v>
      </c>
      <c r="V325" s="392">
        <v>0</v>
      </c>
      <c r="W325" s="391">
        <v>0</v>
      </c>
    </row>
    <row r="326" spans="1:23" ht="12.75" customHeight="1" outlineLevel="1">
      <c r="A326" s="389" t="s">
        <v>148</v>
      </c>
      <c r="B326" s="393">
        <f>B325*$B318*0.5</f>
        <v>0</v>
      </c>
      <c r="C326" s="391">
        <f>(SUM($B325:B325)+C325*0.5)*$B318</f>
        <v>0</v>
      </c>
      <c r="D326" s="393">
        <f>(SUM($B325:C325)+D325*0.5)*$B318</f>
        <v>0</v>
      </c>
      <c r="E326" s="392">
        <f>(SUM($B325:D325)+E325*0.5)*$B318</f>
        <v>0</v>
      </c>
      <c r="F326" s="392">
        <f>(SUM($B325:E325)+F325*0.5)*$B318</f>
        <v>0</v>
      </c>
      <c r="G326" s="392">
        <f>(SUM($B325:F325)+G325*0.5)*$B318</f>
        <v>0</v>
      </c>
      <c r="H326" s="391">
        <f>(SUM($B325:G325)+H325*0.5)*$B318</f>
        <v>0</v>
      </c>
      <c r="I326" s="393">
        <f>(SUM($B325:H325)+I325*0.5)*$B318</f>
        <v>0</v>
      </c>
      <c r="J326" s="392">
        <f>(SUM($B325:I325)+J325*0.5)*$B318</f>
        <v>0</v>
      </c>
      <c r="K326" s="392">
        <f>(SUM($B325:J325)+K325*0.5)*$B318</f>
        <v>0</v>
      </c>
      <c r="L326" s="392">
        <f>(SUM($B325:K325)+L325*0.5)*$B318</f>
        <v>0</v>
      </c>
      <c r="M326" s="391">
        <f>(SUM($B325:L325)+M325*0.5)*$B318</f>
        <v>0</v>
      </c>
      <c r="N326" s="393">
        <f>(SUM($B325:M325)+N325*0.5)*$B318</f>
        <v>0</v>
      </c>
      <c r="O326" s="392">
        <f>(SUM($B325:N325)+O325*0.5)*$B318</f>
        <v>0</v>
      </c>
      <c r="P326" s="392">
        <f>(SUM($B325:O325)+P325*0.5)*$B318</f>
        <v>0</v>
      </c>
      <c r="Q326" s="392">
        <f>(SUM($B325:P325)+Q325*0.5)*$B318</f>
        <v>0</v>
      </c>
      <c r="R326" s="391">
        <f>(SUM($B325:Q325)+R325*0.5)*$B318</f>
        <v>0</v>
      </c>
      <c r="S326" s="393">
        <f>(SUM($B325:R325)+S325*0.5)*$B318</f>
        <v>0</v>
      </c>
      <c r="T326" s="392">
        <f>(SUM($B325:S325)+T325*0.5)*$B318</f>
        <v>0</v>
      </c>
      <c r="U326" s="392">
        <f>(SUM($B325:T325)+U325*0.5)*$B318</f>
        <v>0</v>
      </c>
      <c r="V326" s="392">
        <f>(SUM($B325:U325)+V325*0.5)*$B318</f>
        <v>0</v>
      </c>
      <c r="W326" s="391">
        <f>(SUM($B325:V325)+W325*0.5)*$B318</f>
        <v>0</v>
      </c>
    </row>
    <row r="327" spans="1:23" ht="12.75" customHeight="1" outlineLevel="1">
      <c r="A327" s="388" t="s">
        <v>113</v>
      </c>
      <c r="B327" s="387">
        <f t="shared" ref="B327:W327" si="77">B324+B325-B326</f>
        <v>0</v>
      </c>
      <c r="C327" s="385">
        <f t="shared" si="77"/>
        <v>0</v>
      </c>
      <c r="D327" s="387">
        <f t="shared" si="77"/>
        <v>0</v>
      </c>
      <c r="E327" s="386">
        <f t="shared" si="77"/>
        <v>0</v>
      </c>
      <c r="F327" s="386">
        <f t="shared" si="77"/>
        <v>0</v>
      </c>
      <c r="G327" s="386">
        <f t="shared" si="77"/>
        <v>0</v>
      </c>
      <c r="H327" s="385">
        <f t="shared" si="77"/>
        <v>0</v>
      </c>
      <c r="I327" s="387">
        <f t="shared" si="77"/>
        <v>0</v>
      </c>
      <c r="J327" s="386">
        <f t="shared" si="77"/>
        <v>0</v>
      </c>
      <c r="K327" s="386">
        <f t="shared" si="77"/>
        <v>0</v>
      </c>
      <c r="L327" s="386">
        <f t="shared" si="77"/>
        <v>0</v>
      </c>
      <c r="M327" s="385">
        <f t="shared" si="77"/>
        <v>0</v>
      </c>
      <c r="N327" s="387">
        <f t="shared" si="77"/>
        <v>0</v>
      </c>
      <c r="O327" s="386">
        <f t="shared" si="77"/>
        <v>0</v>
      </c>
      <c r="P327" s="386">
        <f t="shared" si="77"/>
        <v>0</v>
      </c>
      <c r="Q327" s="386">
        <f t="shared" si="77"/>
        <v>0</v>
      </c>
      <c r="R327" s="385">
        <f t="shared" si="77"/>
        <v>0</v>
      </c>
      <c r="S327" s="387">
        <f t="shared" si="77"/>
        <v>0</v>
      </c>
      <c r="T327" s="386">
        <f t="shared" si="77"/>
        <v>0</v>
      </c>
      <c r="U327" s="386">
        <f t="shared" si="77"/>
        <v>0</v>
      </c>
      <c r="V327" s="386">
        <f t="shared" si="77"/>
        <v>0</v>
      </c>
      <c r="W327" s="385">
        <f t="shared" si="77"/>
        <v>0</v>
      </c>
    </row>
    <row r="328" spans="1:23" ht="12.75" customHeight="1" outlineLevel="1">
      <c r="M328" s="438"/>
    </row>
    <row r="329" spans="1:23" ht="12.75" customHeight="1" outlineLevel="1">
      <c r="A329" s="350" t="str">
        <f>A278</f>
        <v>Other Assets</v>
      </c>
    </row>
    <row r="330" spans="1:23" ht="12.75" customHeight="1" outlineLevel="1">
      <c r="A330" s="414" t="s">
        <v>131</v>
      </c>
      <c r="B330" s="413">
        <f>B278</f>
        <v>0</v>
      </c>
      <c r="C330" s="412"/>
      <c r="D330" s="380"/>
      <c r="E330" s="380"/>
    </row>
    <row r="331" spans="1:23" ht="12.75" customHeight="1" outlineLevel="1">
      <c r="A331" s="411" t="s">
        <v>155</v>
      </c>
      <c r="B331" s="393">
        <f>C278</f>
        <v>10</v>
      </c>
      <c r="C331" s="410"/>
      <c r="D331" s="380"/>
      <c r="E331" s="380"/>
    </row>
    <row r="332" spans="1:23" ht="12.75" customHeight="1" outlineLevel="1">
      <c r="A332" s="411" t="s">
        <v>154</v>
      </c>
      <c r="B332" s="393" t="str">
        <f>D278</f>
        <v>Declining Balance</v>
      </c>
      <c r="C332" s="410"/>
      <c r="D332" s="380"/>
      <c r="E332" s="380"/>
    </row>
    <row r="333" spans="1:23" ht="12.75" customHeight="1" outlineLevel="1">
      <c r="A333" s="409" t="s">
        <v>152</v>
      </c>
      <c r="B333" s="408">
        <f>IF(AND(B331=0,B332=""),0,IF(B332="Straight Line",1/B331,IF(B332="Declining Balance",1/B331*1.5,1)))</f>
        <v>0.15000000000000002</v>
      </c>
      <c r="C333" s="407"/>
      <c r="D333" s="380"/>
      <c r="E333" s="380"/>
    </row>
    <row r="334" spans="1:23" ht="12.75" customHeight="1" outlineLevel="1">
      <c r="A334" s="380"/>
      <c r="B334" s="392"/>
      <c r="C334" s="380"/>
      <c r="D334" s="380"/>
      <c r="E334" s="380"/>
    </row>
    <row r="335" spans="1:23" ht="12.75" customHeight="1" outlineLevel="1">
      <c r="A335" s="380" t="s">
        <v>137</v>
      </c>
      <c r="B335" s="406" t="s">
        <v>179</v>
      </c>
      <c r="C335" s="489" t="s">
        <v>178</v>
      </c>
      <c r="D335" s="490" t="s">
        <v>177</v>
      </c>
      <c r="E335" s="489" t="s">
        <v>176</v>
      </c>
      <c r="F335" s="488" t="s">
        <v>167</v>
      </c>
      <c r="G335" s="487"/>
      <c r="H335" s="403"/>
      <c r="I335" s="403"/>
      <c r="J335" s="403"/>
      <c r="K335" s="403"/>
      <c r="L335" s="403"/>
    </row>
    <row r="336" spans="1:23" ht="12.75" customHeight="1" outlineLevel="1">
      <c r="A336" s="402" t="s">
        <v>150</v>
      </c>
      <c r="B336" s="401">
        <v>2.137158739726027</v>
      </c>
      <c r="C336" s="486">
        <v>0.87990284137786023</v>
      </c>
      <c r="D336" s="486">
        <v>0.98204655796177776</v>
      </c>
      <c r="E336" s="486">
        <v>1.1365020599999998</v>
      </c>
      <c r="F336" s="479">
        <v>0.83023993336986168</v>
      </c>
      <c r="G336" s="485"/>
      <c r="H336" s="392"/>
      <c r="I336" s="392"/>
      <c r="J336" s="392"/>
      <c r="K336" s="392"/>
      <c r="L336" s="483"/>
      <c r="M336" s="395"/>
    </row>
    <row r="337" spans="1:23" ht="12.75" customHeight="1" outlineLevel="1">
      <c r="A337" s="380"/>
      <c r="B337" s="392"/>
      <c r="C337" s="380"/>
    </row>
    <row r="338" spans="1:23" ht="12.75" customHeight="1" outlineLevel="1">
      <c r="B338" s="364">
        <v>1996</v>
      </c>
      <c r="C338" s="362">
        <v>1997</v>
      </c>
      <c r="D338" s="364">
        <v>1998</v>
      </c>
      <c r="E338" s="363">
        <v>1999</v>
      </c>
      <c r="F338" s="363">
        <v>2000</v>
      </c>
      <c r="G338" s="363">
        <v>2001</v>
      </c>
      <c r="H338" s="362">
        <v>2002</v>
      </c>
      <c r="I338" s="364">
        <v>2003</v>
      </c>
      <c r="J338" s="363">
        <v>2004</v>
      </c>
      <c r="K338" s="363">
        <v>2005</v>
      </c>
      <c r="L338" s="363">
        <v>2006</v>
      </c>
      <c r="M338" s="362">
        <v>2007</v>
      </c>
      <c r="N338" s="364">
        <v>2008</v>
      </c>
      <c r="O338" s="363">
        <v>2009</v>
      </c>
      <c r="P338" s="363">
        <v>2010</v>
      </c>
      <c r="Q338" s="363">
        <v>2011</v>
      </c>
      <c r="R338" s="362">
        <v>2012</v>
      </c>
      <c r="S338" s="364">
        <f t="shared" ref="S338:W338" si="78">R338+1</f>
        <v>2013</v>
      </c>
      <c r="T338" s="363">
        <f t="shared" si="78"/>
        <v>2014</v>
      </c>
      <c r="U338" s="363">
        <f t="shared" si="78"/>
        <v>2015</v>
      </c>
      <c r="V338" s="363">
        <f t="shared" si="78"/>
        <v>2016</v>
      </c>
      <c r="W338" s="362">
        <f t="shared" si="78"/>
        <v>2017</v>
      </c>
    </row>
    <row r="339" spans="1:23" ht="12.75" customHeight="1" outlineLevel="1">
      <c r="A339" s="394" t="s">
        <v>2</v>
      </c>
      <c r="B339" s="393">
        <f>B330</f>
        <v>0</v>
      </c>
      <c r="C339" s="391">
        <f t="shared" ref="C339:W339" si="79">B342</f>
        <v>0</v>
      </c>
      <c r="D339" s="393">
        <f t="shared" si="79"/>
        <v>0</v>
      </c>
      <c r="E339" s="392">
        <f t="shared" si="79"/>
        <v>0</v>
      </c>
      <c r="F339" s="392">
        <f t="shared" si="79"/>
        <v>0</v>
      </c>
      <c r="G339" s="392">
        <f t="shared" si="79"/>
        <v>0</v>
      </c>
      <c r="H339" s="391">
        <f t="shared" si="79"/>
        <v>0</v>
      </c>
      <c r="I339" s="393">
        <f t="shared" si="79"/>
        <v>1.976871834246575</v>
      </c>
      <c r="J339" s="392">
        <f t="shared" si="79"/>
        <v>2.4942511873841093</v>
      </c>
      <c r="K339" s="392">
        <f t="shared" si="79"/>
        <v>3.0285065753911371</v>
      </c>
      <c r="L339" s="392">
        <f t="shared" si="79"/>
        <v>3.6254949945824668</v>
      </c>
      <c r="M339" s="391">
        <f t="shared" si="79"/>
        <v>3.8496426837622191</v>
      </c>
      <c r="N339" s="390">
        <f t="shared" si="79"/>
        <v>3.272196281197886</v>
      </c>
      <c r="O339" s="392">
        <f t="shared" si="79"/>
        <v>2.7813668390182031</v>
      </c>
      <c r="P339" s="392">
        <f t="shared" si="79"/>
        <v>2.3641618131654725</v>
      </c>
      <c r="Q339" s="392">
        <f t="shared" si="79"/>
        <v>2.0095375411906513</v>
      </c>
      <c r="R339" s="391">
        <f t="shared" si="79"/>
        <v>1.7081069100120536</v>
      </c>
      <c r="S339" s="390">
        <f t="shared" si="79"/>
        <v>1.4518908735102456</v>
      </c>
      <c r="T339" s="392">
        <f t="shared" si="79"/>
        <v>1.2341072424837087</v>
      </c>
      <c r="U339" s="392">
        <f t="shared" si="79"/>
        <v>1.0489911561111525</v>
      </c>
      <c r="V339" s="392">
        <f t="shared" si="79"/>
        <v>0.89164248269447954</v>
      </c>
      <c r="W339" s="391">
        <f t="shared" si="79"/>
        <v>0.75789611029030757</v>
      </c>
    </row>
    <row r="340" spans="1:23" ht="12.75" customHeight="1" outlineLevel="1">
      <c r="A340" s="389" t="s">
        <v>149</v>
      </c>
      <c r="B340" s="393">
        <v>0</v>
      </c>
      <c r="C340" s="391">
        <v>0</v>
      </c>
      <c r="D340" s="393">
        <v>0</v>
      </c>
      <c r="E340" s="392">
        <v>0</v>
      </c>
      <c r="F340" s="392">
        <v>0</v>
      </c>
      <c r="G340" s="392">
        <v>0</v>
      </c>
      <c r="H340" s="391">
        <f>B336</f>
        <v>2.137158739726027</v>
      </c>
      <c r="I340" s="393">
        <f>C336</f>
        <v>0.87990284137786023</v>
      </c>
      <c r="J340" s="392">
        <f>D336</f>
        <v>0.98204655796177776</v>
      </c>
      <c r="K340" s="392">
        <f>E336</f>
        <v>1.1365020599999998</v>
      </c>
      <c r="L340" s="392">
        <f>F336</f>
        <v>0.83023993336986168</v>
      </c>
      <c r="M340" s="391">
        <v>0</v>
      </c>
      <c r="N340" s="393">
        <v>0</v>
      </c>
      <c r="O340" s="392">
        <v>0</v>
      </c>
      <c r="P340" s="392">
        <v>0</v>
      </c>
      <c r="Q340" s="392">
        <v>0</v>
      </c>
      <c r="R340" s="391">
        <v>0</v>
      </c>
      <c r="S340" s="393">
        <v>0</v>
      </c>
      <c r="T340" s="392">
        <v>0</v>
      </c>
      <c r="U340" s="392">
        <v>0</v>
      </c>
      <c r="V340" s="392">
        <v>0</v>
      </c>
      <c r="W340" s="391">
        <v>0</v>
      </c>
    </row>
    <row r="341" spans="1:23" ht="12.75" customHeight="1" outlineLevel="1">
      <c r="A341" s="389" t="s">
        <v>148</v>
      </c>
      <c r="B341" s="347">
        <f>IF($B333=1,B340+B339,B340*$B333*0.5)</f>
        <v>0</v>
      </c>
      <c r="C341" s="347">
        <f t="shared" ref="C341:W341" si="80">IF($B333=1,C340+C339,(C339+C340*0.5)*$B333)</f>
        <v>0</v>
      </c>
      <c r="D341" s="369">
        <f t="shared" si="80"/>
        <v>0</v>
      </c>
      <c r="E341" s="347">
        <f t="shared" si="80"/>
        <v>0</v>
      </c>
      <c r="F341" s="347">
        <f t="shared" si="80"/>
        <v>0</v>
      </c>
      <c r="G341" s="347">
        <f t="shared" si="80"/>
        <v>0</v>
      </c>
      <c r="H341" s="368">
        <f t="shared" si="80"/>
        <v>0.16028690547945204</v>
      </c>
      <c r="I341" s="369">
        <f t="shared" si="80"/>
        <v>0.36252348824032582</v>
      </c>
      <c r="J341" s="347">
        <f t="shared" si="80"/>
        <v>0.44779116995474977</v>
      </c>
      <c r="K341" s="347">
        <f t="shared" si="80"/>
        <v>0.53951364080867059</v>
      </c>
      <c r="L341" s="347">
        <f t="shared" si="80"/>
        <v>0.60609224419010976</v>
      </c>
      <c r="M341" s="368">
        <f t="shared" si="80"/>
        <v>0.57744640256433299</v>
      </c>
      <c r="N341" s="369">
        <f t="shared" si="80"/>
        <v>0.490829442179683</v>
      </c>
      <c r="O341" s="347">
        <f t="shared" si="80"/>
        <v>0.41720502585273056</v>
      </c>
      <c r="P341" s="347">
        <f t="shared" si="80"/>
        <v>0.35462427197482094</v>
      </c>
      <c r="Q341" s="347">
        <f t="shared" si="80"/>
        <v>0.30143063117859775</v>
      </c>
      <c r="R341" s="368">
        <f t="shared" si="80"/>
        <v>0.25621603650180808</v>
      </c>
      <c r="S341" s="369">
        <f t="shared" si="80"/>
        <v>0.21778363102653686</v>
      </c>
      <c r="T341" s="347">
        <f t="shared" si="80"/>
        <v>0.18511608637255633</v>
      </c>
      <c r="U341" s="347">
        <f t="shared" si="80"/>
        <v>0.15734867341667289</v>
      </c>
      <c r="V341" s="347">
        <f t="shared" si="80"/>
        <v>0.13374637240417195</v>
      </c>
      <c r="W341" s="368">
        <f t="shared" si="80"/>
        <v>0.11368441654354615</v>
      </c>
    </row>
    <row r="342" spans="1:23" ht="12.75" customHeight="1" outlineLevel="1">
      <c r="A342" s="388" t="s">
        <v>113</v>
      </c>
      <c r="B342" s="387">
        <f t="shared" ref="B342:W342" si="81">B339+B340-B341</f>
        <v>0</v>
      </c>
      <c r="C342" s="385">
        <f t="shared" si="81"/>
        <v>0</v>
      </c>
      <c r="D342" s="387">
        <f t="shared" si="81"/>
        <v>0</v>
      </c>
      <c r="E342" s="386">
        <f t="shared" si="81"/>
        <v>0</v>
      </c>
      <c r="F342" s="386">
        <f t="shared" si="81"/>
        <v>0</v>
      </c>
      <c r="G342" s="386">
        <f t="shared" si="81"/>
        <v>0</v>
      </c>
      <c r="H342" s="385">
        <f t="shared" si="81"/>
        <v>1.976871834246575</v>
      </c>
      <c r="I342" s="387">
        <f t="shared" si="81"/>
        <v>2.4942511873841093</v>
      </c>
      <c r="J342" s="386">
        <f t="shared" si="81"/>
        <v>3.0285065753911371</v>
      </c>
      <c r="K342" s="386">
        <f t="shared" si="81"/>
        <v>3.6254949945824668</v>
      </c>
      <c r="L342" s="386">
        <f t="shared" si="81"/>
        <v>3.8496426837622191</v>
      </c>
      <c r="M342" s="385">
        <f t="shared" si="81"/>
        <v>3.272196281197886</v>
      </c>
      <c r="N342" s="387">
        <f t="shared" si="81"/>
        <v>2.7813668390182031</v>
      </c>
      <c r="O342" s="386">
        <f t="shared" si="81"/>
        <v>2.3641618131654725</v>
      </c>
      <c r="P342" s="386">
        <f t="shared" si="81"/>
        <v>2.0095375411906513</v>
      </c>
      <c r="Q342" s="386">
        <f t="shared" si="81"/>
        <v>1.7081069100120536</v>
      </c>
      <c r="R342" s="385">
        <f t="shared" si="81"/>
        <v>1.4518908735102456</v>
      </c>
      <c r="S342" s="387">
        <f t="shared" si="81"/>
        <v>1.2341072424837087</v>
      </c>
      <c r="T342" s="386">
        <f t="shared" si="81"/>
        <v>1.0489911561111525</v>
      </c>
      <c r="U342" s="386">
        <f t="shared" si="81"/>
        <v>0.89164248269447954</v>
      </c>
      <c r="V342" s="386">
        <f t="shared" si="81"/>
        <v>0.75789611029030757</v>
      </c>
      <c r="W342" s="385">
        <f t="shared" si="81"/>
        <v>0.64421169374676146</v>
      </c>
    </row>
    <row r="343" spans="1:23" ht="12.75" customHeight="1" outlineLevel="1"/>
    <row r="344" spans="1:23" ht="12.75" customHeight="1" outlineLevel="1"/>
    <row r="345" spans="1:23" ht="12.75" customHeight="1" outlineLevel="1">
      <c r="A345" s="350" t="str">
        <f>A279</f>
        <v>Repairs</v>
      </c>
    </row>
    <row r="346" spans="1:23" ht="12.75" customHeight="1" outlineLevel="1">
      <c r="A346" s="414" t="s">
        <v>131</v>
      </c>
      <c r="B346" s="413">
        <f>B279</f>
        <v>0</v>
      </c>
      <c r="C346" s="412"/>
      <c r="D346" s="380"/>
      <c r="E346" s="380"/>
    </row>
    <row r="347" spans="1:23" ht="12.75" customHeight="1" outlineLevel="1">
      <c r="A347" s="411" t="s">
        <v>155</v>
      </c>
      <c r="B347" s="393">
        <f>C279</f>
        <v>0</v>
      </c>
      <c r="C347" s="410"/>
      <c r="D347" s="380"/>
      <c r="E347" s="380"/>
    </row>
    <row r="348" spans="1:23" ht="12.75" customHeight="1" outlineLevel="1">
      <c r="A348" s="411" t="s">
        <v>154</v>
      </c>
      <c r="B348" s="393" t="str">
        <f>D279</f>
        <v>Fully Deductible</v>
      </c>
      <c r="C348" s="410"/>
      <c r="D348" s="380"/>
      <c r="E348" s="380"/>
    </row>
    <row r="349" spans="1:23" ht="12.75" customHeight="1" outlineLevel="1">
      <c r="A349" s="409" t="s">
        <v>152</v>
      </c>
      <c r="B349" s="408">
        <f>IF(AND(B347=0,B348=""),0,IF(B348="Straight Line",1/B347,IF(B348="Declining Balance",1/B347*1.5,1)))</f>
        <v>1</v>
      </c>
      <c r="C349" s="407"/>
      <c r="D349" s="380"/>
      <c r="E349" s="380"/>
    </row>
    <row r="350" spans="1:23" ht="12.75" customHeight="1" outlineLevel="1">
      <c r="A350" s="380"/>
      <c r="B350" s="392"/>
      <c r="C350" s="380"/>
      <c r="D350" s="380"/>
      <c r="E350" s="380"/>
    </row>
    <row r="351" spans="1:23" ht="12.75" customHeight="1" outlineLevel="1">
      <c r="A351" s="380" t="s">
        <v>137</v>
      </c>
      <c r="B351" s="406" t="s">
        <v>179</v>
      </c>
      <c r="C351" s="489" t="s">
        <v>178</v>
      </c>
      <c r="D351" s="490" t="s">
        <v>177</v>
      </c>
      <c r="E351" s="489" t="s">
        <v>176</v>
      </c>
      <c r="F351" s="488" t="s">
        <v>167</v>
      </c>
      <c r="G351" s="487"/>
      <c r="H351" s="403"/>
      <c r="I351" s="403"/>
      <c r="J351" s="403"/>
      <c r="K351" s="403"/>
      <c r="L351" s="403"/>
    </row>
    <row r="352" spans="1:23" ht="12.75" customHeight="1" outlineLevel="1">
      <c r="A352" s="402" t="s">
        <v>150</v>
      </c>
      <c r="B352" s="401">
        <v>0.76061506027397252</v>
      </c>
      <c r="C352" s="486">
        <v>1.8990739999999999</v>
      </c>
      <c r="D352" s="486">
        <v>2.1275659999999998</v>
      </c>
      <c r="E352" s="486">
        <v>1.92675825</v>
      </c>
      <c r="F352" s="479">
        <v>0.49072180143342475</v>
      </c>
      <c r="G352" s="485"/>
      <c r="H352" s="392"/>
      <c r="I352" s="392"/>
      <c r="J352" s="392"/>
      <c r="K352" s="392"/>
      <c r="L352" s="483"/>
      <c r="M352" s="395"/>
    </row>
    <row r="353" spans="1:23" ht="12.75" customHeight="1" outlineLevel="1">
      <c r="A353" s="380"/>
      <c r="B353" s="392"/>
      <c r="C353" s="380"/>
    </row>
    <row r="354" spans="1:23" ht="12.75" customHeight="1" outlineLevel="1">
      <c r="B354" s="364">
        <v>1996</v>
      </c>
      <c r="C354" s="362">
        <v>1997</v>
      </c>
      <c r="D354" s="364">
        <v>1998</v>
      </c>
      <c r="E354" s="363">
        <v>1999</v>
      </c>
      <c r="F354" s="363">
        <v>2000</v>
      </c>
      <c r="G354" s="363">
        <v>2001</v>
      </c>
      <c r="H354" s="362">
        <v>2002</v>
      </c>
      <c r="I354" s="364">
        <v>2003</v>
      </c>
      <c r="J354" s="363">
        <v>2004</v>
      </c>
      <c r="K354" s="363">
        <v>2005</v>
      </c>
      <c r="L354" s="363">
        <v>2006</v>
      </c>
      <c r="M354" s="362">
        <v>2007</v>
      </c>
      <c r="N354" s="364">
        <v>2008</v>
      </c>
      <c r="O354" s="363">
        <v>2009</v>
      </c>
      <c r="P354" s="363">
        <v>2010</v>
      </c>
      <c r="Q354" s="363">
        <v>2011</v>
      </c>
      <c r="R354" s="362">
        <v>2012</v>
      </c>
      <c r="S354" s="364">
        <f t="shared" ref="S354:W354" si="82">R354+1</f>
        <v>2013</v>
      </c>
      <c r="T354" s="363">
        <f t="shared" si="82"/>
        <v>2014</v>
      </c>
      <c r="U354" s="363">
        <f t="shared" si="82"/>
        <v>2015</v>
      </c>
      <c r="V354" s="363">
        <f t="shared" si="82"/>
        <v>2016</v>
      </c>
      <c r="W354" s="362">
        <f t="shared" si="82"/>
        <v>2017</v>
      </c>
    </row>
    <row r="355" spans="1:23" ht="12.75" customHeight="1" outlineLevel="1">
      <c r="A355" s="394" t="s">
        <v>2</v>
      </c>
      <c r="B355" s="393">
        <f>B346</f>
        <v>0</v>
      </c>
      <c r="C355" s="391">
        <f t="shared" ref="C355:W355" si="83">B358</f>
        <v>0</v>
      </c>
      <c r="D355" s="393">
        <f t="shared" si="83"/>
        <v>0</v>
      </c>
      <c r="E355" s="392">
        <f t="shared" si="83"/>
        <v>0</v>
      </c>
      <c r="F355" s="392">
        <f t="shared" si="83"/>
        <v>0</v>
      </c>
      <c r="G355" s="392">
        <f t="shared" si="83"/>
        <v>0</v>
      </c>
      <c r="H355" s="391">
        <f t="shared" si="83"/>
        <v>0</v>
      </c>
      <c r="I355" s="393">
        <f t="shared" si="83"/>
        <v>0</v>
      </c>
      <c r="J355" s="392">
        <f t="shared" si="83"/>
        <v>0</v>
      </c>
      <c r="K355" s="392">
        <f t="shared" si="83"/>
        <v>0</v>
      </c>
      <c r="L355" s="392">
        <f t="shared" si="83"/>
        <v>0</v>
      </c>
      <c r="M355" s="391">
        <f t="shared" si="83"/>
        <v>0</v>
      </c>
      <c r="N355" s="390">
        <f t="shared" si="83"/>
        <v>0</v>
      </c>
      <c r="O355" s="392">
        <f t="shared" si="83"/>
        <v>0</v>
      </c>
      <c r="P355" s="392">
        <f t="shared" si="83"/>
        <v>0</v>
      </c>
      <c r="Q355" s="392">
        <f t="shared" si="83"/>
        <v>0</v>
      </c>
      <c r="R355" s="391">
        <f t="shared" si="83"/>
        <v>0</v>
      </c>
      <c r="S355" s="390">
        <f t="shared" si="83"/>
        <v>0</v>
      </c>
      <c r="T355" s="392">
        <f t="shared" si="83"/>
        <v>0</v>
      </c>
      <c r="U355" s="392">
        <f t="shared" si="83"/>
        <v>0</v>
      </c>
      <c r="V355" s="392">
        <f t="shared" si="83"/>
        <v>0</v>
      </c>
      <c r="W355" s="391">
        <f t="shared" si="83"/>
        <v>0</v>
      </c>
    </row>
    <row r="356" spans="1:23" ht="12.75" customHeight="1" outlineLevel="1">
      <c r="A356" s="389" t="s">
        <v>149</v>
      </c>
      <c r="B356" s="393">
        <v>0</v>
      </c>
      <c r="C356" s="391">
        <v>0</v>
      </c>
      <c r="D356" s="393">
        <v>0</v>
      </c>
      <c r="E356" s="392">
        <v>0</v>
      </c>
      <c r="F356" s="392">
        <v>0</v>
      </c>
      <c r="G356" s="392">
        <v>0</v>
      </c>
      <c r="H356" s="391">
        <f>B352</f>
        <v>0.76061506027397252</v>
      </c>
      <c r="I356" s="393">
        <f>C352</f>
        <v>1.8990739999999999</v>
      </c>
      <c r="J356" s="392">
        <f>D352</f>
        <v>2.1275659999999998</v>
      </c>
      <c r="K356" s="392">
        <f>E352</f>
        <v>1.92675825</v>
      </c>
      <c r="L356" s="392">
        <f>F352</f>
        <v>0.49072180143342475</v>
      </c>
      <c r="M356" s="391">
        <v>0</v>
      </c>
      <c r="N356" s="393">
        <v>0</v>
      </c>
      <c r="O356" s="392">
        <v>0</v>
      </c>
      <c r="P356" s="392">
        <v>0</v>
      </c>
      <c r="Q356" s="392">
        <v>0</v>
      </c>
      <c r="R356" s="391">
        <v>0</v>
      </c>
      <c r="S356" s="393">
        <v>0</v>
      </c>
      <c r="T356" s="392">
        <v>0</v>
      </c>
      <c r="U356" s="392">
        <v>0</v>
      </c>
      <c r="V356" s="392">
        <v>0</v>
      </c>
      <c r="W356" s="391">
        <v>0</v>
      </c>
    </row>
    <row r="357" spans="1:23" ht="12.75" customHeight="1" outlineLevel="1">
      <c r="A357" s="389" t="s">
        <v>148</v>
      </c>
      <c r="B357" s="347">
        <f>IF($B349=1,B356+B355,B356*$B349*0.5)</f>
        <v>0</v>
      </c>
      <c r="C357" s="347">
        <f t="shared" ref="C357:W357" si="84">IF($B349=1,C356+C355,(C355+C356*0.5)*$B349)</f>
        <v>0</v>
      </c>
      <c r="D357" s="369">
        <f t="shared" si="84"/>
        <v>0</v>
      </c>
      <c r="E357" s="347">
        <f t="shared" si="84"/>
        <v>0</v>
      </c>
      <c r="F357" s="347">
        <f t="shared" si="84"/>
        <v>0</v>
      </c>
      <c r="G357" s="347">
        <f t="shared" si="84"/>
        <v>0</v>
      </c>
      <c r="H357" s="368">
        <f t="shared" si="84"/>
        <v>0.76061506027397252</v>
      </c>
      <c r="I357" s="369">
        <f t="shared" si="84"/>
        <v>1.8990739999999999</v>
      </c>
      <c r="J357" s="347">
        <f t="shared" si="84"/>
        <v>2.1275659999999998</v>
      </c>
      <c r="K357" s="347">
        <f t="shared" si="84"/>
        <v>1.92675825</v>
      </c>
      <c r="L357" s="347">
        <f t="shared" si="84"/>
        <v>0.49072180143342475</v>
      </c>
      <c r="M357" s="368">
        <f t="shared" si="84"/>
        <v>0</v>
      </c>
      <c r="N357" s="369">
        <f t="shared" si="84"/>
        <v>0</v>
      </c>
      <c r="O357" s="347">
        <f t="shared" si="84"/>
        <v>0</v>
      </c>
      <c r="P357" s="347">
        <f t="shared" si="84"/>
        <v>0</v>
      </c>
      <c r="Q357" s="347">
        <f t="shared" si="84"/>
        <v>0</v>
      </c>
      <c r="R357" s="368">
        <f t="shared" si="84"/>
        <v>0</v>
      </c>
      <c r="S357" s="369">
        <f t="shared" si="84"/>
        <v>0</v>
      </c>
      <c r="T357" s="347">
        <f t="shared" si="84"/>
        <v>0</v>
      </c>
      <c r="U357" s="347">
        <f t="shared" si="84"/>
        <v>0</v>
      </c>
      <c r="V357" s="347">
        <f t="shared" si="84"/>
        <v>0</v>
      </c>
      <c r="W357" s="368">
        <f t="shared" si="84"/>
        <v>0</v>
      </c>
    </row>
    <row r="358" spans="1:23" ht="12.75" customHeight="1" outlineLevel="1">
      <c r="A358" s="388" t="s">
        <v>113</v>
      </c>
      <c r="B358" s="387">
        <f t="shared" ref="B358:W358" si="85">B355+B356-B357</f>
        <v>0</v>
      </c>
      <c r="C358" s="385">
        <f t="shared" si="85"/>
        <v>0</v>
      </c>
      <c r="D358" s="387">
        <f t="shared" si="85"/>
        <v>0</v>
      </c>
      <c r="E358" s="386">
        <f t="shared" si="85"/>
        <v>0</v>
      </c>
      <c r="F358" s="386">
        <f t="shared" si="85"/>
        <v>0</v>
      </c>
      <c r="G358" s="386">
        <f t="shared" si="85"/>
        <v>0</v>
      </c>
      <c r="H358" s="385">
        <f t="shared" si="85"/>
        <v>0</v>
      </c>
      <c r="I358" s="387">
        <f t="shared" si="85"/>
        <v>0</v>
      </c>
      <c r="J358" s="386">
        <f t="shared" si="85"/>
        <v>0</v>
      </c>
      <c r="K358" s="386">
        <f t="shared" si="85"/>
        <v>0</v>
      </c>
      <c r="L358" s="386">
        <f t="shared" si="85"/>
        <v>0</v>
      </c>
      <c r="M358" s="385">
        <f t="shared" si="85"/>
        <v>0</v>
      </c>
      <c r="N358" s="387">
        <f t="shared" si="85"/>
        <v>0</v>
      </c>
      <c r="O358" s="386">
        <f t="shared" si="85"/>
        <v>0</v>
      </c>
      <c r="P358" s="386">
        <f t="shared" si="85"/>
        <v>0</v>
      </c>
      <c r="Q358" s="386">
        <f t="shared" si="85"/>
        <v>0</v>
      </c>
      <c r="R358" s="385">
        <f t="shared" si="85"/>
        <v>0</v>
      </c>
      <c r="S358" s="387">
        <f t="shared" si="85"/>
        <v>0</v>
      </c>
      <c r="T358" s="386">
        <f t="shared" si="85"/>
        <v>0</v>
      </c>
      <c r="U358" s="386">
        <f t="shared" si="85"/>
        <v>0</v>
      </c>
      <c r="V358" s="386">
        <f t="shared" si="85"/>
        <v>0</v>
      </c>
      <c r="W358" s="385">
        <f t="shared" si="85"/>
        <v>0</v>
      </c>
    </row>
    <row r="359" spans="1:23" ht="12.75" customHeight="1" outlineLevel="1"/>
    <row r="360" spans="1:23" ht="12.75" customHeight="1" outlineLevel="1"/>
    <row r="361" spans="1:23" ht="12.75" customHeight="1" outlineLevel="1">
      <c r="A361" s="350" t="s">
        <v>175</v>
      </c>
    </row>
    <row r="362" spans="1:23" ht="12.75" customHeight="1" outlineLevel="1">
      <c r="A362" s="350"/>
    </row>
    <row r="363" spans="1:23" ht="12.75" customHeight="1" outlineLevel="1">
      <c r="B363" s="364">
        <v>1996</v>
      </c>
      <c r="C363" s="362">
        <v>1997</v>
      </c>
      <c r="D363" s="364">
        <v>1998</v>
      </c>
      <c r="E363" s="363">
        <v>1999</v>
      </c>
      <c r="F363" s="363">
        <v>2000</v>
      </c>
      <c r="G363" s="363">
        <v>2001</v>
      </c>
      <c r="H363" s="362">
        <v>2002</v>
      </c>
      <c r="I363" s="364">
        <v>2003</v>
      </c>
      <c r="J363" s="363">
        <v>2004</v>
      </c>
      <c r="K363" s="363">
        <v>2005</v>
      </c>
      <c r="L363" s="363">
        <v>2006</v>
      </c>
      <c r="M363" s="362">
        <v>2007</v>
      </c>
      <c r="N363" s="364">
        <v>2008</v>
      </c>
      <c r="O363" s="363">
        <v>2009</v>
      </c>
      <c r="P363" s="363">
        <v>2010</v>
      </c>
      <c r="Q363" s="363">
        <v>2011</v>
      </c>
      <c r="R363" s="362">
        <v>2012</v>
      </c>
      <c r="S363" s="364">
        <f t="shared" ref="S363:W363" si="86">R363+1</f>
        <v>2013</v>
      </c>
      <c r="T363" s="363">
        <f t="shared" si="86"/>
        <v>2014</v>
      </c>
      <c r="U363" s="363">
        <f t="shared" si="86"/>
        <v>2015</v>
      </c>
      <c r="V363" s="363">
        <f t="shared" si="86"/>
        <v>2016</v>
      </c>
      <c r="W363" s="362">
        <f t="shared" si="86"/>
        <v>2017</v>
      </c>
    </row>
    <row r="364" spans="1:23" ht="12.75" customHeight="1" outlineLevel="1">
      <c r="A364" s="394" t="s">
        <v>2</v>
      </c>
      <c r="B364" s="427">
        <f t="shared" ref="B364:L364" si="87">B294+B309+B324+B339+B355</f>
        <v>0</v>
      </c>
      <c r="C364" s="428">
        <f t="shared" si="87"/>
        <v>0</v>
      </c>
      <c r="D364" s="427">
        <f t="shared" si="87"/>
        <v>0</v>
      </c>
      <c r="E364" s="426">
        <f t="shared" si="87"/>
        <v>0</v>
      </c>
      <c r="F364" s="426">
        <f t="shared" si="87"/>
        <v>0</v>
      </c>
      <c r="G364" s="426">
        <f t="shared" si="87"/>
        <v>0</v>
      </c>
      <c r="H364" s="428">
        <f t="shared" si="87"/>
        <v>0</v>
      </c>
      <c r="I364" s="427">
        <f t="shared" si="87"/>
        <v>12.517596000424666</v>
      </c>
      <c r="J364" s="426">
        <f t="shared" si="87"/>
        <v>36.219699955599197</v>
      </c>
      <c r="K364" s="426">
        <f t="shared" si="87"/>
        <v>61.082178175009417</v>
      </c>
      <c r="L364" s="426">
        <f t="shared" si="87"/>
        <v>91.128996070662467</v>
      </c>
      <c r="M364" s="391">
        <f t="shared" ref="M364:W364" si="88">L367</f>
        <v>94.570400928362091</v>
      </c>
      <c r="N364" s="390">
        <f t="shared" si="88"/>
        <v>84.351021187549222</v>
      </c>
      <c r="O364" s="392">
        <f t="shared" si="88"/>
        <v>76.005607083703467</v>
      </c>
      <c r="P364" s="392">
        <f t="shared" si="88"/>
        <v>68.988038543443267</v>
      </c>
      <c r="Q364" s="392">
        <f t="shared" si="88"/>
        <v>62.943782581662568</v>
      </c>
      <c r="R364" s="391">
        <f t="shared" si="88"/>
        <v>57.639257988051675</v>
      </c>
      <c r="S364" s="390">
        <f t="shared" si="88"/>
        <v>52.91756463044883</v>
      </c>
      <c r="T364" s="392">
        <f t="shared" si="88"/>
        <v>48.670704848746858</v>
      </c>
      <c r="U364" s="392">
        <f t="shared" si="88"/>
        <v>44.822124805088919</v>
      </c>
      <c r="V364" s="392">
        <f t="shared" si="88"/>
        <v>41.315716647489133</v>
      </c>
      <c r="W364" s="391">
        <f t="shared" si="88"/>
        <v>38.108868174906753</v>
      </c>
    </row>
    <row r="365" spans="1:23" ht="12.75" customHeight="1" outlineLevel="1">
      <c r="A365" s="389" t="s">
        <v>137</v>
      </c>
      <c r="B365" s="427">
        <f t="shared" ref="B365:L365" si="89">B295+B310+B325+B340+B356</f>
        <v>0</v>
      </c>
      <c r="C365" s="428">
        <f t="shared" si="89"/>
        <v>0</v>
      </c>
      <c r="D365" s="427">
        <f t="shared" si="89"/>
        <v>0</v>
      </c>
      <c r="E365" s="426">
        <f t="shared" si="89"/>
        <v>0</v>
      </c>
      <c r="F365" s="426">
        <f t="shared" si="89"/>
        <v>0</v>
      </c>
      <c r="G365" s="426">
        <f t="shared" si="89"/>
        <v>0</v>
      </c>
      <c r="H365" s="428">
        <f t="shared" si="89"/>
        <v>14.256093580365238</v>
      </c>
      <c r="I365" s="427">
        <f t="shared" si="89"/>
        <v>29.423016380618421</v>
      </c>
      <c r="J365" s="426">
        <f t="shared" si="89"/>
        <v>34.238312409060207</v>
      </c>
      <c r="K365" s="426">
        <f t="shared" si="89"/>
        <v>42.345458377510305</v>
      </c>
      <c r="L365" s="426">
        <f t="shared" si="89"/>
        <v>15.560831308459836</v>
      </c>
      <c r="M365" s="391">
        <v>0</v>
      </c>
      <c r="N365" s="393">
        <v>0</v>
      </c>
      <c r="O365" s="392">
        <v>0</v>
      </c>
      <c r="P365" s="392">
        <v>0</v>
      </c>
      <c r="Q365" s="392">
        <v>0</v>
      </c>
      <c r="R365" s="391">
        <v>0</v>
      </c>
      <c r="S365" s="393">
        <v>0</v>
      </c>
      <c r="T365" s="392">
        <v>0</v>
      </c>
      <c r="U365" s="392">
        <v>0</v>
      </c>
      <c r="V365" s="392">
        <v>0</v>
      </c>
      <c r="W365" s="391">
        <v>0</v>
      </c>
    </row>
    <row r="366" spans="1:23" ht="12.75" customHeight="1" outlineLevel="1">
      <c r="A366" s="389" t="s">
        <v>136</v>
      </c>
      <c r="B366" s="427">
        <f t="shared" ref="B366:L366" si="90">B296+B311+B326+B341+B357</f>
        <v>0</v>
      </c>
      <c r="C366" s="428">
        <f t="shared" si="90"/>
        <v>0</v>
      </c>
      <c r="D366" s="427">
        <f t="shared" si="90"/>
        <v>0</v>
      </c>
      <c r="E366" s="426">
        <f t="shared" si="90"/>
        <v>0</v>
      </c>
      <c r="F366" s="426">
        <f t="shared" si="90"/>
        <v>0</v>
      </c>
      <c r="G366" s="426">
        <f t="shared" si="90"/>
        <v>0</v>
      </c>
      <c r="H366" s="428">
        <f t="shared" si="90"/>
        <v>1.7384975799405744</v>
      </c>
      <c r="I366" s="427">
        <f t="shared" si="90"/>
        <v>5.7209124254438892</v>
      </c>
      <c r="J366" s="426">
        <f t="shared" si="90"/>
        <v>9.3758341896499751</v>
      </c>
      <c r="K366" s="426">
        <f t="shared" si="90"/>
        <v>12.298640481857271</v>
      </c>
      <c r="L366" s="426">
        <f t="shared" si="90"/>
        <v>12.119426450760223</v>
      </c>
      <c r="M366" s="428">
        <f t="shared" ref="M366:W366" si="91">M296+M311+M326+M341+M357</f>
        <v>10.219379740812874</v>
      </c>
      <c r="N366" s="427">
        <f t="shared" si="91"/>
        <v>8.3454141038457532</v>
      </c>
      <c r="O366" s="426">
        <f t="shared" si="91"/>
        <v>7.0175685402601999</v>
      </c>
      <c r="P366" s="426">
        <f t="shared" si="91"/>
        <v>6.0442559617807019</v>
      </c>
      <c r="Q366" s="426">
        <f t="shared" si="91"/>
        <v>5.3045245936108953</v>
      </c>
      <c r="R366" s="428">
        <f t="shared" si="91"/>
        <v>4.7216933576028435</v>
      </c>
      <c r="S366" s="427">
        <f t="shared" si="91"/>
        <v>4.2468597817019695</v>
      </c>
      <c r="T366" s="426">
        <f t="shared" si="91"/>
        <v>3.8485800436579418</v>
      </c>
      <c r="U366" s="426">
        <f t="shared" si="91"/>
        <v>3.5064081575997847</v>
      </c>
      <c r="V366" s="426">
        <f t="shared" si="91"/>
        <v>3.2068484725823825</v>
      </c>
      <c r="W366" s="428">
        <f t="shared" si="91"/>
        <v>2.9408176575264107</v>
      </c>
    </row>
    <row r="367" spans="1:23" ht="12.75" customHeight="1" outlineLevel="1">
      <c r="A367" s="389" t="s">
        <v>113</v>
      </c>
      <c r="B367" s="421">
        <f t="shared" ref="B367:W367" si="92">B364+B365-B366</f>
        <v>0</v>
      </c>
      <c r="C367" s="422">
        <f t="shared" si="92"/>
        <v>0</v>
      </c>
      <c r="D367" s="421">
        <f t="shared" si="92"/>
        <v>0</v>
      </c>
      <c r="E367" s="420">
        <f t="shared" si="92"/>
        <v>0</v>
      </c>
      <c r="F367" s="420">
        <f t="shared" si="92"/>
        <v>0</v>
      </c>
      <c r="G367" s="420">
        <f t="shared" si="92"/>
        <v>0</v>
      </c>
      <c r="H367" s="422">
        <f t="shared" si="92"/>
        <v>12.517596000424664</v>
      </c>
      <c r="I367" s="421">
        <f t="shared" si="92"/>
        <v>36.219699955599197</v>
      </c>
      <c r="J367" s="420">
        <f t="shared" si="92"/>
        <v>61.082178175009417</v>
      </c>
      <c r="K367" s="420">
        <f t="shared" si="92"/>
        <v>91.128996070662438</v>
      </c>
      <c r="L367" s="420">
        <f t="shared" si="92"/>
        <v>94.570400928362091</v>
      </c>
      <c r="M367" s="384">
        <f t="shared" si="92"/>
        <v>84.351021187549222</v>
      </c>
      <c r="N367" s="421">
        <f t="shared" si="92"/>
        <v>76.005607083703467</v>
      </c>
      <c r="O367" s="420">
        <f t="shared" si="92"/>
        <v>68.988038543443267</v>
      </c>
      <c r="P367" s="420">
        <f t="shared" si="92"/>
        <v>62.943782581662568</v>
      </c>
      <c r="Q367" s="420">
        <f t="shared" si="92"/>
        <v>57.639257988051675</v>
      </c>
      <c r="R367" s="422">
        <f t="shared" si="92"/>
        <v>52.91756463044883</v>
      </c>
      <c r="S367" s="421">
        <f t="shared" si="92"/>
        <v>48.670704848746858</v>
      </c>
      <c r="T367" s="420">
        <f t="shared" si="92"/>
        <v>44.822124805088919</v>
      </c>
      <c r="U367" s="420">
        <f t="shared" si="92"/>
        <v>41.315716647489133</v>
      </c>
      <c r="V367" s="420">
        <f t="shared" si="92"/>
        <v>38.108868174906753</v>
      </c>
      <c r="W367" s="422">
        <f t="shared" si="92"/>
        <v>35.168050517380344</v>
      </c>
    </row>
    <row r="368" spans="1:23" ht="12.75" customHeight="1" outlineLevel="1">
      <c r="A368" s="380"/>
      <c r="B368" s="426"/>
      <c r="C368" s="426"/>
      <c r="D368" s="426"/>
      <c r="E368" s="426"/>
      <c r="F368" s="426"/>
      <c r="G368" s="426"/>
      <c r="H368" s="426"/>
      <c r="I368" s="426"/>
      <c r="J368" s="426"/>
      <c r="K368" s="426"/>
      <c r="L368" s="426"/>
      <c r="M368" s="426"/>
      <c r="N368" s="426"/>
      <c r="O368" s="426"/>
      <c r="P368" s="426"/>
      <c r="Q368" s="426"/>
      <c r="R368" s="426"/>
    </row>
    <row r="369" spans="1:18" ht="12.75" customHeight="1" outlineLevel="1">
      <c r="A369" s="380"/>
      <c r="B369" s="426"/>
      <c r="C369" s="426"/>
      <c r="D369" s="426"/>
      <c r="E369" s="426"/>
      <c r="F369" s="426"/>
      <c r="G369" s="426"/>
      <c r="H369" s="426"/>
      <c r="I369" s="426"/>
      <c r="J369" s="426"/>
      <c r="K369" s="426"/>
      <c r="L369" s="426"/>
      <c r="M369" s="426"/>
      <c r="N369" s="426"/>
      <c r="O369" s="426"/>
      <c r="P369" s="426"/>
      <c r="Q369" s="426"/>
      <c r="R369" s="426"/>
    </row>
    <row r="370" spans="1:18" ht="12.75" customHeight="1" outlineLevel="1">
      <c r="A370" s="380"/>
      <c r="B370" s="426"/>
      <c r="C370" s="426"/>
      <c r="D370" s="426"/>
      <c r="E370" s="426"/>
      <c r="F370" s="426"/>
      <c r="G370" s="426"/>
      <c r="H370" s="426"/>
      <c r="I370" s="426"/>
      <c r="J370" s="426"/>
      <c r="K370" s="426"/>
      <c r="L370" s="426"/>
      <c r="M370" s="426"/>
      <c r="N370" s="426"/>
      <c r="O370" s="426"/>
      <c r="P370" s="426"/>
      <c r="Q370" s="426"/>
      <c r="R370" s="426"/>
    </row>
    <row r="371" spans="1:18" ht="12.75" customHeight="1" outlineLevel="1">
      <c r="A371" s="380"/>
      <c r="B371" s="426"/>
      <c r="C371" s="426"/>
      <c r="D371" s="426"/>
      <c r="E371" s="426"/>
      <c r="F371" s="426"/>
      <c r="G371" s="426"/>
      <c r="H371" s="426"/>
      <c r="I371" s="426"/>
      <c r="J371" s="426"/>
      <c r="K371" s="426"/>
      <c r="L371" s="426"/>
      <c r="M371" s="426"/>
      <c r="N371" s="426"/>
      <c r="O371" s="426"/>
      <c r="P371" s="426"/>
      <c r="Q371" s="426"/>
      <c r="R371" s="426"/>
    </row>
    <row r="372" spans="1:18">
      <c r="A372" s="380"/>
      <c r="B372" s="426"/>
      <c r="C372" s="426"/>
      <c r="D372" s="426"/>
      <c r="E372" s="426"/>
      <c r="F372" s="426"/>
      <c r="G372" s="426"/>
      <c r="H372" s="426"/>
      <c r="I372" s="426"/>
      <c r="J372" s="426"/>
      <c r="K372" s="426"/>
      <c r="L372" s="426"/>
      <c r="M372" s="426"/>
      <c r="N372" s="426"/>
      <c r="O372" s="426"/>
      <c r="P372" s="426"/>
      <c r="Q372" s="426"/>
      <c r="R372" s="426"/>
    </row>
    <row r="373" spans="1:18">
      <c r="A373" s="356" t="s">
        <v>174</v>
      </c>
    </row>
    <row r="375" spans="1:18" ht="25.5" customHeight="1" outlineLevel="1">
      <c r="A375" s="415" t="s">
        <v>173</v>
      </c>
      <c r="B375" s="478" t="s">
        <v>163</v>
      </c>
      <c r="C375" s="478" t="s">
        <v>162</v>
      </c>
      <c r="D375" s="658" t="s">
        <v>161</v>
      </c>
      <c r="E375" s="658"/>
      <c r="H375" s="470" t="s">
        <v>172</v>
      </c>
      <c r="I375" s="360"/>
      <c r="J375" s="360"/>
      <c r="K375" s="360"/>
    </row>
    <row r="376" spans="1:18" ht="12.75" customHeight="1" outlineLevel="1">
      <c r="A376" s="394" t="s">
        <v>121</v>
      </c>
      <c r="B376" s="477">
        <v>0</v>
      </c>
      <c r="C376" s="413">
        <v>20</v>
      </c>
      <c r="D376" s="413" t="s">
        <v>168</v>
      </c>
      <c r="E376" s="412"/>
      <c r="H376" s="469" t="s">
        <v>121</v>
      </c>
      <c r="I376" s="467"/>
      <c r="J376" s="450">
        <v>3.4940000000000002</v>
      </c>
      <c r="K376" s="360"/>
    </row>
    <row r="377" spans="1:18" ht="12.75" customHeight="1" outlineLevel="1">
      <c r="A377" s="389" t="s">
        <v>122</v>
      </c>
      <c r="B377" s="475">
        <f>B376</f>
        <v>0</v>
      </c>
      <c r="C377" s="393">
        <v>4</v>
      </c>
      <c r="D377" s="393" t="s">
        <v>168</v>
      </c>
      <c r="E377" s="410"/>
      <c r="H377" s="466" t="s">
        <v>122</v>
      </c>
      <c r="I377" s="465"/>
      <c r="J377" s="445">
        <v>9.4E-2</v>
      </c>
      <c r="K377" s="360"/>
    </row>
    <row r="378" spans="1:18" ht="12.75" customHeight="1" outlineLevel="1">
      <c r="A378" s="389" t="s">
        <v>132</v>
      </c>
      <c r="B378" s="475">
        <f>B377</f>
        <v>0</v>
      </c>
      <c r="C378" s="393">
        <v>40</v>
      </c>
      <c r="D378" s="393" t="s">
        <v>153</v>
      </c>
      <c r="E378" s="410"/>
      <c r="H378" s="466" t="s">
        <v>132</v>
      </c>
      <c r="I378" s="465"/>
      <c r="J378" s="445"/>
      <c r="K378" s="360"/>
    </row>
    <row r="379" spans="1:18" ht="12.75" customHeight="1" outlineLevel="1">
      <c r="A379" s="389" t="s">
        <v>126</v>
      </c>
      <c r="B379" s="475">
        <f>B378</f>
        <v>0</v>
      </c>
      <c r="C379" s="393">
        <v>10</v>
      </c>
      <c r="D379" s="393" t="s">
        <v>168</v>
      </c>
      <c r="E379" s="410"/>
      <c r="H379" s="466" t="s">
        <v>126</v>
      </c>
      <c r="I379" s="465"/>
      <c r="J379" s="445">
        <v>6.6000000000000003E-2</v>
      </c>
      <c r="K379" s="360"/>
    </row>
    <row r="380" spans="1:18" ht="12.75" customHeight="1" outlineLevel="1">
      <c r="A380" s="389" t="s">
        <v>159</v>
      </c>
      <c r="B380" s="474">
        <f>B379</f>
        <v>0</v>
      </c>
      <c r="C380" s="473">
        <v>0</v>
      </c>
      <c r="D380" s="387" t="s">
        <v>158</v>
      </c>
      <c r="E380" s="407"/>
      <c r="H380" s="464" t="s">
        <v>159</v>
      </c>
      <c r="I380" s="462"/>
      <c r="J380" s="442"/>
      <c r="K380" s="360"/>
    </row>
    <row r="381" spans="1:18" ht="12.75" customHeight="1" outlineLevel="1">
      <c r="A381" s="380"/>
      <c r="B381" s="392">
        <f>SUM(B376:B380)</f>
        <v>0</v>
      </c>
      <c r="C381" s="396"/>
      <c r="D381" s="392"/>
      <c r="E381" s="380"/>
    </row>
    <row r="382" spans="1:18" ht="12.75" customHeight="1" outlineLevel="1"/>
    <row r="383" spans="1:18" ht="12.75" customHeight="1" outlineLevel="1">
      <c r="A383" s="350" t="s">
        <v>157</v>
      </c>
    </row>
    <row r="384" spans="1:18" ht="12.75" customHeight="1" outlineLevel="1"/>
    <row r="385" spans="1:23" ht="12.75" customHeight="1" outlineLevel="1">
      <c r="A385" s="350" t="str">
        <f>A376</f>
        <v>Mains &amp; Services</v>
      </c>
    </row>
    <row r="386" spans="1:23" ht="12.75" customHeight="1" outlineLevel="1">
      <c r="A386" s="414" t="s">
        <v>131</v>
      </c>
      <c r="B386" s="413">
        <f>B376</f>
        <v>0</v>
      </c>
      <c r="C386" s="412"/>
      <c r="D386" s="380"/>
      <c r="E386" s="380"/>
    </row>
    <row r="387" spans="1:23" ht="12.75" customHeight="1" outlineLevel="1">
      <c r="A387" s="411" t="s">
        <v>155</v>
      </c>
      <c r="B387" s="393">
        <f>C376</f>
        <v>20</v>
      </c>
      <c r="C387" s="410"/>
      <c r="D387" s="380"/>
      <c r="E387" s="380"/>
    </row>
    <row r="388" spans="1:23" ht="12.75" customHeight="1" outlineLevel="1">
      <c r="A388" s="411" t="s">
        <v>154</v>
      </c>
      <c r="B388" s="393" t="str">
        <f>D376</f>
        <v>Declining Balance</v>
      </c>
      <c r="C388" s="410"/>
      <c r="D388" s="380"/>
      <c r="E388" s="380"/>
    </row>
    <row r="389" spans="1:23" ht="12.75" customHeight="1" outlineLevel="1">
      <c r="A389" s="409" t="s">
        <v>152</v>
      </c>
      <c r="B389" s="408">
        <f>IF(B388="Straight Line",1/B387,IF(B388="Declining Balance",1/B387*2,1))</f>
        <v>0.1</v>
      </c>
      <c r="C389" s="407"/>
      <c r="D389" s="380"/>
      <c r="E389" s="380"/>
    </row>
    <row r="390" spans="1:23" ht="12.75" customHeight="1" outlineLevel="1">
      <c r="A390" s="380"/>
      <c r="B390" s="392"/>
      <c r="C390" s="380"/>
      <c r="D390" s="380"/>
      <c r="E390" s="380"/>
    </row>
    <row r="391" spans="1:23" ht="12.75" customHeight="1" outlineLevel="1">
      <c r="A391" s="380" t="s">
        <v>137</v>
      </c>
      <c r="B391" s="406" t="s">
        <v>167</v>
      </c>
      <c r="C391" s="405">
        <f t="shared" ref="C391:H391" si="93">B391+1</f>
        <v>2007</v>
      </c>
      <c r="D391" s="405">
        <f t="shared" si="93"/>
        <v>2008</v>
      </c>
      <c r="E391" s="405">
        <f t="shared" si="93"/>
        <v>2009</v>
      </c>
      <c r="F391" s="405">
        <f t="shared" si="93"/>
        <v>2010</v>
      </c>
      <c r="G391" s="405">
        <f t="shared" si="93"/>
        <v>2011</v>
      </c>
      <c r="H391" s="404">
        <f t="shared" si="93"/>
        <v>2012</v>
      </c>
      <c r="I391" s="484"/>
      <c r="J391" s="484"/>
      <c r="K391" s="484"/>
      <c r="L391" s="484"/>
    </row>
    <row r="392" spans="1:23" ht="12.75" customHeight="1" outlineLevel="1">
      <c r="A392" s="402" t="s">
        <v>150</v>
      </c>
      <c r="B392" s="401">
        <v>21.623326546756442</v>
      </c>
      <c r="C392" s="481">
        <f>36.051+J376</f>
        <v>39.545000000000002</v>
      </c>
      <c r="D392" s="401">
        <v>0</v>
      </c>
      <c r="E392" s="400">
        <v>0</v>
      </c>
      <c r="F392" s="400">
        <v>0</v>
      </c>
      <c r="G392" s="400">
        <v>0</v>
      </c>
      <c r="H392" s="479">
        <v>0</v>
      </c>
      <c r="I392" s="392"/>
      <c r="J392" s="392"/>
      <c r="K392" s="392"/>
      <c r="L392" s="483"/>
      <c r="M392" s="395"/>
    </row>
    <row r="393" spans="1:23" ht="12.75" customHeight="1" outlineLevel="1">
      <c r="A393" s="380"/>
      <c r="B393" s="392"/>
      <c r="C393" s="380"/>
    </row>
    <row r="394" spans="1:23" ht="12.75" customHeight="1" outlineLevel="1">
      <c r="B394" s="364">
        <v>1996</v>
      </c>
      <c r="C394" s="362">
        <v>1997</v>
      </c>
      <c r="D394" s="364">
        <v>1998</v>
      </c>
      <c r="E394" s="363">
        <v>1999</v>
      </c>
      <c r="F394" s="363">
        <v>2000</v>
      </c>
      <c r="G394" s="363">
        <v>2001</v>
      </c>
      <c r="H394" s="362">
        <v>2002</v>
      </c>
      <c r="I394" s="364">
        <v>2003</v>
      </c>
      <c r="J394" s="363">
        <v>2004</v>
      </c>
      <c r="K394" s="363">
        <v>2005</v>
      </c>
      <c r="L394" s="363">
        <v>2006</v>
      </c>
      <c r="M394" s="362">
        <v>2007</v>
      </c>
      <c r="N394" s="364">
        <v>2008</v>
      </c>
      <c r="O394" s="363">
        <v>2009</v>
      </c>
      <c r="P394" s="363">
        <v>2010</v>
      </c>
      <c r="Q394" s="363">
        <v>2011</v>
      </c>
      <c r="R394" s="362">
        <v>2012</v>
      </c>
      <c r="S394" s="364">
        <f t="shared" ref="S394:W394" si="94">R394+1</f>
        <v>2013</v>
      </c>
      <c r="T394" s="363">
        <f t="shared" si="94"/>
        <v>2014</v>
      </c>
      <c r="U394" s="363">
        <f t="shared" si="94"/>
        <v>2015</v>
      </c>
      <c r="V394" s="363">
        <f t="shared" si="94"/>
        <v>2016</v>
      </c>
      <c r="W394" s="362">
        <f t="shared" si="94"/>
        <v>2017</v>
      </c>
    </row>
    <row r="395" spans="1:23" ht="12.75" customHeight="1" outlineLevel="1">
      <c r="A395" s="394" t="s">
        <v>2</v>
      </c>
      <c r="B395" s="393">
        <f>B386</f>
        <v>0</v>
      </c>
      <c r="C395" s="391">
        <f t="shared" ref="C395:W395" si="95">B398</f>
        <v>0</v>
      </c>
      <c r="D395" s="393">
        <f t="shared" si="95"/>
        <v>0</v>
      </c>
      <c r="E395" s="392">
        <f t="shared" si="95"/>
        <v>0</v>
      </c>
      <c r="F395" s="392">
        <f t="shared" si="95"/>
        <v>0</v>
      </c>
      <c r="G395" s="392">
        <f t="shared" si="95"/>
        <v>0</v>
      </c>
      <c r="H395" s="391">
        <f t="shared" si="95"/>
        <v>0</v>
      </c>
      <c r="I395" s="393">
        <f t="shared" si="95"/>
        <v>0</v>
      </c>
      <c r="J395" s="392">
        <f t="shared" si="95"/>
        <v>0</v>
      </c>
      <c r="K395" s="392">
        <f t="shared" si="95"/>
        <v>0</v>
      </c>
      <c r="L395" s="392">
        <f t="shared" si="95"/>
        <v>0</v>
      </c>
      <c r="M395" s="391">
        <f t="shared" si="95"/>
        <v>20.542160219418619</v>
      </c>
      <c r="N395" s="390">
        <f t="shared" si="95"/>
        <v>56.055694197476761</v>
      </c>
      <c r="O395" s="392">
        <f t="shared" si="95"/>
        <v>50.450124777729087</v>
      </c>
      <c r="P395" s="392">
        <f t="shared" si="95"/>
        <v>45.40511229995618</v>
      </c>
      <c r="Q395" s="392">
        <f t="shared" si="95"/>
        <v>40.864601069960564</v>
      </c>
      <c r="R395" s="391">
        <f t="shared" si="95"/>
        <v>36.778140962964507</v>
      </c>
      <c r="S395" s="390">
        <f t="shared" si="95"/>
        <v>33.100326866668055</v>
      </c>
      <c r="T395" s="392">
        <f t="shared" si="95"/>
        <v>29.790294180001251</v>
      </c>
      <c r="U395" s="392">
        <f t="shared" si="95"/>
        <v>26.811264762001127</v>
      </c>
      <c r="V395" s="392">
        <f t="shared" si="95"/>
        <v>24.130138285801014</v>
      </c>
      <c r="W395" s="391">
        <f t="shared" si="95"/>
        <v>21.717124457220912</v>
      </c>
    </row>
    <row r="396" spans="1:23" ht="12.75" customHeight="1" outlineLevel="1">
      <c r="A396" s="389" t="s">
        <v>149</v>
      </c>
      <c r="B396" s="393">
        <v>0</v>
      </c>
      <c r="C396" s="391">
        <v>0</v>
      </c>
      <c r="D396" s="393">
        <v>0</v>
      </c>
      <c r="E396" s="392">
        <v>0</v>
      </c>
      <c r="F396" s="392">
        <v>0</v>
      </c>
      <c r="G396" s="392">
        <v>0</v>
      </c>
      <c r="H396" s="391">
        <v>0</v>
      </c>
      <c r="I396" s="393">
        <v>0</v>
      </c>
      <c r="J396" s="392">
        <v>0</v>
      </c>
      <c r="K396" s="392">
        <v>0</v>
      </c>
      <c r="L396" s="392">
        <f t="shared" ref="L396:W396" si="96">B392</f>
        <v>21.623326546756442</v>
      </c>
      <c r="M396" s="391">
        <f t="shared" si="96"/>
        <v>39.545000000000002</v>
      </c>
      <c r="N396" s="393">
        <f t="shared" si="96"/>
        <v>0</v>
      </c>
      <c r="O396" s="392">
        <f t="shared" si="96"/>
        <v>0</v>
      </c>
      <c r="P396" s="392">
        <f t="shared" si="96"/>
        <v>0</v>
      </c>
      <c r="Q396" s="392">
        <f t="shared" si="96"/>
        <v>0</v>
      </c>
      <c r="R396" s="391">
        <f t="shared" si="96"/>
        <v>0</v>
      </c>
      <c r="S396" s="393">
        <f t="shared" si="96"/>
        <v>0</v>
      </c>
      <c r="T396" s="392">
        <f t="shared" si="96"/>
        <v>0</v>
      </c>
      <c r="U396" s="392">
        <f t="shared" si="96"/>
        <v>0</v>
      </c>
      <c r="V396" s="392">
        <f t="shared" si="96"/>
        <v>0</v>
      </c>
      <c r="W396" s="391">
        <f t="shared" si="96"/>
        <v>0</v>
      </c>
    </row>
    <row r="397" spans="1:23" ht="12.75" customHeight="1" outlineLevel="1">
      <c r="A397" s="389" t="s">
        <v>148</v>
      </c>
      <c r="B397" s="347">
        <f>IF($B389=1,B396+B395,B396*$B389*0.5)</f>
        <v>0</v>
      </c>
      <c r="C397" s="347">
        <f t="shared" ref="C397:W397" si="97">IF($B389=1,C396+C395,(C395+C396*0.5)*$B389)</f>
        <v>0</v>
      </c>
      <c r="D397" s="369">
        <f t="shared" si="97"/>
        <v>0</v>
      </c>
      <c r="E397" s="347">
        <f t="shared" si="97"/>
        <v>0</v>
      </c>
      <c r="F397" s="347">
        <f t="shared" si="97"/>
        <v>0</v>
      </c>
      <c r="G397" s="347">
        <f t="shared" si="97"/>
        <v>0</v>
      </c>
      <c r="H397" s="368">
        <f t="shared" si="97"/>
        <v>0</v>
      </c>
      <c r="I397" s="369">
        <f t="shared" si="97"/>
        <v>0</v>
      </c>
      <c r="J397" s="347">
        <f t="shared" si="97"/>
        <v>0</v>
      </c>
      <c r="K397" s="347">
        <f t="shared" si="97"/>
        <v>0</v>
      </c>
      <c r="L397" s="347">
        <f t="shared" si="97"/>
        <v>1.081166327337822</v>
      </c>
      <c r="M397" s="368">
        <f t="shared" si="97"/>
        <v>4.0314660219418625</v>
      </c>
      <c r="N397" s="369">
        <f t="shared" si="97"/>
        <v>5.6055694197476766</v>
      </c>
      <c r="O397" s="347">
        <f t="shared" si="97"/>
        <v>5.0450124777729091</v>
      </c>
      <c r="P397" s="347">
        <f t="shared" si="97"/>
        <v>4.5405112299956185</v>
      </c>
      <c r="Q397" s="347">
        <f t="shared" si="97"/>
        <v>4.0864601069960562</v>
      </c>
      <c r="R397" s="368">
        <f t="shared" si="97"/>
        <v>3.677814096296451</v>
      </c>
      <c r="S397" s="369">
        <f t="shared" si="97"/>
        <v>3.3100326866668057</v>
      </c>
      <c r="T397" s="347">
        <f t="shared" si="97"/>
        <v>2.9790294180001253</v>
      </c>
      <c r="U397" s="347">
        <f t="shared" si="97"/>
        <v>2.681126476200113</v>
      </c>
      <c r="V397" s="347">
        <f t="shared" si="97"/>
        <v>2.4130138285801017</v>
      </c>
      <c r="W397" s="368">
        <f t="shared" si="97"/>
        <v>2.1717124457220911</v>
      </c>
    </row>
    <row r="398" spans="1:23" ht="12.75" customHeight="1" outlineLevel="1">
      <c r="A398" s="388" t="s">
        <v>113</v>
      </c>
      <c r="B398" s="387">
        <f t="shared" ref="B398:W398" si="98">B395+B396-B397</f>
        <v>0</v>
      </c>
      <c r="C398" s="385">
        <f t="shared" si="98"/>
        <v>0</v>
      </c>
      <c r="D398" s="387">
        <f t="shared" si="98"/>
        <v>0</v>
      </c>
      <c r="E398" s="386">
        <f t="shared" si="98"/>
        <v>0</v>
      </c>
      <c r="F398" s="386">
        <f t="shared" si="98"/>
        <v>0</v>
      </c>
      <c r="G398" s="386">
        <f t="shared" si="98"/>
        <v>0</v>
      </c>
      <c r="H398" s="385">
        <f t="shared" si="98"/>
        <v>0</v>
      </c>
      <c r="I398" s="387">
        <f t="shared" si="98"/>
        <v>0</v>
      </c>
      <c r="J398" s="386">
        <f t="shared" si="98"/>
        <v>0</v>
      </c>
      <c r="K398" s="386">
        <f t="shared" si="98"/>
        <v>0</v>
      </c>
      <c r="L398" s="386">
        <f t="shared" si="98"/>
        <v>20.542160219418619</v>
      </c>
      <c r="M398" s="385">
        <f t="shared" si="98"/>
        <v>56.055694197476761</v>
      </c>
      <c r="N398" s="387">
        <f t="shared" si="98"/>
        <v>50.450124777729087</v>
      </c>
      <c r="O398" s="386">
        <f t="shared" si="98"/>
        <v>45.40511229995618</v>
      </c>
      <c r="P398" s="386">
        <f t="shared" si="98"/>
        <v>40.864601069960564</v>
      </c>
      <c r="Q398" s="386">
        <f t="shared" si="98"/>
        <v>36.778140962964507</v>
      </c>
      <c r="R398" s="385">
        <f t="shared" si="98"/>
        <v>33.100326866668055</v>
      </c>
      <c r="S398" s="387">
        <f t="shared" si="98"/>
        <v>29.790294180001251</v>
      </c>
      <c r="T398" s="386">
        <f t="shared" si="98"/>
        <v>26.811264762001127</v>
      </c>
      <c r="U398" s="386">
        <f t="shared" si="98"/>
        <v>24.130138285801014</v>
      </c>
      <c r="V398" s="386">
        <f t="shared" si="98"/>
        <v>21.717124457220912</v>
      </c>
      <c r="W398" s="385">
        <f t="shared" si="98"/>
        <v>19.545412011498822</v>
      </c>
    </row>
    <row r="399" spans="1:23" ht="12.75" customHeight="1" outlineLevel="1"/>
    <row r="400" spans="1:23" ht="12.75" customHeight="1" outlineLevel="1">
      <c r="A400" s="350" t="str">
        <f>A377</f>
        <v>Meters</v>
      </c>
    </row>
    <row r="401" spans="1:23" ht="12.75" customHeight="1" outlineLevel="1">
      <c r="A401" s="414" t="s">
        <v>131</v>
      </c>
      <c r="B401" s="413">
        <f>B377</f>
        <v>0</v>
      </c>
      <c r="C401" s="412"/>
      <c r="D401" s="380"/>
      <c r="E401" s="380"/>
    </row>
    <row r="402" spans="1:23" ht="12.75" customHeight="1" outlineLevel="1">
      <c r="A402" s="411" t="s">
        <v>155</v>
      </c>
      <c r="B402" s="393">
        <f>C377</f>
        <v>4</v>
      </c>
      <c r="C402" s="410"/>
      <c r="D402" s="380"/>
      <c r="E402" s="380"/>
    </row>
    <row r="403" spans="1:23" ht="12.75" customHeight="1" outlineLevel="1">
      <c r="A403" s="411" t="s">
        <v>154</v>
      </c>
      <c r="B403" s="393" t="str">
        <f>D377</f>
        <v>Declining Balance</v>
      </c>
      <c r="C403" s="410"/>
      <c r="D403" s="380"/>
      <c r="E403" s="380"/>
    </row>
    <row r="404" spans="1:23" ht="12.75" customHeight="1" outlineLevel="1">
      <c r="A404" s="409" t="s">
        <v>152</v>
      </c>
      <c r="B404" s="408">
        <f>IF(B403="Straight Line",1/B402,IF(B403="Declining Balance",1/B402*1.5,1))</f>
        <v>0.375</v>
      </c>
      <c r="C404" s="407"/>
      <c r="D404" s="380"/>
      <c r="E404" s="380"/>
    </row>
    <row r="405" spans="1:23" ht="12.75" customHeight="1" outlineLevel="1">
      <c r="A405" s="380"/>
      <c r="B405" s="392"/>
      <c r="C405" s="380"/>
      <c r="D405" s="380"/>
      <c r="E405" s="380"/>
    </row>
    <row r="406" spans="1:23" ht="12.75" customHeight="1" outlineLevel="1">
      <c r="A406" s="380" t="s">
        <v>137</v>
      </c>
      <c r="B406" s="406" t="s">
        <v>167</v>
      </c>
      <c r="C406" s="405">
        <f t="shared" ref="C406:H406" si="99">B406+1</f>
        <v>2007</v>
      </c>
      <c r="D406" s="405">
        <f t="shared" si="99"/>
        <v>2008</v>
      </c>
      <c r="E406" s="405">
        <f t="shared" si="99"/>
        <v>2009</v>
      </c>
      <c r="F406" s="405">
        <f t="shared" si="99"/>
        <v>2010</v>
      </c>
      <c r="G406" s="405">
        <f t="shared" si="99"/>
        <v>2011</v>
      </c>
      <c r="H406" s="404">
        <f t="shared" si="99"/>
        <v>2012</v>
      </c>
      <c r="I406" s="403"/>
      <c r="J406" s="403"/>
      <c r="K406" s="403"/>
      <c r="L406" s="403"/>
    </row>
    <row r="407" spans="1:23" ht="12.75" customHeight="1" outlineLevel="1">
      <c r="A407" s="402" t="s">
        <v>150</v>
      </c>
      <c r="B407" s="401">
        <v>4.7426819607170128</v>
      </c>
      <c r="C407" s="481">
        <f>7.778123+J377</f>
        <v>7.8721230000000002</v>
      </c>
      <c r="D407" s="401">
        <v>0</v>
      </c>
      <c r="E407" s="400">
        <v>0</v>
      </c>
      <c r="F407" s="400">
        <v>0</v>
      </c>
      <c r="G407" s="400">
        <v>0</v>
      </c>
      <c r="H407" s="479">
        <v>0</v>
      </c>
      <c r="I407" s="392"/>
      <c r="J407" s="392"/>
      <c r="K407" s="392"/>
      <c r="L407" s="483"/>
    </row>
    <row r="408" spans="1:23" ht="12.75" customHeight="1" outlineLevel="1">
      <c r="A408" s="380"/>
      <c r="B408" s="392"/>
      <c r="C408" s="380"/>
    </row>
    <row r="409" spans="1:23" ht="12.75" customHeight="1" outlineLevel="1">
      <c r="B409" s="364">
        <v>1996</v>
      </c>
      <c r="C409" s="362">
        <v>1997</v>
      </c>
      <c r="D409" s="364">
        <v>1998</v>
      </c>
      <c r="E409" s="363">
        <v>1999</v>
      </c>
      <c r="F409" s="363">
        <v>2000</v>
      </c>
      <c r="G409" s="363">
        <v>2001</v>
      </c>
      <c r="H409" s="362">
        <v>2002</v>
      </c>
      <c r="I409" s="364">
        <v>2003</v>
      </c>
      <c r="J409" s="363">
        <v>2004</v>
      </c>
      <c r="K409" s="363">
        <v>2005</v>
      </c>
      <c r="L409" s="363">
        <v>2006</v>
      </c>
      <c r="M409" s="362">
        <v>2007</v>
      </c>
      <c r="N409" s="364">
        <v>2008</v>
      </c>
      <c r="O409" s="363">
        <v>2009</v>
      </c>
      <c r="P409" s="363">
        <v>2010</v>
      </c>
      <c r="Q409" s="363">
        <v>2011</v>
      </c>
      <c r="R409" s="362">
        <v>2012</v>
      </c>
      <c r="S409" s="364">
        <f t="shared" ref="S409:W409" si="100">R409+1</f>
        <v>2013</v>
      </c>
      <c r="T409" s="363">
        <f t="shared" si="100"/>
        <v>2014</v>
      </c>
      <c r="U409" s="363">
        <f t="shared" si="100"/>
        <v>2015</v>
      </c>
      <c r="V409" s="363">
        <f t="shared" si="100"/>
        <v>2016</v>
      </c>
      <c r="W409" s="362">
        <f t="shared" si="100"/>
        <v>2017</v>
      </c>
    </row>
    <row r="410" spans="1:23" ht="12.75" customHeight="1" outlineLevel="1">
      <c r="A410" s="394" t="s">
        <v>2</v>
      </c>
      <c r="B410" s="393">
        <f>B401</f>
        <v>0</v>
      </c>
      <c r="C410" s="391">
        <f t="shared" ref="C410:W410" si="101">B413</f>
        <v>0</v>
      </c>
      <c r="D410" s="393">
        <f t="shared" si="101"/>
        <v>0</v>
      </c>
      <c r="E410" s="392">
        <f t="shared" si="101"/>
        <v>0</v>
      </c>
      <c r="F410" s="392">
        <f t="shared" si="101"/>
        <v>0</v>
      </c>
      <c r="G410" s="392">
        <f t="shared" si="101"/>
        <v>0</v>
      </c>
      <c r="H410" s="391">
        <f t="shared" si="101"/>
        <v>0</v>
      </c>
      <c r="I410" s="393">
        <f t="shared" si="101"/>
        <v>0</v>
      </c>
      <c r="J410" s="392">
        <f t="shared" si="101"/>
        <v>0</v>
      </c>
      <c r="K410" s="392">
        <f t="shared" si="101"/>
        <v>0</v>
      </c>
      <c r="L410" s="392">
        <f t="shared" si="101"/>
        <v>0</v>
      </c>
      <c r="M410" s="391">
        <f t="shared" si="101"/>
        <v>3.853429093082573</v>
      </c>
      <c r="N410" s="390">
        <f t="shared" si="101"/>
        <v>8.8044931206766073</v>
      </c>
      <c r="O410" s="392">
        <f t="shared" si="101"/>
        <v>5.50280820042288</v>
      </c>
      <c r="P410" s="392">
        <f t="shared" si="101"/>
        <v>3.4392551252643</v>
      </c>
      <c r="Q410" s="392">
        <f t="shared" si="101"/>
        <v>2.1495344532901877</v>
      </c>
      <c r="R410" s="391">
        <f t="shared" si="101"/>
        <v>1.3434590333063672</v>
      </c>
      <c r="S410" s="390">
        <f t="shared" si="101"/>
        <v>0.83966189581647943</v>
      </c>
      <c r="T410" s="392">
        <f t="shared" si="101"/>
        <v>0.52478868488529962</v>
      </c>
      <c r="U410" s="392">
        <f t="shared" si="101"/>
        <v>0.32799292805331226</v>
      </c>
      <c r="V410" s="392">
        <f t="shared" si="101"/>
        <v>0.20499558003332016</v>
      </c>
      <c r="W410" s="391">
        <f t="shared" si="101"/>
        <v>0.12812223752082511</v>
      </c>
    </row>
    <row r="411" spans="1:23" ht="12.75" customHeight="1" outlineLevel="1">
      <c r="A411" s="389" t="s">
        <v>149</v>
      </c>
      <c r="B411" s="393">
        <v>0</v>
      </c>
      <c r="C411" s="391">
        <v>0</v>
      </c>
      <c r="D411" s="393">
        <v>0</v>
      </c>
      <c r="E411" s="392">
        <v>0</v>
      </c>
      <c r="F411" s="392">
        <v>0</v>
      </c>
      <c r="G411" s="392">
        <v>0</v>
      </c>
      <c r="H411" s="391">
        <v>0</v>
      </c>
      <c r="I411" s="393">
        <v>0</v>
      </c>
      <c r="J411" s="392">
        <v>0</v>
      </c>
      <c r="K411" s="392">
        <v>0</v>
      </c>
      <c r="L411" s="392">
        <f t="shared" ref="L411:W411" si="102">B407</f>
        <v>4.7426819607170128</v>
      </c>
      <c r="M411" s="391">
        <f t="shared" si="102"/>
        <v>7.8721230000000002</v>
      </c>
      <c r="N411" s="393">
        <f t="shared" si="102"/>
        <v>0</v>
      </c>
      <c r="O411" s="392">
        <f t="shared" si="102"/>
        <v>0</v>
      </c>
      <c r="P411" s="392">
        <f t="shared" si="102"/>
        <v>0</v>
      </c>
      <c r="Q411" s="392">
        <f t="shared" si="102"/>
        <v>0</v>
      </c>
      <c r="R411" s="391">
        <f t="shared" si="102"/>
        <v>0</v>
      </c>
      <c r="S411" s="393">
        <f t="shared" si="102"/>
        <v>0</v>
      </c>
      <c r="T411" s="392">
        <f t="shared" si="102"/>
        <v>0</v>
      </c>
      <c r="U411" s="392">
        <f t="shared" si="102"/>
        <v>0</v>
      </c>
      <c r="V411" s="392">
        <f t="shared" si="102"/>
        <v>0</v>
      </c>
      <c r="W411" s="391">
        <f t="shared" si="102"/>
        <v>0</v>
      </c>
    </row>
    <row r="412" spans="1:23" ht="12.75" customHeight="1" outlineLevel="1">
      <c r="A412" s="389" t="s">
        <v>148</v>
      </c>
      <c r="B412" s="347">
        <f>IF($B404=1,B411+B410,B411*$B404*0.5)</f>
        <v>0</v>
      </c>
      <c r="C412" s="347">
        <f t="shared" ref="C412:W412" si="103">IF($B404=1,C411+C410,(C410+C411*0.5)*$B404)</f>
        <v>0</v>
      </c>
      <c r="D412" s="369">
        <f t="shared" si="103"/>
        <v>0</v>
      </c>
      <c r="E412" s="347">
        <f t="shared" si="103"/>
        <v>0</v>
      </c>
      <c r="F412" s="347">
        <f t="shared" si="103"/>
        <v>0</v>
      </c>
      <c r="G412" s="347">
        <f t="shared" si="103"/>
        <v>0</v>
      </c>
      <c r="H412" s="368">
        <f t="shared" si="103"/>
        <v>0</v>
      </c>
      <c r="I412" s="369">
        <f t="shared" si="103"/>
        <v>0</v>
      </c>
      <c r="J412" s="347">
        <f t="shared" si="103"/>
        <v>0</v>
      </c>
      <c r="K412" s="347">
        <f t="shared" si="103"/>
        <v>0</v>
      </c>
      <c r="L412" s="347">
        <f t="shared" si="103"/>
        <v>0.88925286763443989</v>
      </c>
      <c r="M412" s="368">
        <f t="shared" si="103"/>
        <v>2.921058972405965</v>
      </c>
      <c r="N412" s="369">
        <f t="shared" si="103"/>
        <v>3.3016849202537277</v>
      </c>
      <c r="O412" s="347">
        <f t="shared" si="103"/>
        <v>2.06355307515858</v>
      </c>
      <c r="P412" s="347">
        <f t="shared" si="103"/>
        <v>1.2897206719741126</v>
      </c>
      <c r="Q412" s="347">
        <f t="shared" si="103"/>
        <v>0.80607541998382037</v>
      </c>
      <c r="R412" s="368">
        <f t="shared" si="103"/>
        <v>0.50379713748988775</v>
      </c>
      <c r="S412" s="369">
        <f t="shared" si="103"/>
        <v>0.31487321093117981</v>
      </c>
      <c r="T412" s="347">
        <f t="shared" si="103"/>
        <v>0.19679575683198736</v>
      </c>
      <c r="U412" s="347">
        <f t="shared" si="103"/>
        <v>0.1229973480199921</v>
      </c>
      <c r="V412" s="347">
        <f t="shared" si="103"/>
        <v>7.6873342512495058E-2</v>
      </c>
      <c r="W412" s="368">
        <f t="shared" si="103"/>
        <v>4.8045839070309418E-2</v>
      </c>
    </row>
    <row r="413" spans="1:23" ht="12.75" customHeight="1" outlineLevel="1">
      <c r="A413" s="388" t="s">
        <v>113</v>
      </c>
      <c r="B413" s="387">
        <f t="shared" ref="B413:W413" si="104">B410+B411-B412</f>
        <v>0</v>
      </c>
      <c r="C413" s="385">
        <f t="shared" si="104"/>
        <v>0</v>
      </c>
      <c r="D413" s="387">
        <f t="shared" si="104"/>
        <v>0</v>
      </c>
      <c r="E413" s="386">
        <f t="shared" si="104"/>
        <v>0</v>
      </c>
      <c r="F413" s="386">
        <f t="shared" si="104"/>
        <v>0</v>
      </c>
      <c r="G413" s="386">
        <f t="shared" si="104"/>
        <v>0</v>
      </c>
      <c r="H413" s="385">
        <f t="shared" si="104"/>
        <v>0</v>
      </c>
      <c r="I413" s="387">
        <f t="shared" si="104"/>
        <v>0</v>
      </c>
      <c r="J413" s="386">
        <f t="shared" si="104"/>
        <v>0</v>
      </c>
      <c r="K413" s="386">
        <f t="shared" si="104"/>
        <v>0</v>
      </c>
      <c r="L413" s="386">
        <f t="shared" si="104"/>
        <v>3.853429093082573</v>
      </c>
      <c r="M413" s="385">
        <f t="shared" si="104"/>
        <v>8.8044931206766073</v>
      </c>
      <c r="N413" s="387">
        <f t="shared" si="104"/>
        <v>5.50280820042288</v>
      </c>
      <c r="O413" s="386">
        <f t="shared" si="104"/>
        <v>3.4392551252643</v>
      </c>
      <c r="P413" s="386">
        <f t="shared" si="104"/>
        <v>2.1495344532901877</v>
      </c>
      <c r="Q413" s="386">
        <f t="shared" si="104"/>
        <v>1.3434590333063672</v>
      </c>
      <c r="R413" s="385">
        <f t="shared" si="104"/>
        <v>0.83966189581647943</v>
      </c>
      <c r="S413" s="387">
        <f t="shared" si="104"/>
        <v>0.52478868488529962</v>
      </c>
      <c r="T413" s="386">
        <f t="shared" si="104"/>
        <v>0.32799292805331226</v>
      </c>
      <c r="U413" s="386">
        <f t="shared" si="104"/>
        <v>0.20499558003332016</v>
      </c>
      <c r="V413" s="386">
        <f t="shared" si="104"/>
        <v>0.12812223752082511</v>
      </c>
      <c r="W413" s="385">
        <f t="shared" si="104"/>
        <v>8.0076398450515687E-2</v>
      </c>
    </row>
    <row r="414" spans="1:23" ht="12.75" customHeight="1" outlineLevel="1"/>
    <row r="415" spans="1:23" ht="12.75" customHeight="1" outlineLevel="1">
      <c r="A415" s="350" t="str">
        <f>A378</f>
        <v>Land &amp; Buildings</v>
      </c>
    </row>
    <row r="416" spans="1:23" ht="12.75" customHeight="1" outlineLevel="1">
      <c r="A416" s="414" t="s">
        <v>131</v>
      </c>
      <c r="B416" s="413">
        <f>B378</f>
        <v>0</v>
      </c>
      <c r="C416" s="412"/>
      <c r="D416" s="380"/>
      <c r="E416" s="380"/>
    </row>
    <row r="417" spans="1:23" ht="12.75" customHeight="1" outlineLevel="1">
      <c r="A417" s="411" t="s">
        <v>155</v>
      </c>
      <c r="B417" s="393">
        <f>C378</f>
        <v>40</v>
      </c>
      <c r="C417" s="410"/>
      <c r="D417" s="380"/>
      <c r="E417" s="380"/>
    </row>
    <row r="418" spans="1:23" ht="12.75" customHeight="1" outlineLevel="1">
      <c r="A418" s="411" t="s">
        <v>154</v>
      </c>
      <c r="B418" s="393" t="str">
        <f>D378</f>
        <v>Straight Line</v>
      </c>
      <c r="C418" s="410"/>
      <c r="D418" s="380"/>
      <c r="E418" s="380"/>
    </row>
    <row r="419" spans="1:23" ht="12.75" customHeight="1" outlineLevel="1">
      <c r="A419" s="409" t="s">
        <v>152</v>
      </c>
      <c r="B419" s="408">
        <f>IF(B418="Straight Line",1/B417,IF(B418="Declining Balance",1/B417*2,1))</f>
        <v>2.5000000000000001E-2</v>
      </c>
      <c r="C419" s="407"/>
      <c r="D419" s="380"/>
      <c r="E419" s="380"/>
    </row>
    <row r="420" spans="1:23" ht="12.75" customHeight="1" outlineLevel="1">
      <c r="A420" s="380"/>
      <c r="B420" s="392"/>
      <c r="C420" s="380"/>
      <c r="D420" s="380"/>
      <c r="E420" s="380"/>
    </row>
    <row r="421" spans="1:23" ht="12.75" customHeight="1" outlineLevel="1">
      <c r="A421" s="380" t="s">
        <v>137</v>
      </c>
      <c r="B421" s="406" t="s">
        <v>167</v>
      </c>
      <c r="C421" s="405">
        <f t="shared" ref="C421:H421" si="105">B421+1</f>
        <v>2007</v>
      </c>
      <c r="D421" s="405">
        <f t="shared" si="105"/>
        <v>2008</v>
      </c>
      <c r="E421" s="405">
        <f t="shared" si="105"/>
        <v>2009</v>
      </c>
      <c r="F421" s="405">
        <f t="shared" si="105"/>
        <v>2010</v>
      </c>
      <c r="G421" s="405">
        <f t="shared" si="105"/>
        <v>2011</v>
      </c>
      <c r="H421" s="404">
        <f t="shared" si="105"/>
        <v>2012</v>
      </c>
      <c r="I421" s="403"/>
      <c r="J421" s="403"/>
      <c r="K421" s="403"/>
      <c r="L421" s="403"/>
    </row>
    <row r="422" spans="1:23" ht="12.75" customHeight="1" outlineLevel="1">
      <c r="A422" s="402" t="s">
        <v>150</v>
      </c>
      <c r="B422" s="401">
        <v>0</v>
      </c>
      <c r="C422" s="482">
        <v>0</v>
      </c>
      <c r="D422" s="401">
        <v>0</v>
      </c>
      <c r="E422" s="400">
        <v>0</v>
      </c>
      <c r="F422" s="400">
        <v>0</v>
      </c>
      <c r="G422" s="400">
        <v>0</v>
      </c>
      <c r="H422" s="479">
        <v>0</v>
      </c>
      <c r="I422" s="396"/>
      <c r="J422" s="396"/>
      <c r="K422" s="396"/>
      <c r="L422" s="395"/>
    </row>
    <row r="423" spans="1:23" ht="12.75" customHeight="1" outlineLevel="1">
      <c r="A423" s="380"/>
      <c r="B423" s="392"/>
      <c r="C423" s="380"/>
    </row>
    <row r="424" spans="1:23" ht="12.75" customHeight="1" outlineLevel="1">
      <c r="B424" s="364">
        <v>1996</v>
      </c>
      <c r="C424" s="362">
        <v>1997</v>
      </c>
      <c r="D424" s="364">
        <v>1998</v>
      </c>
      <c r="E424" s="363">
        <v>1999</v>
      </c>
      <c r="F424" s="363">
        <v>2000</v>
      </c>
      <c r="G424" s="363">
        <v>2001</v>
      </c>
      <c r="H424" s="362">
        <v>2002</v>
      </c>
      <c r="I424" s="364">
        <v>2003</v>
      </c>
      <c r="J424" s="363">
        <v>2004</v>
      </c>
      <c r="K424" s="363">
        <v>2005</v>
      </c>
      <c r="L424" s="363">
        <v>2006</v>
      </c>
      <c r="M424" s="362">
        <v>2007</v>
      </c>
      <c r="N424" s="364">
        <v>2008</v>
      </c>
      <c r="O424" s="363">
        <v>2009</v>
      </c>
      <c r="P424" s="363">
        <v>2010</v>
      </c>
      <c r="Q424" s="363">
        <v>2011</v>
      </c>
      <c r="R424" s="362">
        <v>2012</v>
      </c>
      <c r="S424" s="364">
        <f t="shared" ref="S424:W424" si="106">R424+1</f>
        <v>2013</v>
      </c>
      <c r="T424" s="363">
        <f t="shared" si="106"/>
        <v>2014</v>
      </c>
      <c r="U424" s="363">
        <f t="shared" si="106"/>
        <v>2015</v>
      </c>
      <c r="V424" s="363">
        <f t="shared" si="106"/>
        <v>2016</v>
      </c>
      <c r="W424" s="362">
        <f t="shared" si="106"/>
        <v>2017</v>
      </c>
    </row>
    <row r="425" spans="1:23" ht="12.75" customHeight="1" outlineLevel="1">
      <c r="A425" s="394" t="s">
        <v>2</v>
      </c>
      <c r="B425" s="393">
        <f>B416</f>
        <v>0</v>
      </c>
      <c r="C425" s="391">
        <f t="shared" ref="C425:W425" si="107">B428</f>
        <v>0</v>
      </c>
      <c r="D425" s="393">
        <f t="shared" si="107"/>
        <v>0</v>
      </c>
      <c r="E425" s="392">
        <f t="shared" si="107"/>
        <v>0</v>
      </c>
      <c r="F425" s="392">
        <f t="shared" si="107"/>
        <v>0</v>
      </c>
      <c r="G425" s="392">
        <f t="shared" si="107"/>
        <v>0</v>
      </c>
      <c r="H425" s="391">
        <f t="shared" si="107"/>
        <v>0</v>
      </c>
      <c r="I425" s="393">
        <f t="shared" si="107"/>
        <v>0</v>
      </c>
      <c r="J425" s="392">
        <f t="shared" si="107"/>
        <v>0</v>
      </c>
      <c r="K425" s="392">
        <f t="shared" si="107"/>
        <v>0</v>
      </c>
      <c r="L425" s="392">
        <f t="shared" si="107"/>
        <v>0</v>
      </c>
      <c r="M425" s="391">
        <f t="shared" si="107"/>
        <v>0</v>
      </c>
      <c r="N425" s="390">
        <f t="shared" si="107"/>
        <v>0</v>
      </c>
      <c r="O425" s="392">
        <f t="shared" si="107"/>
        <v>0</v>
      </c>
      <c r="P425" s="392">
        <f t="shared" si="107"/>
        <v>0</v>
      </c>
      <c r="Q425" s="392">
        <f t="shared" si="107"/>
        <v>0</v>
      </c>
      <c r="R425" s="391">
        <f t="shared" si="107"/>
        <v>0</v>
      </c>
      <c r="S425" s="390">
        <f t="shared" si="107"/>
        <v>0</v>
      </c>
      <c r="T425" s="392">
        <f t="shared" si="107"/>
        <v>0</v>
      </c>
      <c r="U425" s="392">
        <f t="shared" si="107"/>
        <v>0</v>
      </c>
      <c r="V425" s="392">
        <f t="shared" si="107"/>
        <v>0</v>
      </c>
      <c r="W425" s="391">
        <f t="shared" si="107"/>
        <v>0</v>
      </c>
    </row>
    <row r="426" spans="1:23" ht="12.75" customHeight="1" outlineLevel="1">
      <c r="A426" s="389" t="s">
        <v>149</v>
      </c>
      <c r="B426" s="393">
        <v>0</v>
      </c>
      <c r="C426" s="391">
        <v>0</v>
      </c>
      <c r="D426" s="393">
        <v>0</v>
      </c>
      <c r="E426" s="392">
        <v>0</v>
      </c>
      <c r="F426" s="392">
        <v>0</v>
      </c>
      <c r="G426" s="392">
        <v>0</v>
      </c>
      <c r="H426" s="391">
        <v>0</v>
      </c>
      <c r="I426" s="393">
        <v>0</v>
      </c>
      <c r="J426" s="392">
        <v>0</v>
      </c>
      <c r="K426" s="392">
        <v>0</v>
      </c>
      <c r="L426" s="392">
        <f t="shared" ref="L426:W426" si="108">B422</f>
        <v>0</v>
      </c>
      <c r="M426" s="391">
        <f t="shared" si="108"/>
        <v>0</v>
      </c>
      <c r="N426" s="393">
        <f t="shared" si="108"/>
        <v>0</v>
      </c>
      <c r="O426" s="392">
        <f t="shared" si="108"/>
        <v>0</v>
      </c>
      <c r="P426" s="392">
        <f t="shared" si="108"/>
        <v>0</v>
      </c>
      <c r="Q426" s="392">
        <f t="shared" si="108"/>
        <v>0</v>
      </c>
      <c r="R426" s="391">
        <f t="shared" si="108"/>
        <v>0</v>
      </c>
      <c r="S426" s="393">
        <f t="shared" si="108"/>
        <v>0</v>
      </c>
      <c r="T426" s="392">
        <f t="shared" si="108"/>
        <v>0</v>
      </c>
      <c r="U426" s="392">
        <f t="shared" si="108"/>
        <v>0</v>
      </c>
      <c r="V426" s="392">
        <f t="shared" si="108"/>
        <v>0</v>
      </c>
      <c r="W426" s="391">
        <f t="shared" si="108"/>
        <v>0</v>
      </c>
    </row>
    <row r="427" spans="1:23" ht="12.75" customHeight="1" outlineLevel="1">
      <c r="A427" s="389" t="s">
        <v>148</v>
      </c>
      <c r="B427" s="393">
        <f>B426*$B419*0.5</f>
        <v>0</v>
      </c>
      <c r="C427" s="391">
        <f>(SUM($B426:B426)+C426*0.5)*$B419</f>
        <v>0</v>
      </c>
      <c r="D427" s="393">
        <f>(SUM($B426:C426)+D426*0.5)*$B419</f>
        <v>0</v>
      </c>
      <c r="E427" s="392">
        <f>(SUM($B426:D426)+E426*0.5)*$B419</f>
        <v>0</v>
      </c>
      <c r="F427" s="392">
        <f>(SUM($B426:E426)+F426*0.5)*$B419</f>
        <v>0</v>
      </c>
      <c r="G427" s="392">
        <f>(SUM($B426:F426)+G426*0.5)*$B419</f>
        <v>0</v>
      </c>
      <c r="H427" s="391">
        <f>(SUM($B426:G426)+H426*0.5)*$B419</f>
        <v>0</v>
      </c>
      <c r="I427" s="393">
        <f>(SUM($B426:H426)+I426*0.5)*$B419</f>
        <v>0</v>
      </c>
      <c r="J427" s="392">
        <f>(SUM($B426:I426)+J426*0.5)*$B419</f>
        <v>0</v>
      </c>
      <c r="K427" s="392">
        <f>(SUM($B426:J426)+K426*0.5)*$B419</f>
        <v>0</v>
      </c>
      <c r="L427" s="392">
        <f>(SUM($B426:K426)+L426*0.5)*$B419</f>
        <v>0</v>
      </c>
      <c r="M427" s="391">
        <f>(SUM($B426:L426)+M426*0.5)*$B419</f>
        <v>0</v>
      </c>
      <c r="N427" s="393">
        <f>(SUM($B426:M426)+N426*0.5)*$B419</f>
        <v>0</v>
      </c>
      <c r="O427" s="392">
        <f>(SUM($B426:N426)+O426*0.5)*$B419</f>
        <v>0</v>
      </c>
      <c r="P427" s="392">
        <f>(SUM($B426:O426)+P426*0.5)*$B419</f>
        <v>0</v>
      </c>
      <c r="Q427" s="392">
        <f>(SUM($B426:P426)+Q426*0.5)*$B419</f>
        <v>0</v>
      </c>
      <c r="R427" s="391">
        <f>(SUM($B426:Q426)+R426*0.5)*$B419</f>
        <v>0</v>
      </c>
      <c r="S427" s="393">
        <f>(SUM($B426:R426)+S426*0.5)*$B419</f>
        <v>0</v>
      </c>
      <c r="T427" s="392">
        <f>(SUM($B426:S426)+T426*0.5)*$B419</f>
        <v>0</v>
      </c>
      <c r="U427" s="392">
        <f>(SUM($B426:T426)+U426*0.5)*$B419</f>
        <v>0</v>
      </c>
      <c r="V427" s="392">
        <f>(SUM($B426:U426)+V426*0.5)*$B419</f>
        <v>0</v>
      </c>
      <c r="W427" s="391">
        <f>(SUM($B426:V426)+W426*0.5)*$B419</f>
        <v>0</v>
      </c>
    </row>
    <row r="428" spans="1:23" ht="12.75" customHeight="1" outlineLevel="1">
      <c r="A428" s="388" t="s">
        <v>113</v>
      </c>
      <c r="B428" s="387">
        <f t="shared" ref="B428:W428" si="109">B425+B426-B427</f>
        <v>0</v>
      </c>
      <c r="C428" s="385">
        <f t="shared" si="109"/>
        <v>0</v>
      </c>
      <c r="D428" s="387">
        <f t="shared" si="109"/>
        <v>0</v>
      </c>
      <c r="E428" s="386">
        <f t="shared" si="109"/>
        <v>0</v>
      </c>
      <c r="F428" s="386">
        <f t="shared" si="109"/>
        <v>0</v>
      </c>
      <c r="G428" s="386">
        <f t="shared" si="109"/>
        <v>0</v>
      </c>
      <c r="H428" s="385">
        <f t="shared" si="109"/>
        <v>0</v>
      </c>
      <c r="I428" s="387">
        <f t="shared" si="109"/>
        <v>0</v>
      </c>
      <c r="J428" s="386">
        <f t="shared" si="109"/>
        <v>0</v>
      </c>
      <c r="K428" s="386">
        <f t="shared" si="109"/>
        <v>0</v>
      </c>
      <c r="L428" s="386">
        <f t="shared" si="109"/>
        <v>0</v>
      </c>
      <c r="M428" s="385">
        <f t="shared" si="109"/>
        <v>0</v>
      </c>
      <c r="N428" s="387">
        <f t="shared" si="109"/>
        <v>0</v>
      </c>
      <c r="O428" s="386">
        <f t="shared" si="109"/>
        <v>0</v>
      </c>
      <c r="P428" s="386">
        <f t="shared" si="109"/>
        <v>0</v>
      </c>
      <c r="Q428" s="386">
        <f t="shared" si="109"/>
        <v>0</v>
      </c>
      <c r="R428" s="385">
        <f t="shared" si="109"/>
        <v>0</v>
      </c>
      <c r="S428" s="387">
        <f t="shared" si="109"/>
        <v>0</v>
      </c>
      <c r="T428" s="386">
        <f t="shared" si="109"/>
        <v>0</v>
      </c>
      <c r="U428" s="386">
        <f t="shared" si="109"/>
        <v>0</v>
      </c>
      <c r="V428" s="386">
        <f t="shared" si="109"/>
        <v>0</v>
      </c>
      <c r="W428" s="385">
        <f t="shared" si="109"/>
        <v>0</v>
      </c>
    </row>
    <row r="429" spans="1:23" ht="12.75" customHeight="1" outlineLevel="1">
      <c r="M429" s="438"/>
    </row>
    <row r="430" spans="1:23" ht="12.75" customHeight="1" outlineLevel="1">
      <c r="A430" s="350" t="str">
        <f>A379</f>
        <v>Other Assets</v>
      </c>
    </row>
    <row r="431" spans="1:23" ht="12.75" customHeight="1" outlineLevel="1">
      <c r="A431" s="414" t="s">
        <v>131</v>
      </c>
      <c r="B431" s="413">
        <f>B379</f>
        <v>0</v>
      </c>
      <c r="C431" s="412"/>
      <c r="D431" s="380"/>
      <c r="E431" s="380"/>
    </row>
    <row r="432" spans="1:23" ht="12.75" customHeight="1" outlineLevel="1">
      <c r="A432" s="411" t="s">
        <v>155</v>
      </c>
      <c r="B432" s="393">
        <f>C379</f>
        <v>10</v>
      </c>
      <c r="C432" s="410"/>
      <c r="D432" s="380"/>
      <c r="E432" s="380"/>
    </row>
    <row r="433" spans="1:23" ht="12.75" customHeight="1" outlineLevel="1">
      <c r="A433" s="411" t="s">
        <v>154</v>
      </c>
      <c r="B433" s="393" t="str">
        <f>D379</f>
        <v>Declining Balance</v>
      </c>
      <c r="C433" s="410"/>
      <c r="D433" s="380"/>
      <c r="E433" s="380"/>
    </row>
    <row r="434" spans="1:23" ht="12.75" customHeight="1" outlineLevel="1">
      <c r="A434" s="409" t="s">
        <v>152</v>
      </c>
      <c r="B434" s="408">
        <f>IF(B433="Straight Line",1/B432,IF(B433="Declining Balance",1/B432*2,1))</f>
        <v>0.2</v>
      </c>
      <c r="C434" s="407"/>
      <c r="D434" s="380"/>
      <c r="E434" s="380"/>
    </row>
    <row r="435" spans="1:23" ht="12.75" customHeight="1" outlineLevel="1">
      <c r="A435" s="380"/>
      <c r="B435" s="392"/>
      <c r="C435" s="380"/>
      <c r="D435" s="380"/>
      <c r="E435" s="380"/>
    </row>
    <row r="436" spans="1:23" ht="12.75" customHeight="1" outlineLevel="1">
      <c r="A436" s="380" t="s">
        <v>137</v>
      </c>
      <c r="B436" s="406" t="s">
        <v>167</v>
      </c>
      <c r="C436" s="405">
        <f t="shared" ref="C436:H436" si="110">B436+1</f>
        <v>2007</v>
      </c>
      <c r="D436" s="405">
        <f t="shared" si="110"/>
        <v>2008</v>
      </c>
      <c r="E436" s="405">
        <f t="shared" si="110"/>
        <v>2009</v>
      </c>
      <c r="F436" s="405">
        <f t="shared" si="110"/>
        <v>2010</v>
      </c>
      <c r="G436" s="405">
        <f t="shared" si="110"/>
        <v>2011</v>
      </c>
      <c r="H436" s="404">
        <f t="shared" si="110"/>
        <v>2012</v>
      </c>
      <c r="I436" s="403"/>
      <c r="J436" s="403"/>
      <c r="K436" s="403"/>
      <c r="L436" s="403"/>
    </row>
    <row r="437" spans="1:23" ht="12.75" customHeight="1" outlineLevel="1">
      <c r="A437" s="402" t="s">
        <v>150</v>
      </c>
      <c r="B437" s="401">
        <v>1.5372411266301347</v>
      </c>
      <c r="C437" s="481">
        <f>4.363+J379</f>
        <v>4.4290000000000003</v>
      </c>
      <c r="D437" s="401">
        <v>0</v>
      </c>
      <c r="E437" s="400">
        <v>0</v>
      </c>
      <c r="F437" s="400">
        <v>0</v>
      </c>
      <c r="G437" s="400">
        <v>0</v>
      </c>
      <c r="H437" s="479">
        <v>0</v>
      </c>
      <c r="I437" s="396"/>
      <c r="J437" s="396"/>
      <c r="K437" s="396"/>
      <c r="L437" s="395"/>
    </row>
    <row r="438" spans="1:23" ht="12.75" customHeight="1" outlineLevel="1">
      <c r="A438" s="380"/>
      <c r="B438" s="392"/>
      <c r="C438" s="380"/>
    </row>
    <row r="439" spans="1:23" ht="12.75" customHeight="1" outlineLevel="1">
      <c r="B439" s="364">
        <v>1996</v>
      </c>
      <c r="C439" s="362">
        <v>1997</v>
      </c>
      <c r="D439" s="364">
        <v>1998</v>
      </c>
      <c r="E439" s="363">
        <v>1999</v>
      </c>
      <c r="F439" s="363">
        <v>2000</v>
      </c>
      <c r="G439" s="363">
        <v>2001</v>
      </c>
      <c r="H439" s="362">
        <v>2002</v>
      </c>
      <c r="I439" s="364">
        <v>2003</v>
      </c>
      <c r="J439" s="363">
        <v>2004</v>
      </c>
      <c r="K439" s="363">
        <v>2005</v>
      </c>
      <c r="L439" s="363">
        <v>2006</v>
      </c>
      <c r="M439" s="362">
        <v>2007</v>
      </c>
      <c r="N439" s="364">
        <v>2008</v>
      </c>
      <c r="O439" s="363">
        <v>2009</v>
      </c>
      <c r="P439" s="363">
        <v>2010</v>
      </c>
      <c r="Q439" s="363">
        <v>2011</v>
      </c>
      <c r="R439" s="362">
        <v>2012</v>
      </c>
      <c r="S439" s="364">
        <f t="shared" ref="S439:W439" si="111">R439+1</f>
        <v>2013</v>
      </c>
      <c r="T439" s="363">
        <f t="shared" si="111"/>
        <v>2014</v>
      </c>
      <c r="U439" s="363">
        <f t="shared" si="111"/>
        <v>2015</v>
      </c>
      <c r="V439" s="363">
        <f t="shared" si="111"/>
        <v>2016</v>
      </c>
      <c r="W439" s="362">
        <f t="shared" si="111"/>
        <v>2017</v>
      </c>
    </row>
    <row r="440" spans="1:23" ht="12.75" customHeight="1" outlineLevel="1">
      <c r="A440" s="394" t="s">
        <v>2</v>
      </c>
      <c r="B440" s="393">
        <f>B431</f>
        <v>0</v>
      </c>
      <c r="C440" s="391">
        <f t="shared" ref="C440:W440" si="112">B443</f>
        <v>0</v>
      </c>
      <c r="D440" s="393">
        <f t="shared" si="112"/>
        <v>0</v>
      </c>
      <c r="E440" s="392">
        <f t="shared" si="112"/>
        <v>0</v>
      </c>
      <c r="F440" s="392">
        <f t="shared" si="112"/>
        <v>0</v>
      </c>
      <c r="G440" s="392">
        <f t="shared" si="112"/>
        <v>0</v>
      </c>
      <c r="H440" s="391">
        <f t="shared" si="112"/>
        <v>0</v>
      </c>
      <c r="I440" s="393">
        <f t="shared" si="112"/>
        <v>0</v>
      </c>
      <c r="J440" s="392">
        <f t="shared" si="112"/>
        <v>0</v>
      </c>
      <c r="K440" s="392">
        <f t="shared" si="112"/>
        <v>0</v>
      </c>
      <c r="L440" s="392">
        <f t="shared" si="112"/>
        <v>0</v>
      </c>
      <c r="M440" s="391">
        <f t="shared" si="112"/>
        <v>1.3835170139671211</v>
      </c>
      <c r="N440" s="390">
        <f t="shared" si="112"/>
        <v>5.0929136111736968</v>
      </c>
      <c r="O440" s="392">
        <f t="shared" si="112"/>
        <v>4.0743308889389578</v>
      </c>
      <c r="P440" s="392">
        <f t="shared" si="112"/>
        <v>3.2594647111511663</v>
      </c>
      <c r="Q440" s="392">
        <f t="shared" si="112"/>
        <v>2.6075717689209332</v>
      </c>
      <c r="R440" s="391">
        <f t="shared" si="112"/>
        <v>2.0860574151367466</v>
      </c>
      <c r="S440" s="390">
        <f t="shared" si="112"/>
        <v>1.6688459321093974</v>
      </c>
      <c r="T440" s="392">
        <f t="shared" si="112"/>
        <v>1.3350767456875179</v>
      </c>
      <c r="U440" s="392">
        <f t="shared" si="112"/>
        <v>1.0680613965500143</v>
      </c>
      <c r="V440" s="392">
        <f t="shared" si="112"/>
        <v>0.85444911724001149</v>
      </c>
      <c r="W440" s="391">
        <f t="shared" si="112"/>
        <v>0.68355929379200919</v>
      </c>
    </row>
    <row r="441" spans="1:23" ht="12.75" customHeight="1" outlineLevel="1">
      <c r="A441" s="389" t="s">
        <v>149</v>
      </c>
      <c r="B441" s="393">
        <v>0</v>
      </c>
      <c r="C441" s="391">
        <v>0</v>
      </c>
      <c r="D441" s="393">
        <v>0</v>
      </c>
      <c r="E441" s="392">
        <v>0</v>
      </c>
      <c r="F441" s="392">
        <v>0</v>
      </c>
      <c r="G441" s="392">
        <v>0</v>
      </c>
      <c r="H441" s="391">
        <v>0</v>
      </c>
      <c r="I441" s="393">
        <v>0</v>
      </c>
      <c r="J441" s="392">
        <v>0</v>
      </c>
      <c r="K441" s="392">
        <v>0</v>
      </c>
      <c r="L441" s="392">
        <f t="shared" ref="L441:W441" si="113">B437</f>
        <v>1.5372411266301347</v>
      </c>
      <c r="M441" s="391">
        <f t="shared" si="113"/>
        <v>4.4290000000000003</v>
      </c>
      <c r="N441" s="393">
        <f t="shared" si="113"/>
        <v>0</v>
      </c>
      <c r="O441" s="392">
        <f t="shared" si="113"/>
        <v>0</v>
      </c>
      <c r="P441" s="392">
        <f t="shared" si="113"/>
        <v>0</v>
      </c>
      <c r="Q441" s="392">
        <f t="shared" si="113"/>
        <v>0</v>
      </c>
      <c r="R441" s="391">
        <f t="shared" si="113"/>
        <v>0</v>
      </c>
      <c r="S441" s="393">
        <f t="shared" si="113"/>
        <v>0</v>
      </c>
      <c r="T441" s="392">
        <f t="shared" si="113"/>
        <v>0</v>
      </c>
      <c r="U441" s="392">
        <f t="shared" si="113"/>
        <v>0</v>
      </c>
      <c r="V441" s="392">
        <f t="shared" si="113"/>
        <v>0</v>
      </c>
      <c r="W441" s="391">
        <f t="shared" si="113"/>
        <v>0</v>
      </c>
    </row>
    <row r="442" spans="1:23" ht="12.75" customHeight="1" outlineLevel="1">
      <c r="A442" s="389" t="s">
        <v>148</v>
      </c>
      <c r="B442" s="347">
        <f>IF($B434=1,B441+B440,B441*$B434*0.5)</f>
        <v>0</v>
      </c>
      <c r="C442" s="347">
        <f t="shared" ref="C442:W442" si="114">IF($B434=1,C441+C440,(C440+C441*0.5)*$B434)</f>
        <v>0</v>
      </c>
      <c r="D442" s="369">
        <f t="shared" si="114"/>
        <v>0</v>
      </c>
      <c r="E442" s="347">
        <f t="shared" si="114"/>
        <v>0</v>
      </c>
      <c r="F442" s="347">
        <f t="shared" si="114"/>
        <v>0</v>
      </c>
      <c r="G442" s="347">
        <f t="shared" si="114"/>
        <v>0</v>
      </c>
      <c r="H442" s="368">
        <f t="shared" si="114"/>
        <v>0</v>
      </c>
      <c r="I442" s="369">
        <f t="shared" si="114"/>
        <v>0</v>
      </c>
      <c r="J442" s="347">
        <f t="shared" si="114"/>
        <v>0</v>
      </c>
      <c r="K442" s="347">
        <f t="shared" si="114"/>
        <v>0</v>
      </c>
      <c r="L442" s="347">
        <f t="shared" si="114"/>
        <v>0.15372411266301347</v>
      </c>
      <c r="M442" s="368">
        <f t="shared" si="114"/>
        <v>0.71960340279342427</v>
      </c>
      <c r="N442" s="369">
        <f t="shared" si="114"/>
        <v>1.0185827222347394</v>
      </c>
      <c r="O442" s="347">
        <f t="shared" si="114"/>
        <v>0.81486617778779158</v>
      </c>
      <c r="P442" s="347">
        <f t="shared" si="114"/>
        <v>0.65189294223023331</v>
      </c>
      <c r="Q442" s="347">
        <f t="shared" si="114"/>
        <v>0.52151435378418665</v>
      </c>
      <c r="R442" s="368">
        <f t="shared" si="114"/>
        <v>0.41721148302734934</v>
      </c>
      <c r="S442" s="369">
        <f t="shared" si="114"/>
        <v>0.33376918642187947</v>
      </c>
      <c r="T442" s="347">
        <f t="shared" si="114"/>
        <v>0.26701534913750358</v>
      </c>
      <c r="U442" s="347">
        <f t="shared" si="114"/>
        <v>0.21361227931000287</v>
      </c>
      <c r="V442" s="347">
        <f t="shared" si="114"/>
        <v>0.1708898234480023</v>
      </c>
      <c r="W442" s="368">
        <f t="shared" si="114"/>
        <v>0.13671185875840183</v>
      </c>
    </row>
    <row r="443" spans="1:23" ht="12.75" customHeight="1" outlineLevel="1">
      <c r="A443" s="388" t="s">
        <v>113</v>
      </c>
      <c r="B443" s="387">
        <f t="shared" ref="B443:W443" si="115">B440+B441-B442</f>
        <v>0</v>
      </c>
      <c r="C443" s="385">
        <f t="shared" si="115"/>
        <v>0</v>
      </c>
      <c r="D443" s="387">
        <f t="shared" si="115"/>
        <v>0</v>
      </c>
      <c r="E443" s="386">
        <f t="shared" si="115"/>
        <v>0</v>
      </c>
      <c r="F443" s="386">
        <f t="shared" si="115"/>
        <v>0</v>
      </c>
      <c r="G443" s="386">
        <f t="shared" si="115"/>
        <v>0</v>
      </c>
      <c r="H443" s="385">
        <f t="shared" si="115"/>
        <v>0</v>
      </c>
      <c r="I443" s="387">
        <f t="shared" si="115"/>
        <v>0</v>
      </c>
      <c r="J443" s="386">
        <f t="shared" si="115"/>
        <v>0</v>
      </c>
      <c r="K443" s="386">
        <f t="shared" si="115"/>
        <v>0</v>
      </c>
      <c r="L443" s="386">
        <f t="shared" si="115"/>
        <v>1.3835170139671211</v>
      </c>
      <c r="M443" s="385">
        <f t="shared" si="115"/>
        <v>5.0929136111736968</v>
      </c>
      <c r="N443" s="387">
        <f t="shared" si="115"/>
        <v>4.0743308889389578</v>
      </c>
      <c r="O443" s="386">
        <f t="shared" si="115"/>
        <v>3.2594647111511663</v>
      </c>
      <c r="P443" s="386">
        <f t="shared" si="115"/>
        <v>2.6075717689209332</v>
      </c>
      <c r="Q443" s="386">
        <f t="shared" si="115"/>
        <v>2.0860574151367466</v>
      </c>
      <c r="R443" s="385">
        <f t="shared" si="115"/>
        <v>1.6688459321093974</v>
      </c>
      <c r="S443" s="387">
        <f t="shared" si="115"/>
        <v>1.3350767456875179</v>
      </c>
      <c r="T443" s="386">
        <f t="shared" si="115"/>
        <v>1.0680613965500143</v>
      </c>
      <c r="U443" s="386">
        <f t="shared" si="115"/>
        <v>0.85444911724001149</v>
      </c>
      <c r="V443" s="386">
        <f t="shared" si="115"/>
        <v>0.68355929379200919</v>
      </c>
      <c r="W443" s="385">
        <f t="shared" si="115"/>
        <v>0.54684743503360733</v>
      </c>
    </row>
    <row r="444" spans="1:23" ht="12.75" customHeight="1" outlineLevel="1"/>
    <row r="445" spans="1:23" ht="12.75" customHeight="1" outlineLevel="1"/>
    <row r="446" spans="1:23" ht="12.75" customHeight="1" outlineLevel="1">
      <c r="A446" s="350" t="str">
        <f>A380</f>
        <v>Repairs</v>
      </c>
    </row>
    <row r="447" spans="1:23" ht="12.75" customHeight="1" outlineLevel="1">
      <c r="A447" s="414" t="s">
        <v>131</v>
      </c>
      <c r="B447" s="413">
        <f>B380</f>
        <v>0</v>
      </c>
      <c r="C447" s="412"/>
      <c r="D447" s="380"/>
      <c r="E447" s="380"/>
    </row>
    <row r="448" spans="1:23" ht="12.75" customHeight="1" outlineLevel="1">
      <c r="A448" s="411" t="s">
        <v>155</v>
      </c>
      <c r="B448" s="393">
        <f>C380</f>
        <v>0</v>
      </c>
      <c r="C448" s="410"/>
      <c r="D448" s="380"/>
      <c r="E448" s="380"/>
    </row>
    <row r="449" spans="1:23" ht="12.75" customHeight="1" outlineLevel="1">
      <c r="A449" s="411" t="s">
        <v>154</v>
      </c>
      <c r="B449" s="393" t="str">
        <f>D380</f>
        <v>Fully Deductible</v>
      </c>
      <c r="C449" s="410"/>
      <c r="D449" s="380"/>
      <c r="E449" s="380"/>
    </row>
    <row r="450" spans="1:23" ht="12.75" customHeight="1" outlineLevel="1">
      <c r="A450" s="409" t="s">
        <v>152</v>
      </c>
      <c r="B450" s="408">
        <f>IF(B449="Straight Line",1/B448,IF(B449="Declining Balance",1/B448*2,1))</f>
        <v>1</v>
      </c>
      <c r="C450" s="407"/>
      <c r="D450" s="380"/>
      <c r="E450" s="380"/>
    </row>
    <row r="451" spans="1:23" ht="12.75" customHeight="1" outlineLevel="1">
      <c r="A451" s="380"/>
      <c r="B451" s="392"/>
      <c r="C451" s="380"/>
      <c r="D451" s="380"/>
      <c r="E451" s="380"/>
    </row>
    <row r="452" spans="1:23" ht="12.75" customHeight="1" outlineLevel="1">
      <c r="A452" s="380" t="s">
        <v>137</v>
      </c>
      <c r="B452" s="406" t="s">
        <v>167</v>
      </c>
      <c r="C452" s="405">
        <f t="shared" ref="C452:H452" si="116">B452+1</f>
        <v>2007</v>
      </c>
      <c r="D452" s="405">
        <f t="shared" si="116"/>
        <v>2008</v>
      </c>
      <c r="E452" s="405">
        <f t="shared" si="116"/>
        <v>2009</v>
      </c>
      <c r="F452" s="405">
        <f t="shared" si="116"/>
        <v>2010</v>
      </c>
      <c r="G452" s="405">
        <f t="shared" si="116"/>
        <v>2011</v>
      </c>
      <c r="H452" s="404">
        <f t="shared" si="116"/>
        <v>2012</v>
      </c>
      <c r="I452" s="403"/>
      <c r="J452" s="403"/>
      <c r="K452" s="403"/>
      <c r="L452" s="403"/>
    </row>
    <row r="453" spans="1:23" ht="12.75" customHeight="1" outlineLevel="1">
      <c r="A453" s="402" t="s">
        <v>150</v>
      </c>
      <c r="B453" s="401">
        <v>0.9086020854665755</v>
      </c>
      <c r="C453" s="480">
        <v>0</v>
      </c>
      <c r="D453" s="401">
        <v>0</v>
      </c>
      <c r="E453" s="400">
        <v>0</v>
      </c>
      <c r="F453" s="400">
        <v>0</v>
      </c>
      <c r="G453" s="400">
        <v>0</v>
      </c>
      <c r="H453" s="479">
        <v>0</v>
      </c>
      <c r="I453" s="396"/>
      <c r="J453" s="396"/>
      <c r="K453" s="396"/>
      <c r="L453" s="395"/>
    </row>
    <row r="454" spans="1:23" ht="12.75" customHeight="1" outlineLevel="1">
      <c r="A454" s="380"/>
      <c r="B454" s="392"/>
      <c r="C454" s="380"/>
    </row>
    <row r="455" spans="1:23" ht="12.75" customHeight="1" outlineLevel="1">
      <c r="B455" s="364">
        <v>1996</v>
      </c>
      <c r="C455" s="362">
        <v>1997</v>
      </c>
      <c r="D455" s="364">
        <v>1998</v>
      </c>
      <c r="E455" s="363">
        <v>1999</v>
      </c>
      <c r="F455" s="363">
        <v>2000</v>
      </c>
      <c r="G455" s="363">
        <v>2001</v>
      </c>
      <c r="H455" s="362">
        <v>2002</v>
      </c>
      <c r="I455" s="364">
        <v>2003</v>
      </c>
      <c r="J455" s="363">
        <v>2004</v>
      </c>
      <c r="K455" s="363">
        <v>2005</v>
      </c>
      <c r="L455" s="363">
        <v>2006</v>
      </c>
      <c r="M455" s="362">
        <v>2007</v>
      </c>
      <c r="N455" s="364">
        <v>2008</v>
      </c>
      <c r="O455" s="363">
        <v>2009</v>
      </c>
      <c r="P455" s="363">
        <v>2010</v>
      </c>
      <c r="Q455" s="363">
        <v>2011</v>
      </c>
      <c r="R455" s="362">
        <v>2012</v>
      </c>
      <c r="S455" s="364">
        <f t="shared" ref="S455:W455" si="117">R455+1</f>
        <v>2013</v>
      </c>
      <c r="T455" s="363">
        <f t="shared" si="117"/>
        <v>2014</v>
      </c>
      <c r="U455" s="363">
        <f t="shared" si="117"/>
        <v>2015</v>
      </c>
      <c r="V455" s="363">
        <f t="shared" si="117"/>
        <v>2016</v>
      </c>
      <c r="W455" s="362">
        <f t="shared" si="117"/>
        <v>2017</v>
      </c>
    </row>
    <row r="456" spans="1:23" ht="12.75" customHeight="1" outlineLevel="1">
      <c r="A456" s="394" t="s">
        <v>2</v>
      </c>
      <c r="B456" s="393">
        <f>B447</f>
        <v>0</v>
      </c>
      <c r="C456" s="391">
        <f t="shared" ref="C456:W456" si="118">B459</f>
        <v>0</v>
      </c>
      <c r="D456" s="393">
        <f t="shared" si="118"/>
        <v>0</v>
      </c>
      <c r="E456" s="392">
        <f t="shared" si="118"/>
        <v>0</v>
      </c>
      <c r="F456" s="392">
        <f t="shared" si="118"/>
        <v>0</v>
      </c>
      <c r="G456" s="392">
        <f t="shared" si="118"/>
        <v>0</v>
      </c>
      <c r="H456" s="391">
        <f t="shared" si="118"/>
        <v>0</v>
      </c>
      <c r="I456" s="393">
        <f t="shared" si="118"/>
        <v>0</v>
      </c>
      <c r="J456" s="392">
        <f t="shared" si="118"/>
        <v>0</v>
      </c>
      <c r="K456" s="392">
        <f t="shared" si="118"/>
        <v>0</v>
      </c>
      <c r="L456" s="392">
        <f t="shared" si="118"/>
        <v>0</v>
      </c>
      <c r="M456" s="391">
        <f t="shared" si="118"/>
        <v>0</v>
      </c>
      <c r="N456" s="390">
        <f t="shared" si="118"/>
        <v>0</v>
      </c>
      <c r="O456" s="392">
        <f t="shared" si="118"/>
        <v>0</v>
      </c>
      <c r="P456" s="392">
        <f t="shared" si="118"/>
        <v>0</v>
      </c>
      <c r="Q456" s="392">
        <f t="shared" si="118"/>
        <v>0</v>
      </c>
      <c r="R456" s="391">
        <f t="shared" si="118"/>
        <v>0</v>
      </c>
      <c r="S456" s="390">
        <f t="shared" si="118"/>
        <v>0</v>
      </c>
      <c r="T456" s="392">
        <f t="shared" si="118"/>
        <v>0</v>
      </c>
      <c r="U456" s="392">
        <f t="shared" si="118"/>
        <v>0</v>
      </c>
      <c r="V456" s="392">
        <f t="shared" si="118"/>
        <v>0</v>
      </c>
      <c r="W456" s="391">
        <f t="shared" si="118"/>
        <v>0</v>
      </c>
    </row>
    <row r="457" spans="1:23" ht="12.75" customHeight="1" outlineLevel="1">
      <c r="A457" s="389" t="s">
        <v>149</v>
      </c>
      <c r="B457" s="393">
        <v>0</v>
      </c>
      <c r="C457" s="391">
        <v>0</v>
      </c>
      <c r="D457" s="393">
        <v>0</v>
      </c>
      <c r="E457" s="392">
        <v>0</v>
      </c>
      <c r="F457" s="392">
        <v>0</v>
      </c>
      <c r="G457" s="392">
        <v>0</v>
      </c>
      <c r="H457" s="391">
        <v>0</v>
      </c>
      <c r="I457" s="393">
        <v>0</v>
      </c>
      <c r="J457" s="392">
        <v>0</v>
      </c>
      <c r="K457" s="392">
        <v>0</v>
      </c>
      <c r="L457" s="392">
        <f t="shared" ref="L457:W457" si="119">B453</f>
        <v>0.9086020854665755</v>
      </c>
      <c r="M457" s="391">
        <f t="shared" si="119"/>
        <v>0</v>
      </c>
      <c r="N457" s="393">
        <f t="shared" si="119"/>
        <v>0</v>
      </c>
      <c r="O457" s="392">
        <f t="shared" si="119"/>
        <v>0</v>
      </c>
      <c r="P457" s="392">
        <f t="shared" si="119"/>
        <v>0</v>
      </c>
      <c r="Q457" s="392">
        <f t="shared" si="119"/>
        <v>0</v>
      </c>
      <c r="R457" s="391">
        <f t="shared" si="119"/>
        <v>0</v>
      </c>
      <c r="S457" s="393">
        <f t="shared" si="119"/>
        <v>0</v>
      </c>
      <c r="T457" s="392">
        <f t="shared" si="119"/>
        <v>0</v>
      </c>
      <c r="U457" s="392">
        <f t="shared" si="119"/>
        <v>0</v>
      </c>
      <c r="V457" s="392">
        <f t="shared" si="119"/>
        <v>0</v>
      </c>
      <c r="W457" s="391">
        <f t="shared" si="119"/>
        <v>0</v>
      </c>
    </row>
    <row r="458" spans="1:23" ht="12.75" customHeight="1" outlineLevel="1">
      <c r="A458" s="389" t="s">
        <v>148</v>
      </c>
      <c r="B458" s="347">
        <f>IF($B450=1,B457+B456,B457*$B450*0.5)</f>
        <v>0</v>
      </c>
      <c r="C458" s="347">
        <f t="shared" ref="C458:W458" si="120">IF($B450=1,C457+C456,(C456+C457*0.5)*$B450)</f>
        <v>0</v>
      </c>
      <c r="D458" s="369">
        <f t="shared" si="120"/>
        <v>0</v>
      </c>
      <c r="E458" s="347">
        <f t="shared" si="120"/>
        <v>0</v>
      </c>
      <c r="F458" s="347">
        <f t="shared" si="120"/>
        <v>0</v>
      </c>
      <c r="G458" s="347">
        <f t="shared" si="120"/>
        <v>0</v>
      </c>
      <c r="H458" s="368">
        <f t="shared" si="120"/>
        <v>0</v>
      </c>
      <c r="I458" s="369">
        <f t="shared" si="120"/>
        <v>0</v>
      </c>
      <c r="J458" s="347">
        <f t="shared" si="120"/>
        <v>0</v>
      </c>
      <c r="K458" s="347">
        <f t="shared" si="120"/>
        <v>0</v>
      </c>
      <c r="L458" s="347">
        <f t="shared" si="120"/>
        <v>0.9086020854665755</v>
      </c>
      <c r="M458" s="368">
        <f t="shared" si="120"/>
        <v>0</v>
      </c>
      <c r="N458" s="369">
        <f t="shared" si="120"/>
        <v>0</v>
      </c>
      <c r="O458" s="347">
        <f t="shared" si="120"/>
        <v>0</v>
      </c>
      <c r="P458" s="347">
        <f t="shared" si="120"/>
        <v>0</v>
      </c>
      <c r="Q458" s="347">
        <f t="shared" si="120"/>
        <v>0</v>
      </c>
      <c r="R458" s="368">
        <f t="shared" si="120"/>
        <v>0</v>
      </c>
      <c r="S458" s="369">
        <f t="shared" si="120"/>
        <v>0</v>
      </c>
      <c r="T458" s="347">
        <f t="shared" si="120"/>
        <v>0</v>
      </c>
      <c r="U458" s="347">
        <f t="shared" si="120"/>
        <v>0</v>
      </c>
      <c r="V458" s="347">
        <f t="shared" si="120"/>
        <v>0</v>
      </c>
      <c r="W458" s="368">
        <f t="shared" si="120"/>
        <v>0</v>
      </c>
    </row>
    <row r="459" spans="1:23" ht="12.75" customHeight="1" outlineLevel="1">
      <c r="A459" s="388" t="s">
        <v>113</v>
      </c>
      <c r="B459" s="387">
        <f t="shared" ref="B459:W459" si="121">B456+B457-B458</f>
        <v>0</v>
      </c>
      <c r="C459" s="385">
        <f t="shared" si="121"/>
        <v>0</v>
      </c>
      <c r="D459" s="387">
        <f t="shared" si="121"/>
        <v>0</v>
      </c>
      <c r="E459" s="386">
        <f t="shared" si="121"/>
        <v>0</v>
      </c>
      <c r="F459" s="386">
        <f t="shared" si="121"/>
        <v>0</v>
      </c>
      <c r="G459" s="386">
        <f t="shared" si="121"/>
        <v>0</v>
      </c>
      <c r="H459" s="385">
        <f t="shared" si="121"/>
        <v>0</v>
      </c>
      <c r="I459" s="387">
        <f t="shared" si="121"/>
        <v>0</v>
      </c>
      <c r="J459" s="386">
        <f t="shared" si="121"/>
        <v>0</v>
      </c>
      <c r="K459" s="386">
        <f t="shared" si="121"/>
        <v>0</v>
      </c>
      <c r="L459" s="386">
        <f t="shared" si="121"/>
        <v>0</v>
      </c>
      <c r="M459" s="385">
        <f t="shared" si="121"/>
        <v>0</v>
      </c>
      <c r="N459" s="387">
        <f t="shared" si="121"/>
        <v>0</v>
      </c>
      <c r="O459" s="386">
        <f t="shared" si="121"/>
        <v>0</v>
      </c>
      <c r="P459" s="386">
        <f t="shared" si="121"/>
        <v>0</v>
      </c>
      <c r="Q459" s="386">
        <f t="shared" si="121"/>
        <v>0</v>
      </c>
      <c r="R459" s="385">
        <f t="shared" si="121"/>
        <v>0</v>
      </c>
      <c r="S459" s="387">
        <f t="shared" si="121"/>
        <v>0</v>
      </c>
      <c r="T459" s="386">
        <f t="shared" si="121"/>
        <v>0</v>
      </c>
      <c r="U459" s="386">
        <f t="shared" si="121"/>
        <v>0</v>
      </c>
      <c r="V459" s="386">
        <f t="shared" si="121"/>
        <v>0</v>
      </c>
      <c r="W459" s="385">
        <f t="shared" si="121"/>
        <v>0</v>
      </c>
    </row>
    <row r="460" spans="1:23" ht="12.75" customHeight="1" outlineLevel="1"/>
    <row r="461" spans="1:23" ht="12.75" customHeight="1" outlineLevel="1"/>
    <row r="462" spans="1:23" ht="12.75" customHeight="1" outlineLevel="1">
      <c r="A462" s="350" t="s">
        <v>171</v>
      </c>
    </row>
    <row r="463" spans="1:23" ht="12.75" customHeight="1" outlineLevel="1">
      <c r="A463" s="350"/>
    </row>
    <row r="464" spans="1:23" ht="12.75" customHeight="1" outlineLevel="1">
      <c r="B464" s="364">
        <v>1996</v>
      </c>
      <c r="C464" s="362">
        <v>1997</v>
      </c>
      <c r="D464" s="364">
        <v>1998</v>
      </c>
      <c r="E464" s="363">
        <v>1999</v>
      </c>
      <c r="F464" s="363">
        <v>2000</v>
      </c>
      <c r="G464" s="363">
        <v>2001</v>
      </c>
      <c r="H464" s="362">
        <v>2002</v>
      </c>
      <c r="I464" s="364">
        <v>2003</v>
      </c>
      <c r="J464" s="363">
        <v>2004</v>
      </c>
      <c r="K464" s="363">
        <v>2005</v>
      </c>
      <c r="L464" s="363">
        <v>2006</v>
      </c>
      <c r="M464" s="362">
        <v>2007</v>
      </c>
      <c r="N464" s="364">
        <v>2008</v>
      </c>
      <c r="O464" s="363">
        <v>2009</v>
      </c>
      <c r="P464" s="363">
        <v>2010</v>
      </c>
      <c r="Q464" s="363">
        <v>2011</v>
      </c>
      <c r="R464" s="362">
        <v>2012</v>
      </c>
      <c r="S464" s="364">
        <f t="shared" ref="S464:W464" si="122">R464+1</f>
        <v>2013</v>
      </c>
      <c r="T464" s="363">
        <f t="shared" si="122"/>
        <v>2014</v>
      </c>
      <c r="U464" s="363">
        <f t="shared" si="122"/>
        <v>2015</v>
      </c>
      <c r="V464" s="363">
        <f t="shared" si="122"/>
        <v>2016</v>
      </c>
      <c r="W464" s="362">
        <f t="shared" si="122"/>
        <v>2017</v>
      </c>
    </row>
    <row r="465" spans="1:23" ht="12.75" customHeight="1" outlineLevel="1">
      <c r="A465" s="394" t="s">
        <v>2</v>
      </c>
      <c r="B465" s="427">
        <f t="shared" ref="B465:W465" si="123">B395+B410+B425+B440+B456</f>
        <v>0</v>
      </c>
      <c r="C465" s="428">
        <f t="shared" si="123"/>
        <v>0</v>
      </c>
      <c r="D465" s="427">
        <f t="shared" si="123"/>
        <v>0</v>
      </c>
      <c r="E465" s="426">
        <f t="shared" si="123"/>
        <v>0</v>
      </c>
      <c r="F465" s="426">
        <f t="shared" si="123"/>
        <v>0</v>
      </c>
      <c r="G465" s="426">
        <f t="shared" si="123"/>
        <v>0</v>
      </c>
      <c r="H465" s="428">
        <f t="shared" si="123"/>
        <v>0</v>
      </c>
      <c r="I465" s="427">
        <f t="shared" si="123"/>
        <v>0</v>
      </c>
      <c r="J465" s="426">
        <f t="shared" si="123"/>
        <v>0</v>
      </c>
      <c r="K465" s="426">
        <f t="shared" si="123"/>
        <v>0</v>
      </c>
      <c r="L465" s="426">
        <f t="shared" si="123"/>
        <v>0</v>
      </c>
      <c r="M465" s="428">
        <f t="shared" si="123"/>
        <v>25.779106326468316</v>
      </c>
      <c r="N465" s="390">
        <f t="shared" si="123"/>
        <v>69.953100929327064</v>
      </c>
      <c r="O465" s="426">
        <f t="shared" si="123"/>
        <v>60.027263867090923</v>
      </c>
      <c r="P465" s="426">
        <f t="shared" si="123"/>
        <v>52.103832136371651</v>
      </c>
      <c r="Q465" s="426">
        <f t="shared" si="123"/>
        <v>45.621707292171685</v>
      </c>
      <c r="R465" s="428">
        <f t="shared" si="123"/>
        <v>40.207657411407624</v>
      </c>
      <c r="S465" s="390">
        <f t="shared" si="123"/>
        <v>35.608834694593931</v>
      </c>
      <c r="T465" s="426">
        <f t="shared" si="123"/>
        <v>31.650159610574065</v>
      </c>
      <c r="U465" s="426">
        <f t="shared" si="123"/>
        <v>28.207319086604453</v>
      </c>
      <c r="V465" s="426">
        <f t="shared" si="123"/>
        <v>25.189582983074345</v>
      </c>
      <c r="W465" s="428">
        <f t="shared" si="123"/>
        <v>22.528805988533744</v>
      </c>
    </row>
    <row r="466" spans="1:23" ht="12.75" customHeight="1" outlineLevel="1">
      <c r="A466" s="389" t="s">
        <v>137</v>
      </c>
      <c r="B466" s="427">
        <f t="shared" ref="B466:W466" si="124">B396+B411+B426+B441+B457</f>
        <v>0</v>
      </c>
      <c r="C466" s="428">
        <f t="shared" si="124"/>
        <v>0</v>
      </c>
      <c r="D466" s="427">
        <f t="shared" si="124"/>
        <v>0</v>
      </c>
      <c r="E466" s="426">
        <f t="shared" si="124"/>
        <v>0</v>
      </c>
      <c r="F466" s="426">
        <f t="shared" si="124"/>
        <v>0</v>
      </c>
      <c r="G466" s="426">
        <f t="shared" si="124"/>
        <v>0</v>
      </c>
      <c r="H466" s="428">
        <f t="shared" si="124"/>
        <v>0</v>
      </c>
      <c r="I466" s="427">
        <f t="shared" si="124"/>
        <v>0</v>
      </c>
      <c r="J466" s="426">
        <f t="shared" si="124"/>
        <v>0</v>
      </c>
      <c r="K466" s="426">
        <f t="shared" si="124"/>
        <v>0</v>
      </c>
      <c r="L466" s="426">
        <f t="shared" si="124"/>
        <v>28.811851719570164</v>
      </c>
      <c r="M466" s="428">
        <f t="shared" si="124"/>
        <v>51.846123000000006</v>
      </c>
      <c r="N466" s="427">
        <f t="shared" si="124"/>
        <v>0</v>
      </c>
      <c r="O466" s="426">
        <f t="shared" si="124"/>
        <v>0</v>
      </c>
      <c r="P466" s="426">
        <f t="shared" si="124"/>
        <v>0</v>
      </c>
      <c r="Q466" s="426">
        <f t="shared" si="124"/>
        <v>0</v>
      </c>
      <c r="R466" s="428">
        <f t="shared" si="124"/>
        <v>0</v>
      </c>
      <c r="S466" s="427">
        <f t="shared" si="124"/>
        <v>0</v>
      </c>
      <c r="T466" s="426">
        <f t="shared" si="124"/>
        <v>0</v>
      </c>
      <c r="U466" s="426">
        <f t="shared" si="124"/>
        <v>0</v>
      </c>
      <c r="V466" s="426">
        <f t="shared" si="124"/>
        <v>0</v>
      </c>
      <c r="W466" s="428">
        <f t="shared" si="124"/>
        <v>0</v>
      </c>
    </row>
    <row r="467" spans="1:23" ht="12.75" customHeight="1" outlineLevel="1">
      <c r="A467" s="389" t="s">
        <v>136</v>
      </c>
      <c r="B467" s="427">
        <f t="shared" ref="B467:W467" si="125">B397+B412+B427+B442+B458</f>
        <v>0</v>
      </c>
      <c r="C467" s="428">
        <f t="shared" si="125"/>
        <v>0</v>
      </c>
      <c r="D467" s="427">
        <f t="shared" si="125"/>
        <v>0</v>
      </c>
      <c r="E467" s="426">
        <f t="shared" si="125"/>
        <v>0</v>
      </c>
      <c r="F467" s="426">
        <f t="shared" si="125"/>
        <v>0</v>
      </c>
      <c r="G467" s="426">
        <f t="shared" si="125"/>
        <v>0</v>
      </c>
      <c r="H467" s="428">
        <f t="shared" si="125"/>
        <v>0</v>
      </c>
      <c r="I467" s="427">
        <f t="shared" si="125"/>
        <v>0</v>
      </c>
      <c r="J467" s="426">
        <f t="shared" si="125"/>
        <v>0</v>
      </c>
      <c r="K467" s="426">
        <f t="shared" si="125"/>
        <v>0</v>
      </c>
      <c r="L467" s="426">
        <f t="shared" si="125"/>
        <v>3.0327453931018509</v>
      </c>
      <c r="M467" s="428">
        <f t="shared" si="125"/>
        <v>7.6721283971412522</v>
      </c>
      <c r="N467" s="427">
        <f t="shared" si="125"/>
        <v>9.9258370622361447</v>
      </c>
      <c r="O467" s="426">
        <f t="shared" si="125"/>
        <v>7.9234317307192814</v>
      </c>
      <c r="P467" s="426">
        <f t="shared" si="125"/>
        <v>6.4821248441999648</v>
      </c>
      <c r="Q467" s="426">
        <f t="shared" si="125"/>
        <v>5.4140498807640629</v>
      </c>
      <c r="R467" s="428">
        <f t="shared" si="125"/>
        <v>4.5988227168136886</v>
      </c>
      <c r="S467" s="427">
        <f t="shared" si="125"/>
        <v>3.9586750840198648</v>
      </c>
      <c r="T467" s="426">
        <f t="shared" si="125"/>
        <v>3.4428405239696165</v>
      </c>
      <c r="U467" s="426">
        <f t="shared" si="125"/>
        <v>3.0177361035301082</v>
      </c>
      <c r="V467" s="426">
        <f t="shared" si="125"/>
        <v>2.6607769945405995</v>
      </c>
      <c r="W467" s="428">
        <f t="shared" si="125"/>
        <v>2.3564701435508022</v>
      </c>
    </row>
    <row r="468" spans="1:23" ht="12.75" customHeight="1" outlineLevel="1">
      <c r="A468" s="389" t="s">
        <v>113</v>
      </c>
      <c r="B468" s="421">
        <f t="shared" ref="B468:W468" si="126">B465+B466-B467</f>
        <v>0</v>
      </c>
      <c r="C468" s="422">
        <f t="shared" si="126"/>
        <v>0</v>
      </c>
      <c r="D468" s="421">
        <f t="shared" si="126"/>
        <v>0</v>
      </c>
      <c r="E468" s="420">
        <f t="shared" si="126"/>
        <v>0</v>
      </c>
      <c r="F468" s="420">
        <f t="shared" si="126"/>
        <v>0</v>
      </c>
      <c r="G468" s="420">
        <f t="shared" si="126"/>
        <v>0</v>
      </c>
      <c r="H468" s="422">
        <f t="shared" si="126"/>
        <v>0</v>
      </c>
      <c r="I468" s="421">
        <f t="shared" si="126"/>
        <v>0</v>
      </c>
      <c r="J468" s="420">
        <f t="shared" si="126"/>
        <v>0</v>
      </c>
      <c r="K468" s="420">
        <f t="shared" si="126"/>
        <v>0</v>
      </c>
      <c r="L468" s="420">
        <f t="shared" si="126"/>
        <v>25.779106326468312</v>
      </c>
      <c r="M468" s="384">
        <f t="shared" si="126"/>
        <v>69.953100929327064</v>
      </c>
      <c r="N468" s="421">
        <f t="shared" si="126"/>
        <v>60.027263867090923</v>
      </c>
      <c r="O468" s="420">
        <f t="shared" si="126"/>
        <v>52.103832136371643</v>
      </c>
      <c r="P468" s="420">
        <f t="shared" si="126"/>
        <v>45.621707292171685</v>
      </c>
      <c r="Q468" s="420">
        <f t="shared" si="126"/>
        <v>40.207657411407624</v>
      </c>
      <c r="R468" s="422">
        <f t="shared" si="126"/>
        <v>35.608834694593938</v>
      </c>
      <c r="S468" s="421">
        <f t="shared" si="126"/>
        <v>31.650159610574065</v>
      </c>
      <c r="T468" s="420">
        <f t="shared" si="126"/>
        <v>28.20731908660445</v>
      </c>
      <c r="U468" s="420">
        <f t="shared" si="126"/>
        <v>25.189582983074345</v>
      </c>
      <c r="V468" s="420">
        <f t="shared" si="126"/>
        <v>22.528805988533747</v>
      </c>
      <c r="W468" s="422">
        <f t="shared" si="126"/>
        <v>20.172335844982943</v>
      </c>
    </row>
    <row r="469" spans="1:23" ht="12.75" customHeight="1" outlineLevel="1">
      <c r="A469" s="380"/>
      <c r="B469" s="380"/>
      <c r="C469" s="380"/>
      <c r="D469" s="380"/>
      <c r="E469" s="380"/>
      <c r="F469" s="380"/>
      <c r="G469" s="380"/>
      <c r="H469" s="380"/>
      <c r="I469" s="380"/>
      <c r="J469" s="380"/>
      <c r="K469" s="380"/>
      <c r="L469" s="380"/>
      <c r="M469" s="416"/>
      <c r="N469" s="380"/>
      <c r="O469" s="380"/>
      <c r="P469" s="380"/>
      <c r="Q469" s="380"/>
      <c r="R469" s="380"/>
    </row>
    <row r="470" spans="1:23" ht="12.75" customHeight="1" outlineLevel="1">
      <c r="A470" s="383"/>
      <c r="B470" s="382"/>
      <c r="C470" s="382"/>
      <c r="D470" s="382"/>
      <c r="E470" s="382"/>
      <c r="F470" s="382"/>
      <c r="G470" s="382"/>
      <c r="H470" s="382"/>
      <c r="I470" s="382"/>
      <c r="J470" s="382"/>
      <c r="K470" s="382"/>
      <c r="L470" s="382"/>
      <c r="M470" s="381"/>
      <c r="N470" s="380"/>
      <c r="O470" s="380"/>
      <c r="P470" s="380"/>
      <c r="Q470" s="380"/>
      <c r="R470" s="380"/>
    </row>
    <row r="471" spans="1:23" ht="12.75" customHeight="1" outlineLevel="1">
      <c r="A471" s="383"/>
      <c r="B471" s="382"/>
      <c r="C471" s="382"/>
      <c r="D471" s="382"/>
      <c r="E471" s="382"/>
      <c r="F471" s="382"/>
      <c r="G471" s="382"/>
      <c r="H471" s="382"/>
      <c r="I471" s="382"/>
      <c r="J471" s="382"/>
      <c r="K471" s="382"/>
      <c r="L471" s="382"/>
      <c r="M471" s="381"/>
      <c r="N471" s="380"/>
      <c r="O471" s="380"/>
      <c r="P471" s="380"/>
      <c r="Q471" s="380"/>
      <c r="R471" s="381"/>
    </row>
    <row r="472" spans="1:23">
      <c r="A472" s="383"/>
      <c r="B472" s="382"/>
      <c r="C472" s="382"/>
      <c r="D472" s="382"/>
      <c r="E472" s="382"/>
      <c r="F472" s="382"/>
      <c r="G472" s="382"/>
      <c r="H472" s="382"/>
      <c r="I472" s="382"/>
      <c r="J472" s="382"/>
      <c r="K472" s="382"/>
      <c r="L472" s="382"/>
      <c r="M472" s="381"/>
      <c r="N472" s="380"/>
      <c r="O472" s="380"/>
      <c r="P472" s="380"/>
      <c r="Q472" s="380"/>
      <c r="R472" s="380"/>
    </row>
    <row r="473" spans="1:23">
      <c r="A473" s="356" t="s">
        <v>170</v>
      </c>
    </row>
    <row r="475" spans="1:23" ht="25.5" customHeight="1" outlineLevel="1">
      <c r="A475" s="415" t="s">
        <v>169</v>
      </c>
      <c r="B475" s="478" t="s">
        <v>163</v>
      </c>
      <c r="C475" s="478" t="s">
        <v>162</v>
      </c>
      <c r="D475" s="658" t="s">
        <v>161</v>
      </c>
      <c r="E475" s="658"/>
    </row>
    <row r="476" spans="1:23" ht="12.75" customHeight="1" outlineLevel="1">
      <c r="A476" s="394" t="s">
        <v>121</v>
      </c>
      <c r="B476" s="477">
        <v>0</v>
      </c>
      <c r="C476" s="413">
        <v>20</v>
      </c>
      <c r="D476" s="413" t="s">
        <v>168</v>
      </c>
      <c r="E476" s="412"/>
    </row>
    <row r="477" spans="1:23" ht="12.75" customHeight="1" outlineLevel="1">
      <c r="A477" s="389" t="s">
        <v>134</v>
      </c>
      <c r="B477" s="475">
        <f>B476</f>
        <v>0</v>
      </c>
      <c r="C477" s="393">
        <v>4</v>
      </c>
      <c r="D477" s="393" t="s">
        <v>168</v>
      </c>
      <c r="E477" s="410"/>
    </row>
    <row r="478" spans="1:23" ht="12.75" customHeight="1" outlineLevel="1">
      <c r="A478" s="389" t="s">
        <v>160</v>
      </c>
      <c r="B478" s="475">
        <f>B477</f>
        <v>0</v>
      </c>
      <c r="C478" s="393">
        <v>15</v>
      </c>
      <c r="D478" s="393" t="s">
        <v>168</v>
      </c>
      <c r="E478" s="410"/>
    </row>
    <row r="479" spans="1:23" ht="12.75" customHeight="1" outlineLevel="1">
      <c r="A479" s="389" t="s">
        <v>132</v>
      </c>
      <c r="B479" s="475">
        <f>B478</f>
        <v>0</v>
      </c>
      <c r="C479" s="393">
        <v>40</v>
      </c>
      <c r="D479" s="393" t="s">
        <v>153</v>
      </c>
      <c r="E479" s="410"/>
    </row>
    <row r="480" spans="1:23" ht="12.75" customHeight="1" outlineLevel="1">
      <c r="A480" s="389" t="s">
        <v>126</v>
      </c>
      <c r="B480" s="475">
        <f>B479</f>
        <v>0</v>
      </c>
      <c r="C480" s="393">
        <v>10</v>
      </c>
      <c r="D480" s="393" t="s">
        <v>168</v>
      </c>
      <c r="E480" s="410"/>
    </row>
    <row r="481" spans="1:23" ht="12.75" customHeight="1" outlineLevel="1">
      <c r="A481" s="389" t="s">
        <v>159</v>
      </c>
      <c r="B481" s="474">
        <f>B479</f>
        <v>0</v>
      </c>
      <c r="C481" s="473">
        <v>0</v>
      </c>
      <c r="D481" s="387" t="s">
        <v>158</v>
      </c>
      <c r="E481" s="407"/>
    </row>
    <row r="482" spans="1:23" ht="12.75" customHeight="1" outlineLevel="1">
      <c r="A482" s="380"/>
      <c r="B482" s="392">
        <f>SUM(B476:B481)</f>
        <v>0</v>
      </c>
      <c r="C482" s="396"/>
      <c r="D482" s="392"/>
      <c r="E482" s="380"/>
    </row>
    <row r="483" spans="1:23" ht="12.75" customHeight="1" outlineLevel="1"/>
    <row r="484" spans="1:23" ht="12.75" customHeight="1" outlineLevel="1">
      <c r="A484" s="350" t="s">
        <v>157</v>
      </c>
    </row>
    <row r="485" spans="1:23" ht="12.75" customHeight="1" outlineLevel="1"/>
    <row r="486" spans="1:23" ht="12.75" customHeight="1" outlineLevel="1">
      <c r="A486" s="350" t="str">
        <f>A476</f>
        <v>Mains &amp; Services</v>
      </c>
    </row>
    <row r="487" spans="1:23" ht="12.75" customHeight="1" outlineLevel="1">
      <c r="A487" s="414" t="s">
        <v>131</v>
      </c>
      <c r="B487" s="413">
        <f>B476</f>
        <v>0</v>
      </c>
      <c r="C487" s="412"/>
      <c r="D487" s="380"/>
      <c r="E487" s="380"/>
    </row>
    <row r="488" spans="1:23" ht="12.75" customHeight="1" outlineLevel="1">
      <c r="A488" s="411" t="s">
        <v>155</v>
      </c>
      <c r="B488" s="393">
        <f>C476</f>
        <v>20</v>
      </c>
      <c r="C488" s="410"/>
      <c r="D488" s="380"/>
      <c r="E488" s="380"/>
    </row>
    <row r="489" spans="1:23" ht="12.75" customHeight="1" outlineLevel="1">
      <c r="A489" s="411" t="s">
        <v>154</v>
      </c>
      <c r="B489" s="393" t="str">
        <f>D476</f>
        <v>Declining Balance</v>
      </c>
      <c r="C489" s="410"/>
      <c r="D489" s="380"/>
      <c r="E489" s="380"/>
    </row>
    <row r="490" spans="1:23" ht="12.75" customHeight="1" outlineLevel="1">
      <c r="A490" s="409" t="s">
        <v>152</v>
      </c>
      <c r="B490" s="408">
        <f>IF(B489="Straight Line",1/B488,IF(B489="Declining Balance",1/B488*2,1))</f>
        <v>0.1</v>
      </c>
      <c r="C490" s="407"/>
      <c r="D490" s="380"/>
      <c r="E490" s="380"/>
    </row>
    <row r="491" spans="1:23" ht="12.75" customHeight="1" outlineLevel="1">
      <c r="A491" s="380"/>
      <c r="B491" s="392"/>
      <c r="C491" s="380"/>
      <c r="D491" s="380"/>
      <c r="E491" s="380"/>
    </row>
    <row r="492" spans="1:23" ht="12.75" customHeight="1" outlineLevel="1">
      <c r="A492" s="380" t="s">
        <v>137</v>
      </c>
      <c r="B492" s="406" t="s">
        <v>167</v>
      </c>
      <c r="C492" s="405">
        <f t="shared" ref="C492:M492" si="127">B492+1</f>
        <v>2007</v>
      </c>
      <c r="D492" s="405">
        <f t="shared" si="127"/>
        <v>2008</v>
      </c>
      <c r="E492" s="405">
        <f t="shared" si="127"/>
        <v>2009</v>
      </c>
      <c r="F492" s="405">
        <f t="shared" si="127"/>
        <v>2010</v>
      </c>
      <c r="G492" s="405">
        <f t="shared" si="127"/>
        <v>2011</v>
      </c>
      <c r="H492" s="404">
        <f t="shared" si="127"/>
        <v>2012</v>
      </c>
      <c r="I492" s="405">
        <f t="shared" si="127"/>
        <v>2013</v>
      </c>
      <c r="J492" s="405">
        <f t="shared" si="127"/>
        <v>2014</v>
      </c>
      <c r="K492" s="405">
        <f t="shared" si="127"/>
        <v>2015</v>
      </c>
      <c r="L492" s="405">
        <f t="shared" si="127"/>
        <v>2016</v>
      </c>
      <c r="M492" s="404">
        <f t="shared" si="127"/>
        <v>2017</v>
      </c>
    </row>
    <row r="493" spans="1:23" ht="12.75" customHeight="1" outlineLevel="1">
      <c r="A493" s="402" t="s">
        <v>150</v>
      </c>
      <c r="B493" s="401">
        <v>0</v>
      </c>
      <c r="C493" s="400">
        <v>0</v>
      </c>
      <c r="D493" s="399">
        <v>37.058</v>
      </c>
      <c r="E493" s="398">
        <v>29.937000000000001</v>
      </c>
      <c r="F493" s="398">
        <v>43.12</v>
      </c>
      <c r="G493" s="398">
        <v>60.213000000000001</v>
      </c>
      <c r="H493" s="602">
        <v>74.288000000000011</v>
      </c>
      <c r="I493" s="401"/>
      <c r="J493" s="400"/>
      <c r="K493" s="400"/>
      <c r="L493" s="400"/>
      <c r="M493" s="479"/>
    </row>
    <row r="494" spans="1:23" ht="12.75" customHeight="1" outlineLevel="1">
      <c r="A494" s="380"/>
      <c r="B494" s="392"/>
      <c r="C494" s="380"/>
    </row>
    <row r="495" spans="1:23" ht="12.75" customHeight="1" outlineLevel="1">
      <c r="B495" s="364">
        <v>1996</v>
      </c>
      <c r="C495" s="362">
        <v>1997</v>
      </c>
      <c r="D495" s="364">
        <v>1998</v>
      </c>
      <c r="E495" s="363">
        <v>1999</v>
      </c>
      <c r="F495" s="363">
        <v>2000</v>
      </c>
      <c r="G495" s="363">
        <v>2001</v>
      </c>
      <c r="H495" s="362">
        <v>2002</v>
      </c>
      <c r="I495" s="364">
        <v>2003</v>
      </c>
      <c r="J495" s="363">
        <v>2004</v>
      </c>
      <c r="K495" s="363">
        <v>2005</v>
      </c>
      <c r="L495" s="363">
        <v>2006</v>
      </c>
      <c r="M495" s="362">
        <v>2007</v>
      </c>
      <c r="N495" s="364">
        <v>2008</v>
      </c>
      <c r="O495" s="363">
        <v>2009</v>
      </c>
      <c r="P495" s="363">
        <v>2010</v>
      </c>
      <c r="Q495" s="363">
        <v>2011</v>
      </c>
      <c r="R495" s="362">
        <v>2012</v>
      </c>
      <c r="S495" s="364">
        <f t="shared" ref="S495:W495" si="128">R495+1</f>
        <v>2013</v>
      </c>
      <c r="T495" s="363">
        <f t="shared" si="128"/>
        <v>2014</v>
      </c>
      <c r="U495" s="363">
        <f t="shared" si="128"/>
        <v>2015</v>
      </c>
      <c r="V495" s="363">
        <f t="shared" si="128"/>
        <v>2016</v>
      </c>
      <c r="W495" s="362">
        <f t="shared" si="128"/>
        <v>2017</v>
      </c>
    </row>
    <row r="496" spans="1:23" ht="12.75" customHeight="1" outlineLevel="1">
      <c r="A496" s="394" t="s">
        <v>2</v>
      </c>
      <c r="B496" s="393">
        <f>B487</f>
        <v>0</v>
      </c>
      <c r="C496" s="391">
        <f t="shared" ref="C496:W496" si="129">B499</f>
        <v>0</v>
      </c>
      <c r="D496" s="393">
        <f t="shared" si="129"/>
        <v>0</v>
      </c>
      <c r="E496" s="392">
        <f t="shared" si="129"/>
        <v>0</v>
      </c>
      <c r="F496" s="392">
        <f t="shared" si="129"/>
        <v>0</v>
      </c>
      <c r="G496" s="392">
        <f t="shared" si="129"/>
        <v>0</v>
      </c>
      <c r="H496" s="391">
        <f t="shared" si="129"/>
        <v>0</v>
      </c>
      <c r="I496" s="393">
        <f t="shared" si="129"/>
        <v>0</v>
      </c>
      <c r="J496" s="392">
        <f t="shared" si="129"/>
        <v>0</v>
      </c>
      <c r="K496" s="392">
        <f t="shared" si="129"/>
        <v>0</v>
      </c>
      <c r="L496" s="392">
        <f t="shared" si="129"/>
        <v>0</v>
      </c>
      <c r="M496" s="391">
        <f t="shared" si="129"/>
        <v>0</v>
      </c>
      <c r="N496" s="390">
        <f t="shared" si="129"/>
        <v>0</v>
      </c>
      <c r="O496" s="392">
        <f t="shared" si="129"/>
        <v>35.205100000000002</v>
      </c>
      <c r="P496" s="392">
        <f t="shared" si="129"/>
        <v>60.124740000000003</v>
      </c>
      <c r="Q496" s="392">
        <f t="shared" si="129"/>
        <v>95.076266000000004</v>
      </c>
      <c r="R496" s="391">
        <f t="shared" si="129"/>
        <v>142.77098939999999</v>
      </c>
      <c r="S496" s="390">
        <f t="shared" si="129"/>
        <v>199.06749045999999</v>
      </c>
      <c r="T496" s="392">
        <f t="shared" si="129"/>
        <v>179.16074141399997</v>
      </c>
      <c r="U496" s="392">
        <f t="shared" si="129"/>
        <v>161.24466727259997</v>
      </c>
      <c r="V496" s="392">
        <f t="shared" si="129"/>
        <v>145.12020054533997</v>
      </c>
      <c r="W496" s="391">
        <f t="shared" si="129"/>
        <v>130.60818049080598</v>
      </c>
    </row>
    <row r="497" spans="1:23" ht="12.75" customHeight="1" outlineLevel="1">
      <c r="A497" s="389" t="s">
        <v>149</v>
      </c>
      <c r="B497" s="393">
        <v>0</v>
      </c>
      <c r="C497" s="391">
        <v>0</v>
      </c>
      <c r="D497" s="393">
        <v>0</v>
      </c>
      <c r="E497" s="392">
        <v>0</v>
      </c>
      <c r="F497" s="392">
        <v>0</v>
      </c>
      <c r="G497" s="392">
        <v>0</v>
      </c>
      <c r="H497" s="391">
        <v>0</v>
      </c>
      <c r="I497" s="393">
        <v>0</v>
      </c>
      <c r="J497" s="392">
        <v>0</v>
      </c>
      <c r="K497" s="392">
        <v>0</v>
      </c>
      <c r="L497" s="392">
        <f t="shared" ref="L497:W497" si="130">B493</f>
        <v>0</v>
      </c>
      <c r="M497" s="391">
        <f t="shared" si="130"/>
        <v>0</v>
      </c>
      <c r="N497" s="393">
        <f t="shared" si="130"/>
        <v>37.058</v>
      </c>
      <c r="O497" s="392">
        <f t="shared" si="130"/>
        <v>29.937000000000001</v>
      </c>
      <c r="P497" s="392">
        <f t="shared" si="130"/>
        <v>43.12</v>
      </c>
      <c r="Q497" s="392">
        <f t="shared" si="130"/>
        <v>60.213000000000001</v>
      </c>
      <c r="R497" s="391">
        <f t="shared" si="130"/>
        <v>74.288000000000011</v>
      </c>
      <c r="S497" s="393">
        <f t="shared" si="130"/>
        <v>0</v>
      </c>
      <c r="T497" s="392">
        <f t="shared" si="130"/>
        <v>0</v>
      </c>
      <c r="U497" s="392">
        <f t="shared" si="130"/>
        <v>0</v>
      </c>
      <c r="V497" s="392">
        <f t="shared" si="130"/>
        <v>0</v>
      </c>
      <c r="W497" s="391">
        <f t="shared" si="130"/>
        <v>0</v>
      </c>
    </row>
    <row r="498" spans="1:23" ht="12.75" customHeight="1" outlineLevel="1">
      <c r="A498" s="389" t="s">
        <v>148</v>
      </c>
      <c r="B498" s="347">
        <f>IF($B490=1,B497+B496,B497*$B490*0.5)</f>
        <v>0</v>
      </c>
      <c r="C498" s="347">
        <f t="shared" ref="C498:W498" si="131">IF($B490=1,C497+C496,(C496+C497*0.5)*$B490)</f>
        <v>0</v>
      </c>
      <c r="D498" s="369">
        <f t="shared" si="131"/>
        <v>0</v>
      </c>
      <c r="E498" s="347">
        <f t="shared" si="131"/>
        <v>0</v>
      </c>
      <c r="F498" s="347">
        <f t="shared" si="131"/>
        <v>0</v>
      </c>
      <c r="G498" s="347">
        <f t="shared" si="131"/>
        <v>0</v>
      </c>
      <c r="H498" s="368">
        <f t="shared" si="131"/>
        <v>0</v>
      </c>
      <c r="I498" s="369">
        <f t="shared" si="131"/>
        <v>0</v>
      </c>
      <c r="J498" s="347">
        <f t="shared" si="131"/>
        <v>0</v>
      </c>
      <c r="K498" s="347">
        <f t="shared" si="131"/>
        <v>0</v>
      </c>
      <c r="L498" s="347">
        <f t="shared" si="131"/>
        <v>0</v>
      </c>
      <c r="M498" s="368">
        <f t="shared" si="131"/>
        <v>0</v>
      </c>
      <c r="N498" s="369">
        <f t="shared" si="131"/>
        <v>1.8529</v>
      </c>
      <c r="O498" s="347">
        <f t="shared" si="131"/>
        <v>5.01736</v>
      </c>
      <c r="P498" s="347">
        <f t="shared" si="131"/>
        <v>8.1684740000000016</v>
      </c>
      <c r="Q498" s="347">
        <f t="shared" si="131"/>
        <v>12.5182766</v>
      </c>
      <c r="R498" s="368">
        <f t="shared" si="131"/>
        <v>17.99149894</v>
      </c>
      <c r="S498" s="369">
        <f t="shared" si="131"/>
        <v>19.906749046000002</v>
      </c>
      <c r="T498" s="347">
        <f t="shared" si="131"/>
        <v>17.916074141399999</v>
      </c>
      <c r="U498" s="347">
        <f t="shared" si="131"/>
        <v>16.124466727259996</v>
      </c>
      <c r="V498" s="347">
        <f t="shared" si="131"/>
        <v>14.512020054533998</v>
      </c>
      <c r="W498" s="368">
        <f t="shared" si="131"/>
        <v>13.060818049080599</v>
      </c>
    </row>
    <row r="499" spans="1:23" ht="12.75" customHeight="1" outlineLevel="1">
      <c r="A499" s="388" t="s">
        <v>113</v>
      </c>
      <c r="B499" s="387">
        <f t="shared" ref="B499:W499" si="132">B496+B497-B498</f>
        <v>0</v>
      </c>
      <c r="C499" s="385">
        <f t="shared" si="132"/>
        <v>0</v>
      </c>
      <c r="D499" s="387">
        <f t="shared" si="132"/>
        <v>0</v>
      </c>
      <c r="E499" s="386">
        <f t="shared" si="132"/>
        <v>0</v>
      </c>
      <c r="F499" s="386">
        <f t="shared" si="132"/>
        <v>0</v>
      </c>
      <c r="G499" s="386">
        <f t="shared" si="132"/>
        <v>0</v>
      </c>
      <c r="H499" s="385">
        <f t="shared" si="132"/>
        <v>0</v>
      </c>
      <c r="I499" s="387">
        <f t="shared" si="132"/>
        <v>0</v>
      </c>
      <c r="J499" s="386">
        <f t="shared" si="132"/>
        <v>0</v>
      </c>
      <c r="K499" s="386">
        <f t="shared" si="132"/>
        <v>0</v>
      </c>
      <c r="L499" s="386">
        <f t="shared" si="132"/>
        <v>0</v>
      </c>
      <c r="M499" s="385">
        <f t="shared" si="132"/>
        <v>0</v>
      </c>
      <c r="N499" s="387">
        <f t="shared" si="132"/>
        <v>35.205100000000002</v>
      </c>
      <c r="O499" s="386">
        <f t="shared" si="132"/>
        <v>60.124740000000003</v>
      </c>
      <c r="P499" s="386">
        <f t="shared" si="132"/>
        <v>95.076266000000004</v>
      </c>
      <c r="Q499" s="386">
        <f t="shared" si="132"/>
        <v>142.77098939999999</v>
      </c>
      <c r="R499" s="385">
        <f t="shared" si="132"/>
        <v>199.06749045999999</v>
      </c>
      <c r="S499" s="387">
        <f t="shared" si="132"/>
        <v>179.16074141399997</v>
      </c>
      <c r="T499" s="386">
        <f t="shared" si="132"/>
        <v>161.24466727259997</v>
      </c>
      <c r="U499" s="386">
        <f t="shared" si="132"/>
        <v>145.12020054533997</v>
      </c>
      <c r="V499" s="386">
        <f t="shared" si="132"/>
        <v>130.60818049080598</v>
      </c>
      <c r="W499" s="385">
        <f t="shared" si="132"/>
        <v>117.54736244172538</v>
      </c>
    </row>
    <row r="500" spans="1:23" ht="12.75" customHeight="1" outlineLevel="1"/>
    <row r="501" spans="1:23" ht="12.75" customHeight="1" outlineLevel="1">
      <c r="A501" s="350" t="str">
        <f>A477</f>
        <v>Meters Domestic</v>
      </c>
    </row>
    <row r="502" spans="1:23" ht="12.75" customHeight="1" outlineLevel="1">
      <c r="A502" s="414" t="s">
        <v>131</v>
      </c>
      <c r="B502" s="413">
        <f>B477</f>
        <v>0</v>
      </c>
      <c r="C502" s="412"/>
      <c r="D502" s="380"/>
      <c r="E502" s="380"/>
    </row>
    <row r="503" spans="1:23" ht="12.75" customHeight="1" outlineLevel="1">
      <c r="A503" s="411" t="s">
        <v>155</v>
      </c>
      <c r="B503" s="393">
        <f>C477</f>
        <v>4</v>
      </c>
      <c r="C503" s="410"/>
      <c r="D503" s="380"/>
      <c r="E503" s="380"/>
    </row>
    <row r="504" spans="1:23" ht="12.75" customHeight="1" outlineLevel="1">
      <c r="A504" s="411" t="s">
        <v>154</v>
      </c>
      <c r="B504" s="393" t="str">
        <f>D477</f>
        <v>Declining Balance</v>
      </c>
      <c r="C504" s="410"/>
      <c r="D504" s="380"/>
      <c r="E504" s="380"/>
    </row>
    <row r="505" spans="1:23" ht="12.75" customHeight="1" outlineLevel="1">
      <c r="A505" s="409" t="s">
        <v>152</v>
      </c>
      <c r="B505" s="408">
        <f>IF(B504="Straight Line",1/B503,IF(B504="Declining Balance",1/B503*1.5,1))</f>
        <v>0.375</v>
      </c>
      <c r="C505" s="407"/>
      <c r="D505" s="380"/>
      <c r="E505" s="380"/>
    </row>
    <row r="506" spans="1:23" ht="12.75" customHeight="1" outlineLevel="1">
      <c r="A506" s="380"/>
      <c r="B506" s="392"/>
      <c r="C506" s="380"/>
      <c r="D506" s="380"/>
      <c r="E506" s="380"/>
    </row>
    <row r="507" spans="1:23" ht="12.75" customHeight="1" outlineLevel="1">
      <c r="A507" s="380" t="s">
        <v>137</v>
      </c>
      <c r="B507" s="406" t="s">
        <v>167</v>
      </c>
      <c r="C507" s="405">
        <f t="shared" ref="C507:M507" si="133">B507+1</f>
        <v>2007</v>
      </c>
      <c r="D507" s="405">
        <f t="shared" si="133"/>
        <v>2008</v>
      </c>
      <c r="E507" s="405">
        <f t="shared" si="133"/>
        <v>2009</v>
      </c>
      <c r="F507" s="405">
        <f t="shared" si="133"/>
        <v>2010</v>
      </c>
      <c r="G507" s="405">
        <f t="shared" si="133"/>
        <v>2011</v>
      </c>
      <c r="H507" s="404">
        <f t="shared" si="133"/>
        <v>2012</v>
      </c>
      <c r="I507" s="405">
        <f t="shared" si="133"/>
        <v>2013</v>
      </c>
      <c r="J507" s="405">
        <f t="shared" si="133"/>
        <v>2014</v>
      </c>
      <c r="K507" s="405">
        <f t="shared" si="133"/>
        <v>2015</v>
      </c>
      <c r="L507" s="405">
        <f t="shared" si="133"/>
        <v>2016</v>
      </c>
      <c r="M507" s="404">
        <f t="shared" si="133"/>
        <v>2017</v>
      </c>
    </row>
    <row r="508" spans="1:23" ht="12.75" customHeight="1" outlineLevel="1">
      <c r="A508" s="402" t="s">
        <v>150</v>
      </c>
      <c r="B508" s="401">
        <v>0</v>
      </c>
      <c r="C508" s="400">
        <v>0</v>
      </c>
      <c r="D508" s="399">
        <v>5.1090000000000009</v>
      </c>
      <c r="E508" s="400">
        <v>4.8918274300000002</v>
      </c>
      <c r="F508" s="400">
        <v>5.9679144400000004</v>
      </c>
      <c r="G508" s="398">
        <v>6.0369999999999999</v>
      </c>
      <c r="H508" s="602">
        <v>5.8520000000000003</v>
      </c>
      <c r="I508" s="401"/>
      <c r="J508" s="400"/>
      <c r="K508" s="400"/>
      <c r="L508" s="400"/>
      <c r="M508" s="479"/>
    </row>
    <row r="509" spans="1:23" ht="12.75" customHeight="1" outlineLevel="1">
      <c r="A509" s="380"/>
      <c r="B509" s="392"/>
      <c r="C509" s="380"/>
    </row>
    <row r="510" spans="1:23" ht="12.75" customHeight="1" outlineLevel="1">
      <c r="B510" s="364">
        <v>1996</v>
      </c>
      <c r="C510" s="362">
        <v>1997</v>
      </c>
      <c r="D510" s="364">
        <v>1998</v>
      </c>
      <c r="E510" s="363">
        <v>1999</v>
      </c>
      <c r="F510" s="363">
        <v>2000</v>
      </c>
      <c r="G510" s="363">
        <v>2001</v>
      </c>
      <c r="H510" s="362">
        <v>2002</v>
      </c>
      <c r="I510" s="364">
        <v>2003</v>
      </c>
      <c r="J510" s="363">
        <v>2004</v>
      </c>
      <c r="K510" s="363">
        <v>2005</v>
      </c>
      <c r="L510" s="363">
        <v>2006</v>
      </c>
      <c r="M510" s="362">
        <v>2007</v>
      </c>
      <c r="N510" s="364">
        <v>2008</v>
      </c>
      <c r="O510" s="363">
        <v>2009</v>
      </c>
      <c r="P510" s="363">
        <v>2010</v>
      </c>
      <c r="Q510" s="363">
        <v>2011</v>
      </c>
      <c r="R510" s="362">
        <v>2012</v>
      </c>
      <c r="S510" s="364">
        <f t="shared" ref="S510:W510" si="134">R510+1</f>
        <v>2013</v>
      </c>
      <c r="T510" s="363">
        <f t="shared" si="134"/>
        <v>2014</v>
      </c>
      <c r="U510" s="363">
        <f t="shared" si="134"/>
        <v>2015</v>
      </c>
      <c r="V510" s="363">
        <f t="shared" si="134"/>
        <v>2016</v>
      </c>
      <c r="W510" s="362">
        <f t="shared" si="134"/>
        <v>2017</v>
      </c>
    </row>
    <row r="511" spans="1:23" ht="12.75" customHeight="1" outlineLevel="1">
      <c r="A511" s="394" t="s">
        <v>2</v>
      </c>
      <c r="B511" s="393">
        <f>B502</f>
        <v>0</v>
      </c>
      <c r="C511" s="391">
        <f t="shared" ref="C511:W511" si="135">B514</f>
        <v>0</v>
      </c>
      <c r="D511" s="393">
        <f t="shared" si="135"/>
        <v>0</v>
      </c>
      <c r="E511" s="392">
        <f t="shared" si="135"/>
        <v>0</v>
      </c>
      <c r="F511" s="392">
        <f t="shared" si="135"/>
        <v>0</v>
      </c>
      <c r="G511" s="392">
        <f t="shared" si="135"/>
        <v>0</v>
      </c>
      <c r="H511" s="391">
        <f t="shared" si="135"/>
        <v>0</v>
      </c>
      <c r="I511" s="393">
        <f t="shared" si="135"/>
        <v>0</v>
      </c>
      <c r="J511" s="392">
        <f t="shared" si="135"/>
        <v>0</v>
      </c>
      <c r="K511" s="392">
        <f t="shared" si="135"/>
        <v>0</v>
      </c>
      <c r="L511" s="392">
        <f t="shared" si="135"/>
        <v>0</v>
      </c>
      <c r="M511" s="391">
        <f t="shared" si="135"/>
        <v>0</v>
      </c>
      <c r="N511" s="390">
        <f t="shared" si="135"/>
        <v>0</v>
      </c>
      <c r="O511" s="392">
        <f t="shared" si="135"/>
        <v>4.151062500000001</v>
      </c>
      <c r="P511" s="392">
        <f t="shared" si="135"/>
        <v>6.5690238493750002</v>
      </c>
      <c r="Q511" s="392">
        <f t="shared" si="135"/>
        <v>8.9545703883593752</v>
      </c>
      <c r="R511" s="391">
        <f t="shared" si="135"/>
        <v>10.501668992724609</v>
      </c>
      <c r="S511" s="390">
        <f t="shared" si="135"/>
        <v>11.318293120452878</v>
      </c>
      <c r="T511" s="392">
        <f t="shared" si="135"/>
        <v>7.0739332002830491</v>
      </c>
      <c r="U511" s="392">
        <f t="shared" si="135"/>
        <v>4.4212082501769059</v>
      </c>
      <c r="V511" s="392">
        <f t="shared" si="135"/>
        <v>2.7632551563605663</v>
      </c>
      <c r="W511" s="391">
        <f t="shared" si="135"/>
        <v>1.7270344727253539</v>
      </c>
    </row>
    <row r="512" spans="1:23" ht="12.75" customHeight="1" outlineLevel="1">
      <c r="A512" s="389" t="s">
        <v>149</v>
      </c>
      <c r="B512" s="393">
        <v>0</v>
      </c>
      <c r="C512" s="391">
        <v>0</v>
      </c>
      <c r="D512" s="393">
        <v>0</v>
      </c>
      <c r="E512" s="392">
        <v>0</v>
      </c>
      <c r="F512" s="392">
        <v>0</v>
      </c>
      <c r="G512" s="392">
        <v>0</v>
      </c>
      <c r="H512" s="391">
        <v>0</v>
      </c>
      <c r="I512" s="393">
        <v>0</v>
      </c>
      <c r="J512" s="392">
        <v>0</v>
      </c>
      <c r="K512" s="392">
        <v>0</v>
      </c>
      <c r="L512" s="392">
        <f t="shared" ref="L512:W512" si="136">B508</f>
        <v>0</v>
      </c>
      <c r="M512" s="391">
        <f t="shared" si="136"/>
        <v>0</v>
      </c>
      <c r="N512" s="393">
        <f t="shared" si="136"/>
        <v>5.1090000000000009</v>
      </c>
      <c r="O512" s="392">
        <f t="shared" si="136"/>
        <v>4.8918274300000002</v>
      </c>
      <c r="P512" s="392">
        <f t="shared" si="136"/>
        <v>5.9679144400000004</v>
      </c>
      <c r="Q512" s="392">
        <f t="shared" si="136"/>
        <v>6.0369999999999999</v>
      </c>
      <c r="R512" s="391">
        <f t="shared" si="136"/>
        <v>5.8520000000000003</v>
      </c>
      <c r="S512" s="393">
        <f t="shared" si="136"/>
        <v>0</v>
      </c>
      <c r="T512" s="392">
        <f t="shared" si="136"/>
        <v>0</v>
      </c>
      <c r="U512" s="392">
        <f t="shared" si="136"/>
        <v>0</v>
      </c>
      <c r="V512" s="392">
        <f t="shared" si="136"/>
        <v>0</v>
      </c>
      <c r="W512" s="391">
        <f t="shared" si="136"/>
        <v>0</v>
      </c>
    </row>
    <row r="513" spans="1:23" ht="12.75" customHeight="1" outlineLevel="1">
      <c r="A513" s="389" t="s">
        <v>148</v>
      </c>
      <c r="B513" s="347">
        <f>IF($B505=1,B512+B511,B512*$B505*0.5)</f>
        <v>0</v>
      </c>
      <c r="C513" s="347">
        <f t="shared" ref="C513:W513" si="137">IF($B505=1,C512+C511,(C511+C512*0.5)*$B505)</f>
        <v>0</v>
      </c>
      <c r="D513" s="369">
        <f t="shared" si="137"/>
        <v>0</v>
      </c>
      <c r="E513" s="347">
        <f t="shared" si="137"/>
        <v>0</v>
      </c>
      <c r="F513" s="347">
        <f t="shared" si="137"/>
        <v>0</v>
      </c>
      <c r="G513" s="347">
        <f t="shared" si="137"/>
        <v>0</v>
      </c>
      <c r="H513" s="368">
        <f t="shared" si="137"/>
        <v>0</v>
      </c>
      <c r="I513" s="369">
        <f t="shared" si="137"/>
        <v>0</v>
      </c>
      <c r="J513" s="347">
        <f t="shared" si="137"/>
        <v>0</v>
      </c>
      <c r="K513" s="347">
        <f t="shared" si="137"/>
        <v>0</v>
      </c>
      <c r="L513" s="347">
        <f t="shared" si="137"/>
        <v>0</v>
      </c>
      <c r="M513" s="368">
        <f t="shared" si="137"/>
        <v>0</v>
      </c>
      <c r="N513" s="369">
        <f t="shared" si="137"/>
        <v>0.95793750000000011</v>
      </c>
      <c r="O513" s="347">
        <f t="shared" si="137"/>
        <v>2.4738660806250006</v>
      </c>
      <c r="P513" s="347">
        <f t="shared" si="137"/>
        <v>3.5823679010156253</v>
      </c>
      <c r="Q513" s="347">
        <f t="shared" si="137"/>
        <v>4.4899013956347655</v>
      </c>
      <c r="R513" s="368">
        <f t="shared" si="137"/>
        <v>5.0353758722717288</v>
      </c>
      <c r="S513" s="369">
        <f t="shared" si="137"/>
        <v>4.2443599201698294</v>
      </c>
      <c r="T513" s="347">
        <f t="shared" si="137"/>
        <v>2.6527249501061432</v>
      </c>
      <c r="U513" s="347">
        <f t="shared" si="137"/>
        <v>1.6579530938163396</v>
      </c>
      <c r="V513" s="347">
        <f t="shared" si="137"/>
        <v>1.0362206836352124</v>
      </c>
      <c r="W513" s="368">
        <f t="shared" si="137"/>
        <v>0.64763792727200775</v>
      </c>
    </row>
    <row r="514" spans="1:23" ht="12.75" customHeight="1" outlineLevel="1">
      <c r="A514" s="388" t="s">
        <v>113</v>
      </c>
      <c r="B514" s="387">
        <f t="shared" ref="B514:W514" si="138">B511+B512-B513</f>
        <v>0</v>
      </c>
      <c r="C514" s="385">
        <f t="shared" si="138"/>
        <v>0</v>
      </c>
      <c r="D514" s="387">
        <f t="shared" si="138"/>
        <v>0</v>
      </c>
      <c r="E514" s="386">
        <f t="shared" si="138"/>
        <v>0</v>
      </c>
      <c r="F514" s="386">
        <f t="shared" si="138"/>
        <v>0</v>
      </c>
      <c r="G514" s="386">
        <f t="shared" si="138"/>
        <v>0</v>
      </c>
      <c r="H514" s="385">
        <f t="shared" si="138"/>
        <v>0</v>
      </c>
      <c r="I514" s="387">
        <f t="shared" si="138"/>
        <v>0</v>
      </c>
      <c r="J514" s="386">
        <f t="shared" si="138"/>
        <v>0</v>
      </c>
      <c r="K514" s="386">
        <f t="shared" si="138"/>
        <v>0</v>
      </c>
      <c r="L514" s="386">
        <f t="shared" si="138"/>
        <v>0</v>
      </c>
      <c r="M514" s="385">
        <f t="shared" si="138"/>
        <v>0</v>
      </c>
      <c r="N514" s="387">
        <f t="shared" si="138"/>
        <v>4.151062500000001</v>
      </c>
      <c r="O514" s="386">
        <f t="shared" si="138"/>
        <v>6.5690238493750002</v>
      </c>
      <c r="P514" s="386">
        <f t="shared" si="138"/>
        <v>8.9545703883593752</v>
      </c>
      <c r="Q514" s="386">
        <f t="shared" si="138"/>
        <v>10.501668992724609</v>
      </c>
      <c r="R514" s="385">
        <f t="shared" si="138"/>
        <v>11.318293120452878</v>
      </c>
      <c r="S514" s="387">
        <f t="shared" si="138"/>
        <v>7.0739332002830491</v>
      </c>
      <c r="T514" s="386">
        <f t="shared" si="138"/>
        <v>4.4212082501769059</v>
      </c>
      <c r="U514" s="386">
        <f t="shared" si="138"/>
        <v>2.7632551563605663</v>
      </c>
      <c r="V514" s="386">
        <f t="shared" si="138"/>
        <v>1.7270344727253539</v>
      </c>
      <c r="W514" s="385">
        <f t="shared" si="138"/>
        <v>1.0793965454533461</v>
      </c>
    </row>
    <row r="515" spans="1:23" ht="12.75" customHeight="1" outlineLevel="1"/>
    <row r="516" spans="1:23" ht="12.75" customHeight="1" outlineLevel="1">
      <c r="A516" s="350" t="str">
        <f>A478</f>
        <v>Meters Industrial &amp; Commercial</v>
      </c>
    </row>
    <row r="517" spans="1:23" ht="12.75" customHeight="1" outlineLevel="1">
      <c r="A517" s="414" t="s">
        <v>131</v>
      </c>
      <c r="B517" s="413">
        <f>B478</f>
        <v>0</v>
      </c>
      <c r="C517" s="412"/>
      <c r="D517" s="380"/>
      <c r="E517" s="380"/>
    </row>
    <row r="518" spans="1:23" ht="12.75" customHeight="1" outlineLevel="1">
      <c r="A518" s="411" t="s">
        <v>155</v>
      </c>
      <c r="B518" s="393">
        <f>C478</f>
        <v>15</v>
      </c>
      <c r="C518" s="410"/>
      <c r="D518" s="380"/>
      <c r="E518" s="380"/>
    </row>
    <row r="519" spans="1:23" ht="12.75" customHeight="1" outlineLevel="1">
      <c r="A519" s="411" t="s">
        <v>154</v>
      </c>
      <c r="B519" s="393" t="str">
        <f>D478</f>
        <v>Declining Balance</v>
      </c>
      <c r="C519" s="410"/>
      <c r="D519" s="380"/>
      <c r="E519" s="380"/>
    </row>
    <row r="520" spans="1:23" ht="12.75" customHeight="1" outlineLevel="1">
      <c r="A520" s="409" t="s">
        <v>152</v>
      </c>
      <c r="B520" s="408">
        <f>IF(B519="Straight Line",1/B518,IF(B519="Declining Balance",1/B518*2,1))</f>
        <v>0.13333333333333333</v>
      </c>
      <c r="C520" s="407"/>
      <c r="D520" s="380"/>
      <c r="E520" s="380"/>
    </row>
    <row r="521" spans="1:23" ht="12.75" customHeight="1" outlineLevel="1">
      <c r="A521" s="380"/>
      <c r="B521" s="392"/>
      <c r="C521" s="380"/>
      <c r="D521" s="380"/>
      <c r="E521" s="380"/>
    </row>
    <row r="522" spans="1:23" ht="12.75" customHeight="1" outlineLevel="1">
      <c r="A522" s="380" t="s">
        <v>137</v>
      </c>
      <c r="B522" s="406" t="s">
        <v>167</v>
      </c>
      <c r="C522" s="405">
        <f t="shared" ref="C522:M522" si="139">B522+1</f>
        <v>2007</v>
      </c>
      <c r="D522" s="405">
        <f t="shared" si="139"/>
        <v>2008</v>
      </c>
      <c r="E522" s="405">
        <f t="shared" si="139"/>
        <v>2009</v>
      </c>
      <c r="F522" s="405">
        <f t="shared" si="139"/>
        <v>2010</v>
      </c>
      <c r="G522" s="405">
        <f t="shared" si="139"/>
        <v>2011</v>
      </c>
      <c r="H522" s="404">
        <f t="shared" si="139"/>
        <v>2012</v>
      </c>
      <c r="I522" s="405">
        <f t="shared" si="139"/>
        <v>2013</v>
      </c>
      <c r="J522" s="405">
        <f t="shared" si="139"/>
        <v>2014</v>
      </c>
      <c r="K522" s="405">
        <f t="shared" si="139"/>
        <v>2015</v>
      </c>
      <c r="L522" s="405">
        <f t="shared" si="139"/>
        <v>2016</v>
      </c>
      <c r="M522" s="404">
        <f t="shared" si="139"/>
        <v>2017</v>
      </c>
    </row>
    <row r="523" spans="1:23" ht="12.75" customHeight="1" outlineLevel="1">
      <c r="A523" s="402" t="s">
        <v>150</v>
      </c>
      <c r="B523" s="401">
        <v>0</v>
      </c>
      <c r="C523" s="400">
        <v>0</v>
      </c>
      <c r="D523" s="401">
        <v>3.0419999999999998</v>
      </c>
      <c r="E523" s="400">
        <v>2.46617665</v>
      </c>
      <c r="F523" s="400">
        <v>2.0430298599999999</v>
      </c>
      <c r="G523" s="398">
        <v>2.4380000000000002</v>
      </c>
      <c r="H523" s="602">
        <v>2.8580000000000001</v>
      </c>
      <c r="I523" s="401"/>
      <c r="J523" s="400"/>
      <c r="K523" s="400"/>
      <c r="L523" s="400"/>
      <c r="M523" s="479"/>
    </row>
    <row r="524" spans="1:23" ht="12.75" customHeight="1" outlineLevel="1">
      <c r="A524" s="380"/>
      <c r="B524" s="392"/>
      <c r="C524" s="380"/>
    </row>
    <row r="525" spans="1:23" ht="12.75" customHeight="1" outlineLevel="1">
      <c r="B525" s="364">
        <v>1996</v>
      </c>
      <c r="C525" s="362">
        <v>1997</v>
      </c>
      <c r="D525" s="364">
        <v>1998</v>
      </c>
      <c r="E525" s="363">
        <v>1999</v>
      </c>
      <c r="F525" s="363">
        <v>2000</v>
      </c>
      <c r="G525" s="363">
        <v>2001</v>
      </c>
      <c r="H525" s="362">
        <v>2002</v>
      </c>
      <c r="I525" s="364">
        <v>2003</v>
      </c>
      <c r="J525" s="363">
        <v>2004</v>
      </c>
      <c r="K525" s="363">
        <v>2005</v>
      </c>
      <c r="L525" s="363">
        <v>2006</v>
      </c>
      <c r="M525" s="362">
        <v>2007</v>
      </c>
      <c r="N525" s="364">
        <v>2008</v>
      </c>
      <c r="O525" s="363">
        <v>2009</v>
      </c>
      <c r="P525" s="363">
        <v>2010</v>
      </c>
      <c r="Q525" s="363">
        <v>2011</v>
      </c>
      <c r="R525" s="362">
        <v>2012</v>
      </c>
      <c r="S525" s="364">
        <f t="shared" ref="S525:W525" si="140">R525+1</f>
        <v>2013</v>
      </c>
      <c r="T525" s="363">
        <f t="shared" si="140"/>
        <v>2014</v>
      </c>
      <c r="U525" s="363">
        <f t="shared" si="140"/>
        <v>2015</v>
      </c>
      <c r="V525" s="363">
        <f t="shared" si="140"/>
        <v>2016</v>
      </c>
      <c r="W525" s="362">
        <f t="shared" si="140"/>
        <v>2017</v>
      </c>
    </row>
    <row r="526" spans="1:23" ht="12.75" customHeight="1" outlineLevel="1">
      <c r="A526" s="394" t="s">
        <v>2</v>
      </c>
      <c r="B526" s="393">
        <f>B517</f>
        <v>0</v>
      </c>
      <c r="C526" s="391">
        <f t="shared" ref="C526:W526" si="141">B529</f>
        <v>0</v>
      </c>
      <c r="D526" s="393">
        <f t="shared" si="141"/>
        <v>0</v>
      </c>
      <c r="E526" s="392">
        <f t="shared" si="141"/>
        <v>0</v>
      </c>
      <c r="F526" s="392">
        <f t="shared" si="141"/>
        <v>0</v>
      </c>
      <c r="G526" s="392">
        <f t="shared" si="141"/>
        <v>0</v>
      </c>
      <c r="H526" s="391">
        <f t="shared" si="141"/>
        <v>0</v>
      </c>
      <c r="I526" s="393">
        <f t="shared" si="141"/>
        <v>0</v>
      </c>
      <c r="J526" s="392">
        <f t="shared" si="141"/>
        <v>0</v>
      </c>
      <c r="K526" s="392">
        <f t="shared" si="141"/>
        <v>0</v>
      </c>
      <c r="L526" s="392">
        <f t="shared" si="141"/>
        <v>0</v>
      </c>
      <c r="M526" s="391">
        <f t="shared" si="141"/>
        <v>0</v>
      </c>
      <c r="N526" s="390">
        <f t="shared" si="141"/>
        <v>0</v>
      </c>
      <c r="O526" s="392">
        <f t="shared" si="141"/>
        <v>2.8391999999999999</v>
      </c>
      <c r="P526" s="392">
        <f t="shared" si="141"/>
        <v>4.7624048733333328</v>
      </c>
      <c r="Q526" s="392">
        <f t="shared" si="141"/>
        <v>6.0342454262222214</v>
      </c>
      <c r="R526" s="391">
        <f t="shared" si="141"/>
        <v>7.5051460360592586</v>
      </c>
      <c r="S526" s="390">
        <f t="shared" si="141"/>
        <v>9.171926564584691</v>
      </c>
      <c r="T526" s="392">
        <f t="shared" si="141"/>
        <v>7.9490030226400652</v>
      </c>
      <c r="U526" s="392">
        <f t="shared" si="141"/>
        <v>6.8891359529547227</v>
      </c>
      <c r="V526" s="392">
        <f t="shared" si="141"/>
        <v>5.9705844925607598</v>
      </c>
      <c r="W526" s="391">
        <f t="shared" si="141"/>
        <v>5.1745065602193252</v>
      </c>
    </row>
    <row r="527" spans="1:23" ht="12.75" customHeight="1" outlineLevel="1">
      <c r="A527" s="389" t="s">
        <v>149</v>
      </c>
      <c r="B527" s="393">
        <v>0</v>
      </c>
      <c r="C527" s="391">
        <v>0</v>
      </c>
      <c r="D527" s="393">
        <v>0</v>
      </c>
      <c r="E527" s="392">
        <v>0</v>
      </c>
      <c r="F527" s="392">
        <v>0</v>
      </c>
      <c r="G527" s="392">
        <v>0</v>
      </c>
      <c r="H527" s="391">
        <v>0</v>
      </c>
      <c r="I527" s="393">
        <v>0</v>
      </c>
      <c r="J527" s="392">
        <v>0</v>
      </c>
      <c r="K527" s="392">
        <v>0</v>
      </c>
      <c r="L527" s="392">
        <f t="shared" ref="L527:W527" si="142">B523</f>
        <v>0</v>
      </c>
      <c r="M527" s="391">
        <f t="shared" si="142"/>
        <v>0</v>
      </c>
      <c r="N527" s="393">
        <f t="shared" si="142"/>
        <v>3.0419999999999998</v>
      </c>
      <c r="O527" s="392">
        <f t="shared" si="142"/>
        <v>2.46617665</v>
      </c>
      <c r="P527" s="392">
        <f t="shared" si="142"/>
        <v>2.0430298599999999</v>
      </c>
      <c r="Q527" s="392">
        <f t="shared" si="142"/>
        <v>2.4380000000000002</v>
      </c>
      <c r="R527" s="391">
        <f t="shared" si="142"/>
        <v>2.8580000000000001</v>
      </c>
      <c r="S527" s="393">
        <f t="shared" si="142"/>
        <v>0</v>
      </c>
      <c r="T527" s="392">
        <f t="shared" si="142"/>
        <v>0</v>
      </c>
      <c r="U527" s="392">
        <f t="shared" si="142"/>
        <v>0</v>
      </c>
      <c r="V527" s="392">
        <f t="shared" si="142"/>
        <v>0</v>
      </c>
      <c r="W527" s="391">
        <f t="shared" si="142"/>
        <v>0</v>
      </c>
    </row>
    <row r="528" spans="1:23" ht="12.75" customHeight="1" outlineLevel="1">
      <c r="A528" s="389" t="s">
        <v>148</v>
      </c>
      <c r="B528" s="448">
        <f>IF($B520=1,B527+B526,B527*$B520*0.5)</f>
        <v>0</v>
      </c>
      <c r="C528" s="446">
        <f t="shared" ref="C528:W528" si="143">IF($B520=1,C527+C526,(C526+C527*0.5)*$B520)</f>
        <v>0</v>
      </c>
      <c r="D528" s="447">
        <f t="shared" si="143"/>
        <v>0</v>
      </c>
      <c r="E528" s="447">
        <f t="shared" si="143"/>
        <v>0</v>
      </c>
      <c r="F528" s="447">
        <f t="shared" si="143"/>
        <v>0</v>
      </c>
      <c r="G528" s="447">
        <f t="shared" si="143"/>
        <v>0</v>
      </c>
      <c r="H528" s="446">
        <f t="shared" si="143"/>
        <v>0</v>
      </c>
      <c r="I528" s="447">
        <f t="shared" si="143"/>
        <v>0</v>
      </c>
      <c r="J528" s="447">
        <f t="shared" si="143"/>
        <v>0</v>
      </c>
      <c r="K528" s="447">
        <f t="shared" si="143"/>
        <v>0</v>
      </c>
      <c r="L528" s="447">
        <f t="shared" si="143"/>
        <v>0</v>
      </c>
      <c r="M528" s="446">
        <f t="shared" si="143"/>
        <v>0</v>
      </c>
      <c r="N528" s="447">
        <f t="shared" si="143"/>
        <v>0.20279999999999998</v>
      </c>
      <c r="O528" s="447">
        <f t="shared" si="143"/>
        <v>0.54297177666666663</v>
      </c>
      <c r="P528" s="447">
        <f t="shared" si="143"/>
        <v>0.77118930711111111</v>
      </c>
      <c r="Q528" s="447">
        <f t="shared" si="143"/>
        <v>0.96709939016296287</v>
      </c>
      <c r="R528" s="446">
        <f t="shared" si="143"/>
        <v>1.1912194714745679</v>
      </c>
      <c r="S528" s="447">
        <f t="shared" si="143"/>
        <v>1.2229235419446254</v>
      </c>
      <c r="T528" s="447">
        <f t="shared" si="143"/>
        <v>1.0598670696853421</v>
      </c>
      <c r="U528" s="447">
        <f t="shared" si="143"/>
        <v>0.91855146039396296</v>
      </c>
      <c r="V528" s="447">
        <f t="shared" si="143"/>
        <v>0.79607793234143465</v>
      </c>
      <c r="W528" s="446">
        <f t="shared" si="143"/>
        <v>0.68993420802924332</v>
      </c>
    </row>
    <row r="529" spans="1:23" ht="12.75" customHeight="1" outlineLevel="1">
      <c r="A529" s="388" t="s">
        <v>113</v>
      </c>
      <c r="B529" s="387">
        <f t="shared" ref="B529:W529" si="144">B526+B527-B528</f>
        <v>0</v>
      </c>
      <c r="C529" s="385">
        <f t="shared" si="144"/>
        <v>0</v>
      </c>
      <c r="D529" s="387">
        <f t="shared" si="144"/>
        <v>0</v>
      </c>
      <c r="E529" s="386">
        <f t="shared" si="144"/>
        <v>0</v>
      </c>
      <c r="F529" s="386">
        <f t="shared" si="144"/>
        <v>0</v>
      </c>
      <c r="G529" s="386">
        <f t="shared" si="144"/>
        <v>0</v>
      </c>
      <c r="H529" s="385">
        <f t="shared" si="144"/>
        <v>0</v>
      </c>
      <c r="I529" s="387">
        <f t="shared" si="144"/>
        <v>0</v>
      </c>
      <c r="J529" s="386">
        <f t="shared" si="144"/>
        <v>0</v>
      </c>
      <c r="K529" s="386">
        <f t="shared" si="144"/>
        <v>0</v>
      </c>
      <c r="L529" s="386">
        <f t="shared" si="144"/>
        <v>0</v>
      </c>
      <c r="M529" s="385">
        <f t="shared" si="144"/>
        <v>0</v>
      </c>
      <c r="N529" s="387">
        <f t="shared" si="144"/>
        <v>2.8391999999999999</v>
      </c>
      <c r="O529" s="386">
        <f t="shared" si="144"/>
        <v>4.7624048733333328</v>
      </c>
      <c r="P529" s="386">
        <f t="shared" si="144"/>
        <v>6.0342454262222214</v>
      </c>
      <c r="Q529" s="386">
        <f t="shared" si="144"/>
        <v>7.5051460360592586</v>
      </c>
      <c r="R529" s="385">
        <f t="shared" si="144"/>
        <v>9.171926564584691</v>
      </c>
      <c r="S529" s="387">
        <f t="shared" si="144"/>
        <v>7.9490030226400652</v>
      </c>
      <c r="T529" s="386">
        <f t="shared" si="144"/>
        <v>6.8891359529547227</v>
      </c>
      <c r="U529" s="386">
        <f t="shared" si="144"/>
        <v>5.9705844925607598</v>
      </c>
      <c r="V529" s="386">
        <f t="shared" si="144"/>
        <v>5.1745065602193252</v>
      </c>
      <c r="W529" s="385">
        <f t="shared" si="144"/>
        <v>4.4845723521900815</v>
      </c>
    </row>
    <row r="530" spans="1:23" ht="12.75" customHeight="1" outlineLevel="1">
      <c r="M530" s="438"/>
    </row>
    <row r="531" spans="1:23" ht="12.75" customHeight="1" outlineLevel="1">
      <c r="A531" s="350" t="str">
        <f>A479</f>
        <v>Land &amp; Buildings</v>
      </c>
    </row>
    <row r="532" spans="1:23" ht="12.75" customHeight="1" outlineLevel="1">
      <c r="A532" s="414" t="s">
        <v>131</v>
      </c>
      <c r="B532" s="413">
        <f>B479</f>
        <v>0</v>
      </c>
      <c r="C532" s="412"/>
      <c r="D532" s="380"/>
      <c r="E532" s="380"/>
    </row>
    <row r="533" spans="1:23" ht="12.75" customHeight="1" outlineLevel="1">
      <c r="A533" s="411" t="s">
        <v>155</v>
      </c>
      <c r="B533" s="393">
        <f>C479</f>
        <v>40</v>
      </c>
      <c r="C533" s="410"/>
      <c r="D533" s="380"/>
      <c r="E533" s="380"/>
    </row>
    <row r="534" spans="1:23" ht="12.75" customHeight="1" outlineLevel="1">
      <c r="A534" s="411" t="s">
        <v>154</v>
      </c>
      <c r="B534" s="393" t="str">
        <f>D479</f>
        <v>Straight Line</v>
      </c>
      <c r="C534" s="410"/>
      <c r="D534" s="380"/>
      <c r="E534" s="380"/>
    </row>
    <row r="535" spans="1:23" ht="12.75" customHeight="1" outlineLevel="1">
      <c r="A535" s="409" t="s">
        <v>152</v>
      </c>
      <c r="B535" s="408">
        <f>IF(B534="Straight Line",1/B533,IF(B534="Declining Balance",1/B533*2,1))</f>
        <v>2.5000000000000001E-2</v>
      </c>
      <c r="C535" s="407"/>
      <c r="D535" s="380"/>
      <c r="E535" s="380"/>
    </row>
    <row r="536" spans="1:23" ht="12.75" customHeight="1" outlineLevel="1">
      <c r="A536" s="380"/>
      <c r="B536" s="392"/>
      <c r="C536" s="380"/>
      <c r="D536" s="380"/>
      <c r="E536" s="380"/>
    </row>
    <row r="537" spans="1:23" ht="12.75" customHeight="1" outlineLevel="1">
      <c r="A537" s="380" t="s">
        <v>137</v>
      </c>
      <c r="B537" s="406" t="s">
        <v>167</v>
      </c>
      <c r="C537" s="405">
        <f t="shared" ref="C537:M537" si="145">B537+1</f>
        <v>2007</v>
      </c>
      <c r="D537" s="405">
        <f t="shared" si="145"/>
        <v>2008</v>
      </c>
      <c r="E537" s="405">
        <f t="shared" si="145"/>
        <v>2009</v>
      </c>
      <c r="F537" s="405">
        <f t="shared" si="145"/>
        <v>2010</v>
      </c>
      <c r="G537" s="405">
        <f t="shared" si="145"/>
        <v>2011</v>
      </c>
      <c r="H537" s="404">
        <f t="shared" si="145"/>
        <v>2012</v>
      </c>
      <c r="I537" s="405">
        <f t="shared" si="145"/>
        <v>2013</v>
      </c>
      <c r="J537" s="405">
        <f t="shared" si="145"/>
        <v>2014</v>
      </c>
      <c r="K537" s="405">
        <f t="shared" si="145"/>
        <v>2015</v>
      </c>
      <c r="L537" s="405">
        <f t="shared" si="145"/>
        <v>2016</v>
      </c>
      <c r="M537" s="404">
        <f t="shared" si="145"/>
        <v>2017</v>
      </c>
    </row>
    <row r="538" spans="1:23" ht="12.75" customHeight="1" outlineLevel="1">
      <c r="A538" s="402" t="s">
        <v>150</v>
      </c>
      <c r="B538" s="401">
        <v>0</v>
      </c>
      <c r="C538" s="400">
        <v>0</v>
      </c>
      <c r="D538" s="399">
        <v>0.21299999999999999</v>
      </c>
      <c r="E538" s="400">
        <v>0</v>
      </c>
      <c r="F538" s="400">
        <v>0</v>
      </c>
      <c r="G538" s="400">
        <v>0</v>
      </c>
      <c r="H538" s="479">
        <v>0</v>
      </c>
      <c r="I538" s="401"/>
      <c r="J538" s="400"/>
      <c r="K538" s="400"/>
      <c r="L538" s="400"/>
      <c r="M538" s="479"/>
    </row>
    <row r="539" spans="1:23" ht="12.75" customHeight="1" outlineLevel="1">
      <c r="A539" s="380"/>
      <c r="B539" s="392"/>
      <c r="C539" s="380"/>
    </row>
    <row r="540" spans="1:23" ht="12.75" customHeight="1" outlineLevel="1">
      <c r="B540" s="364">
        <v>1996</v>
      </c>
      <c r="C540" s="362">
        <v>1997</v>
      </c>
      <c r="D540" s="364">
        <v>1998</v>
      </c>
      <c r="E540" s="363">
        <v>1999</v>
      </c>
      <c r="F540" s="363">
        <v>2000</v>
      </c>
      <c r="G540" s="363">
        <v>2001</v>
      </c>
      <c r="H540" s="362">
        <v>2002</v>
      </c>
      <c r="I540" s="364">
        <v>2003</v>
      </c>
      <c r="J540" s="363">
        <v>2004</v>
      </c>
      <c r="K540" s="363">
        <v>2005</v>
      </c>
      <c r="L540" s="363">
        <v>2006</v>
      </c>
      <c r="M540" s="362">
        <v>2007</v>
      </c>
      <c r="N540" s="364">
        <v>2008</v>
      </c>
      <c r="O540" s="363">
        <v>2009</v>
      </c>
      <c r="P540" s="363">
        <v>2010</v>
      </c>
      <c r="Q540" s="363">
        <v>2011</v>
      </c>
      <c r="R540" s="362">
        <v>2012</v>
      </c>
      <c r="S540" s="364">
        <f t="shared" ref="S540:W540" si="146">R540+1</f>
        <v>2013</v>
      </c>
      <c r="T540" s="363">
        <f t="shared" si="146"/>
        <v>2014</v>
      </c>
      <c r="U540" s="363">
        <f t="shared" si="146"/>
        <v>2015</v>
      </c>
      <c r="V540" s="363">
        <f t="shared" si="146"/>
        <v>2016</v>
      </c>
      <c r="W540" s="362">
        <f t="shared" si="146"/>
        <v>2017</v>
      </c>
    </row>
    <row r="541" spans="1:23" ht="12.75" customHeight="1" outlineLevel="1">
      <c r="A541" s="394" t="s">
        <v>2</v>
      </c>
      <c r="B541" s="393">
        <f>B532</f>
        <v>0</v>
      </c>
      <c r="C541" s="391">
        <f t="shared" ref="C541:W541" si="147">B544</f>
        <v>0</v>
      </c>
      <c r="D541" s="393">
        <f t="shared" si="147"/>
        <v>0</v>
      </c>
      <c r="E541" s="392">
        <f t="shared" si="147"/>
        <v>0</v>
      </c>
      <c r="F541" s="392">
        <f t="shared" si="147"/>
        <v>0</v>
      </c>
      <c r="G541" s="392">
        <f t="shared" si="147"/>
        <v>0</v>
      </c>
      <c r="H541" s="391">
        <f t="shared" si="147"/>
        <v>0</v>
      </c>
      <c r="I541" s="393">
        <f t="shared" si="147"/>
        <v>0</v>
      </c>
      <c r="J541" s="392">
        <f t="shared" si="147"/>
        <v>0</v>
      </c>
      <c r="K541" s="392">
        <f t="shared" si="147"/>
        <v>0</v>
      </c>
      <c r="L541" s="392">
        <f t="shared" si="147"/>
        <v>0</v>
      </c>
      <c r="M541" s="391">
        <f t="shared" si="147"/>
        <v>0</v>
      </c>
      <c r="N541" s="390">
        <f t="shared" si="147"/>
        <v>0</v>
      </c>
      <c r="O541" s="392">
        <f t="shared" si="147"/>
        <v>0.21033749999999998</v>
      </c>
      <c r="P541" s="392">
        <f t="shared" si="147"/>
        <v>0.20501249999999999</v>
      </c>
      <c r="Q541" s="392">
        <f t="shared" si="147"/>
        <v>0.19968749999999999</v>
      </c>
      <c r="R541" s="391">
        <f t="shared" si="147"/>
        <v>0.19436249999999999</v>
      </c>
      <c r="S541" s="390">
        <f t="shared" si="147"/>
        <v>0.1890375</v>
      </c>
      <c r="T541" s="392">
        <f t="shared" si="147"/>
        <v>0.1837125</v>
      </c>
      <c r="U541" s="392">
        <f t="shared" si="147"/>
        <v>0.1783875</v>
      </c>
      <c r="V541" s="392">
        <f t="shared" si="147"/>
        <v>0.17306250000000001</v>
      </c>
      <c r="W541" s="391">
        <f t="shared" si="147"/>
        <v>0.16773750000000001</v>
      </c>
    </row>
    <row r="542" spans="1:23" ht="12.75" customHeight="1" outlineLevel="1">
      <c r="A542" s="389" t="s">
        <v>149</v>
      </c>
      <c r="B542" s="393">
        <v>0</v>
      </c>
      <c r="C542" s="391">
        <v>0</v>
      </c>
      <c r="D542" s="393">
        <v>0</v>
      </c>
      <c r="E542" s="392">
        <v>0</v>
      </c>
      <c r="F542" s="392">
        <v>0</v>
      </c>
      <c r="G542" s="392">
        <v>0</v>
      </c>
      <c r="H542" s="391">
        <v>0</v>
      </c>
      <c r="I542" s="393">
        <v>0</v>
      </c>
      <c r="J542" s="392">
        <v>0</v>
      </c>
      <c r="K542" s="392">
        <v>0</v>
      </c>
      <c r="L542" s="392">
        <f t="shared" ref="L542:W542" si="148">B538</f>
        <v>0</v>
      </c>
      <c r="M542" s="391">
        <f t="shared" si="148"/>
        <v>0</v>
      </c>
      <c r="N542" s="393">
        <f t="shared" si="148"/>
        <v>0.21299999999999999</v>
      </c>
      <c r="O542" s="392">
        <f t="shared" si="148"/>
        <v>0</v>
      </c>
      <c r="P542" s="392">
        <f t="shared" si="148"/>
        <v>0</v>
      </c>
      <c r="Q542" s="392">
        <f t="shared" si="148"/>
        <v>0</v>
      </c>
      <c r="R542" s="391">
        <f t="shared" si="148"/>
        <v>0</v>
      </c>
      <c r="S542" s="393">
        <f t="shared" si="148"/>
        <v>0</v>
      </c>
      <c r="T542" s="392">
        <f t="shared" si="148"/>
        <v>0</v>
      </c>
      <c r="U542" s="392">
        <f t="shared" si="148"/>
        <v>0</v>
      </c>
      <c r="V542" s="392">
        <f t="shared" si="148"/>
        <v>0</v>
      </c>
      <c r="W542" s="391">
        <f t="shared" si="148"/>
        <v>0</v>
      </c>
    </row>
    <row r="543" spans="1:23" ht="12.75" customHeight="1" outlineLevel="1">
      <c r="A543" s="389" t="s">
        <v>148</v>
      </c>
      <c r="B543" s="444">
        <f>B542*$B535*0.5</f>
        <v>0</v>
      </c>
      <c r="C543" s="444">
        <f>(SUM($B542:B542)+C542*0.5)*$B535</f>
        <v>0</v>
      </c>
      <c r="D543" s="437">
        <f>(SUM($B542:C542)+D542*0.5)*$B535</f>
        <v>0</v>
      </c>
      <c r="E543" s="444">
        <f>(SUM($B542:D542)+E542*0.5)*$B535</f>
        <v>0</v>
      </c>
      <c r="F543" s="444">
        <f>(SUM($B542:E542)+F542*0.5)*$B535</f>
        <v>0</v>
      </c>
      <c r="G543" s="444">
        <f>(SUM($B542:F542)+G542*0.5)*$B535</f>
        <v>0</v>
      </c>
      <c r="H543" s="443">
        <f>(SUM($B542:G542)+H542*0.5)*$B535</f>
        <v>0</v>
      </c>
      <c r="I543" s="437">
        <f>(SUM($B542:H542)+I542*0.5)*$B535</f>
        <v>0</v>
      </c>
      <c r="J543" s="444">
        <f>(SUM($B542:I542)+J542*0.5)*$B535</f>
        <v>0</v>
      </c>
      <c r="K543" s="444">
        <f>(SUM($B542:J542)+K542*0.5)*$B535</f>
        <v>0</v>
      </c>
      <c r="L543" s="444">
        <f>(SUM($B542:K542)+L542*0.5)*$B535</f>
        <v>0</v>
      </c>
      <c r="M543" s="443">
        <f>(SUM($B542:L542)+M542*0.5)*$B535</f>
        <v>0</v>
      </c>
      <c r="N543" s="437">
        <f>(SUM($B542:M542)+N542*0.5)*$B535</f>
        <v>2.6624999999999999E-3</v>
      </c>
      <c r="O543" s="444">
        <f>(SUM($B542:N542)+O542*0.5)*$B535</f>
        <v>5.3249999999999999E-3</v>
      </c>
      <c r="P543" s="444">
        <f>(SUM($B542:O542)+P542*0.5)*$B535</f>
        <v>5.3249999999999999E-3</v>
      </c>
      <c r="Q543" s="444">
        <f>(SUM($B542:P542)+Q542*0.5)*$B535</f>
        <v>5.3249999999999999E-3</v>
      </c>
      <c r="R543" s="443">
        <f>(SUM($B542:Q542)+R542*0.5)*$B535</f>
        <v>5.3249999999999999E-3</v>
      </c>
      <c r="S543" s="622">
        <f>(SUM($B542:R542)+S542*0.5)*$B535</f>
        <v>5.3249999999999999E-3</v>
      </c>
      <c r="T543" s="623">
        <f>(SUM($B542:S542)+T542*0.5)*$B535</f>
        <v>5.3249999999999999E-3</v>
      </c>
      <c r="U543" s="623">
        <f>(SUM($B542:T542)+U542*0.5)*$B535</f>
        <v>5.3249999999999999E-3</v>
      </c>
      <c r="V543" s="623">
        <f>(SUM($B542:U542)+V542*0.5)*$B535</f>
        <v>5.3249999999999999E-3</v>
      </c>
      <c r="W543" s="624">
        <f>(SUM($B542:V542)+W542*0.5)*$B535</f>
        <v>5.3249999999999999E-3</v>
      </c>
    </row>
    <row r="544" spans="1:23" ht="12.75" customHeight="1" outlineLevel="1">
      <c r="A544" s="388" t="s">
        <v>113</v>
      </c>
      <c r="B544" s="387">
        <f t="shared" ref="B544:W544" si="149">B541+B542-B543</f>
        <v>0</v>
      </c>
      <c r="C544" s="385">
        <f t="shared" si="149"/>
        <v>0</v>
      </c>
      <c r="D544" s="387">
        <f t="shared" si="149"/>
        <v>0</v>
      </c>
      <c r="E544" s="386">
        <f t="shared" si="149"/>
        <v>0</v>
      </c>
      <c r="F544" s="386">
        <f t="shared" si="149"/>
        <v>0</v>
      </c>
      <c r="G544" s="386">
        <f t="shared" si="149"/>
        <v>0</v>
      </c>
      <c r="H544" s="385">
        <f t="shared" si="149"/>
        <v>0</v>
      </c>
      <c r="I544" s="387">
        <f t="shared" si="149"/>
        <v>0</v>
      </c>
      <c r="J544" s="386">
        <f t="shared" si="149"/>
        <v>0</v>
      </c>
      <c r="K544" s="386">
        <f t="shared" si="149"/>
        <v>0</v>
      </c>
      <c r="L544" s="386">
        <f t="shared" si="149"/>
        <v>0</v>
      </c>
      <c r="M544" s="385">
        <f t="shared" si="149"/>
        <v>0</v>
      </c>
      <c r="N544" s="387">
        <f t="shared" si="149"/>
        <v>0.21033749999999998</v>
      </c>
      <c r="O544" s="386">
        <f t="shared" si="149"/>
        <v>0.20501249999999999</v>
      </c>
      <c r="P544" s="386">
        <f t="shared" si="149"/>
        <v>0.19968749999999999</v>
      </c>
      <c r="Q544" s="386">
        <f t="shared" si="149"/>
        <v>0.19436249999999999</v>
      </c>
      <c r="R544" s="385">
        <f t="shared" si="149"/>
        <v>0.1890375</v>
      </c>
      <c r="S544" s="387">
        <f t="shared" si="149"/>
        <v>0.1837125</v>
      </c>
      <c r="T544" s="386">
        <f t="shared" si="149"/>
        <v>0.1783875</v>
      </c>
      <c r="U544" s="386">
        <f t="shared" si="149"/>
        <v>0.17306250000000001</v>
      </c>
      <c r="V544" s="386">
        <f t="shared" si="149"/>
        <v>0.16773750000000001</v>
      </c>
      <c r="W544" s="385">
        <f t="shared" si="149"/>
        <v>0.16241250000000002</v>
      </c>
    </row>
    <row r="545" spans="1:23" ht="12.75" customHeight="1" outlineLevel="1">
      <c r="M545" s="438"/>
    </row>
    <row r="546" spans="1:23" ht="12.75" customHeight="1" outlineLevel="1">
      <c r="A546" s="350" t="str">
        <f>A480</f>
        <v>Other Assets</v>
      </c>
    </row>
    <row r="547" spans="1:23" ht="12.75" customHeight="1" outlineLevel="1">
      <c r="A547" s="414" t="s">
        <v>131</v>
      </c>
      <c r="B547" s="413">
        <f>B480</f>
        <v>0</v>
      </c>
      <c r="C547" s="412"/>
      <c r="D547" s="380"/>
      <c r="E547" s="380"/>
    </row>
    <row r="548" spans="1:23" ht="12.75" customHeight="1" outlineLevel="1">
      <c r="A548" s="411" t="s">
        <v>155</v>
      </c>
      <c r="B548" s="393">
        <f>C480</f>
        <v>10</v>
      </c>
      <c r="C548" s="410"/>
      <c r="D548" s="380"/>
      <c r="E548" s="380"/>
    </row>
    <row r="549" spans="1:23" ht="12.75" customHeight="1" outlineLevel="1">
      <c r="A549" s="411" t="s">
        <v>154</v>
      </c>
      <c r="B549" s="393" t="str">
        <f>D480</f>
        <v>Declining Balance</v>
      </c>
      <c r="C549" s="410"/>
      <c r="D549" s="380"/>
      <c r="E549" s="380"/>
    </row>
    <row r="550" spans="1:23" ht="12.75" customHeight="1" outlineLevel="1">
      <c r="A550" s="409" t="s">
        <v>152</v>
      </c>
      <c r="B550" s="408">
        <f>IF(B549="Straight Line",1/B548,IF(B549="Declining Balance",1/B548*2,1))</f>
        <v>0.2</v>
      </c>
      <c r="C550" s="407"/>
      <c r="D550" s="380"/>
      <c r="E550" s="380"/>
    </row>
    <row r="551" spans="1:23" ht="12.75" customHeight="1" outlineLevel="1">
      <c r="A551" s="380"/>
      <c r="B551" s="392"/>
      <c r="C551" s="380"/>
      <c r="D551" s="380"/>
      <c r="E551" s="380"/>
    </row>
    <row r="552" spans="1:23" ht="12.75" customHeight="1" outlineLevel="1">
      <c r="A552" s="380" t="s">
        <v>137</v>
      </c>
      <c r="B552" s="406" t="s">
        <v>167</v>
      </c>
      <c r="C552" s="405">
        <f t="shared" ref="C552:M552" si="150">B552+1</f>
        <v>2007</v>
      </c>
      <c r="D552" s="405">
        <f t="shared" si="150"/>
        <v>2008</v>
      </c>
      <c r="E552" s="405">
        <f t="shared" si="150"/>
        <v>2009</v>
      </c>
      <c r="F552" s="405">
        <f t="shared" si="150"/>
        <v>2010</v>
      </c>
      <c r="G552" s="405">
        <f t="shared" si="150"/>
        <v>2011</v>
      </c>
      <c r="H552" s="404">
        <f t="shared" si="150"/>
        <v>2012</v>
      </c>
      <c r="I552" s="405">
        <f t="shared" si="150"/>
        <v>2013</v>
      </c>
      <c r="J552" s="405">
        <f t="shared" si="150"/>
        <v>2014</v>
      </c>
      <c r="K552" s="405">
        <f t="shared" si="150"/>
        <v>2015</v>
      </c>
      <c r="L552" s="405">
        <f t="shared" si="150"/>
        <v>2016</v>
      </c>
      <c r="M552" s="404">
        <f t="shared" si="150"/>
        <v>2017</v>
      </c>
    </row>
    <row r="553" spans="1:23" ht="12.75" customHeight="1" outlineLevel="1">
      <c r="A553" s="402" t="s">
        <v>150</v>
      </c>
      <c r="B553" s="401">
        <v>0</v>
      </c>
      <c r="C553" s="400">
        <v>0</v>
      </c>
      <c r="D553" s="399">
        <v>5.38</v>
      </c>
      <c r="E553" s="398">
        <v>6.2949999999999999</v>
      </c>
      <c r="F553" s="400">
        <v>3.9429999999999996</v>
      </c>
      <c r="G553" s="398">
        <v>5.86</v>
      </c>
      <c r="H553" s="602">
        <v>19.016999999999999</v>
      </c>
      <c r="I553" s="401"/>
      <c r="J553" s="400"/>
      <c r="K553" s="400"/>
      <c r="L553" s="400"/>
      <c r="M553" s="479"/>
    </row>
    <row r="554" spans="1:23" ht="12.75" customHeight="1" outlineLevel="1">
      <c r="A554" s="380"/>
      <c r="B554" s="392"/>
      <c r="C554" s="380"/>
    </row>
    <row r="555" spans="1:23" ht="12.75" customHeight="1" outlineLevel="1">
      <c r="B555" s="364">
        <v>1996</v>
      </c>
      <c r="C555" s="362">
        <v>1997</v>
      </c>
      <c r="D555" s="364">
        <v>1998</v>
      </c>
      <c r="E555" s="363">
        <v>1999</v>
      </c>
      <c r="F555" s="363">
        <v>2000</v>
      </c>
      <c r="G555" s="363">
        <v>2001</v>
      </c>
      <c r="H555" s="362">
        <v>2002</v>
      </c>
      <c r="I555" s="364">
        <v>2003</v>
      </c>
      <c r="J555" s="363">
        <v>2004</v>
      </c>
      <c r="K555" s="363">
        <v>2005</v>
      </c>
      <c r="L555" s="363">
        <v>2006</v>
      </c>
      <c r="M555" s="362">
        <v>2007</v>
      </c>
      <c r="N555" s="364">
        <v>2008</v>
      </c>
      <c r="O555" s="363">
        <v>2009</v>
      </c>
      <c r="P555" s="363">
        <v>2010</v>
      </c>
      <c r="Q555" s="363">
        <v>2011</v>
      </c>
      <c r="R555" s="362">
        <v>2012</v>
      </c>
      <c r="S555" s="364">
        <f t="shared" ref="S555:W555" si="151">R555+1</f>
        <v>2013</v>
      </c>
      <c r="T555" s="363">
        <f t="shared" si="151"/>
        <v>2014</v>
      </c>
      <c r="U555" s="363">
        <f t="shared" si="151"/>
        <v>2015</v>
      </c>
      <c r="V555" s="363">
        <f t="shared" si="151"/>
        <v>2016</v>
      </c>
      <c r="W555" s="362">
        <f t="shared" si="151"/>
        <v>2017</v>
      </c>
    </row>
    <row r="556" spans="1:23" ht="12.75" customHeight="1" outlineLevel="1">
      <c r="A556" s="394" t="s">
        <v>2</v>
      </c>
      <c r="B556" s="393">
        <f>B547</f>
        <v>0</v>
      </c>
      <c r="C556" s="391">
        <f t="shared" ref="C556:W556" si="152">B559</f>
        <v>0</v>
      </c>
      <c r="D556" s="393">
        <f t="shared" si="152"/>
        <v>0</v>
      </c>
      <c r="E556" s="392">
        <f t="shared" si="152"/>
        <v>0</v>
      </c>
      <c r="F556" s="392">
        <f t="shared" si="152"/>
        <v>0</v>
      </c>
      <c r="G556" s="392">
        <f t="shared" si="152"/>
        <v>0</v>
      </c>
      <c r="H556" s="391">
        <f t="shared" si="152"/>
        <v>0</v>
      </c>
      <c r="I556" s="393">
        <f t="shared" si="152"/>
        <v>0</v>
      </c>
      <c r="J556" s="392">
        <f t="shared" si="152"/>
        <v>0</v>
      </c>
      <c r="K556" s="392">
        <f t="shared" si="152"/>
        <v>0</v>
      </c>
      <c r="L556" s="392">
        <f t="shared" si="152"/>
        <v>0</v>
      </c>
      <c r="M556" s="391">
        <f t="shared" si="152"/>
        <v>0</v>
      </c>
      <c r="N556" s="390">
        <f t="shared" si="152"/>
        <v>0</v>
      </c>
      <c r="O556" s="392">
        <f t="shared" si="152"/>
        <v>4.8419999999999996</v>
      </c>
      <c r="P556" s="392">
        <f t="shared" si="152"/>
        <v>9.5391000000000012</v>
      </c>
      <c r="Q556" s="392">
        <f t="shared" si="152"/>
        <v>11.17998</v>
      </c>
      <c r="R556" s="391">
        <f t="shared" si="152"/>
        <v>14.217984</v>
      </c>
      <c r="S556" s="390">
        <f t="shared" si="152"/>
        <v>28.489687199999999</v>
      </c>
      <c r="T556" s="392">
        <f t="shared" si="152"/>
        <v>22.791749759999998</v>
      </c>
      <c r="U556" s="392">
        <f t="shared" si="152"/>
        <v>18.233399807999998</v>
      </c>
      <c r="V556" s="392">
        <f t="shared" si="152"/>
        <v>14.586719846399998</v>
      </c>
      <c r="W556" s="391">
        <f t="shared" si="152"/>
        <v>11.669375877119998</v>
      </c>
    </row>
    <row r="557" spans="1:23" ht="12.75" customHeight="1" outlineLevel="1">
      <c r="A557" s="389" t="s">
        <v>149</v>
      </c>
      <c r="B557" s="393">
        <v>0</v>
      </c>
      <c r="C557" s="391">
        <v>0</v>
      </c>
      <c r="D557" s="393">
        <v>0</v>
      </c>
      <c r="E557" s="392">
        <v>0</v>
      </c>
      <c r="F557" s="392">
        <v>0</v>
      </c>
      <c r="G557" s="392">
        <v>0</v>
      </c>
      <c r="H557" s="391">
        <v>0</v>
      </c>
      <c r="I557" s="393">
        <v>0</v>
      </c>
      <c r="J557" s="392">
        <v>0</v>
      </c>
      <c r="K557" s="392">
        <v>0</v>
      </c>
      <c r="L557" s="392">
        <f t="shared" ref="L557:W557" si="153">B553</f>
        <v>0</v>
      </c>
      <c r="M557" s="391">
        <f t="shared" si="153"/>
        <v>0</v>
      </c>
      <c r="N557" s="393">
        <f t="shared" si="153"/>
        <v>5.38</v>
      </c>
      <c r="O557" s="392">
        <f t="shared" si="153"/>
        <v>6.2949999999999999</v>
      </c>
      <c r="P557" s="392">
        <f t="shared" si="153"/>
        <v>3.9429999999999996</v>
      </c>
      <c r="Q557" s="392">
        <f t="shared" si="153"/>
        <v>5.86</v>
      </c>
      <c r="R557" s="391">
        <f t="shared" si="153"/>
        <v>19.016999999999999</v>
      </c>
      <c r="S557" s="393">
        <f t="shared" si="153"/>
        <v>0</v>
      </c>
      <c r="T557" s="392">
        <f t="shared" si="153"/>
        <v>0</v>
      </c>
      <c r="U557" s="392">
        <f t="shared" si="153"/>
        <v>0</v>
      </c>
      <c r="V557" s="392">
        <f t="shared" si="153"/>
        <v>0</v>
      </c>
      <c r="W557" s="391">
        <f t="shared" si="153"/>
        <v>0</v>
      </c>
    </row>
    <row r="558" spans="1:23" ht="12.75" customHeight="1" outlineLevel="1">
      <c r="A558" s="389" t="s">
        <v>148</v>
      </c>
      <c r="B558" s="347">
        <f>IF($B550=1,B557+B556,B557*$B550*0.5)</f>
        <v>0</v>
      </c>
      <c r="C558" s="347">
        <f t="shared" ref="C558:W558" si="154">IF($B550=1,C557+C556,(C556+C557*0.5)*$B550)</f>
        <v>0</v>
      </c>
      <c r="D558" s="369">
        <f t="shared" si="154"/>
        <v>0</v>
      </c>
      <c r="E558" s="347">
        <f t="shared" si="154"/>
        <v>0</v>
      </c>
      <c r="F558" s="347">
        <f t="shared" si="154"/>
        <v>0</v>
      </c>
      <c r="G558" s="347">
        <f t="shared" si="154"/>
        <v>0</v>
      </c>
      <c r="H558" s="368">
        <f t="shared" si="154"/>
        <v>0</v>
      </c>
      <c r="I558" s="369">
        <f t="shared" si="154"/>
        <v>0</v>
      </c>
      <c r="J558" s="347">
        <f t="shared" si="154"/>
        <v>0</v>
      </c>
      <c r="K558" s="347">
        <f t="shared" si="154"/>
        <v>0</v>
      </c>
      <c r="L558" s="347">
        <f t="shared" si="154"/>
        <v>0</v>
      </c>
      <c r="M558" s="368">
        <f t="shared" si="154"/>
        <v>0</v>
      </c>
      <c r="N558" s="369">
        <f t="shared" si="154"/>
        <v>0.53800000000000003</v>
      </c>
      <c r="O558" s="347">
        <f t="shared" si="154"/>
        <v>1.5979000000000001</v>
      </c>
      <c r="P558" s="347">
        <f t="shared" si="154"/>
        <v>2.3021199999999999</v>
      </c>
      <c r="Q558" s="347">
        <f t="shared" si="154"/>
        <v>2.8219960000000004</v>
      </c>
      <c r="R558" s="368">
        <f t="shared" si="154"/>
        <v>4.7452968000000002</v>
      </c>
      <c r="S558" s="369">
        <f t="shared" si="154"/>
        <v>5.6979374400000005</v>
      </c>
      <c r="T558" s="347">
        <f t="shared" si="154"/>
        <v>4.5583499519999995</v>
      </c>
      <c r="U558" s="347">
        <f t="shared" si="154"/>
        <v>3.6466799615999999</v>
      </c>
      <c r="V558" s="347">
        <f t="shared" si="154"/>
        <v>2.9173439692799996</v>
      </c>
      <c r="W558" s="368">
        <f t="shared" si="154"/>
        <v>2.3338751754239997</v>
      </c>
    </row>
    <row r="559" spans="1:23" ht="12.75" customHeight="1" outlineLevel="1">
      <c r="A559" s="388" t="s">
        <v>113</v>
      </c>
      <c r="B559" s="387">
        <f t="shared" ref="B559:W559" si="155">B556+B557-B558</f>
        <v>0</v>
      </c>
      <c r="C559" s="385">
        <f t="shared" si="155"/>
        <v>0</v>
      </c>
      <c r="D559" s="387">
        <f t="shared" si="155"/>
        <v>0</v>
      </c>
      <c r="E559" s="386">
        <f t="shared" si="155"/>
        <v>0</v>
      </c>
      <c r="F559" s="386">
        <f t="shared" si="155"/>
        <v>0</v>
      </c>
      <c r="G559" s="386">
        <f t="shared" si="155"/>
        <v>0</v>
      </c>
      <c r="H559" s="385">
        <f t="shared" si="155"/>
        <v>0</v>
      </c>
      <c r="I559" s="387">
        <f t="shared" si="155"/>
        <v>0</v>
      </c>
      <c r="J559" s="386">
        <f t="shared" si="155"/>
        <v>0</v>
      </c>
      <c r="K559" s="386">
        <f t="shared" si="155"/>
        <v>0</v>
      </c>
      <c r="L559" s="386">
        <f t="shared" si="155"/>
        <v>0</v>
      </c>
      <c r="M559" s="385">
        <f t="shared" si="155"/>
        <v>0</v>
      </c>
      <c r="N559" s="387">
        <f t="shared" si="155"/>
        <v>4.8419999999999996</v>
      </c>
      <c r="O559" s="386">
        <f t="shared" si="155"/>
        <v>9.5391000000000012</v>
      </c>
      <c r="P559" s="386">
        <f t="shared" si="155"/>
        <v>11.17998</v>
      </c>
      <c r="Q559" s="386">
        <f t="shared" si="155"/>
        <v>14.217984</v>
      </c>
      <c r="R559" s="385">
        <f t="shared" si="155"/>
        <v>28.489687199999999</v>
      </c>
      <c r="S559" s="387">
        <f t="shared" si="155"/>
        <v>22.791749759999998</v>
      </c>
      <c r="T559" s="386">
        <f t="shared" si="155"/>
        <v>18.233399807999998</v>
      </c>
      <c r="U559" s="386">
        <f t="shared" si="155"/>
        <v>14.586719846399998</v>
      </c>
      <c r="V559" s="386">
        <f t="shared" si="155"/>
        <v>11.669375877119998</v>
      </c>
      <c r="W559" s="385">
        <f t="shared" si="155"/>
        <v>9.3355007016959988</v>
      </c>
    </row>
    <row r="560" spans="1:23" ht="12.75" customHeight="1" outlineLevel="1">
      <c r="A560" s="380"/>
      <c r="B560" s="392"/>
      <c r="C560" s="392"/>
      <c r="D560" s="392"/>
      <c r="E560" s="392"/>
      <c r="F560" s="392"/>
      <c r="G560" s="392"/>
      <c r="H560" s="392"/>
      <c r="I560" s="392"/>
      <c r="J560" s="392"/>
      <c r="K560" s="392"/>
      <c r="L560" s="392"/>
      <c r="M560" s="392"/>
      <c r="N560" s="392"/>
      <c r="O560" s="392"/>
      <c r="P560" s="392"/>
      <c r="Q560" s="392"/>
      <c r="R560" s="392"/>
      <c r="S560" s="392"/>
      <c r="T560" s="392"/>
      <c r="U560" s="392"/>
      <c r="V560" s="392"/>
      <c r="W560" s="392"/>
    </row>
    <row r="561" spans="1:23" ht="12.75" customHeight="1" outlineLevel="1">
      <c r="A561" s="350" t="str">
        <f>A481</f>
        <v>Repairs</v>
      </c>
    </row>
    <row r="562" spans="1:23" ht="12.75" customHeight="1" outlineLevel="1">
      <c r="A562" s="414" t="s">
        <v>131</v>
      </c>
      <c r="B562" s="413">
        <f>B481</f>
        <v>0</v>
      </c>
      <c r="C562" s="412"/>
      <c r="D562" s="380"/>
      <c r="E562" s="380"/>
    </row>
    <row r="563" spans="1:23" ht="12.75" customHeight="1" outlineLevel="1">
      <c r="A563" s="411" t="s">
        <v>155</v>
      </c>
      <c r="B563" s="393">
        <f>C481</f>
        <v>0</v>
      </c>
      <c r="C563" s="410"/>
      <c r="D563" s="380"/>
      <c r="E563" s="380"/>
    </row>
    <row r="564" spans="1:23" ht="12.75" customHeight="1" outlineLevel="1">
      <c r="A564" s="411" t="s">
        <v>154</v>
      </c>
      <c r="B564" s="393" t="str">
        <f>D481</f>
        <v>Fully Deductible</v>
      </c>
      <c r="C564" s="410"/>
      <c r="D564" s="380"/>
      <c r="E564" s="380"/>
    </row>
    <row r="565" spans="1:23" ht="12.75" customHeight="1" outlineLevel="1">
      <c r="A565" s="409" t="s">
        <v>152</v>
      </c>
      <c r="B565" s="408">
        <f>IF(B564="Straight Line",1/B563,IF(B564="Declining Balance",1/B563*2,1))</f>
        <v>1</v>
      </c>
      <c r="C565" s="407"/>
      <c r="D565" s="380"/>
      <c r="E565" s="380"/>
    </row>
    <row r="566" spans="1:23" ht="12.75" customHeight="1" outlineLevel="1">
      <c r="A566" s="380"/>
      <c r="B566" s="392"/>
      <c r="C566" s="380"/>
      <c r="D566" s="380"/>
      <c r="E566" s="380"/>
    </row>
    <row r="567" spans="1:23" ht="12.75" customHeight="1" outlineLevel="1">
      <c r="A567" s="380" t="s">
        <v>137</v>
      </c>
      <c r="B567" s="406" t="s">
        <v>167</v>
      </c>
      <c r="C567" s="405">
        <f t="shared" ref="C567:M567" si="156">B567+1</f>
        <v>2007</v>
      </c>
      <c r="D567" s="405">
        <f t="shared" si="156"/>
        <v>2008</v>
      </c>
      <c r="E567" s="405">
        <f t="shared" si="156"/>
        <v>2009</v>
      </c>
      <c r="F567" s="405">
        <f t="shared" si="156"/>
        <v>2010</v>
      </c>
      <c r="G567" s="405">
        <f t="shared" si="156"/>
        <v>2011</v>
      </c>
      <c r="H567" s="404">
        <f t="shared" si="156"/>
        <v>2012</v>
      </c>
      <c r="I567" s="405">
        <f t="shared" si="156"/>
        <v>2013</v>
      </c>
      <c r="J567" s="405">
        <f t="shared" si="156"/>
        <v>2014</v>
      </c>
      <c r="K567" s="405">
        <f t="shared" si="156"/>
        <v>2015</v>
      </c>
      <c r="L567" s="405">
        <f t="shared" si="156"/>
        <v>2016</v>
      </c>
      <c r="M567" s="404">
        <f t="shared" si="156"/>
        <v>2017</v>
      </c>
    </row>
    <row r="568" spans="1:23" ht="12.75" customHeight="1" outlineLevel="1">
      <c r="A568" s="402" t="s">
        <v>150</v>
      </c>
      <c r="B568" s="401">
        <v>0</v>
      </c>
      <c r="C568" s="400">
        <v>0</v>
      </c>
      <c r="D568" s="401">
        <v>0</v>
      </c>
      <c r="E568" s="400">
        <v>0</v>
      </c>
      <c r="F568" s="400">
        <v>0</v>
      </c>
      <c r="G568" s="400">
        <v>0</v>
      </c>
      <c r="H568" s="602">
        <v>0</v>
      </c>
      <c r="I568" s="401">
        <v>0</v>
      </c>
      <c r="J568" s="400">
        <v>0</v>
      </c>
      <c r="K568" s="400">
        <v>0</v>
      </c>
      <c r="L568" s="400">
        <v>0</v>
      </c>
      <c r="M568" s="479">
        <v>0</v>
      </c>
    </row>
    <row r="569" spans="1:23" ht="12.75" customHeight="1" outlineLevel="1">
      <c r="A569" s="380"/>
      <c r="B569" s="392"/>
      <c r="C569" s="380"/>
    </row>
    <row r="570" spans="1:23" ht="12.75" customHeight="1" outlineLevel="1">
      <c r="B570" s="364">
        <v>1996</v>
      </c>
      <c r="C570" s="362">
        <v>1997</v>
      </c>
      <c r="D570" s="364">
        <v>1998</v>
      </c>
      <c r="E570" s="363">
        <v>1999</v>
      </c>
      <c r="F570" s="363">
        <v>2000</v>
      </c>
      <c r="G570" s="363">
        <v>2001</v>
      </c>
      <c r="H570" s="362">
        <v>2002</v>
      </c>
      <c r="I570" s="364">
        <v>2003</v>
      </c>
      <c r="J570" s="363">
        <v>2004</v>
      </c>
      <c r="K570" s="363">
        <v>2005</v>
      </c>
      <c r="L570" s="363">
        <v>2006</v>
      </c>
      <c r="M570" s="362">
        <v>2007</v>
      </c>
      <c r="N570" s="364">
        <v>2008</v>
      </c>
      <c r="O570" s="363">
        <v>2009</v>
      </c>
      <c r="P570" s="363">
        <v>2010</v>
      </c>
      <c r="Q570" s="363">
        <v>2011</v>
      </c>
      <c r="R570" s="362">
        <v>2012</v>
      </c>
      <c r="S570" s="364">
        <f t="shared" ref="S570:W570" si="157">R570+1</f>
        <v>2013</v>
      </c>
      <c r="T570" s="363">
        <f t="shared" si="157"/>
        <v>2014</v>
      </c>
      <c r="U570" s="363">
        <f t="shared" si="157"/>
        <v>2015</v>
      </c>
      <c r="V570" s="363">
        <f t="shared" si="157"/>
        <v>2016</v>
      </c>
      <c r="W570" s="362">
        <f t="shared" si="157"/>
        <v>2017</v>
      </c>
    </row>
    <row r="571" spans="1:23" ht="12.75" customHeight="1" outlineLevel="1">
      <c r="A571" s="394" t="s">
        <v>2</v>
      </c>
      <c r="B571" s="393">
        <f>B562</f>
        <v>0</v>
      </c>
      <c r="C571" s="391">
        <f t="shared" ref="C571:W571" si="158">B574</f>
        <v>0</v>
      </c>
      <c r="D571" s="393">
        <f t="shared" si="158"/>
        <v>0</v>
      </c>
      <c r="E571" s="392">
        <f t="shared" si="158"/>
        <v>0</v>
      </c>
      <c r="F571" s="392">
        <f t="shared" si="158"/>
        <v>0</v>
      </c>
      <c r="G571" s="392">
        <f t="shared" si="158"/>
        <v>0</v>
      </c>
      <c r="H571" s="391">
        <f t="shared" si="158"/>
        <v>0</v>
      </c>
      <c r="I571" s="393">
        <f t="shared" si="158"/>
        <v>0</v>
      </c>
      <c r="J571" s="392">
        <f t="shared" si="158"/>
        <v>0</v>
      </c>
      <c r="K571" s="392">
        <f t="shared" si="158"/>
        <v>0</v>
      </c>
      <c r="L571" s="392">
        <f t="shared" si="158"/>
        <v>0</v>
      </c>
      <c r="M571" s="391">
        <f t="shared" si="158"/>
        <v>0</v>
      </c>
      <c r="N571" s="390">
        <f t="shared" si="158"/>
        <v>0</v>
      </c>
      <c r="O571" s="392">
        <f t="shared" si="158"/>
        <v>0</v>
      </c>
      <c r="P571" s="392">
        <f t="shared" si="158"/>
        <v>0</v>
      </c>
      <c r="Q571" s="392">
        <f t="shared" si="158"/>
        <v>0</v>
      </c>
      <c r="R571" s="391">
        <f t="shared" si="158"/>
        <v>0</v>
      </c>
      <c r="S571" s="390">
        <f t="shared" si="158"/>
        <v>0</v>
      </c>
      <c r="T571" s="392">
        <f t="shared" si="158"/>
        <v>0</v>
      </c>
      <c r="U571" s="392">
        <f t="shared" si="158"/>
        <v>0</v>
      </c>
      <c r="V571" s="392">
        <f t="shared" si="158"/>
        <v>0</v>
      </c>
      <c r="W571" s="391">
        <f t="shared" si="158"/>
        <v>0</v>
      </c>
    </row>
    <row r="572" spans="1:23" ht="12.75" customHeight="1" outlineLevel="1">
      <c r="A572" s="389" t="s">
        <v>149</v>
      </c>
      <c r="B572" s="393">
        <v>0</v>
      </c>
      <c r="C572" s="391">
        <v>0</v>
      </c>
      <c r="D572" s="393">
        <v>0</v>
      </c>
      <c r="E572" s="392">
        <v>0</v>
      </c>
      <c r="F572" s="392">
        <v>0</v>
      </c>
      <c r="G572" s="392">
        <v>0</v>
      </c>
      <c r="H572" s="391">
        <v>0</v>
      </c>
      <c r="I572" s="393">
        <v>0</v>
      </c>
      <c r="J572" s="392">
        <v>0</v>
      </c>
      <c r="K572" s="392">
        <v>0</v>
      </c>
      <c r="L572" s="392">
        <f t="shared" ref="L572:W572" si="159">B568</f>
        <v>0</v>
      </c>
      <c r="M572" s="391">
        <f t="shared" si="159"/>
        <v>0</v>
      </c>
      <c r="N572" s="393">
        <f t="shared" si="159"/>
        <v>0</v>
      </c>
      <c r="O572" s="392">
        <f t="shared" si="159"/>
        <v>0</v>
      </c>
      <c r="P572" s="392">
        <f t="shared" si="159"/>
        <v>0</v>
      </c>
      <c r="Q572" s="392">
        <f t="shared" si="159"/>
        <v>0</v>
      </c>
      <c r="R572" s="391">
        <f t="shared" si="159"/>
        <v>0</v>
      </c>
      <c r="S572" s="393">
        <f t="shared" si="159"/>
        <v>0</v>
      </c>
      <c r="T572" s="392">
        <f t="shared" si="159"/>
        <v>0</v>
      </c>
      <c r="U572" s="392">
        <f t="shared" si="159"/>
        <v>0</v>
      </c>
      <c r="V572" s="392">
        <f t="shared" si="159"/>
        <v>0</v>
      </c>
      <c r="W572" s="391">
        <f t="shared" si="159"/>
        <v>0</v>
      </c>
    </row>
    <row r="573" spans="1:23" ht="12.75" customHeight="1" outlineLevel="1">
      <c r="A573" s="389" t="s">
        <v>148</v>
      </c>
      <c r="B573" s="347">
        <f>IF($B565=1,B572+B571,B572*$B565*0.5)</f>
        <v>0</v>
      </c>
      <c r="C573" s="347">
        <f t="shared" ref="C573:W573" si="160">IF($B565=1,C572+C571,(C571+C572*0.5)*$B565)</f>
        <v>0</v>
      </c>
      <c r="D573" s="369">
        <f t="shared" si="160"/>
        <v>0</v>
      </c>
      <c r="E573" s="347">
        <f t="shared" si="160"/>
        <v>0</v>
      </c>
      <c r="F573" s="347">
        <f t="shared" si="160"/>
        <v>0</v>
      </c>
      <c r="G573" s="347">
        <f t="shared" si="160"/>
        <v>0</v>
      </c>
      <c r="H573" s="368">
        <f t="shared" si="160"/>
        <v>0</v>
      </c>
      <c r="I573" s="369">
        <f t="shared" si="160"/>
        <v>0</v>
      </c>
      <c r="J573" s="347">
        <f t="shared" si="160"/>
        <v>0</v>
      </c>
      <c r="K573" s="347">
        <f t="shared" si="160"/>
        <v>0</v>
      </c>
      <c r="L573" s="347">
        <f t="shared" si="160"/>
        <v>0</v>
      </c>
      <c r="M573" s="368">
        <f t="shared" si="160"/>
        <v>0</v>
      </c>
      <c r="N573" s="369">
        <f t="shared" si="160"/>
        <v>0</v>
      </c>
      <c r="O573" s="347">
        <f t="shared" si="160"/>
        <v>0</v>
      </c>
      <c r="P573" s="347">
        <f t="shared" si="160"/>
        <v>0</v>
      </c>
      <c r="Q573" s="347">
        <f t="shared" si="160"/>
        <v>0</v>
      </c>
      <c r="R573" s="368">
        <f t="shared" si="160"/>
        <v>0</v>
      </c>
      <c r="S573" s="369">
        <f t="shared" si="160"/>
        <v>0</v>
      </c>
      <c r="T573" s="347">
        <f t="shared" si="160"/>
        <v>0</v>
      </c>
      <c r="U573" s="347">
        <f t="shared" si="160"/>
        <v>0</v>
      </c>
      <c r="V573" s="347">
        <f t="shared" si="160"/>
        <v>0</v>
      </c>
      <c r="W573" s="368">
        <f t="shared" si="160"/>
        <v>0</v>
      </c>
    </row>
    <row r="574" spans="1:23" ht="12.75" customHeight="1" outlineLevel="1">
      <c r="A574" s="388" t="s">
        <v>113</v>
      </c>
      <c r="B574" s="387">
        <f t="shared" ref="B574:W574" si="161">B571+B572-B573</f>
        <v>0</v>
      </c>
      <c r="C574" s="385">
        <f t="shared" si="161"/>
        <v>0</v>
      </c>
      <c r="D574" s="387">
        <f t="shared" si="161"/>
        <v>0</v>
      </c>
      <c r="E574" s="386">
        <f t="shared" si="161"/>
        <v>0</v>
      </c>
      <c r="F574" s="386">
        <f t="shared" si="161"/>
        <v>0</v>
      </c>
      <c r="G574" s="386">
        <f t="shared" si="161"/>
        <v>0</v>
      </c>
      <c r="H574" s="385">
        <f t="shared" si="161"/>
        <v>0</v>
      </c>
      <c r="I574" s="387">
        <f t="shared" si="161"/>
        <v>0</v>
      </c>
      <c r="J574" s="386">
        <f t="shared" si="161"/>
        <v>0</v>
      </c>
      <c r="K574" s="386">
        <f t="shared" si="161"/>
        <v>0</v>
      </c>
      <c r="L574" s="386">
        <f t="shared" si="161"/>
        <v>0</v>
      </c>
      <c r="M574" s="385">
        <f t="shared" si="161"/>
        <v>0</v>
      </c>
      <c r="N574" s="387">
        <f t="shared" si="161"/>
        <v>0</v>
      </c>
      <c r="O574" s="386">
        <f t="shared" si="161"/>
        <v>0</v>
      </c>
      <c r="P574" s="386">
        <f t="shared" si="161"/>
        <v>0</v>
      </c>
      <c r="Q574" s="386">
        <f t="shared" si="161"/>
        <v>0</v>
      </c>
      <c r="R574" s="385">
        <f t="shared" si="161"/>
        <v>0</v>
      </c>
      <c r="S574" s="387">
        <f t="shared" si="161"/>
        <v>0</v>
      </c>
      <c r="T574" s="386">
        <f t="shared" si="161"/>
        <v>0</v>
      </c>
      <c r="U574" s="386">
        <f t="shared" si="161"/>
        <v>0</v>
      </c>
      <c r="V574" s="386">
        <f t="shared" si="161"/>
        <v>0</v>
      </c>
      <c r="W574" s="385">
        <f t="shared" si="161"/>
        <v>0</v>
      </c>
    </row>
    <row r="575" spans="1:23" ht="12.75" customHeight="1" outlineLevel="1"/>
    <row r="576" spans="1:23" ht="12.75" customHeight="1" outlineLevel="1"/>
    <row r="577" spans="1:23" ht="12.75" customHeight="1" outlineLevel="1">
      <c r="A577" s="350" t="s">
        <v>166</v>
      </c>
    </row>
    <row r="578" spans="1:23" ht="12.75" customHeight="1" outlineLevel="1">
      <c r="A578" s="350"/>
    </row>
    <row r="579" spans="1:23" ht="12.75" customHeight="1" outlineLevel="1">
      <c r="B579" s="364">
        <v>1996</v>
      </c>
      <c r="C579" s="362">
        <v>1997</v>
      </c>
      <c r="D579" s="364">
        <v>1998</v>
      </c>
      <c r="E579" s="363">
        <v>1999</v>
      </c>
      <c r="F579" s="363">
        <v>2000</v>
      </c>
      <c r="G579" s="363">
        <v>2001</v>
      </c>
      <c r="H579" s="362">
        <v>2002</v>
      </c>
      <c r="I579" s="364">
        <v>2003</v>
      </c>
      <c r="J579" s="363">
        <v>2004</v>
      </c>
      <c r="K579" s="363">
        <v>2005</v>
      </c>
      <c r="L579" s="363">
        <v>2006</v>
      </c>
      <c r="M579" s="362">
        <v>2007</v>
      </c>
      <c r="N579" s="364">
        <v>2008</v>
      </c>
      <c r="O579" s="363">
        <v>2009</v>
      </c>
      <c r="P579" s="363">
        <v>2010</v>
      </c>
      <c r="Q579" s="363">
        <v>2011</v>
      </c>
      <c r="R579" s="362">
        <v>2012</v>
      </c>
      <c r="S579" s="364">
        <f t="shared" ref="S579:W579" si="162">R579+1</f>
        <v>2013</v>
      </c>
      <c r="T579" s="363">
        <f t="shared" si="162"/>
        <v>2014</v>
      </c>
      <c r="U579" s="363">
        <f t="shared" si="162"/>
        <v>2015</v>
      </c>
      <c r="V579" s="363">
        <f t="shared" si="162"/>
        <v>2016</v>
      </c>
      <c r="W579" s="362">
        <f t="shared" si="162"/>
        <v>2017</v>
      </c>
    </row>
    <row r="580" spans="1:23" ht="12.75" customHeight="1" outlineLevel="1">
      <c r="A580" s="394" t="s">
        <v>2</v>
      </c>
      <c r="B580" s="427">
        <f t="shared" ref="B580:W580" si="163">B496+B511+B526+B541+B556+B571</f>
        <v>0</v>
      </c>
      <c r="C580" s="428">
        <f t="shared" si="163"/>
        <v>0</v>
      </c>
      <c r="D580" s="427">
        <f t="shared" si="163"/>
        <v>0</v>
      </c>
      <c r="E580" s="426">
        <f t="shared" si="163"/>
        <v>0</v>
      </c>
      <c r="F580" s="426">
        <f t="shared" si="163"/>
        <v>0</v>
      </c>
      <c r="G580" s="426">
        <f t="shared" si="163"/>
        <v>0</v>
      </c>
      <c r="H580" s="428">
        <f t="shared" si="163"/>
        <v>0</v>
      </c>
      <c r="I580" s="427">
        <f t="shared" si="163"/>
        <v>0</v>
      </c>
      <c r="J580" s="426">
        <f t="shared" si="163"/>
        <v>0</v>
      </c>
      <c r="K580" s="426">
        <f t="shared" si="163"/>
        <v>0</v>
      </c>
      <c r="L580" s="426">
        <f t="shared" si="163"/>
        <v>0</v>
      </c>
      <c r="M580" s="428">
        <f t="shared" si="163"/>
        <v>0</v>
      </c>
      <c r="N580" s="390">
        <f t="shared" si="163"/>
        <v>0</v>
      </c>
      <c r="O580" s="426">
        <f t="shared" si="163"/>
        <v>47.247700000000002</v>
      </c>
      <c r="P580" s="426">
        <f t="shared" si="163"/>
        <v>81.200281222708341</v>
      </c>
      <c r="Q580" s="426">
        <f t="shared" si="163"/>
        <v>121.4447493145816</v>
      </c>
      <c r="R580" s="428">
        <f t="shared" si="163"/>
        <v>175.19015092878385</v>
      </c>
      <c r="S580" s="390">
        <f t="shared" si="163"/>
        <v>248.23643484503756</v>
      </c>
      <c r="T580" s="426">
        <f t="shared" si="163"/>
        <v>217.15913989692308</v>
      </c>
      <c r="U580" s="426">
        <f t="shared" si="163"/>
        <v>190.9667987837316</v>
      </c>
      <c r="V580" s="426">
        <f t="shared" si="163"/>
        <v>168.61382254066129</v>
      </c>
      <c r="W580" s="428">
        <f t="shared" si="163"/>
        <v>149.34683490087065</v>
      </c>
    </row>
    <row r="581" spans="1:23" ht="12.75" customHeight="1" outlineLevel="1">
      <c r="A581" s="389" t="s">
        <v>137</v>
      </c>
      <c r="B581" s="427">
        <f t="shared" ref="B581:W581" si="164">B497+B512+B527+B542+B557+B572</f>
        <v>0</v>
      </c>
      <c r="C581" s="428">
        <f t="shared" si="164"/>
        <v>0</v>
      </c>
      <c r="D581" s="427">
        <f t="shared" si="164"/>
        <v>0</v>
      </c>
      <c r="E581" s="426">
        <f t="shared" si="164"/>
        <v>0</v>
      </c>
      <c r="F581" s="426">
        <f t="shared" si="164"/>
        <v>0</v>
      </c>
      <c r="G581" s="426">
        <f t="shared" si="164"/>
        <v>0</v>
      </c>
      <c r="H581" s="428">
        <f t="shared" si="164"/>
        <v>0</v>
      </c>
      <c r="I581" s="427">
        <f t="shared" si="164"/>
        <v>0</v>
      </c>
      <c r="J581" s="426">
        <f t="shared" si="164"/>
        <v>0</v>
      </c>
      <c r="K581" s="426">
        <f t="shared" si="164"/>
        <v>0</v>
      </c>
      <c r="L581" s="426">
        <f t="shared" si="164"/>
        <v>0</v>
      </c>
      <c r="M581" s="428">
        <f t="shared" si="164"/>
        <v>0</v>
      </c>
      <c r="N581" s="427">
        <f t="shared" si="164"/>
        <v>50.802000000000007</v>
      </c>
      <c r="O581" s="426">
        <f t="shared" si="164"/>
        <v>43.590004080000007</v>
      </c>
      <c r="P581" s="426">
        <f t="shared" si="164"/>
        <v>55.073944299999994</v>
      </c>
      <c r="Q581" s="426">
        <f t="shared" si="164"/>
        <v>74.548000000000002</v>
      </c>
      <c r="R581" s="428">
        <f t="shared" si="164"/>
        <v>102.01500000000001</v>
      </c>
      <c r="S581" s="427">
        <f t="shared" si="164"/>
        <v>0</v>
      </c>
      <c r="T581" s="426">
        <f t="shared" si="164"/>
        <v>0</v>
      </c>
      <c r="U581" s="426">
        <f t="shared" si="164"/>
        <v>0</v>
      </c>
      <c r="V581" s="426">
        <f t="shared" si="164"/>
        <v>0</v>
      </c>
      <c r="W581" s="428">
        <f t="shared" si="164"/>
        <v>0</v>
      </c>
    </row>
    <row r="582" spans="1:23" ht="12.75" customHeight="1" outlineLevel="1">
      <c r="A582" s="389" t="s">
        <v>136</v>
      </c>
      <c r="B582" s="427">
        <f t="shared" ref="B582:W582" si="165">B498+B513+B528+B543+B558+B573</f>
        <v>0</v>
      </c>
      <c r="C582" s="428">
        <f t="shared" si="165"/>
        <v>0</v>
      </c>
      <c r="D582" s="427">
        <f t="shared" si="165"/>
        <v>0</v>
      </c>
      <c r="E582" s="426">
        <f t="shared" si="165"/>
        <v>0</v>
      </c>
      <c r="F582" s="426">
        <f t="shared" si="165"/>
        <v>0</v>
      </c>
      <c r="G582" s="426">
        <f t="shared" si="165"/>
        <v>0</v>
      </c>
      <c r="H582" s="428">
        <f t="shared" si="165"/>
        <v>0</v>
      </c>
      <c r="I582" s="427">
        <f t="shared" si="165"/>
        <v>0</v>
      </c>
      <c r="J582" s="426">
        <f t="shared" si="165"/>
        <v>0</v>
      </c>
      <c r="K582" s="426">
        <f t="shared" si="165"/>
        <v>0</v>
      </c>
      <c r="L582" s="426">
        <f t="shared" si="165"/>
        <v>0</v>
      </c>
      <c r="M582" s="428">
        <f t="shared" si="165"/>
        <v>0</v>
      </c>
      <c r="N582" s="427">
        <f t="shared" si="165"/>
        <v>3.5542999999999996</v>
      </c>
      <c r="O582" s="426">
        <f t="shared" si="165"/>
        <v>9.6374228572916678</v>
      </c>
      <c r="P582" s="426">
        <f t="shared" si="165"/>
        <v>14.829476208126737</v>
      </c>
      <c r="Q582" s="426">
        <f t="shared" si="165"/>
        <v>20.802598385797729</v>
      </c>
      <c r="R582" s="428">
        <f t="shared" si="165"/>
        <v>28.968716083746294</v>
      </c>
      <c r="S582" s="427">
        <f t="shared" si="165"/>
        <v>31.077294948114453</v>
      </c>
      <c r="T582" s="426">
        <f t="shared" si="165"/>
        <v>26.192341113191485</v>
      </c>
      <c r="U582" s="426">
        <f t="shared" si="165"/>
        <v>22.352976243070298</v>
      </c>
      <c r="V582" s="426">
        <f t="shared" si="165"/>
        <v>19.266987639790646</v>
      </c>
      <c r="W582" s="428">
        <f t="shared" si="165"/>
        <v>16.73759035980585</v>
      </c>
    </row>
    <row r="583" spans="1:23" ht="12.75" customHeight="1" outlineLevel="1">
      <c r="A583" s="389" t="s">
        <v>113</v>
      </c>
      <c r="B583" s="421">
        <f t="shared" ref="B583:W583" si="166">B499+B514+B529+B544+B559+B574</f>
        <v>0</v>
      </c>
      <c r="C583" s="422">
        <f t="shared" si="166"/>
        <v>0</v>
      </c>
      <c r="D583" s="421">
        <f t="shared" si="166"/>
        <v>0</v>
      </c>
      <c r="E583" s="420">
        <f t="shared" si="166"/>
        <v>0</v>
      </c>
      <c r="F583" s="420">
        <f t="shared" si="166"/>
        <v>0</v>
      </c>
      <c r="G583" s="420">
        <f t="shared" si="166"/>
        <v>0</v>
      </c>
      <c r="H583" s="422">
        <f t="shared" si="166"/>
        <v>0</v>
      </c>
      <c r="I583" s="421">
        <f t="shared" si="166"/>
        <v>0</v>
      </c>
      <c r="J583" s="420">
        <f t="shared" si="166"/>
        <v>0</v>
      </c>
      <c r="K583" s="420">
        <f t="shared" si="166"/>
        <v>0</v>
      </c>
      <c r="L583" s="420">
        <f t="shared" si="166"/>
        <v>0</v>
      </c>
      <c r="M583" s="384">
        <f t="shared" si="166"/>
        <v>0</v>
      </c>
      <c r="N583" s="421">
        <f t="shared" si="166"/>
        <v>47.247700000000002</v>
      </c>
      <c r="O583" s="420">
        <f t="shared" si="166"/>
        <v>81.200281222708341</v>
      </c>
      <c r="P583" s="420">
        <f t="shared" si="166"/>
        <v>121.4447493145816</v>
      </c>
      <c r="Q583" s="420">
        <f t="shared" si="166"/>
        <v>175.19015092878385</v>
      </c>
      <c r="R583" s="422">
        <f t="shared" si="166"/>
        <v>248.23643484503756</v>
      </c>
      <c r="S583" s="421">
        <f t="shared" si="166"/>
        <v>217.15913989692308</v>
      </c>
      <c r="T583" s="420">
        <f t="shared" si="166"/>
        <v>190.9667987837316</v>
      </c>
      <c r="U583" s="420">
        <f t="shared" si="166"/>
        <v>168.61382254066129</v>
      </c>
      <c r="V583" s="420">
        <f t="shared" si="166"/>
        <v>149.34683490087065</v>
      </c>
      <c r="W583" s="422">
        <f t="shared" si="166"/>
        <v>132.60924454106481</v>
      </c>
    </row>
    <row r="584" spans="1:23" ht="12.75" customHeight="1" outlineLevel="1">
      <c r="A584" s="380"/>
      <c r="B584" s="380"/>
      <c r="C584" s="380"/>
      <c r="D584" s="380"/>
      <c r="E584" s="380"/>
      <c r="F584" s="380"/>
      <c r="G584" s="380"/>
      <c r="H584" s="380"/>
      <c r="I584" s="380"/>
      <c r="J584" s="380"/>
      <c r="K584" s="380"/>
      <c r="L584" s="380"/>
      <c r="M584" s="416"/>
      <c r="N584" s="380"/>
      <c r="O584" s="380"/>
      <c r="P584" s="380"/>
      <c r="Q584" s="380"/>
      <c r="R584" s="380"/>
    </row>
    <row r="585" spans="1:23" ht="12.75" customHeight="1" outlineLevel="1">
      <c r="A585" s="383"/>
      <c r="B585" s="382"/>
      <c r="C585" s="382"/>
      <c r="D585" s="382"/>
      <c r="E585" s="382"/>
      <c r="F585" s="382"/>
      <c r="G585" s="382"/>
      <c r="H585" s="382"/>
      <c r="I585" s="382"/>
      <c r="J585" s="382"/>
      <c r="K585" s="382"/>
      <c r="L585" s="382"/>
      <c r="M585" s="381"/>
      <c r="N585" s="380"/>
      <c r="O585" s="380"/>
      <c r="P585" s="380"/>
      <c r="Q585" s="380"/>
      <c r="R585" s="380"/>
    </row>
    <row r="586" spans="1:23" ht="12.75" customHeight="1" outlineLevel="1">
      <c r="A586" s="383"/>
      <c r="B586" s="382"/>
      <c r="C586" s="382"/>
      <c r="D586" s="382"/>
      <c r="E586" s="382"/>
      <c r="F586" s="382"/>
      <c r="G586" s="382"/>
      <c r="H586" s="382"/>
      <c r="I586" s="382"/>
      <c r="J586" s="382"/>
      <c r="K586" s="382"/>
      <c r="L586" s="382"/>
      <c r="M586" s="381"/>
      <c r="N586" s="380"/>
      <c r="O586" s="380"/>
      <c r="P586" s="380"/>
      <c r="Q586" s="380"/>
      <c r="R586" s="380"/>
    </row>
    <row r="587" spans="1:23">
      <c r="A587" s="383"/>
      <c r="B587" s="382"/>
      <c r="C587" s="382"/>
      <c r="D587" s="382"/>
      <c r="E587" s="382"/>
      <c r="F587" s="382"/>
      <c r="G587" s="382"/>
      <c r="H587" s="382"/>
      <c r="I587" s="382"/>
      <c r="J587" s="382"/>
      <c r="K587" s="382"/>
      <c r="L587" s="382"/>
      <c r="M587" s="381"/>
      <c r="N587" s="380"/>
      <c r="O587" s="380"/>
      <c r="P587" s="380"/>
      <c r="Q587" s="380"/>
      <c r="R587" s="380"/>
    </row>
    <row r="588" spans="1:23">
      <c r="A588" s="356" t="s">
        <v>165</v>
      </c>
    </row>
    <row r="590" spans="1:23" ht="25.5" customHeight="1" outlineLevel="1">
      <c r="A590" s="415" t="s">
        <v>164</v>
      </c>
      <c r="B590" s="478" t="s">
        <v>163</v>
      </c>
      <c r="C590" s="478" t="s">
        <v>162</v>
      </c>
      <c r="D590" s="658" t="s">
        <v>161</v>
      </c>
      <c r="E590" s="658"/>
    </row>
    <row r="591" spans="1:23" ht="12.75" customHeight="1" outlineLevel="1">
      <c r="A591" s="394" t="s">
        <v>121</v>
      </c>
      <c r="B591" s="477">
        <v>0</v>
      </c>
      <c r="C591" s="413">
        <v>20</v>
      </c>
      <c r="D591" s="413" t="s">
        <v>153</v>
      </c>
      <c r="E591" s="412"/>
    </row>
    <row r="592" spans="1:23" ht="12.75" customHeight="1" outlineLevel="1">
      <c r="A592" s="389" t="s">
        <v>134</v>
      </c>
      <c r="B592" s="475">
        <f>B591</f>
        <v>0</v>
      </c>
      <c r="C592" s="393">
        <v>15</v>
      </c>
      <c r="D592" s="393" t="s">
        <v>153</v>
      </c>
      <c r="E592" s="410"/>
    </row>
    <row r="593" spans="1:13" ht="12.75" customHeight="1" outlineLevel="1">
      <c r="A593" s="389" t="s">
        <v>160</v>
      </c>
      <c r="B593" s="475">
        <f>B592</f>
        <v>0</v>
      </c>
      <c r="C593" s="393">
        <v>15</v>
      </c>
      <c r="D593" s="393" t="s">
        <v>153</v>
      </c>
      <c r="E593" s="410"/>
    </row>
    <row r="594" spans="1:13" ht="12.75" customHeight="1" outlineLevel="1">
      <c r="A594" s="445" t="s">
        <v>123</v>
      </c>
      <c r="B594" s="476">
        <f>B593</f>
        <v>0</v>
      </c>
      <c r="C594" s="448">
        <v>40</v>
      </c>
      <c r="D594" s="448" t="s">
        <v>153</v>
      </c>
      <c r="E594" s="465"/>
    </row>
    <row r="595" spans="1:13" ht="12.75" customHeight="1" outlineLevel="1">
      <c r="A595" s="445" t="s">
        <v>128</v>
      </c>
      <c r="B595" s="476"/>
      <c r="C595" s="448" t="s">
        <v>129</v>
      </c>
      <c r="D595" s="448" t="s">
        <v>129</v>
      </c>
      <c r="E595" s="465"/>
    </row>
    <row r="596" spans="1:13" ht="12.75" customHeight="1" outlineLevel="1">
      <c r="A596" s="389" t="s">
        <v>126</v>
      </c>
      <c r="B596" s="475">
        <f>B594</f>
        <v>0</v>
      </c>
      <c r="C596" s="393">
        <v>10</v>
      </c>
      <c r="D596" s="393" t="s">
        <v>153</v>
      </c>
      <c r="E596" s="410"/>
    </row>
    <row r="597" spans="1:13" ht="12.75" customHeight="1" outlineLevel="1">
      <c r="A597" s="389" t="s">
        <v>159</v>
      </c>
      <c r="B597" s="474">
        <f>B594</f>
        <v>0</v>
      </c>
      <c r="C597" s="473">
        <v>0</v>
      </c>
      <c r="D597" s="387" t="s">
        <v>158</v>
      </c>
      <c r="E597" s="407"/>
    </row>
    <row r="598" spans="1:13" ht="12.75" customHeight="1" outlineLevel="1">
      <c r="A598" s="380"/>
      <c r="B598" s="392">
        <f>SUM(B591:B597)</f>
        <v>0</v>
      </c>
      <c r="C598" s="396"/>
      <c r="D598" s="392"/>
      <c r="E598" s="380"/>
    </row>
    <row r="599" spans="1:13" ht="12.75" customHeight="1" outlineLevel="1"/>
    <row r="600" spans="1:13" ht="12.75" customHeight="1" outlineLevel="1">
      <c r="A600" s="350" t="s">
        <v>157</v>
      </c>
    </row>
    <row r="601" spans="1:13" ht="12.75" customHeight="1" outlineLevel="1"/>
    <row r="602" spans="1:13" ht="12.75" customHeight="1" outlineLevel="1">
      <c r="A602" s="350" t="str">
        <f>A591</f>
        <v>Mains &amp; Services</v>
      </c>
    </row>
    <row r="603" spans="1:13" ht="12.75" customHeight="1" outlineLevel="1">
      <c r="A603" s="414" t="s">
        <v>131</v>
      </c>
      <c r="B603" s="413">
        <f>B591</f>
        <v>0</v>
      </c>
      <c r="C603" s="412"/>
      <c r="D603" s="380"/>
      <c r="E603" s="380"/>
    </row>
    <row r="604" spans="1:13" ht="12.75" customHeight="1" outlineLevel="1">
      <c r="A604" s="411" t="s">
        <v>155</v>
      </c>
      <c r="B604" s="393">
        <f>C591</f>
        <v>20</v>
      </c>
      <c r="C604" s="410"/>
      <c r="D604" s="380"/>
      <c r="E604" s="380"/>
    </row>
    <row r="605" spans="1:13" ht="12.75" customHeight="1" outlineLevel="1">
      <c r="A605" s="411" t="s">
        <v>154</v>
      </c>
      <c r="B605" s="393" t="str">
        <f>D591</f>
        <v>Straight Line</v>
      </c>
      <c r="C605" s="410"/>
      <c r="D605" s="380"/>
      <c r="E605" s="380"/>
    </row>
    <row r="606" spans="1:13" ht="12.75" customHeight="1" outlineLevel="1">
      <c r="A606" s="409" t="s">
        <v>152</v>
      </c>
      <c r="B606" s="408">
        <f>IF(B605="Straight Line",1/B604,IF(B605="Declining Balance",1/B604*2,1))</f>
        <v>0.05</v>
      </c>
      <c r="C606" s="407"/>
      <c r="D606" s="380"/>
      <c r="E606" s="380"/>
    </row>
    <row r="607" spans="1:13" ht="12.75" customHeight="1" outlineLevel="1">
      <c r="A607" s="380"/>
      <c r="B607" s="392"/>
      <c r="C607" s="380"/>
      <c r="D607" s="380"/>
      <c r="E607" s="380"/>
    </row>
    <row r="608" spans="1:13" ht="12.75" customHeight="1" outlineLevel="1">
      <c r="A608" s="380" t="s">
        <v>137</v>
      </c>
      <c r="B608" s="406" t="s">
        <v>151</v>
      </c>
      <c r="C608" s="405">
        <f t="shared" ref="C608:H608" si="167">B608+1</f>
        <v>2012</v>
      </c>
      <c r="D608" s="405">
        <f t="shared" si="167"/>
        <v>2013</v>
      </c>
      <c r="E608" s="405">
        <f t="shared" si="167"/>
        <v>2014</v>
      </c>
      <c r="F608" s="405">
        <f t="shared" si="167"/>
        <v>2015</v>
      </c>
      <c r="G608" s="405">
        <f t="shared" si="167"/>
        <v>2016</v>
      </c>
      <c r="H608" s="404">
        <f t="shared" si="167"/>
        <v>2017</v>
      </c>
      <c r="I608" s="405">
        <v>2018</v>
      </c>
      <c r="J608" s="405">
        <v>2019</v>
      </c>
      <c r="K608" s="405">
        <v>2020</v>
      </c>
      <c r="L608" s="405">
        <v>2021</v>
      </c>
      <c r="M608" s="404">
        <v>2022</v>
      </c>
    </row>
    <row r="609" spans="1:23" ht="12.75" customHeight="1" outlineLevel="1">
      <c r="A609" s="402" t="s">
        <v>150</v>
      </c>
      <c r="B609" s="401">
        <v>0</v>
      </c>
      <c r="C609" s="400">
        <v>0</v>
      </c>
      <c r="D609" s="600">
        <f>Input!H41-Input!H75</f>
        <v>90.344980505123758</v>
      </c>
      <c r="E609" s="601">
        <f>Input!I41-Input!I75</f>
        <v>98.320428527114714</v>
      </c>
      <c r="F609" s="601">
        <f>Input!J41-Input!J75</f>
        <v>103.7539594805359</v>
      </c>
      <c r="G609" s="601">
        <f>Input!K41-Input!K75</f>
        <v>77.663486793848918</v>
      </c>
      <c r="H609" s="602">
        <f>Input!L41-Input!L75</f>
        <v>83.55</v>
      </c>
      <c r="I609" s="399"/>
      <c r="J609" s="398"/>
      <c r="K609" s="398"/>
      <c r="L609" s="398"/>
      <c r="M609" s="397"/>
    </row>
    <row r="610" spans="1:23" ht="12.75" customHeight="1" outlineLevel="1">
      <c r="A610" s="380"/>
      <c r="B610" s="392"/>
      <c r="C610" s="380"/>
    </row>
    <row r="611" spans="1:23" ht="12.75" customHeight="1" outlineLevel="1">
      <c r="B611" s="364">
        <v>1996</v>
      </c>
      <c r="C611" s="362">
        <v>1997</v>
      </c>
      <c r="D611" s="364">
        <v>1998</v>
      </c>
      <c r="E611" s="363">
        <v>1999</v>
      </c>
      <c r="F611" s="363">
        <v>2000</v>
      </c>
      <c r="G611" s="363">
        <v>2001</v>
      </c>
      <c r="H611" s="362">
        <v>2002</v>
      </c>
      <c r="I611" s="364">
        <v>2003</v>
      </c>
      <c r="J611" s="363">
        <v>2004</v>
      </c>
      <c r="K611" s="363">
        <v>2005</v>
      </c>
      <c r="L611" s="363">
        <v>2006</v>
      </c>
      <c r="M611" s="362">
        <v>2007</v>
      </c>
      <c r="N611" s="364">
        <v>2008</v>
      </c>
      <c r="O611" s="363">
        <v>2009</v>
      </c>
      <c r="P611" s="363">
        <v>2010</v>
      </c>
      <c r="Q611" s="363">
        <v>2011</v>
      </c>
      <c r="R611" s="362">
        <v>2012</v>
      </c>
      <c r="S611" s="364">
        <f>R611+1</f>
        <v>2013</v>
      </c>
      <c r="T611" s="363">
        <f>S611+1</f>
        <v>2014</v>
      </c>
      <c r="U611" s="363">
        <f>T611+1</f>
        <v>2015</v>
      </c>
      <c r="V611" s="363">
        <f>U611+1</f>
        <v>2016</v>
      </c>
      <c r="W611" s="362">
        <f>V611+1</f>
        <v>2017</v>
      </c>
    </row>
    <row r="612" spans="1:23" ht="12.75" customHeight="1" outlineLevel="1">
      <c r="A612" s="394" t="s">
        <v>2</v>
      </c>
      <c r="B612" s="393">
        <f>B603</f>
        <v>0</v>
      </c>
      <c r="C612" s="391">
        <f t="shared" ref="C612:W612" si="168">B615</f>
        <v>0</v>
      </c>
      <c r="D612" s="393">
        <f t="shared" si="168"/>
        <v>0</v>
      </c>
      <c r="E612" s="392">
        <f t="shared" si="168"/>
        <v>0</v>
      </c>
      <c r="F612" s="392">
        <f t="shared" si="168"/>
        <v>0</v>
      </c>
      <c r="G612" s="392">
        <f t="shared" si="168"/>
        <v>0</v>
      </c>
      <c r="H612" s="391">
        <f t="shared" si="168"/>
        <v>0</v>
      </c>
      <c r="I612" s="393">
        <f t="shared" si="168"/>
        <v>0</v>
      </c>
      <c r="J612" s="392">
        <f t="shared" si="168"/>
        <v>0</v>
      </c>
      <c r="K612" s="392">
        <f t="shared" si="168"/>
        <v>0</v>
      </c>
      <c r="L612" s="392">
        <f t="shared" si="168"/>
        <v>0</v>
      </c>
      <c r="M612" s="391">
        <f t="shared" si="168"/>
        <v>0</v>
      </c>
      <c r="N612" s="390">
        <f t="shared" si="168"/>
        <v>0</v>
      </c>
      <c r="O612" s="392">
        <f t="shared" si="168"/>
        <v>0</v>
      </c>
      <c r="P612" s="392">
        <f t="shared" si="168"/>
        <v>0</v>
      </c>
      <c r="Q612" s="392">
        <f t="shared" si="168"/>
        <v>0</v>
      </c>
      <c r="R612" s="391">
        <f t="shared" si="168"/>
        <v>0</v>
      </c>
      <c r="S612" s="390">
        <f t="shared" si="168"/>
        <v>0</v>
      </c>
      <c r="T612" s="392">
        <f t="shared" si="168"/>
        <v>88.086355992495669</v>
      </c>
      <c r="U612" s="392">
        <f t="shared" si="168"/>
        <v>179.43152478117631</v>
      </c>
      <c r="V612" s="392">
        <f t="shared" si="168"/>
        <v>271.15836482308686</v>
      </c>
      <c r="W612" s="391">
        <f t="shared" si="168"/>
        <v>332.25929602145084</v>
      </c>
    </row>
    <row r="613" spans="1:23" ht="12.75" customHeight="1" outlineLevel="1">
      <c r="A613" s="389" t="s">
        <v>149</v>
      </c>
      <c r="B613" s="393">
        <v>0</v>
      </c>
      <c r="C613" s="391">
        <v>0</v>
      </c>
      <c r="D613" s="393">
        <v>0</v>
      </c>
      <c r="E613" s="392">
        <v>0</v>
      </c>
      <c r="F613" s="392">
        <v>0</v>
      </c>
      <c r="G613" s="392">
        <v>0</v>
      </c>
      <c r="H613" s="391">
        <v>0</v>
      </c>
      <c r="I613" s="393">
        <v>0</v>
      </c>
      <c r="J613" s="392">
        <v>0</v>
      </c>
      <c r="K613" s="392">
        <v>0</v>
      </c>
      <c r="L613" s="392">
        <v>0</v>
      </c>
      <c r="M613" s="391">
        <v>0</v>
      </c>
      <c r="N613" s="393">
        <v>0</v>
      </c>
      <c r="O613" s="392">
        <v>0</v>
      </c>
      <c r="P613" s="392">
        <v>0</v>
      </c>
      <c r="Q613" s="392">
        <f t="shared" ref="Q613:W613" si="169">B609</f>
        <v>0</v>
      </c>
      <c r="R613" s="391">
        <f t="shared" si="169"/>
        <v>0</v>
      </c>
      <c r="S613" s="393">
        <f t="shared" si="169"/>
        <v>90.344980505123758</v>
      </c>
      <c r="T613" s="392">
        <f t="shared" si="169"/>
        <v>98.320428527114714</v>
      </c>
      <c r="U613" s="392">
        <f t="shared" si="169"/>
        <v>103.7539594805359</v>
      </c>
      <c r="V613" s="392">
        <f t="shared" si="169"/>
        <v>77.663486793848918</v>
      </c>
      <c r="W613" s="391">
        <f t="shared" si="169"/>
        <v>83.55</v>
      </c>
    </row>
    <row r="614" spans="1:23" ht="12.75" customHeight="1" outlineLevel="1">
      <c r="A614" s="389" t="s">
        <v>148</v>
      </c>
      <c r="B614" s="347">
        <f>IF($B606=1,B613+B612,B613*$B606*0.5)</f>
        <v>0</v>
      </c>
      <c r="C614" s="347">
        <f t="shared" ref="C614:R614" si="170">IF($B606=1,C613+C612,(C612+C613*0.5)*$B606)</f>
        <v>0</v>
      </c>
      <c r="D614" s="369">
        <f t="shared" si="170"/>
        <v>0</v>
      </c>
      <c r="E614" s="347">
        <f t="shared" si="170"/>
        <v>0</v>
      </c>
      <c r="F614" s="347">
        <f t="shared" si="170"/>
        <v>0</v>
      </c>
      <c r="G614" s="347">
        <f t="shared" si="170"/>
        <v>0</v>
      </c>
      <c r="H614" s="368">
        <f t="shared" si="170"/>
        <v>0</v>
      </c>
      <c r="I614" s="369">
        <f t="shared" si="170"/>
        <v>0</v>
      </c>
      <c r="J614" s="347">
        <f t="shared" si="170"/>
        <v>0</v>
      </c>
      <c r="K614" s="347">
        <f t="shared" si="170"/>
        <v>0</v>
      </c>
      <c r="L614" s="347">
        <f t="shared" si="170"/>
        <v>0</v>
      </c>
      <c r="M614" s="368">
        <f t="shared" si="170"/>
        <v>0</v>
      </c>
      <c r="N614" s="369">
        <f t="shared" si="170"/>
        <v>0</v>
      </c>
      <c r="O614" s="347">
        <f t="shared" si="170"/>
        <v>0</v>
      </c>
      <c r="P614" s="347">
        <f t="shared" si="170"/>
        <v>0</v>
      </c>
      <c r="Q614" s="347">
        <f t="shared" si="170"/>
        <v>0</v>
      </c>
      <c r="R614" s="368">
        <f t="shared" si="170"/>
        <v>0</v>
      </c>
      <c r="S614" s="472">
        <f>(SUM($B$613:R613)+S613*0.5)*$B$606</f>
        <v>2.2586245126280939</v>
      </c>
      <c r="T614" s="471">
        <f>(SUM($B$613:S613)+T613*0.5)*$B$606</f>
        <v>6.9752597384340564</v>
      </c>
      <c r="U614" s="471">
        <f>(SUM($B$613:T613)+U613*0.5)*$B$606</f>
        <v>12.027119438625322</v>
      </c>
      <c r="V614" s="471">
        <f>(SUM($B$613:U613)+V613*0.5)*$B$606</f>
        <v>16.562555595484945</v>
      </c>
      <c r="W614" s="471">
        <f>(SUM($B$613:V613)+W613*0.5)*$B$606</f>
        <v>20.592892765331165</v>
      </c>
    </row>
    <row r="615" spans="1:23" ht="12.75" customHeight="1" outlineLevel="1">
      <c r="A615" s="388" t="s">
        <v>113</v>
      </c>
      <c r="B615" s="387">
        <f t="shared" ref="B615:W615" si="171">B612+B613-B614</f>
        <v>0</v>
      </c>
      <c r="C615" s="385">
        <f t="shared" si="171"/>
        <v>0</v>
      </c>
      <c r="D615" s="387">
        <f t="shared" si="171"/>
        <v>0</v>
      </c>
      <c r="E615" s="386">
        <f t="shared" si="171"/>
        <v>0</v>
      </c>
      <c r="F615" s="386">
        <f t="shared" si="171"/>
        <v>0</v>
      </c>
      <c r="G615" s="386">
        <f t="shared" si="171"/>
        <v>0</v>
      </c>
      <c r="H615" s="385">
        <f t="shared" si="171"/>
        <v>0</v>
      </c>
      <c r="I615" s="387">
        <f t="shared" si="171"/>
        <v>0</v>
      </c>
      <c r="J615" s="386">
        <f t="shared" si="171"/>
        <v>0</v>
      </c>
      <c r="K615" s="386">
        <f t="shared" si="171"/>
        <v>0</v>
      </c>
      <c r="L615" s="386">
        <f t="shared" si="171"/>
        <v>0</v>
      </c>
      <c r="M615" s="385">
        <f t="shared" si="171"/>
        <v>0</v>
      </c>
      <c r="N615" s="387">
        <f t="shared" si="171"/>
        <v>0</v>
      </c>
      <c r="O615" s="386">
        <f t="shared" si="171"/>
        <v>0</v>
      </c>
      <c r="P615" s="386">
        <f t="shared" si="171"/>
        <v>0</v>
      </c>
      <c r="Q615" s="386">
        <f t="shared" si="171"/>
        <v>0</v>
      </c>
      <c r="R615" s="385">
        <f t="shared" si="171"/>
        <v>0</v>
      </c>
      <c r="S615" s="387">
        <f t="shared" si="171"/>
        <v>88.086355992495669</v>
      </c>
      <c r="T615" s="386">
        <f t="shared" si="171"/>
        <v>179.43152478117631</v>
      </c>
      <c r="U615" s="386">
        <f t="shared" si="171"/>
        <v>271.15836482308686</v>
      </c>
      <c r="V615" s="386">
        <f t="shared" si="171"/>
        <v>332.25929602145084</v>
      </c>
      <c r="W615" s="385">
        <f t="shared" si="171"/>
        <v>395.21640325611969</v>
      </c>
    </row>
    <row r="616" spans="1:23" ht="12.75" customHeight="1" outlineLevel="1"/>
    <row r="617" spans="1:23" ht="12.75" customHeight="1" outlineLevel="1">
      <c r="A617" s="350" t="str">
        <f>A592</f>
        <v>Meters Domestic</v>
      </c>
    </row>
    <row r="618" spans="1:23" ht="12.75" customHeight="1" outlineLevel="1">
      <c r="A618" s="414" t="s">
        <v>131</v>
      </c>
      <c r="B618" s="413">
        <f>B592</f>
        <v>0</v>
      </c>
      <c r="C618" s="412"/>
      <c r="D618" s="380"/>
      <c r="E618" s="380"/>
    </row>
    <row r="619" spans="1:23" ht="12.75" customHeight="1" outlineLevel="1">
      <c r="A619" s="411" t="s">
        <v>155</v>
      </c>
      <c r="B619" s="393">
        <f>C592</f>
        <v>15</v>
      </c>
      <c r="C619" s="410"/>
      <c r="D619" s="380"/>
      <c r="E619" s="380"/>
    </row>
    <row r="620" spans="1:23" ht="12.75" customHeight="1" outlineLevel="1">
      <c r="A620" s="411" t="s">
        <v>154</v>
      </c>
      <c r="B620" s="393" t="str">
        <f>D592</f>
        <v>Straight Line</v>
      </c>
      <c r="C620" s="410"/>
      <c r="D620" s="380"/>
      <c r="E620" s="380"/>
    </row>
    <row r="621" spans="1:23" ht="12.75" customHeight="1" outlineLevel="1">
      <c r="A621" s="409" t="s">
        <v>152</v>
      </c>
      <c r="B621" s="408">
        <f>IF(B620="Straight Line",1/B619,IF(B620="Declining Balance",1/B619*1.5,1))</f>
        <v>6.6666666666666666E-2</v>
      </c>
      <c r="C621" s="407"/>
      <c r="D621" s="380"/>
      <c r="E621" s="380"/>
    </row>
    <row r="622" spans="1:23" ht="12.75" customHeight="1" outlineLevel="1">
      <c r="A622" s="380"/>
      <c r="B622" s="392"/>
      <c r="C622" s="380"/>
      <c r="D622" s="380"/>
      <c r="E622" s="380"/>
    </row>
    <row r="623" spans="1:23" ht="12.75" customHeight="1" outlineLevel="1">
      <c r="A623" s="380" t="s">
        <v>137</v>
      </c>
      <c r="B623" s="406" t="s">
        <v>151</v>
      </c>
      <c r="C623" s="405">
        <f t="shared" ref="C623:H623" si="172">B623+1</f>
        <v>2012</v>
      </c>
      <c r="D623" s="405">
        <f t="shared" si="172"/>
        <v>2013</v>
      </c>
      <c r="E623" s="405">
        <f t="shared" si="172"/>
        <v>2014</v>
      </c>
      <c r="F623" s="405">
        <f t="shared" si="172"/>
        <v>2015</v>
      </c>
      <c r="G623" s="405">
        <f t="shared" si="172"/>
        <v>2016</v>
      </c>
      <c r="H623" s="404">
        <f t="shared" si="172"/>
        <v>2017</v>
      </c>
      <c r="I623" s="405">
        <v>2018</v>
      </c>
      <c r="J623" s="405">
        <v>2019</v>
      </c>
      <c r="K623" s="405">
        <v>2020</v>
      </c>
      <c r="L623" s="405">
        <v>2021</v>
      </c>
      <c r="M623" s="404">
        <v>2022</v>
      </c>
    </row>
    <row r="624" spans="1:23" ht="12.75" customHeight="1" outlineLevel="1">
      <c r="A624" s="402" t="s">
        <v>150</v>
      </c>
      <c r="B624" s="401">
        <v>0</v>
      </c>
      <c r="C624" s="400">
        <v>0</v>
      </c>
      <c r="D624" s="600">
        <f>(Input!H42-Input!H76)*'Tax Depn'!D508/('Tax Depn'!D508+'Tax Depn'!D523)</f>
        <v>5.3372583564629723</v>
      </c>
      <c r="E624" s="601">
        <f>(Input!I42-Input!I76)*'Tax Depn'!E508/('Tax Depn'!E508+'Tax Depn'!E523)</f>
        <v>6.9870116760018712</v>
      </c>
      <c r="F624" s="601">
        <f>(Input!J42-Input!J76)*'Tax Depn'!F508/('Tax Depn'!F508+'Tax Depn'!F523)</f>
        <v>7.1590782823846224</v>
      </c>
      <c r="G624" s="601">
        <f>(Input!K42-Input!K76)*'Tax Depn'!G508/('Tax Depn'!G508+'Tax Depn'!G523)</f>
        <v>8.0572517454619259</v>
      </c>
      <c r="H624" s="602">
        <f>(Input!L42-Input!L76)*'Tax Depn'!H508/('Tax Depn'!H508+'Tax Depn'!H523)</f>
        <v>10.272913892078071</v>
      </c>
      <c r="I624" s="399"/>
      <c r="J624" s="398"/>
      <c r="K624" s="398"/>
      <c r="L624" s="398"/>
      <c r="M624" s="397"/>
    </row>
    <row r="625" spans="1:23" ht="12.75" customHeight="1" outlineLevel="1">
      <c r="A625" s="380"/>
      <c r="B625" s="392"/>
      <c r="C625" s="380"/>
    </row>
    <row r="626" spans="1:23" ht="12.75" customHeight="1" outlineLevel="1">
      <c r="B626" s="364">
        <v>1996</v>
      </c>
      <c r="C626" s="362">
        <v>1997</v>
      </c>
      <c r="D626" s="364">
        <v>1998</v>
      </c>
      <c r="E626" s="363">
        <v>1999</v>
      </c>
      <c r="F626" s="363">
        <v>2000</v>
      </c>
      <c r="G626" s="363">
        <v>2001</v>
      </c>
      <c r="H626" s="362">
        <v>2002</v>
      </c>
      <c r="I626" s="364">
        <v>2003</v>
      </c>
      <c r="J626" s="363">
        <v>2004</v>
      </c>
      <c r="K626" s="363">
        <v>2005</v>
      </c>
      <c r="L626" s="363">
        <v>2006</v>
      </c>
      <c r="M626" s="362">
        <v>2007</v>
      </c>
      <c r="N626" s="364">
        <v>2008</v>
      </c>
      <c r="O626" s="363">
        <v>2009</v>
      </c>
      <c r="P626" s="363">
        <v>2010</v>
      </c>
      <c r="Q626" s="363">
        <v>2011</v>
      </c>
      <c r="R626" s="362">
        <v>2012</v>
      </c>
      <c r="S626" s="364">
        <f>R626+1</f>
        <v>2013</v>
      </c>
      <c r="T626" s="363">
        <f>S626+1</f>
        <v>2014</v>
      </c>
      <c r="U626" s="363">
        <f>T626+1</f>
        <v>2015</v>
      </c>
      <c r="V626" s="363">
        <f>U626+1</f>
        <v>2016</v>
      </c>
      <c r="W626" s="362">
        <f>V626+1</f>
        <v>2017</v>
      </c>
    </row>
    <row r="627" spans="1:23" ht="12.75" customHeight="1" outlineLevel="1">
      <c r="A627" s="394" t="s">
        <v>2</v>
      </c>
      <c r="B627" s="393">
        <f>B618</f>
        <v>0</v>
      </c>
      <c r="C627" s="391">
        <f t="shared" ref="C627:W627" si="173">B630</f>
        <v>0</v>
      </c>
      <c r="D627" s="393">
        <f t="shared" si="173"/>
        <v>0</v>
      </c>
      <c r="E627" s="392">
        <f t="shared" si="173"/>
        <v>0</v>
      </c>
      <c r="F627" s="392">
        <f t="shared" si="173"/>
        <v>0</v>
      </c>
      <c r="G627" s="392">
        <f t="shared" si="173"/>
        <v>0</v>
      </c>
      <c r="H627" s="391">
        <f t="shared" si="173"/>
        <v>0</v>
      </c>
      <c r="I627" s="393">
        <f t="shared" si="173"/>
        <v>0</v>
      </c>
      <c r="J627" s="392">
        <f t="shared" si="173"/>
        <v>0</v>
      </c>
      <c r="K627" s="392">
        <f t="shared" si="173"/>
        <v>0</v>
      </c>
      <c r="L627" s="392">
        <f t="shared" si="173"/>
        <v>0</v>
      </c>
      <c r="M627" s="391">
        <f t="shared" si="173"/>
        <v>0</v>
      </c>
      <c r="N627" s="390">
        <f t="shared" si="173"/>
        <v>0</v>
      </c>
      <c r="O627" s="392">
        <f t="shared" si="173"/>
        <v>0</v>
      </c>
      <c r="P627" s="392">
        <f t="shared" si="173"/>
        <v>0</v>
      </c>
      <c r="Q627" s="392">
        <f t="shared" si="173"/>
        <v>0</v>
      </c>
      <c r="R627" s="391">
        <f t="shared" si="173"/>
        <v>0</v>
      </c>
      <c r="S627" s="390">
        <f t="shared" si="173"/>
        <v>0</v>
      </c>
      <c r="T627" s="392">
        <f t="shared" si="173"/>
        <v>5.1593497445808731</v>
      </c>
      <c r="U627" s="392">
        <f t="shared" si="173"/>
        <v>11.557643807618485</v>
      </c>
      <c r="V627" s="392">
        <f t="shared" si="173"/>
        <v>17.656468145092628</v>
      </c>
      <c r="W627" s="391">
        <f t="shared" si="173"/>
        <v>24.14625494471586</v>
      </c>
    </row>
    <row r="628" spans="1:23" ht="12.75" customHeight="1" outlineLevel="1">
      <c r="A628" s="389" t="s">
        <v>149</v>
      </c>
      <c r="B628" s="393">
        <v>0</v>
      </c>
      <c r="C628" s="391">
        <v>0</v>
      </c>
      <c r="D628" s="393">
        <v>0</v>
      </c>
      <c r="E628" s="392">
        <v>0</v>
      </c>
      <c r="F628" s="392">
        <v>0</v>
      </c>
      <c r="G628" s="392">
        <v>0</v>
      </c>
      <c r="H628" s="391">
        <v>0</v>
      </c>
      <c r="I628" s="393">
        <v>0</v>
      </c>
      <c r="J628" s="392">
        <v>0</v>
      </c>
      <c r="K628" s="392">
        <v>0</v>
      </c>
      <c r="L628" s="392">
        <f>B624</f>
        <v>0</v>
      </c>
      <c r="M628" s="391">
        <f>C624</f>
        <v>0</v>
      </c>
      <c r="N628" s="393">
        <v>0</v>
      </c>
      <c r="O628" s="392">
        <v>0</v>
      </c>
      <c r="P628" s="392">
        <v>0</v>
      </c>
      <c r="Q628" s="392">
        <f t="shared" ref="Q628:W628" si="174">B624</f>
        <v>0</v>
      </c>
      <c r="R628" s="391">
        <f t="shared" si="174"/>
        <v>0</v>
      </c>
      <c r="S628" s="393">
        <f t="shared" si="174"/>
        <v>5.3372583564629723</v>
      </c>
      <c r="T628" s="392">
        <f t="shared" si="174"/>
        <v>6.9870116760018712</v>
      </c>
      <c r="U628" s="392">
        <f t="shared" si="174"/>
        <v>7.1590782823846224</v>
      </c>
      <c r="V628" s="392">
        <f t="shared" si="174"/>
        <v>8.0572517454619259</v>
      </c>
      <c r="W628" s="391">
        <f t="shared" si="174"/>
        <v>10.272913892078071</v>
      </c>
    </row>
    <row r="629" spans="1:23" ht="12.75" customHeight="1" outlineLevel="1">
      <c r="A629" s="389" t="s">
        <v>148</v>
      </c>
      <c r="B629" s="347">
        <f>IF($B621=1,B628+B627,B628*$B621*0.5)</f>
        <v>0</v>
      </c>
      <c r="C629" s="347">
        <f t="shared" ref="C629:R629" si="175">IF($B621=1,C628+C627,(C627+C628*0.5)*$B621)</f>
        <v>0</v>
      </c>
      <c r="D629" s="369">
        <f t="shared" si="175"/>
        <v>0</v>
      </c>
      <c r="E629" s="347">
        <f t="shared" si="175"/>
        <v>0</v>
      </c>
      <c r="F629" s="347">
        <f t="shared" si="175"/>
        <v>0</v>
      </c>
      <c r="G629" s="347">
        <f t="shared" si="175"/>
        <v>0</v>
      </c>
      <c r="H629" s="368">
        <f t="shared" si="175"/>
        <v>0</v>
      </c>
      <c r="I629" s="369">
        <f t="shared" si="175"/>
        <v>0</v>
      </c>
      <c r="J629" s="347">
        <f t="shared" si="175"/>
        <v>0</v>
      </c>
      <c r="K629" s="347">
        <f t="shared" si="175"/>
        <v>0</v>
      </c>
      <c r="L629" s="347">
        <f t="shared" si="175"/>
        <v>0</v>
      </c>
      <c r="M629" s="368">
        <f t="shared" si="175"/>
        <v>0</v>
      </c>
      <c r="N629" s="369">
        <f t="shared" si="175"/>
        <v>0</v>
      </c>
      <c r="O629" s="347">
        <f t="shared" si="175"/>
        <v>0</v>
      </c>
      <c r="P629" s="347">
        <f t="shared" si="175"/>
        <v>0</v>
      </c>
      <c r="Q629" s="347">
        <f t="shared" si="175"/>
        <v>0</v>
      </c>
      <c r="R629" s="368">
        <f t="shared" si="175"/>
        <v>0</v>
      </c>
      <c r="S629" s="437">
        <f>(SUM($B$628:R628)+S628*0.5)*$B$621</f>
        <v>0.17790861188209908</v>
      </c>
      <c r="T629" s="436">
        <f>(SUM($B$628:S628)+T628*0.5)*$B$621</f>
        <v>0.58871761296426051</v>
      </c>
      <c r="U629" s="436">
        <f>(SUM($B$628:T628)+U628*0.5)*$B$621</f>
        <v>1.0602539449104771</v>
      </c>
      <c r="V629" s="436">
        <f>(SUM($B$628:U628)+V628*0.5)*$B$621</f>
        <v>1.5674649458386951</v>
      </c>
      <c r="W629" s="436">
        <f>(SUM($B$628:V628)+W628*0.5)*$B$621</f>
        <v>2.1784704670900283</v>
      </c>
    </row>
    <row r="630" spans="1:23" ht="12.75" customHeight="1" outlineLevel="1">
      <c r="A630" s="388" t="s">
        <v>113</v>
      </c>
      <c r="B630" s="387">
        <f t="shared" ref="B630:W630" si="176">B627+B628-B629</f>
        <v>0</v>
      </c>
      <c r="C630" s="385">
        <f t="shared" si="176"/>
        <v>0</v>
      </c>
      <c r="D630" s="387">
        <f t="shared" si="176"/>
        <v>0</v>
      </c>
      <c r="E630" s="386">
        <f t="shared" si="176"/>
        <v>0</v>
      </c>
      <c r="F630" s="386">
        <f t="shared" si="176"/>
        <v>0</v>
      </c>
      <c r="G630" s="386">
        <f t="shared" si="176"/>
        <v>0</v>
      </c>
      <c r="H630" s="385">
        <f t="shared" si="176"/>
        <v>0</v>
      </c>
      <c r="I630" s="387">
        <f t="shared" si="176"/>
        <v>0</v>
      </c>
      <c r="J630" s="386">
        <f t="shared" si="176"/>
        <v>0</v>
      </c>
      <c r="K630" s="386">
        <f t="shared" si="176"/>
        <v>0</v>
      </c>
      <c r="L630" s="386">
        <f t="shared" si="176"/>
        <v>0</v>
      </c>
      <c r="M630" s="385">
        <f t="shared" si="176"/>
        <v>0</v>
      </c>
      <c r="N630" s="387">
        <f t="shared" si="176"/>
        <v>0</v>
      </c>
      <c r="O630" s="386">
        <f t="shared" si="176"/>
        <v>0</v>
      </c>
      <c r="P630" s="386">
        <f t="shared" si="176"/>
        <v>0</v>
      </c>
      <c r="Q630" s="386">
        <f t="shared" si="176"/>
        <v>0</v>
      </c>
      <c r="R630" s="385">
        <f t="shared" si="176"/>
        <v>0</v>
      </c>
      <c r="S630" s="387">
        <f t="shared" si="176"/>
        <v>5.1593497445808731</v>
      </c>
      <c r="T630" s="386">
        <f t="shared" si="176"/>
        <v>11.557643807618485</v>
      </c>
      <c r="U630" s="386">
        <f t="shared" si="176"/>
        <v>17.656468145092628</v>
      </c>
      <c r="V630" s="386">
        <f t="shared" si="176"/>
        <v>24.14625494471586</v>
      </c>
      <c r="W630" s="385">
        <f t="shared" si="176"/>
        <v>32.2406983697039</v>
      </c>
    </row>
    <row r="631" spans="1:23" ht="12.75" customHeight="1" outlineLevel="1"/>
    <row r="632" spans="1:23" ht="12.75" customHeight="1" outlineLevel="1">
      <c r="A632" s="350" t="str">
        <f>A593</f>
        <v>Meters Industrial &amp; Commercial</v>
      </c>
    </row>
    <row r="633" spans="1:23" ht="12.75" customHeight="1" outlineLevel="1">
      <c r="A633" s="414" t="s">
        <v>131</v>
      </c>
      <c r="B633" s="413">
        <f>B593</f>
        <v>0</v>
      </c>
      <c r="C633" s="412"/>
      <c r="D633" s="380"/>
      <c r="E633" s="380"/>
    </row>
    <row r="634" spans="1:23" ht="12.75" customHeight="1" outlineLevel="1">
      <c r="A634" s="411" t="s">
        <v>155</v>
      </c>
      <c r="B634" s="393">
        <f>C593</f>
        <v>15</v>
      </c>
      <c r="C634" s="410"/>
      <c r="D634" s="380"/>
      <c r="E634" s="380"/>
    </row>
    <row r="635" spans="1:23" ht="12.75" customHeight="1" outlineLevel="1">
      <c r="A635" s="411" t="s">
        <v>154</v>
      </c>
      <c r="B635" s="393" t="str">
        <f>D593</f>
        <v>Straight Line</v>
      </c>
      <c r="C635" s="410"/>
      <c r="D635" s="380"/>
      <c r="E635" s="380"/>
    </row>
    <row r="636" spans="1:23" ht="12.75" customHeight="1" outlineLevel="1">
      <c r="A636" s="409" t="s">
        <v>152</v>
      </c>
      <c r="B636" s="408">
        <f>IF(B635="Straight Line",1/B634,IF(B635="Declining Balance",1/B634*2,1))</f>
        <v>6.6666666666666666E-2</v>
      </c>
      <c r="C636" s="407"/>
      <c r="D636" s="380"/>
      <c r="E636" s="380"/>
    </row>
    <row r="637" spans="1:23" ht="12.75" customHeight="1" outlineLevel="1">
      <c r="A637" s="380"/>
      <c r="B637" s="392"/>
      <c r="C637" s="380"/>
      <c r="D637" s="380"/>
      <c r="E637" s="380"/>
    </row>
    <row r="638" spans="1:23" ht="12.75" customHeight="1" outlineLevel="1">
      <c r="A638" s="380" t="s">
        <v>137</v>
      </c>
      <c r="B638" s="406" t="s">
        <v>151</v>
      </c>
      <c r="C638" s="405">
        <f t="shared" ref="C638:H638" si="177">B638+1</f>
        <v>2012</v>
      </c>
      <c r="D638" s="405">
        <f t="shared" si="177"/>
        <v>2013</v>
      </c>
      <c r="E638" s="405">
        <f t="shared" si="177"/>
        <v>2014</v>
      </c>
      <c r="F638" s="405">
        <f t="shared" si="177"/>
        <v>2015</v>
      </c>
      <c r="G638" s="405">
        <f t="shared" si="177"/>
        <v>2016</v>
      </c>
      <c r="H638" s="404">
        <f t="shared" si="177"/>
        <v>2017</v>
      </c>
      <c r="I638" s="405">
        <v>2018</v>
      </c>
      <c r="J638" s="405">
        <v>2019</v>
      </c>
      <c r="K638" s="405">
        <v>2020</v>
      </c>
      <c r="L638" s="405">
        <v>2021</v>
      </c>
      <c r="M638" s="404">
        <v>2022</v>
      </c>
    </row>
    <row r="639" spans="1:23" ht="12.75" customHeight="1" outlineLevel="1">
      <c r="A639" s="402" t="s">
        <v>150</v>
      </c>
      <c r="B639" s="401">
        <v>0</v>
      </c>
      <c r="C639" s="400">
        <v>0</v>
      </c>
      <c r="D639" s="600">
        <f>(Input!H42-Input!H76)-D624</f>
        <v>3.1779095557565773</v>
      </c>
      <c r="E639" s="601">
        <f>(Input!I42-Input!I76)-E624</f>
        <v>3.5224474483624997</v>
      </c>
      <c r="F639" s="601">
        <f>(Input!J42-Input!J76)-F624</f>
        <v>2.4508077064505125</v>
      </c>
      <c r="G639" s="601">
        <f>(Input!K42-Input!K76)-G624</f>
        <v>3.2538644617253887</v>
      </c>
      <c r="H639" s="602">
        <f>(Input!L42-Input!L76)-H624</f>
        <v>5.0170861079219282</v>
      </c>
      <c r="I639" s="399"/>
      <c r="J639" s="398"/>
      <c r="K639" s="398"/>
      <c r="L639" s="398"/>
      <c r="M639" s="397"/>
    </row>
    <row r="640" spans="1:23" ht="12.75" customHeight="1" outlineLevel="1">
      <c r="A640" s="380"/>
      <c r="B640" s="392"/>
      <c r="C640" s="380"/>
    </row>
    <row r="641" spans="1:23" ht="12.75" customHeight="1" outlineLevel="1">
      <c r="B641" s="364">
        <v>1996</v>
      </c>
      <c r="C641" s="362">
        <v>1997</v>
      </c>
      <c r="D641" s="364">
        <v>1998</v>
      </c>
      <c r="E641" s="363">
        <v>1999</v>
      </c>
      <c r="F641" s="363">
        <v>2000</v>
      </c>
      <c r="G641" s="363">
        <v>2001</v>
      </c>
      <c r="H641" s="362">
        <v>2002</v>
      </c>
      <c r="I641" s="364">
        <v>2003</v>
      </c>
      <c r="J641" s="363">
        <v>2004</v>
      </c>
      <c r="K641" s="363">
        <v>2005</v>
      </c>
      <c r="L641" s="363">
        <v>2006</v>
      </c>
      <c r="M641" s="362">
        <v>2007</v>
      </c>
      <c r="N641" s="364">
        <v>2008</v>
      </c>
      <c r="O641" s="363">
        <v>2009</v>
      </c>
      <c r="P641" s="363">
        <v>2010</v>
      </c>
      <c r="Q641" s="363">
        <v>2011</v>
      </c>
      <c r="R641" s="362">
        <v>2012</v>
      </c>
      <c r="S641" s="364">
        <f>R641+1</f>
        <v>2013</v>
      </c>
      <c r="T641" s="363">
        <f>S641+1</f>
        <v>2014</v>
      </c>
      <c r="U641" s="363">
        <f>T641+1</f>
        <v>2015</v>
      </c>
      <c r="V641" s="363">
        <f>U641+1</f>
        <v>2016</v>
      </c>
      <c r="W641" s="362">
        <f>V641+1</f>
        <v>2017</v>
      </c>
    </row>
    <row r="642" spans="1:23" ht="12.75" customHeight="1" outlineLevel="1">
      <c r="A642" s="394" t="s">
        <v>2</v>
      </c>
      <c r="B642" s="393">
        <f>B633</f>
        <v>0</v>
      </c>
      <c r="C642" s="391">
        <f t="shared" ref="C642:W642" si="178">B645</f>
        <v>0</v>
      </c>
      <c r="D642" s="393">
        <f t="shared" si="178"/>
        <v>0</v>
      </c>
      <c r="E642" s="392">
        <f t="shared" si="178"/>
        <v>0</v>
      </c>
      <c r="F642" s="392">
        <f t="shared" si="178"/>
        <v>0</v>
      </c>
      <c r="G642" s="392">
        <f t="shared" si="178"/>
        <v>0</v>
      </c>
      <c r="H642" s="391">
        <f t="shared" si="178"/>
        <v>0</v>
      </c>
      <c r="I642" s="393">
        <f t="shared" si="178"/>
        <v>0</v>
      </c>
      <c r="J642" s="392">
        <f t="shared" si="178"/>
        <v>0</v>
      </c>
      <c r="K642" s="392">
        <f t="shared" si="178"/>
        <v>0</v>
      </c>
      <c r="L642" s="392">
        <f t="shared" si="178"/>
        <v>0</v>
      </c>
      <c r="M642" s="391">
        <f t="shared" si="178"/>
        <v>0</v>
      </c>
      <c r="N642" s="390">
        <f t="shared" si="178"/>
        <v>0</v>
      </c>
      <c r="O642" s="392">
        <f t="shared" si="178"/>
        <v>0</v>
      </c>
      <c r="P642" s="392">
        <f t="shared" si="178"/>
        <v>0</v>
      </c>
      <c r="Q642" s="392">
        <f t="shared" si="178"/>
        <v>0</v>
      </c>
      <c r="R642" s="391">
        <f t="shared" si="178"/>
        <v>0</v>
      </c>
      <c r="S642" s="390">
        <f t="shared" si="178"/>
        <v>0</v>
      </c>
      <c r="T642" s="392">
        <f t="shared" si="178"/>
        <v>3.0719792372313579</v>
      </c>
      <c r="U642" s="392">
        <f t="shared" si="178"/>
        <v>6.2651511335980024</v>
      </c>
      <c r="V642" s="392">
        <f t="shared" si="178"/>
        <v>8.1875747828922254</v>
      </c>
      <c r="W642" s="391">
        <f t="shared" si="178"/>
        <v>10.722899448522128</v>
      </c>
    </row>
    <row r="643" spans="1:23" ht="12.75" customHeight="1" outlineLevel="1">
      <c r="A643" s="389" t="s">
        <v>149</v>
      </c>
      <c r="B643" s="393">
        <v>0</v>
      </c>
      <c r="C643" s="391">
        <v>0</v>
      </c>
      <c r="D643" s="393">
        <v>0</v>
      </c>
      <c r="E643" s="392">
        <v>0</v>
      </c>
      <c r="F643" s="392">
        <v>0</v>
      </c>
      <c r="G643" s="392">
        <v>0</v>
      </c>
      <c r="H643" s="391">
        <v>0</v>
      </c>
      <c r="I643" s="393">
        <v>0</v>
      </c>
      <c r="J643" s="392">
        <v>0</v>
      </c>
      <c r="K643" s="392">
        <v>0</v>
      </c>
      <c r="L643" s="392">
        <f>B639</f>
        <v>0</v>
      </c>
      <c r="M643" s="391">
        <f>C639</f>
        <v>0</v>
      </c>
      <c r="N643" s="393">
        <v>0</v>
      </c>
      <c r="O643" s="392">
        <v>0</v>
      </c>
      <c r="P643" s="392">
        <v>0</v>
      </c>
      <c r="Q643" s="392">
        <f t="shared" ref="Q643:W643" si="179">B639</f>
        <v>0</v>
      </c>
      <c r="R643" s="391">
        <f t="shared" si="179"/>
        <v>0</v>
      </c>
      <c r="S643" s="393">
        <f t="shared" si="179"/>
        <v>3.1779095557565773</v>
      </c>
      <c r="T643" s="392">
        <f t="shared" si="179"/>
        <v>3.5224474483624997</v>
      </c>
      <c r="U643" s="392">
        <f t="shared" si="179"/>
        <v>2.4508077064505125</v>
      </c>
      <c r="V643" s="392">
        <f t="shared" si="179"/>
        <v>3.2538644617253887</v>
      </c>
      <c r="W643" s="391">
        <f t="shared" si="179"/>
        <v>5.0170861079219282</v>
      </c>
    </row>
    <row r="644" spans="1:23" ht="12.75" customHeight="1" outlineLevel="1">
      <c r="A644" s="389" t="s">
        <v>148</v>
      </c>
      <c r="B644" s="393">
        <f>B643*$B636*0.5</f>
        <v>0</v>
      </c>
      <c r="C644" s="391">
        <f>(SUM($B643:B643)+C643*0.5)*$B636</f>
        <v>0</v>
      </c>
      <c r="D644" s="393">
        <f>(SUM($B643:C643)+D643*0.5)*$B636</f>
        <v>0</v>
      </c>
      <c r="E644" s="392">
        <f>(SUM($B643:D643)+E643*0.5)*$B636</f>
        <v>0</v>
      </c>
      <c r="F644" s="392">
        <f>(SUM($B643:E643)+F643*0.5)*$B636</f>
        <v>0</v>
      </c>
      <c r="G644" s="392">
        <f>(SUM($B643:F643)+G643*0.5)*$B636</f>
        <v>0</v>
      </c>
      <c r="H644" s="391">
        <f>(SUM($B643:G643)+H643*0.5)*$B636</f>
        <v>0</v>
      </c>
      <c r="I644" s="393">
        <f>(SUM($B643:H643)+I643*0.5)*$B636</f>
        <v>0</v>
      </c>
      <c r="J644" s="392">
        <f>(SUM($B643:I643)+J643*0.5)*$B636</f>
        <v>0</v>
      </c>
      <c r="K644" s="392">
        <f>(SUM($B643:J643)+K643*0.5)*$B636</f>
        <v>0</v>
      </c>
      <c r="L644" s="392">
        <f>(SUM($B643:K643)+L643*0.5)*$B636</f>
        <v>0</v>
      </c>
      <c r="M644" s="391">
        <f>(SUM($B643:L643)+M643*0.5)*$B636</f>
        <v>0</v>
      </c>
      <c r="N644" s="393">
        <f>(SUM($B643:M643)+N643*0.5)*$B636</f>
        <v>0</v>
      </c>
      <c r="O644" s="392">
        <f>(SUM($B643:N643)+O643*0.5)*$B636</f>
        <v>0</v>
      </c>
      <c r="P644" s="392">
        <f>(SUM($B643:O643)+P643*0.5)*$B636</f>
        <v>0</v>
      </c>
      <c r="Q644" s="392">
        <f>(SUM($B643:P643)+Q643*0.5)*$B636</f>
        <v>0</v>
      </c>
      <c r="R644" s="391">
        <f>(SUM($B643:Q643)+R643*0.5)*$B636</f>
        <v>0</v>
      </c>
      <c r="S644" s="393">
        <f>(SUM($B643:R643)+S643*0.5)*$B$636</f>
        <v>0.10593031852521924</v>
      </c>
      <c r="T644" s="392">
        <f>(SUM($B643:S643)+T643*0.5)*$B636</f>
        <v>0.32927555199585518</v>
      </c>
      <c r="U644" s="392">
        <f>(SUM($B643:T643)+U643*0.5)*$B636</f>
        <v>0.52838405715628889</v>
      </c>
      <c r="V644" s="392">
        <f>(SUM($B643:U643)+V643*0.5)*$B636</f>
        <v>0.71853979609548557</v>
      </c>
      <c r="W644" s="391">
        <f>(SUM($B643:V643)+W643*0.5)*$B636</f>
        <v>0.99423814841706271</v>
      </c>
    </row>
    <row r="645" spans="1:23" ht="12.75" customHeight="1" outlineLevel="1">
      <c r="A645" s="388" t="s">
        <v>113</v>
      </c>
      <c r="B645" s="387">
        <f t="shared" ref="B645:W645" si="180">B642+B643-B644</f>
        <v>0</v>
      </c>
      <c r="C645" s="385">
        <f t="shared" si="180"/>
        <v>0</v>
      </c>
      <c r="D645" s="387">
        <f t="shared" si="180"/>
        <v>0</v>
      </c>
      <c r="E645" s="386">
        <f t="shared" si="180"/>
        <v>0</v>
      </c>
      <c r="F645" s="386">
        <f t="shared" si="180"/>
        <v>0</v>
      </c>
      <c r="G645" s="386">
        <f t="shared" si="180"/>
        <v>0</v>
      </c>
      <c r="H645" s="385">
        <f t="shared" si="180"/>
        <v>0</v>
      </c>
      <c r="I645" s="387">
        <f t="shared" si="180"/>
        <v>0</v>
      </c>
      <c r="J645" s="386">
        <f t="shared" si="180"/>
        <v>0</v>
      </c>
      <c r="K645" s="386">
        <f t="shared" si="180"/>
        <v>0</v>
      </c>
      <c r="L645" s="386">
        <f t="shared" si="180"/>
        <v>0</v>
      </c>
      <c r="M645" s="385">
        <f t="shared" si="180"/>
        <v>0</v>
      </c>
      <c r="N645" s="387">
        <f t="shared" si="180"/>
        <v>0</v>
      </c>
      <c r="O645" s="386">
        <f t="shared" si="180"/>
        <v>0</v>
      </c>
      <c r="P645" s="386">
        <f t="shared" si="180"/>
        <v>0</v>
      </c>
      <c r="Q645" s="386">
        <f t="shared" si="180"/>
        <v>0</v>
      </c>
      <c r="R645" s="385">
        <f t="shared" si="180"/>
        <v>0</v>
      </c>
      <c r="S645" s="387">
        <f t="shared" si="180"/>
        <v>3.0719792372313579</v>
      </c>
      <c r="T645" s="386">
        <f t="shared" si="180"/>
        <v>6.2651511335980024</v>
      </c>
      <c r="U645" s="386">
        <f t="shared" si="180"/>
        <v>8.1875747828922254</v>
      </c>
      <c r="V645" s="386">
        <f t="shared" si="180"/>
        <v>10.722899448522128</v>
      </c>
      <c r="W645" s="385">
        <f t="shared" si="180"/>
        <v>14.745747408026993</v>
      </c>
    </row>
    <row r="646" spans="1:23" ht="12.75" customHeight="1" outlineLevel="1">
      <c r="M646" s="438"/>
    </row>
    <row r="647" spans="1:23" ht="12.75" customHeight="1" outlineLevel="1">
      <c r="A647" s="470" t="str">
        <f>A594</f>
        <v>Buildings</v>
      </c>
    </row>
    <row r="648" spans="1:23" ht="12.75" customHeight="1" outlineLevel="1">
      <c r="A648" s="414" t="s">
        <v>131</v>
      </c>
      <c r="B648" s="413">
        <f>B594</f>
        <v>0</v>
      </c>
      <c r="C648" s="412"/>
      <c r="D648" s="380"/>
      <c r="E648" s="380"/>
    </row>
    <row r="649" spans="1:23" ht="12.75" customHeight="1" outlineLevel="1">
      <c r="A649" s="411" t="s">
        <v>155</v>
      </c>
      <c r="B649" s="393">
        <f>C594</f>
        <v>40</v>
      </c>
      <c r="C649" s="410"/>
      <c r="D649" s="380"/>
      <c r="E649" s="380"/>
    </row>
    <row r="650" spans="1:23" ht="12.75" customHeight="1" outlineLevel="1">
      <c r="A650" s="411" t="s">
        <v>154</v>
      </c>
      <c r="B650" s="393" t="str">
        <f>D594</f>
        <v>Straight Line</v>
      </c>
      <c r="C650" s="410"/>
      <c r="D650" s="380"/>
      <c r="E650" s="380"/>
    </row>
    <row r="651" spans="1:23" ht="12.75" customHeight="1" outlineLevel="1">
      <c r="A651" s="409" t="s">
        <v>152</v>
      </c>
      <c r="B651" s="408">
        <f>IF(B650="Straight Line",1/B649,IF(B650="Declining Balance",1/B649*2,1))</f>
        <v>2.5000000000000001E-2</v>
      </c>
      <c r="C651" s="407"/>
      <c r="D651" s="380"/>
      <c r="E651" s="380"/>
    </row>
    <row r="652" spans="1:23" ht="12.75" customHeight="1" outlineLevel="1">
      <c r="A652" s="380"/>
      <c r="B652" s="392"/>
      <c r="C652" s="380"/>
      <c r="D652" s="380"/>
      <c r="E652" s="380"/>
    </row>
    <row r="653" spans="1:23" ht="12.75" customHeight="1" outlineLevel="1">
      <c r="A653" s="380" t="s">
        <v>137</v>
      </c>
      <c r="B653" s="406" t="s">
        <v>151</v>
      </c>
      <c r="C653" s="405">
        <f t="shared" ref="C653:H653" si="181">B653+1</f>
        <v>2012</v>
      </c>
      <c r="D653" s="405">
        <f t="shared" si="181"/>
        <v>2013</v>
      </c>
      <c r="E653" s="405">
        <f t="shared" si="181"/>
        <v>2014</v>
      </c>
      <c r="F653" s="405">
        <f t="shared" si="181"/>
        <v>2015</v>
      </c>
      <c r="G653" s="405">
        <f t="shared" si="181"/>
        <v>2016</v>
      </c>
      <c r="H653" s="404">
        <f t="shared" si="181"/>
        <v>2017</v>
      </c>
      <c r="I653" s="405">
        <v>2018</v>
      </c>
      <c r="J653" s="405">
        <v>2019</v>
      </c>
      <c r="K653" s="405">
        <v>2020</v>
      </c>
      <c r="L653" s="405">
        <v>2021</v>
      </c>
      <c r="M653" s="404">
        <v>2022</v>
      </c>
    </row>
    <row r="654" spans="1:23" ht="12.75" customHeight="1" outlineLevel="1">
      <c r="A654" s="402" t="s">
        <v>150</v>
      </c>
      <c r="B654" s="401">
        <v>0</v>
      </c>
      <c r="C654" s="400">
        <v>0</v>
      </c>
      <c r="D654" s="600">
        <f>Input!H43-Input!H77</f>
        <v>-0.75918233999999996</v>
      </c>
      <c r="E654" s="601">
        <f>Input!I43-Input!I77</f>
        <v>0</v>
      </c>
      <c r="F654" s="601">
        <f>Input!J43-Input!J77</f>
        <v>0</v>
      </c>
      <c r="G654" s="601">
        <f>Input!K43-Input!K77</f>
        <v>0</v>
      </c>
      <c r="H654" s="602">
        <f>Input!L43-Input!L77</f>
        <v>0</v>
      </c>
      <c r="I654" s="399"/>
      <c r="J654" s="398"/>
      <c r="K654" s="398"/>
      <c r="L654" s="398"/>
      <c r="M654" s="397"/>
    </row>
    <row r="655" spans="1:23" ht="12.75" customHeight="1" outlineLevel="1">
      <c r="A655" s="380"/>
      <c r="B655" s="392"/>
      <c r="C655" s="380"/>
    </row>
    <row r="656" spans="1:23" ht="12.75" customHeight="1" outlineLevel="1">
      <c r="B656" s="364">
        <v>1996</v>
      </c>
      <c r="C656" s="362">
        <v>1997</v>
      </c>
      <c r="D656" s="364">
        <v>1998</v>
      </c>
      <c r="E656" s="363">
        <v>1999</v>
      </c>
      <c r="F656" s="363">
        <v>2000</v>
      </c>
      <c r="G656" s="363">
        <v>2001</v>
      </c>
      <c r="H656" s="362">
        <v>2002</v>
      </c>
      <c r="I656" s="364">
        <v>2003</v>
      </c>
      <c r="J656" s="363">
        <v>2004</v>
      </c>
      <c r="K656" s="363">
        <v>2005</v>
      </c>
      <c r="L656" s="363">
        <v>2006</v>
      </c>
      <c r="M656" s="362">
        <v>2007</v>
      </c>
      <c r="N656" s="364">
        <v>2008</v>
      </c>
      <c r="O656" s="363">
        <v>2009</v>
      </c>
      <c r="P656" s="363">
        <v>2010</v>
      </c>
      <c r="Q656" s="363">
        <v>2011</v>
      </c>
      <c r="R656" s="362">
        <v>2012</v>
      </c>
      <c r="S656" s="364">
        <f>R656+1</f>
        <v>2013</v>
      </c>
      <c r="T656" s="363">
        <f>S656+1</f>
        <v>2014</v>
      </c>
      <c r="U656" s="363">
        <f>T656+1</f>
        <v>2015</v>
      </c>
      <c r="V656" s="363">
        <f>U656+1</f>
        <v>2016</v>
      </c>
      <c r="W656" s="362">
        <f>V656+1</f>
        <v>2017</v>
      </c>
    </row>
    <row r="657" spans="1:23" ht="12.75" customHeight="1" outlineLevel="1">
      <c r="A657" s="394" t="s">
        <v>2</v>
      </c>
      <c r="B657" s="393">
        <f>B648</f>
        <v>0</v>
      </c>
      <c r="C657" s="391">
        <f t="shared" ref="C657:W657" si="182">B660</f>
        <v>0</v>
      </c>
      <c r="D657" s="393">
        <f t="shared" si="182"/>
        <v>0</v>
      </c>
      <c r="E657" s="392">
        <f t="shared" si="182"/>
        <v>0</v>
      </c>
      <c r="F657" s="392">
        <f t="shared" si="182"/>
        <v>0</v>
      </c>
      <c r="G657" s="392">
        <f t="shared" si="182"/>
        <v>0</v>
      </c>
      <c r="H657" s="391">
        <f t="shared" si="182"/>
        <v>0</v>
      </c>
      <c r="I657" s="393">
        <f t="shared" si="182"/>
        <v>0</v>
      </c>
      <c r="J657" s="392">
        <f t="shared" si="182"/>
        <v>0</v>
      </c>
      <c r="K657" s="392">
        <f t="shared" si="182"/>
        <v>0</v>
      </c>
      <c r="L657" s="392">
        <f t="shared" si="182"/>
        <v>0</v>
      </c>
      <c r="M657" s="391">
        <f t="shared" si="182"/>
        <v>0</v>
      </c>
      <c r="N657" s="390">
        <f t="shared" si="182"/>
        <v>0</v>
      </c>
      <c r="O657" s="392">
        <f t="shared" si="182"/>
        <v>0</v>
      </c>
      <c r="P657" s="392">
        <f t="shared" si="182"/>
        <v>0</v>
      </c>
      <c r="Q657" s="392">
        <f t="shared" si="182"/>
        <v>0</v>
      </c>
      <c r="R657" s="391">
        <f t="shared" si="182"/>
        <v>0</v>
      </c>
      <c r="S657" s="390">
        <f t="shared" si="182"/>
        <v>0</v>
      </c>
      <c r="T657" s="392">
        <f t="shared" si="182"/>
        <v>-0.7496925607499999</v>
      </c>
      <c r="U657" s="392">
        <f t="shared" si="182"/>
        <v>-0.73071300224999991</v>
      </c>
      <c r="V657" s="392">
        <f t="shared" si="182"/>
        <v>-0.71173344374999992</v>
      </c>
      <c r="W657" s="391">
        <f t="shared" si="182"/>
        <v>-0.69275388524999992</v>
      </c>
    </row>
    <row r="658" spans="1:23" ht="12.75" customHeight="1" outlineLevel="1">
      <c r="A658" s="389" t="s">
        <v>149</v>
      </c>
      <c r="B658" s="393">
        <v>0</v>
      </c>
      <c r="C658" s="391">
        <v>0</v>
      </c>
      <c r="D658" s="393">
        <v>0</v>
      </c>
      <c r="E658" s="392">
        <v>0</v>
      </c>
      <c r="F658" s="392">
        <v>0</v>
      </c>
      <c r="G658" s="392">
        <v>0</v>
      </c>
      <c r="H658" s="391">
        <v>0</v>
      </c>
      <c r="I658" s="393">
        <v>0</v>
      </c>
      <c r="J658" s="392">
        <v>0</v>
      </c>
      <c r="K658" s="392">
        <v>0</v>
      </c>
      <c r="L658" s="392">
        <f>B654</f>
        <v>0</v>
      </c>
      <c r="M658" s="391">
        <f>C654</f>
        <v>0</v>
      </c>
      <c r="N658" s="393">
        <v>0</v>
      </c>
      <c r="O658" s="392">
        <v>0</v>
      </c>
      <c r="P658" s="392">
        <v>0</v>
      </c>
      <c r="Q658" s="392">
        <f t="shared" ref="Q658:W658" si="183">B654</f>
        <v>0</v>
      </c>
      <c r="R658" s="391">
        <f t="shared" si="183"/>
        <v>0</v>
      </c>
      <c r="S658" s="393">
        <f t="shared" si="183"/>
        <v>-0.75918233999999996</v>
      </c>
      <c r="T658" s="392">
        <f t="shared" si="183"/>
        <v>0</v>
      </c>
      <c r="U658" s="392">
        <f t="shared" si="183"/>
        <v>0</v>
      </c>
      <c r="V658" s="392">
        <f t="shared" si="183"/>
        <v>0</v>
      </c>
      <c r="W658" s="391">
        <f t="shared" si="183"/>
        <v>0</v>
      </c>
    </row>
    <row r="659" spans="1:23" ht="12.75" customHeight="1" outlineLevel="1">
      <c r="A659" s="389" t="s">
        <v>148</v>
      </c>
      <c r="B659" s="347">
        <f>IF($B651=1,B658+B657,B658*$B651*0.5)</f>
        <v>0</v>
      </c>
      <c r="C659" s="347">
        <f t="shared" ref="C659:R659" si="184">IF($B651=1,C658+C657,(C657+C658*0.5)*$B651)</f>
        <v>0</v>
      </c>
      <c r="D659" s="369">
        <f t="shared" si="184"/>
        <v>0</v>
      </c>
      <c r="E659" s="347">
        <f t="shared" si="184"/>
        <v>0</v>
      </c>
      <c r="F659" s="347">
        <f t="shared" si="184"/>
        <v>0</v>
      </c>
      <c r="G659" s="347">
        <f t="shared" si="184"/>
        <v>0</v>
      </c>
      <c r="H659" s="368">
        <f t="shared" si="184"/>
        <v>0</v>
      </c>
      <c r="I659" s="369">
        <f t="shared" si="184"/>
        <v>0</v>
      </c>
      <c r="J659" s="347">
        <f t="shared" si="184"/>
        <v>0</v>
      </c>
      <c r="K659" s="347">
        <f t="shared" si="184"/>
        <v>0</v>
      </c>
      <c r="L659" s="347">
        <f t="shared" si="184"/>
        <v>0</v>
      </c>
      <c r="M659" s="368">
        <f t="shared" si="184"/>
        <v>0</v>
      </c>
      <c r="N659" s="369">
        <f t="shared" si="184"/>
        <v>0</v>
      </c>
      <c r="O659" s="347">
        <f t="shared" si="184"/>
        <v>0</v>
      </c>
      <c r="P659" s="347">
        <f t="shared" si="184"/>
        <v>0</v>
      </c>
      <c r="Q659" s="347">
        <f t="shared" si="184"/>
        <v>0</v>
      </c>
      <c r="R659" s="368">
        <f t="shared" si="184"/>
        <v>0</v>
      </c>
      <c r="S659" s="630">
        <f>(SUM($B658:R658)+S658*0.5)*$B$651</f>
        <v>-9.4897792500000001E-3</v>
      </c>
      <c r="T659" s="631">
        <f>(SUM($B658:S658)+T658*0.5)*$B$651</f>
        <v>-1.89795585E-2</v>
      </c>
      <c r="U659" s="631">
        <f>(SUM($B658:T658)+U658*0.5)*$B$651</f>
        <v>-1.89795585E-2</v>
      </c>
      <c r="V659" s="631">
        <f>(SUM($B658:U658)+V658*0.5)*$B$651</f>
        <v>-1.89795585E-2</v>
      </c>
      <c r="W659" s="632">
        <f>(SUM($B658:V658)+W658*0.5)*$B$651</f>
        <v>-1.89795585E-2</v>
      </c>
    </row>
    <row r="660" spans="1:23" ht="12.75" customHeight="1" outlineLevel="1">
      <c r="A660" s="388" t="s">
        <v>113</v>
      </c>
      <c r="B660" s="387">
        <f t="shared" ref="B660:W660" si="185">B657+B658-B659</f>
        <v>0</v>
      </c>
      <c r="C660" s="385">
        <f t="shared" si="185"/>
        <v>0</v>
      </c>
      <c r="D660" s="387">
        <f t="shared" si="185"/>
        <v>0</v>
      </c>
      <c r="E660" s="386">
        <f t="shared" si="185"/>
        <v>0</v>
      </c>
      <c r="F660" s="386">
        <f t="shared" si="185"/>
        <v>0</v>
      </c>
      <c r="G660" s="386">
        <f t="shared" si="185"/>
        <v>0</v>
      </c>
      <c r="H660" s="385">
        <f t="shared" si="185"/>
        <v>0</v>
      </c>
      <c r="I660" s="387">
        <f t="shared" si="185"/>
        <v>0</v>
      </c>
      <c r="J660" s="386">
        <f t="shared" si="185"/>
        <v>0</v>
      </c>
      <c r="K660" s="386">
        <f t="shared" si="185"/>
        <v>0</v>
      </c>
      <c r="L660" s="386">
        <f t="shared" si="185"/>
        <v>0</v>
      </c>
      <c r="M660" s="385">
        <f t="shared" si="185"/>
        <v>0</v>
      </c>
      <c r="N660" s="387">
        <f t="shared" si="185"/>
        <v>0</v>
      </c>
      <c r="O660" s="386">
        <f t="shared" si="185"/>
        <v>0</v>
      </c>
      <c r="P660" s="386">
        <f t="shared" si="185"/>
        <v>0</v>
      </c>
      <c r="Q660" s="386">
        <f t="shared" si="185"/>
        <v>0</v>
      </c>
      <c r="R660" s="385">
        <f t="shared" si="185"/>
        <v>0</v>
      </c>
      <c r="S660" s="387">
        <f t="shared" si="185"/>
        <v>-0.7496925607499999</v>
      </c>
      <c r="T660" s="386">
        <f t="shared" si="185"/>
        <v>-0.73071300224999991</v>
      </c>
      <c r="U660" s="386">
        <f t="shared" si="185"/>
        <v>-0.71173344374999992</v>
      </c>
      <c r="V660" s="386">
        <f t="shared" si="185"/>
        <v>-0.69275388524999992</v>
      </c>
      <c r="W660" s="385">
        <f t="shared" si="185"/>
        <v>-0.67377432674999993</v>
      </c>
    </row>
    <row r="661" spans="1:23" ht="12.75" customHeight="1" outlineLevel="1">
      <c r="A661" s="380"/>
      <c r="B661" s="392"/>
      <c r="C661" s="392"/>
      <c r="D661" s="392"/>
      <c r="E661" s="392"/>
      <c r="F661" s="392"/>
      <c r="G661" s="392"/>
      <c r="H661" s="392"/>
      <c r="I661" s="392"/>
      <c r="J661" s="392"/>
      <c r="K661" s="392"/>
      <c r="L661" s="392"/>
      <c r="M661" s="392"/>
      <c r="N661" s="392"/>
      <c r="O661" s="392"/>
      <c r="P661" s="392"/>
      <c r="Q661" s="392"/>
      <c r="R661" s="392"/>
      <c r="S661" s="392"/>
      <c r="T661" s="392"/>
      <c r="U661" s="392"/>
      <c r="V661" s="392"/>
      <c r="W661" s="392"/>
    </row>
    <row r="662" spans="1:23" ht="12.75" customHeight="1" outlineLevel="1">
      <c r="A662" s="470" t="str">
        <f>A595</f>
        <v>Land</v>
      </c>
      <c r="B662" s="360"/>
      <c r="C662" s="360"/>
      <c r="D662" s="360"/>
      <c r="E662" s="360"/>
      <c r="F662" s="360"/>
      <c r="G662" s="360"/>
      <c r="H662" s="360"/>
      <c r="I662" s="360"/>
      <c r="J662" s="360"/>
      <c r="K662" s="360"/>
      <c r="L662" s="360"/>
      <c r="M662" s="360"/>
      <c r="N662" s="360"/>
      <c r="O662" s="360"/>
      <c r="P662" s="360"/>
      <c r="Q662" s="360"/>
      <c r="R662" s="360"/>
      <c r="S662" s="360"/>
      <c r="T662" s="360"/>
      <c r="U662" s="360"/>
      <c r="V662" s="360"/>
      <c r="W662" s="360"/>
    </row>
    <row r="663" spans="1:23" ht="12.75" customHeight="1" outlineLevel="1">
      <c r="A663" s="469" t="s">
        <v>131</v>
      </c>
      <c r="B663" s="468">
        <f>B610</f>
        <v>0</v>
      </c>
      <c r="C663" s="467"/>
      <c r="D663" s="454"/>
      <c r="E663" s="454"/>
      <c r="F663" s="360"/>
      <c r="G663" s="360"/>
      <c r="H663" s="360"/>
      <c r="I663" s="360"/>
      <c r="J663" s="360"/>
      <c r="K663" s="360"/>
      <c r="L663" s="360"/>
      <c r="M663" s="360"/>
      <c r="N663" s="360"/>
      <c r="O663" s="360"/>
      <c r="P663" s="360"/>
      <c r="Q663" s="360"/>
      <c r="R663" s="360"/>
      <c r="S663" s="360"/>
      <c r="T663" s="360"/>
      <c r="U663" s="360"/>
      <c r="V663" s="360"/>
      <c r="W663" s="360"/>
    </row>
    <row r="664" spans="1:23" ht="12.75" customHeight="1" outlineLevel="1">
      <c r="A664" s="466" t="s">
        <v>155</v>
      </c>
      <c r="B664" s="448" t="s">
        <v>129</v>
      </c>
      <c r="C664" s="465"/>
      <c r="D664" s="454"/>
      <c r="E664" s="454"/>
      <c r="F664" s="360"/>
      <c r="G664" s="360"/>
      <c r="H664" s="360"/>
      <c r="I664" s="360"/>
      <c r="J664" s="360"/>
      <c r="K664" s="360"/>
      <c r="L664" s="360"/>
      <c r="M664" s="360"/>
      <c r="N664" s="360"/>
      <c r="O664" s="360"/>
      <c r="P664" s="360"/>
      <c r="Q664" s="360"/>
      <c r="R664" s="360"/>
      <c r="S664" s="360"/>
      <c r="T664" s="360"/>
      <c r="U664" s="360"/>
      <c r="V664" s="360"/>
      <c r="W664" s="360"/>
    </row>
    <row r="665" spans="1:23" ht="12.75" customHeight="1" outlineLevel="1">
      <c r="A665" s="466" t="s">
        <v>154</v>
      </c>
      <c r="B665" s="448" t="s">
        <v>129</v>
      </c>
      <c r="C665" s="465"/>
      <c r="D665" s="454"/>
      <c r="E665" s="454"/>
      <c r="F665" s="360"/>
      <c r="G665" s="360"/>
      <c r="H665" s="360"/>
      <c r="I665" s="360"/>
      <c r="J665" s="360"/>
      <c r="K665" s="360"/>
      <c r="L665" s="360"/>
      <c r="M665" s="360"/>
      <c r="N665" s="360"/>
      <c r="O665" s="360"/>
      <c r="P665" s="360"/>
      <c r="Q665" s="360"/>
      <c r="R665" s="360"/>
      <c r="S665" s="360"/>
      <c r="T665" s="360"/>
      <c r="U665" s="360"/>
      <c r="V665" s="360"/>
      <c r="W665" s="360"/>
    </row>
    <row r="666" spans="1:23" ht="12.75" customHeight="1" outlineLevel="1">
      <c r="A666" s="464" t="s">
        <v>152</v>
      </c>
      <c r="B666" s="463">
        <v>0</v>
      </c>
      <c r="C666" s="462"/>
      <c r="D666" s="454"/>
      <c r="E666" s="454"/>
      <c r="F666" s="360"/>
      <c r="G666" s="360"/>
      <c r="H666" s="360"/>
      <c r="I666" s="360"/>
      <c r="J666" s="360"/>
      <c r="K666" s="360"/>
      <c r="L666" s="360"/>
      <c r="M666" s="360"/>
      <c r="N666" s="360"/>
      <c r="O666" s="360"/>
      <c r="P666" s="360"/>
      <c r="Q666" s="360"/>
      <c r="R666" s="360"/>
      <c r="S666" s="360"/>
      <c r="T666" s="360"/>
      <c r="U666" s="360"/>
      <c r="V666" s="360"/>
      <c r="W666" s="360"/>
    </row>
    <row r="667" spans="1:23" ht="12.75" customHeight="1" outlineLevel="1">
      <c r="A667" s="454"/>
      <c r="B667" s="447"/>
      <c r="C667" s="454"/>
      <c r="D667" s="454"/>
      <c r="E667" s="454"/>
      <c r="F667" s="360"/>
      <c r="G667" s="360"/>
      <c r="H667" s="360"/>
      <c r="I667" s="360"/>
      <c r="J667" s="360"/>
      <c r="K667" s="360"/>
      <c r="L667" s="360"/>
      <c r="M667" s="360"/>
      <c r="N667" s="360"/>
      <c r="O667" s="360"/>
      <c r="P667" s="360"/>
      <c r="Q667" s="360"/>
      <c r="R667" s="360"/>
      <c r="S667" s="360"/>
      <c r="T667" s="360"/>
      <c r="U667" s="360"/>
      <c r="V667" s="360"/>
      <c r="W667" s="360"/>
    </row>
    <row r="668" spans="1:23" ht="12.75" customHeight="1" outlineLevel="1">
      <c r="A668" s="454" t="s">
        <v>137</v>
      </c>
      <c r="B668" s="461" t="s">
        <v>151</v>
      </c>
      <c r="C668" s="460">
        <f t="shared" ref="C668:H668" si="186">B668+1</f>
        <v>2012</v>
      </c>
      <c r="D668" s="460">
        <f t="shared" si="186"/>
        <v>2013</v>
      </c>
      <c r="E668" s="460">
        <f t="shared" si="186"/>
        <v>2014</v>
      </c>
      <c r="F668" s="460">
        <f t="shared" si="186"/>
        <v>2015</v>
      </c>
      <c r="G668" s="460">
        <f t="shared" si="186"/>
        <v>2016</v>
      </c>
      <c r="H668" s="459">
        <f t="shared" si="186"/>
        <v>2017</v>
      </c>
      <c r="I668" s="458"/>
      <c r="J668" s="458"/>
      <c r="K668" s="458"/>
      <c r="L668" s="458"/>
      <c r="M668" s="360"/>
      <c r="N668" s="360"/>
      <c r="O668" s="360"/>
      <c r="P668" s="360"/>
      <c r="Q668" s="360"/>
      <c r="R668" s="360"/>
      <c r="S668" s="360"/>
      <c r="T668" s="360"/>
      <c r="U668" s="360"/>
      <c r="V668" s="360"/>
      <c r="W668" s="360"/>
    </row>
    <row r="669" spans="1:23" ht="12.75" customHeight="1" outlineLevel="1">
      <c r="A669" s="457" t="s">
        <v>150</v>
      </c>
      <c r="B669" s="399">
        <v>0</v>
      </c>
      <c r="C669" s="398">
        <v>0</v>
      </c>
      <c r="D669" s="399">
        <v>0</v>
      </c>
      <c r="E669" s="398">
        <v>0</v>
      </c>
      <c r="F669" s="398">
        <v>0</v>
      </c>
      <c r="G669" s="398">
        <v>0</v>
      </c>
      <c r="H669" s="397">
        <v>0</v>
      </c>
      <c r="I669" s="456"/>
      <c r="J669" s="456"/>
      <c r="K669" s="456"/>
      <c r="L669" s="455"/>
      <c r="M669" s="360"/>
      <c r="N669" s="360"/>
      <c r="O669" s="360"/>
      <c r="P669" s="360"/>
      <c r="Q669" s="360"/>
      <c r="R669" s="360"/>
      <c r="S669" s="360"/>
      <c r="T669" s="360"/>
      <c r="U669" s="360"/>
      <c r="V669" s="360"/>
      <c r="W669" s="360"/>
    </row>
    <row r="670" spans="1:23" ht="12.75" customHeight="1" outlineLevel="1">
      <c r="A670" s="454"/>
      <c r="B670" s="447"/>
      <c r="C670" s="454"/>
      <c r="D670" s="360"/>
      <c r="E670" s="360"/>
      <c r="F670" s="360"/>
      <c r="G670" s="360"/>
      <c r="H670" s="360"/>
      <c r="I670" s="360"/>
      <c r="J670" s="360"/>
      <c r="K670" s="360"/>
      <c r="L670" s="360"/>
      <c r="M670" s="360"/>
      <c r="N670" s="360"/>
      <c r="O670" s="360"/>
      <c r="P670" s="360"/>
      <c r="Q670" s="360"/>
      <c r="R670" s="360"/>
      <c r="S670" s="360"/>
      <c r="T670" s="360"/>
      <c r="U670" s="360"/>
      <c r="V670" s="360"/>
      <c r="W670" s="360"/>
    </row>
    <row r="671" spans="1:23" ht="12.75" customHeight="1" outlineLevel="1">
      <c r="A671" s="360"/>
      <c r="B671" s="453">
        <v>1996</v>
      </c>
      <c r="C671" s="451">
        <v>1997</v>
      </c>
      <c r="D671" s="453">
        <v>1998</v>
      </c>
      <c r="E671" s="452">
        <v>1999</v>
      </c>
      <c r="F671" s="452">
        <v>2000</v>
      </c>
      <c r="G671" s="452">
        <v>2001</v>
      </c>
      <c r="H671" s="451">
        <v>2002</v>
      </c>
      <c r="I671" s="453">
        <v>2003</v>
      </c>
      <c r="J671" s="452">
        <v>2004</v>
      </c>
      <c r="K671" s="452">
        <v>2005</v>
      </c>
      <c r="L671" s="452">
        <v>2006</v>
      </c>
      <c r="M671" s="451">
        <v>2007</v>
      </c>
      <c r="N671" s="453">
        <v>2008</v>
      </c>
      <c r="O671" s="452">
        <v>2009</v>
      </c>
      <c r="P671" s="452">
        <v>2010</v>
      </c>
      <c r="Q671" s="452">
        <v>2011</v>
      </c>
      <c r="R671" s="451">
        <v>2012</v>
      </c>
      <c r="S671" s="453">
        <f>R671+1</f>
        <v>2013</v>
      </c>
      <c r="T671" s="452">
        <f>S671+1</f>
        <v>2014</v>
      </c>
      <c r="U671" s="452">
        <f>T671+1</f>
        <v>2015</v>
      </c>
      <c r="V671" s="452">
        <f>U671+1</f>
        <v>2016</v>
      </c>
      <c r="W671" s="451">
        <f>V671+1</f>
        <v>2017</v>
      </c>
    </row>
    <row r="672" spans="1:23" ht="12.75" customHeight="1" outlineLevel="1">
      <c r="A672" s="450" t="s">
        <v>2</v>
      </c>
      <c r="B672" s="448">
        <f>B663</f>
        <v>0</v>
      </c>
      <c r="C672" s="446">
        <f t="shared" ref="C672:W672" si="187">B675</f>
        <v>0</v>
      </c>
      <c r="D672" s="448">
        <f t="shared" si="187"/>
        <v>0</v>
      </c>
      <c r="E672" s="447">
        <f t="shared" si="187"/>
        <v>0</v>
      </c>
      <c r="F672" s="447">
        <f t="shared" si="187"/>
        <v>0</v>
      </c>
      <c r="G672" s="447">
        <f t="shared" si="187"/>
        <v>0</v>
      </c>
      <c r="H672" s="446">
        <f t="shared" si="187"/>
        <v>0</v>
      </c>
      <c r="I672" s="448">
        <f t="shared" si="187"/>
        <v>0</v>
      </c>
      <c r="J672" s="447">
        <f t="shared" si="187"/>
        <v>0</v>
      </c>
      <c r="K672" s="447">
        <f t="shared" si="187"/>
        <v>0</v>
      </c>
      <c r="L672" s="447">
        <f t="shared" si="187"/>
        <v>0</v>
      </c>
      <c r="M672" s="446">
        <f t="shared" si="187"/>
        <v>0</v>
      </c>
      <c r="N672" s="449">
        <f t="shared" si="187"/>
        <v>0</v>
      </c>
      <c r="O672" s="447">
        <f t="shared" si="187"/>
        <v>0</v>
      </c>
      <c r="P672" s="447">
        <f t="shared" si="187"/>
        <v>0</v>
      </c>
      <c r="Q672" s="447">
        <f t="shared" si="187"/>
        <v>0</v>
      </c>
      <c r="R672" s="446">
        <f t="shared" si="187"/>
        <v>0</v>
      </c>
      <c r="S672" s="449">
        <f t="shared" si="187"/>
        <v>0</v>
      </c>
      <c r="T672" s="447">
        <f t="shared" si="187"/>
        <v>0</v>
      </c>
      <c r="U672" s="447">
        <f t="shared" si="187"/>
        <v>0</v>
      </c>
      <c r="V672" s="447">
        <f t="shared" si="187"/>
        <v>0</v>
      </c>
      <c r="W672" s="446">
        <f t="shared" si="187"/>
        <v>0</v>
      </c>
    </row>
    <row r="673" spans="1:23" ht="12.75" customHeight="1" outlineLevel="1">
      <c r="A673" s="445" t="s">
        <v>149</v>
      </c>
      <c r="B673" s="448">
        <v>0</v>
      </c>
      <c r="C673" s="446">
        <v>0</v>
      </c>
      <c r="D673" s="448">
        <v>0</v>
      </c>
      <c r="E673" s="447">
        <v>0</v>
      </c>
      <c r="F673" s="447">
        <v>0</v>
      </c>
      <c r="G673" s="447">
        <v>0</v>
      </c>
      <c r="H673" s="446">
        <v>0</v>
      </c>
      <c r="I673" s="448">
        <v>0</v>
      </c>
      <c r="J673" s="447">
        <v>0</v>
      </c>
      <c r="K673" s="447">
        <v>0</v>
      </c>
      <c r="L673" s="447">
        <f>B669</f>
        <v>0</v>
      </c>
      <c r="M673" s="446">
        <f>C669</f>
        <v>0</v>
      </c>
      <c r="N673" s="448">
        <v>0</v>
      </c>
      <c r="O673" s="447">
        <v>0</v>
      </c>
      <c r="P673" s="447">
        <v>0</v>
      </c>
      <c r="Q673" s="447">
        <f t="shared" ref="Q673:W673" si="188">B669</f>
        <v>0</v>
      </c>
      <c r="R673" s="446">
        <f t="shared" si="188"/>
        <v>0</v>
      </c>
      <c r="S673" s="448">
        <f t="shared" si="188"/>
        <v>0</v>
      </c>
      <c r="T673" s="447">
        <f t="shared" si="188"/>
        <v>0</v>
      </c>
      <c r="U673" s="447">
        <f t="shared" si="188"/>
        <v>0</v>
      </c>
      <c r="V673" s="447">
        <f t="shared" si="188"/>
        <v>0</v>
      </c>
      <c r="W673" s="446">
        <f t="shared" si="188"/>
        <v>0</v>
      </c>
    </row>
    <row r="674" spans="1:23" ht="12.75" customHeight="1" outlineLevel="1">
      <c r="A674" s="445" t="s">
        <v>148</v>
      </c>
      <c r="B674" s="444">
        <f>IF($B666=1,B673+B672,B673*$B666*0.5)</f>
        <v>0</v>
      </c>
      <c r="C674" s="444">
        <f t="shared" ref="C674:W674" si="189">IF($B666=1,C673+C672,(C672+C673*0.5)*$B666)</f>
        <v>0</v>
      </c>
      <c r="D674" s="437">
        <f t="shared" si="189"/>
        <v>0</v>
      </c>
      <c r="E674" s="444">
        <f t="shared" si="189"/>
        <v>0</v>
      </c>
      <c r="F674" s="444">
        <f t="shared" si="189"/>
        <v>0</v>
      </c>
      <c r="G674" s="444">
        <f t="shared" si="189"/>
        <v>0</v>
      </c>
      <c r="H674" s="443">
        <f t="shared" si="189"/>
        <v>0</v>
      </c>
      <c r="I674" s="437">
        <f t="shared" si="189"/>
        <v>0</v>
      </c>
      <c r="J674" s="444">
        <f t="shared" si="189"/>
        <v>0</v>
      </c>
      <c r="K674" s="444">
        <f t="shared" si="189"/>
        <v>0</v>
      </c>
      <c r="L674" s="444">
        <f t="shared" si="189"/>
        <v>0</v>
      </c>
      <c r="M674" s="443">
        <f t="shared" si="189"/>
        <v>0</v>
      </c>
      <c r="N674" s="437">
        <f t="shared" si="189"/>
        <v>0</v>
      </c>
      <c r="O674" s="444">
        <f t="shared" si="189"/>
        <v>0</v>
      </c>
      <c r="P674" s="444">
        <f t="shared" si="189"/>
        <v>0</v>
      </c>
      <c r="Q674" s="444">
        <f t="shared" si="189"/>
        <v>0</v>
      </c>
      <c r="R674" s="443">
        <f t="shared" si="189"/>
        <v>0</v>
      </c>
      <c r="S674" s="437">
        <f t="shared" si="189"/>
        <v>0</v>
      </c>
      <c r="T674" s="444">
        <f t="shared" si="189"/>
        <v>0</v>
      </c>
      <c r="U674" s="444">
        <f t="shared" si="189"/>
        <v>0</v>
      </c>
      <c r="V674" s="444">
        <f t="shared" si="189"/>
        <v>0</v>
      </c>
      <c r="W674" s="443">
        <f t="shared" si="189"/>
        <v>0</v>
      </c>
    </row>
    <row r="675" spans="1:23" ht="12.75" customHeight="1" outlineLevel="1">
      <c r="A675" s="442" t="s">
        <v>113</v>
      </c>
      <c r="B675" s="441">
        <f t="shared" ref="B675:W675" si="190">B672+B673-B674</f>
        <v>0</v>
      </c>
      <c r="C675" s="439">
        <f t="shared" si="190"/>
        <v>0</v>
      </c>
      <c r="D675" s="441">
        <f t="shared" si="190"/>
        <v>0</v>
      </c>
      <c r="E675" s="440">
        <f t="shared" si="190"/>
        <v>0</v>
      </c>
      <c r="F675" s="440">
        <f t="shared" si="190"/>
        <v>0</v>
      </c>
      <c r="G675" s="440">
        <f t="shared" si="190"/>
        <v>0</v>
      </c>
      <c r="H675" s="439">
        <f t="shared" si="190"/>
        <v>0</v>
      </c>
      <c r="I675" s="441">
        <f t="shared" si="190"/>
        <v>0</v>
      </c>
      <c r="J675" s="440">
        <f t="shared" si="190"/>
        <v>0</v>
      </c>
      <c r="K675" s="440">
        <f t="shared" si="190"/>
        <v>0</v>
      </c>
      <c r="L675" s="440">
        <f t="shared" si="190"/>
        <v>0</v>
      </c>
      <c r="M675" s="439">
        <f t="shared" si="190"/>
        <v>0</v>
      </c>
      <c r="N675" s="441">
        <f t="shared" si="190"/>
        <v>0</v>
      </c>
      <c r="O675" s="440">
        <f t="shared" si="190"/>
        <v>0</v>
      </c>
      <c r="P675" s="440">
        <f t="shared" si="190"/>
        <v>0</v>
      </c>
      <c r="Q675" s="440">
        <f t="shared" si="190"/>
        <v>0</v>
      </c>
      <c r="R675" s="439">
        <f t="shared" si="190"/>
        <v>0</v>
      </c>
      <c r="S675" s="441">
        <f t="shared" si="190"/>
        <v>0</v>
      </c>
      <c r="T675" s="440">
        <f t="shared" si="190"/>
        <v>0</v>
      </c>
      <c r="U675" s="440">
        <f t="shared" si="190"/>
        <v>0</v>
      </c>
      <c r="V675" s="440">
        <f t="shared" si="190"/>
        <v>0</v>
      </c>
      <c r="W675" s="439">
        <f t="shared" si="190"/>
        <v>0</v>
      </c>
    </row>
    <row r="676" spans="1:23" ht="12.75" customHeight="1" outlineLevel="1">
      <c r="M676" s="438"/>
    </row>
    <row r="677" spans="1:23" ht="12.75" customHeight="1" outlineLevel="1">
      <c r="A677" s="350" t="str">
        <f>A596</f>
        <v>Other Assets</v>
      </c>
    </row>
    <row r="678" spans="1:23" ht="12.75" customHeight="1" outlineLevel="1">
      <c r="A678" s="414" t="s">
        <v>131</v>
      </c>
      <c r="B678" s="413">
        <f>B596</f>
        <v>0</v>
      </c>
      <c r="C678" s="412"/>
      <c r="D678" s="380"/>
      <c r="E678" s="380"/>
    </row>
    <row r="679" spans="1:23" ht="12.75" customHeight="1" outlineLevel="1">
      <c r="A679" s="411" t="s">
        <v>155</v>
      </c>
      <c r="B679" s="393">
        <f>C596</f>
        <v>10</v>
      </c>
      <c r="C679" s="410"/>
      <c r="D679" s="380"/>
      <c r="E679" s="380"/>
    </row>
    <row r="680" spans="1:23" ht="12.75" customHeight="1" outlineLevel="1">
      <c r="A680" s="411" t="s">
        <v>154</v>
      </c>
      <c r="B680" s="393" t="str">
        <f>D596</f>
        <v>Straight Line</v>
      </c>
      <c r="C680" s="410"/>
      <c r="D680" s="380"/>
      <c r="E680" s="380"/>
    </row>
    <row r="681" spans="1:23" ht="12.75" customHeight="1" outlineLevel="1">
      <c r="A681" s="409" t="s">
        <v>152</v>
      </c>
      <c r="B681" s="408">
        <f>IF(B680="Straight Line",1/B679,IF(B680="Declining Balance",1/B679*2,1))</f>
        <v>0.1</v>
      </c>
      <c r="C681" s="407"/>
      <c r="D681" s="380"/>
      <c r="E681" s="380"/>
    </row>
    <row r="682" spans="1:23" ht="12.75" customHeight="1" outlineLevel="1">
      <c r="A682" s="380"/>
      <c r="B682" s="392"/>
      <c r="C682" s="380"/>
      <c r="D682" s="380"/>
      <c r="E682" s="380"/>
    </row>
    <row r="683" spans="1:23" ht="12.75" customHeight="1" outlineLevel="1">
      <c r="A683" s="380" t="s">
        <v>137</v>
      </c>
      <c r="B683" s="406" t="s">
        <v>151</v>
      </c>
      <c r="C683" s="405">
        <f t="shared" ref="C683:H683" si="191">B683+1</f>
        <v>2012</v>
      </c>
      <c r="D683" s="405">
        <f t="shared" si="191"/>
        <v>2013</v>
      </c>
      <c r="E683" s="405">
        <f t="shared" si="191"/>
        <v>2014</v>
      </c>
      <c r="F683" s="405">
        <f t="shared" si="191"/>
        <v>2015</v>
      </c>
      <c r="G683" s="405">
        <f t="shared" si="191"/>
        <v>2016</v>
      </c>
      <c r="H683" s="404">
        <f t="shared" si="191"/>
        <v>2017</v>
      </c>
      <c r="I683" s="405">
        <v>2018</v>
      </c>
      <c r="J683" s="405">
        <v>2019</v>
      </c>
      <c r="K683" s="405">
        <v>2020</v>
      </c>
      <c r="L683" s="405">
        <v>2021</v>
      </c>
      <c r="M683" s="404">
        <v>2022</v>
      </c>
    </row>
    <row r="684" spans="1:23" ht="12.75" customHeight="1" outlineLevel="1">
      <c r="A684" s="402" t="s">
        <v>150</v>
      </c>
      <c r="B684" s="401">
        <v>0</v>
      </c>
      <c r="C684" s="400">
        <v>0</v>
      </c>
      <c r="D684" s="600">
        <f>(Input!H44+Input!H45+Input!H46)-(Input!H78+Input!H79+Input!H80)</f>
        <v>5.1973505426566931</v>
      </c>
      <c r="E684" s="601">
        <f>(Input!I44+Input!I45+Input!I46)-(Input!I78+Input!I79+Input!I80)</f>
        <v>4.6869353141741774</v>
      </c>
      <c r="F684" s="601">
        <f>(Input!J44+Input!J45+Input!J46)-(Input!J78+Input!J79+Input!J80)</f>
        <v>13.879786788633695</v>
      </c>
      <c r="G684" s="601">
        <f>(Input!K44+Input!K45+Input!K46)-(Input!K78+Input!K79+Input!K80)</f>
        <v>2.8828330894269572</v>
      </c>
      <c r="H684" s="602">
        <f>(Input!L44+Input!L45+Input!L46)-(Input!L78+Input!L79+Input!L80)</f>
        <v>13.3</v>
      </c>
      <c r="I684" s="399"/>
      <c r="J684" s="398"/>
      <c r="K684" s="398"/>
      <c r="L684" s="398"/>
      <c r="M684" s="397"/>
    </row>
    <row r="685" spans="1:23" ht="12.75" customHeight="1" outlineLevel="1">
      <c r="A685" s="380"/>
      <c r="B685" s="392"/>
      <c r="C685" s="380"/>
    </row>
    <row r="686" spans="1:23" ht="12.75" customHeight="1" outlineLevel="1">
      <c r="B686" s="364">
        <v>1996</v>
      </c>
      <c r="C686" s="362">
        <v>1997</v>
      </c>
      <c r="D686" s="364">
        <v>1998</v>
      </c>
      <c r="E686" s="363">
        <v>1999</v>
      </c>
      <c r="F686" s="363">
        <v>2000</v>
      </c>
      <c r="G686" s="363">
        <v>2001</v>
      </c>
      <c r="H686" s="362">
        <v>2002</v>
      </c>
      <c r="I686" s="364">
        <v>2003</v>
      </c>
      <c r="J686" s="363">
        <v>2004</v>
      </c>
      <c r="K686" s="363">
        <v>2005</v>
      </c>
      <c r="L686" s="363">
        <v>2006</v>
      </c>
      <c r="M686" s="362">
        <v>2007</v>
      </c>
      <c r="N686" s="364">
        <v>2008</v>
      </c>
      <c r="O686" s="363">
        <v>2009</v>
      </c>
      <c r="P686" s="363">
        <v>2010</v>
      </c>
      <c r="Q686" s="363">
        <v>2011</v>
      </c>
      <c r="R686" s="362">
        <v>2012</v>
      </c>
      <c r="S686" s="364">
        <f>R686+1</f>
        <v>2013</v>
      </c>
      <c r="T686" s="363">
        <f>S686+1</f>
        <v>2014</v>
      </c>
      <c r="U686" s="363">
        <f>T686+1</f>
        <v>2015</v>
      </c>
      <c r="V686" s="363">
        <f>U686+1</f>
        <v>2016</v>
      </c>
      <c r="W686" s="362">
        <f>V686+1</f>
        <v>2017</v>
      </c>
    </row>
    <row r="687" spans="1:23" ht="12.75" customHeight="1" outlineLevel="1">
      <c r="A687" s="394" t="s">
        <v>2</v>
      </c>
      <c r="B687" s="393">
        <f>B678</f>
        <v>0</v>
      </c>
      <c r="C687" s="391">
        <f t="shared" ref="C687:W687" si="192">B690</f>
        <v>0</v>
      </c>
      <c r="D687" s="393">
        <f t="shared" si="192"/>
        <v>0</v>
      </c>
      <c r="E687" s="392">
        <f t="shared" si="192"/>
        <v>0</v>
      </c>
      <c r="F687" s="392">
        <f t="shared" si="192"/>
        <v>0</v>
      </c>
      <c r="G687" s="392">
        <f t="shared" si="192"/>
        <v>0</v>
      </c>
      <c r="H687" s="391">
        <f t="shared" si="192"/>
        <v>0</v>
      </c>
      <c r="I687" s="393">
        <f t="shared" si="192"/>
        <v>0</v>
      </c>
      <c r="J687" s="392">
        <f t="shared" si="192"/>
        <v>0</v>
      </c>
      <c r="K687" s="392">
        <f t="shared" si="192"/>
        <v>0</v>
      </c>
      <c r="L687" s="392">
        <f t="shared" si="192"/>
        <v>0</v>
      </c>
      <c r="M687" s="391">
        <f t="shared" si="192"/>
        <v>0</v>
      </c>
      <c r="N687" s="390">
        <f t="shared" si="192"/>
        <v>0</v>
      </c>
      <c r="O687" s="392">
        <f t="shared" si="192"/>
        <v>0</v>
      </c>
      <c r="P687" s="392">
        <f t="shared" si="192"/>
        <v>0</v>
      </c>
      <c r="Q687" s="392">
        <f t="shared" si="192"/>
        <v>0</v>
      </c>
      <c r="R687" s="391">
        <f t="shared" si="192"/>
        <v>0</v>
      </c>
      <c r="S687" s="390">
        <f t="shared" si="192"/>
        <v>0</v>
      </c>
      <c r="T687" s="392">
        <f t="shared" si="192"/>
        <v>4.937483015523858</v>
      </c>
      <c r="U687" s="392">
        <f t="shared" si="192"/>
        <v>8.8703365097236571</v>
      </c>
      <c r="V687" s="392">
        <f t="shared" si="192"/>
        <v>21.067705373242578</v>
      </c>
      <c r="W687" s="391">
        <f t="shared" si="192"/>
        <v>21.429989543651729</v>
      </c>
    </row>
    <row r="688" spans="1:23" ht="12.75" customHeight="1" outlineLevel="1">
      <c r="A688" s="389" t="s">
        <v>149</v>
      </c>
      <c r="B688" s="393">
        <v>0</v>
      </c>
      <c r="C688" s="391">
        <v>0</v>
      </c>
      <c r="D688" s="393">
        <v>0</v>
      </c>
      <c r="E688" s="392">
        <v>0</v>
      </c>
      <c r="F688" s="392">
        <v>0</v>
      </c>
      <c r="G688" s="392">
        <v>0</v>
      </c>
      <c r="H688" s="391">
        <v>0</v>
      </c>
      <c r="I688" s="393">
        <v>0</v>
      </c>
      <c r="J688" s="392">
        <v>0</v>
      </c>
      <c r="K688" s="392">
        <v>0</v>
      </c>
      <c r="L688" s="392">
        <f>B684</f>
        <v>0</v>
      </c>
      <c r="M688" s="391">
        <f>C684</f>
        <v>0</v>
      </c>
      <c r="N688" s="393">
        <v>0</v>
      </c>
      <c r="O688" s="392">
        <v>0</v>
      </c>
      <c r="P688" s="392">
        <v>0</v>
      </c>
      <c r="Q688" s="392">
        <f t="shared" ref="Q688:W688" si="193">B684</f>
        <v>0</v>
      </c>
      <c r="R688" s="391">
        <f t="shared" si="193"/>
        <v>0</v>
      </c>
      <c r="S688" s="393">
        <f t="shared" si="193"/>
        <v>5.1973505426566931</v>
      </c>
      <c r="T688" s="392">
        <f t="shared" si="193"/>
        <v>4.6869353141741774</v>
      </c>
      <c r="U688" s="392">
        <f t="shared" si="193"/>
        <v>13.879786788633695</v>
      </c>
      <c r="V688" s="392">
        <f t="shared" si="193"/>
        <v>2.8828330894269572</v>
      </c>
      <c r="W688" s="391">
        <f t="shared" si="193"/>
        <v>13.3</v>
      </c>
    </row>
    <row r="689" spans="1:23" ht="12.75" customHeight="1" outlineLevel="1">
      <c r="A689" s="389" t="s">
        <v>148</v>
      </c>
      <c r="B689" s="347">
        <f>IF($B681=1,B688+B687,B688*$B681*0.5)</f>
        <v>0</v>
      </c>
      <c r="C689" s="347">
        <f t="shared" ref="C689:R689" si="194">IF($B681=1,C688+C687,(C687+C688*0.5)*$B681)</f>
        <v>0</v>
      </c>
      <c r="D689" s="369">
        <f t="shared" si="194"/>
        <v>0</v>
      </c>
      <c r="E689" s="347">
        <f t="shared" si="194"/>
        <v>0</v>
      </c>
      <c r="F689" s="347">
        <f t="shared" si="194"/>
        <v>0</v>
      </c>
      <c r="G689" s="347">
        <f t="shared" si="194"/>
        <v>0</v>
      </c>
      <c r="H689" s="368">
        <f t="shared" si="194"/>
        <v>0</v>
      </c>
      <c r="I689" s="369">
        <f t="shared" si="194"/>
        <v>0</v>
      </c>
      <c r="J689" s="347">
        <f t="shared" si="194"/>
        <v>0</v>
      </c>
      <c r="K689" s="347">
        <f t="shared" si="194"/>
        <v>0</v>
      </c>
      <c r="L689" s="347">
        <f t="shared" si="194"/>
        <v>0</v>
      </c>
      <c r="M689" s="368">
        <f t="shared" si="194"/>
        <v>0</v>
      </c>
      <c r="N689" s="369">
        <f t="shared" si="194"/>
        <v>0</v>
      </c>
      <c r="O689" s="347">
        <f t="shared" si="194"/>
        <v>0</v>
      </c>
      <c r="P689" s="347">
        <f t="shared" si="194"/>
        <v>0</v>
      </c>
      <c r="Q689" s="347">
        <f t="shared" si="194"/>
        <v>0</v>
      </c>
      <c r="R689" s="368">
        <f t="shared" si="194"/>
        <v>0</v>
      </c>
      <c r="S689" s="437">
        <f>(SUM($B$688:R688)+S688*0.5)*$B$681</f>
        <v>0.25986752713283467</v>
      </c>
      <c r="T689" s="436">
        <f>(SUM($B$688:S688)+T688*0.5)*$B$681</f>
        <v>0.75408181997437829</v>
      </c>
      <c r="U689" s="436">
        <f>(SUM($B$688:T688)+U688*0.5)*$B$681</f>
        <v>1.682417925114772</v>
      </c>
      <c r="V689" s="436">
        <f>(SUM($B$688:U688)+V688*0.5)*$B$681</f>
        <v>2.5205489190178048</v>
      </c>
      <c r="W689" s="436">
        <f>(SUM($B$688:V688)+W688*0.5)*$B$681</f>
        <v>3.3296905734891524</v>
      </c>
    </row>
    <row r="690" spans="1:23" ht="12.75" customHeight="1" outlineLevel="1">
      <c r="A690" s="388" t="s">
        <v>113</v>
      </c>
      <c r="B690" s="387">
        <f t="shared" ref="B690:W690" si="195">B687+B688-B689</f>
        <v>0</v>
      </c>
      <c r="C690" s="385">
        <f t="shared" si="195"/>
        <v>0</v>
      </c>
      <c r="D690" s="387">
        <f t="shared" si="195"/>
        <v>0</v>
      </c>
      <c r="E690" s="386">
        <f t="shared" si="195"/>
        <v>0</v>
      </c>
      <c r="F690" s="386">
        <f t="shared" si="195"/>
        <v>0</v>
      </c>
      <c r="G690" s="386">
        <f t="shared" si="195"/>
        <v>0</v>
      </c>
      <c r="H690" s="385">
        <f t="shared" si="195"/>
        <v>0</v>
      </c>
      <c r="I690" s="387">
        <f t="shared" si="195"/>
        <v>0</v>
      </c>
      <c r="J690" s="386">
        <f t="shared" si="195"/>
        <v>0</v>
      </c>
      <c r="K690" s="386">
        <f t="shared" si="195"/>
        <v>0</v>
      </c>
      <c r="L690" s="386">
        <f t="shared" si="195"/>
        <v>0</v>
      </c>
      <c r="M690" s="385">
        <f t="shared" si="195"/>
        <v>0</v>
      </c>
      <c r="N690" s="387">
        <f t="shared" si="195"/>
        <v>0</v>
      </c>
      <c r="O690" s="386">
        <f t="shared" si="195"/>
        <v>0</v>
      </c>
      <c r="P690" s="386">
        <f t="shared" si="195"/>
        <v>0</v>
      </c>
      <c r="Q690" s="386">
        <f t="shared" si="195"/>
        <v>0</v>
      </c>
      <c r="R690" s="385">
        <f t="shared" si="195"/>
        <v>0</v>
      </c>
      <c r="S690" s="387">
        <f t="shared" si="195"/>
        <v>4.937483015523858</v>
      </c>
      <c r="T690" s="386">
        <f t="shared" si="195"/>
        <v>8.8703365097236571</v>
      </c>
      <c r="U690" s="386">
        <f t="shared" si="195"/>
        <v>21.067705373242578</v>
      </c>
      <c r="V690" s="386">
        <f t="shared" si="195"/>
        <v>21.429989543651729</v>
      </c>
      <c r="W690" s="385">
        <f t="shared" si="195"/>
        <v>31.400298970162574</v>
      </c>
    </row>
    <row r="691" spans="1:23" ht="12.75" customHeight="1" outlineLevel="1">
      <c r="A691" s="380"/>
      <c r="B691" s="392"/>
      <c r="C691" s="392"/>
      <c r="D691" s="392"/>
      <c r="E691" s="392"/>
      <c r="F691" s="392"/>
      <c r="G691" s="392"/>
      <c r="H691" s="392"/>
      <c r="I691" s="392"/>
      <c r="J691" s="392"/>
      <c r="K691" s="392"/>
      <c r="L691" s="392"/>
      <c r="M691" s="392"/>
      <c r="N691" s="392"/>
      <c r="O691" s="392"/>
      <c r="P691" s="392"/>
      <c r="Q691" s="392"/>
      <c r="R691" s="392"/>
      <c r="S691" s="392"/>
      <c r="T691" s="392"/>
      <c r="U691" s="392"/>
      <c r="V691" s="392"/>
      <c r="W691" s="392"/>
    </row>
    <row r="692" spans="1:23" ht="12.75" customHeight="1" outlineLevel="1">
      <c r="A692" s="350" t="str">
        <f>A597</f>
        <v>Repairs</v>
      </c>
    </row>
    <row r="693" spans="1:23" ht="12.75" customHeight="1" outlineLevel="1">
      <c r="A693" s="414" t="s">
        <v>131</v>
      </c>
      <c r="B693" s="413">
        <f>B597</f>
        <v>0</v>
      </c>
      <c r="C693" s="412"/>
      <c r="D693" s="380"/>
      <c r="E693" s="380"/>
    </row>
    <row r="694" spans="1:23" ht="12.75" customHeight="1" outlineLevel="1">
      <c r="A694" s="411" t="s">
        <v>155</v>
      </c>
      <c r="B694" s="393">
        <f>C597</f>
        <v>0</v>
      </c>
      <c r="C694" s="410"/>
      <c r="D694" s="380"/>
      <c r="E694" s="380"/>
    </row>
    <row r="695" spans="1:23" ht="12.75" customHeight="1" outlineLevel="1">
      <c r="A695" s="411" t="s">
        <v>154</v>
      </c>
      <c r="B695" s="393" t="str">
        <f>D597</f>
        <v>Fully Deductible</v>
      </c>
      <c r="C695" s="410"/>
      <c r="D695" s="380"/>
      <c r="E695" s="380"/>
    </row>
    <row r="696" spans="1:23" ht="12.75" customHeight="1" outlineLevel="1">
      <c r="A696" s="409" t="s">
        <v>152</v>
      </c>
      <c r="B696" s="408">
        <f>IF(B695="Straight Line",1/B694,IF(B695="Declining Balance",1/B694*2,1))</f>
        <v>1</v>
      </c>
      <c r="C696" s="407"/>
      <c r="D696" s="380"/>
      <c r="E696" s="380"/>
    </row>
    <row r="697" spans="1:23" ht="12.75" customHeight="1" outlineLevel="1">
      <c r="A697" s="380"/>
      <c r="B697" s="392"/>
      <c r="C697" s="380"/>
      <c r="D697" s="380"/>
      <c r="E697" s="380"/>
    </row>
    <row r="698" spans="1:23" ht="12.75" customHeight="1" outlineLevel="1">
      <c r="A698" s="380" t="s">
        <v>137</v>
      </c>
      <c r="B698" s="406" t="s">
        <v>151</v>
      </c>
      <c r="C698" s="405">
        <f t="shared" ref="C698:H698" si="196">B698+1</f>
        <v>2012</v>
      </c>
      <c r="D698" s="405">
        <f t="shared" si="196"/>
        <v>2013</v>
      </c>
      <c r="E698" s="405">
        <f t="shared" si="196"/>
        <v>2014</v>
      </c>
      <c r="F698" s="405">
        <f t="shared" si="196"/>
        <v>2015</v>
      </c>
      <c r="G698" s="405">
        <f t="shared" si="196"/>
        <v>2016</v>
      </c>
      <c r="H698" s="404">
        <f t="shared" si="196"/>
        <v>2017</v>
      </c>
      <c r="I698" s="405">
        <v>2018</v>
      </c>
      <c r="J698" s="405">
        <v>2019</v>
      </c>
      <c r="K698" s="405">
        <v>2020</v>
      </c>
      <c r="L698" s="405">
        <v>2021</v>
      </c>
      <c r="M698" s="404">
        <v>2022</v>
      </c>
    </row>
    <row r="699" spans="1:23" ht="12.75" customHeight="1" outlineLevel="1">
      <c r="A699" s="402" t="s">
        <v>150</v>
      </c>
      <c r="B699" s="401">
        <v>0</v>
      </c>
      <c r="C699" s="400">
        <v>0</v>
      </c>
      <c r="D699" s="399">
        <v>0</v>
      </c>
      <c r="E699" s="398">
        <v>0</v>
      </c>
      <c r="F699" s="398">
        <v>0</v>
      </c>
      <c r="G699" s="398">
        <v>0</v>
      </c>
      <c r="H699" s="397">
        <v>0</v>
      </c>
      <c r="I699" s="399"/>
      <c r="J699" s="398"/>
      <c r="K699" s="398"/>
      <c r="L699" s="398"/>
      <c r="M699" s="397"/>
    </row>
    <row r="700" spans="1:23" ht="12.75" customHeight="1" outlineLevel="1">
      <c r="A700" s="380"/>
      <c r="B700" s="392"/>
      <c r="C700" s="380"/>
    </row>
    <row r="701" spans="1:23" ht="12.75" customHeight="1" outlineLevel="1">
      <c r="B701" s="364">
        <v>1996</v>
      </c>
      <c r="C701" s="362">
        <v>1997</v>
      </c>
      <c r="D701" s="364">
        <v>1998</v>
      </c>
      <c r="E701" s="363">
        <v>1999</v>
      </c>
      <c r="F701" s="363">
        <v>2000</v>
      </c>
      <c r="G701" s="363">
        <v>2001</v>
      </c>
      <c r="H701" s="362">
        <v>2002</v>
      </c>
      <c r="I701" s="364">
        <v>2003</v>
      </c>
      <c r="J701" s="363">
        <v>2004</v>
      </c>
      <c r="K701" s="363">
        <v>2005</v>
      </c>
      <c r="L701" s="363">
        <v>2006</v>
      </c>
      <c r="M701" s="362">
        <v>2007</v>
      </c>
      <c r="N701" s="364">
        <v>2008</v>
      </c>
      <c r="O701" s="363">
        <v>2009</v>
      </c>
      <c r="P701" s="363">
        <v>2010</v>
      </c>
      <c r="Q701" s="363">
        <v>2011</v>
      </c>
      <c r="R701" s="362">
        <v>2012</v>
      </c>
      <c r="S701" s="364">
        <f>R701+1</f>
        <v>2013</v>
      </c>
      <c r="T701" s="363">
        <f>S701+1</f>
        <v>2014</v>
      </c>
      <c r="U701" s="363">
        <f>T701+1</f>
        <v>2015</v>
      </c>
      <c r="V701" s="363">
        <f>U701+1</f>
        <v>2016</v>
      </c>
      <c r="W701" s="362">
        <f>V701+1</f>
        <v>2017</v>
      </c>
    </row>
    <row r="702" spans="1:23" ht="12.75" customHeight="1" outlineLevel="1">
      <c r="A702" s="394" t="s">
        <v>2</v>
      </c>
      <c r="B702" s="393">
        <f>B693</f>
        <v>0</v>
      </c>
      <c r="C702" s="391">
        <f t="shared" ref="C702:W702" si="197">B705</f>
        <v>0</v>
      </c>
      <c r="D702" s="393">
        <f t="shared" si="197"/>
        <v>0</v>
      </c>
      <c r="E702" s="392">
        <f t="shared" si="197"/>
        <v>0</v>
      </c>
      <c r="F702" s="392">
        <f t="shared" si="197"/>
        <v>0</v>
      </c>
      <c r="G702" s="392">
        <f t="shared" si="197"/>
        <v>0</v>
      </c>
      <c r="H702" s="391">
        <f t="shared" si="197"/>
        <v>0</v>
      </c>
      <c r="I702" s="393">
        <f t="shared" si="197"/>
        <v>0</v>
      </c>
      <c r="J702" s="392">
        <f t="shared" si="197"/>
        <v>0</v>
      </c>
      <c r="K702" s="392">
        <f t="shared" si="197"/>
        <v>0</v>
      </c>
      <c r="L702" s="392">
        <f t="shared" si="197"/>
        <v>0</v>
      </c>
      <c r="M702" s="391">
        <f t="shared" si="197"/>
        <v>0</v>
      </c>
      <c r="N702" s="390">
        <f t="shared" si="197"/>
        <v>0</v>
      </c>
      <c r="O702" s="392">
        <f t="shared" si="197"/>
        <v>0</v>
      </c>
      <c r="P702" s="392">
        <f t="shared" si="197"/>
        <v>0</v>
      </c>
      <c r="Q702" s="392">
        <f t="shared" si="197"/>
        <v>0</v>
      </c>
      <c r="R702" s="391">
        <f t="shared" si="197"/>
        <v>0</v>
      </c>
      <c r="S702" s="390">
        <f t="shared" si="197"/>
        <v>0</v>
      </c>
      <c r="T702" s="392">
        <f t="shared" si="197"/>
        <v>0</v>
      </c>
      <c r="U702" s="392">
        <f t="shared" si="197"/>
        <v>0</v>
      </c>
      <c r="V702" s="392">
        <f t="shared" si="197"/>
        <v>0</v>
      </c>
      <c r="W702" s="391">
        <f t="shared" si="197"/>
        <v>0</v>
      </c>
    </row>
    <row r="703" spans="1:23" ht="12.75" customHeight="1" outlineLevel="1">
      <c r="A703" s="389" t="s">
        <v>149</v>
      </c>
      <c r="B703" s="393">
        <v>0</v>
      </c>
      <c r="C703" s="391">
        <v>0</v>
      </c>
      <c r="D703" s="393">
        <v>0</v>
      </c>
      <c r="E703" s="392">
        <v>0</v>
      </c>
      <c r="F703" s="392">
        <v>0</v>
      </c>
      <c r="G703" s="392">
        <v>0</v>
      </c>
      <c r="H703" s="391">
        <v>0</v>
      </c>
      <c r="I703" s="393">
        <v>0</v>
      </c>
      <c r="J703" s="392">
        <v>0</v>
      </c>
      <c r="K703" s="392">
        <v>0</v>
      </c>
      <c r="L703" s="392">
        <f>B699</f>
        <v>0</v>
      </c>
      <c r="M703" s="391">
        <f>C699</f>
        <v>0</v>
      </c>
      <c r="N703" s="393">
        <v>0</v>
      </c>
      <c r="O703" s="392">
        <v>0</v>
      </c>
      <c r="P703" s="392">
        <v>0</v>
      </c>
      <c r="Q703" s="392">
        <f t="shared" ref="Q703:W703" si="198">B699</f>
        <v>0</v>
      </c>
      <c r="R703" s="391">
        <f t="shared" si="198"/>
        <v>0</v>
      </c>
      <c r="S703" s="393">
        <f t="shared" si="198"/>
        <v>0</v>
      </c>
      <c r="T703" s="392">
        <f t="shared" si="198"/>
        <v>0</v>
      </c>
      <c r="U703" s="392">
        <f t="shared" si="198"/>
        <v>0</v>
      </c>
      <c r="V703" s="392">
        <f t="shared" si="198"/>
        <v>0</v>
      </c>
      <c r="W703" s="391">
        <f t="shared" si="198"/>
        <v>0</v>
      </c>
    </row>
    <row r="704" spans="1:23" ht="12.75" customHeight="1" outlineLevel="1">
      <c r="A704" s="389" t="s">
        <v>148</v>
      </c>
      <c r="B704" s="347">
        <f>IF($B696=1,B703+B702,B703*$B696*0.5)</f>
        <v>0</v>
      </c>
      <c r="C704" s="347">
        <f t="shared" ref="C704:W704" si="199">IF($B696=1,C703+C702,(C702+C703*0.5)*$B696)</f>
        <v>0</v>
      </c>
      <c r="D704" s="369">
        <f t="shared" si="199"/>
        <v>0</v>
      </c>
      <c r="E704" s="347">
        <f t="shared" si="199"/>
        <v>0</v>
      </c>
      <c r="F704" s="347">
        <f t="shared" si="199"/>
        <v>0</v>
      </c>
      <c r="G704" s="347">
        <f t="shared" si="199"/>
        <v>0</v>
      </c>
      <c r="H704" s="368">
        <f t="shared" si="199"/>
        <v>0</v>
      </c>
      <c r="I704" s="369">
        <f t="shared" si="199"/>
        <v>0</v>
      </c>
      <c r="J704" s="347">
        <f t="shared" si="199"/>
        <v>0</v>
      </c>
      <c r="K704" s="347">
        <f t="shared" si="199"/>
        <v>0</v>
      </c>
      <c r="L704" s="347">
        <f t="shared" si="199"/>
        <v>0</v>
      </c>
      <c r="M704" s="368">
        <f t="shared" si="199"/>
        <v>0</v>
      </c>
      <c r="N704" s="369">
        <f t="shared" si="199"/>
        <v>0</v>
      </c>
      <c r="O704" s="347">
        <f t="shared" si="199"/>
        <v>0</v>
      </c>
      <c r="P704" s="347">
        <f t="shared" si="199"/>
        <v>0</v>
      </c>
      <c r="Q704" s="347">
        <f t="shared" si="199"/>
        <v>0</v>
      </c>
      <c r="R704" s="368">
        <f t="shared" si="199"/>
        <v>0</v>
      </c>
      <c r="S704" s="369">
        <f t="shared" si="199"/>
        <v>0</v>
      </c>
      <c r="T704" s="347">
        <f t="shared" si="199"/>
        <v>0</v>
      </c>
      <c r="U704" s="347">
        <f t="shared" si="199"/>
        <v>0</v>
      </c>
      <c r="V704" s="347">
        <f t="shared" si="199"/>
        <v>0</v>
      </c>
      <c r="W704" s="368">
        <f t="shared" si="199"/>
        <v>0</v>
      </c>
    </row>
    <row r="705" spans="1:28" ht="12.75" customHeight="1" outlineLevel="1">
      <c r="A705" s="388" t="s">
        <v>113</v>
      </c>
      <c r="B705" s="387">
        <f t="shared" ref="B705:W705" si="200">B702+B703-B704</f>
        <v>0</v>
      </c>
      <c r="C705" s="385">
        <f t="shared" si="200"/>
        <v>0</v>
      </c>
      <c r="D705" s="387">
        <f t="shared" si="200"/>
        <v>0</v>
      </c>
      <c r="E705" s="386">
        <f t="shared" si="200"/>
        <v>0</v>
      </c>
      <c r="F705" s="386">
        <f t="shared" si="200"/>
        <v>0</v>
      </c>
      <c r="G705" s="386">
        <f t="shared" si="200"/>
        <v>0</v>
      </c>
      <c r="H705" s="385">
        <f t="shared" si="200"/>
        <v>0</v>
      </c>
      <c r="I705" s="387">
        <f t="shared" si="200"/>
        <v>0</v>
      </c>
      <c r="J705" s="386">
        <f t="shared" si="200"/>
        <v>0</v>
      </c>
      <c r="K705" s="386">
        <f t="shared" si="200"/>
        <v>0</v>
      </c>
      <c r="L705" s="386">
        <f t="shared" si="200"/>
        <v>0</v>
      </c>
      <c r="M705" s="385">
        <f t="shared" si="200"/>
        <v>0</v>
      </c>
      <c r="N705" s="387">
        <f t="shared" si="200"/>
        <v>0</v>
      </c>
      <c r="O705" s="386">
        <f t="shared" si="200"/>
        <v>0</v>
      </c>
      <c r="P705" s="386">
        <f t="shared" si="200"/>
        <v>0</v>
      </c>
      <c r="Q705" s="386">
        <f t="shared" si="200"/>
        <v>0</v>
      </c>
      <c r="R705" s="385">
        <f t="shared" si="200"/>
        <v>0</v>
      </c>
      <c r="S705" s="387">
        <f t="shared" si="200"/>
        <v>0</v>
      </c>
      <c r="T705" s="386">
        <f t="shared" si="200"/>
        <v>0</v>
      </c>
      <c r="U705" s="386">
        <f t="shared" si="200"/>
        <v>0</v>
      </c>
      <c r="V705" s="386">
        <f t="shared" si="200"/>
        <v>0</v>
      </c>
      <c r="W705" s="385">
        <f t="shared" si="200"/>
        <v>0</v>
      </c>
    </row>
    <row r="706" spans="1:28" ht="12.75" customHeight="1" outlineLevel="1"/>
    <row r="707" spans="1:28" ht="12.75" customHeight="1" outlineLevel="1"/>
    <row r="708" spans="1:28" ht="12.75" customHeight="1" outlineLevel="1">
      <c r="A708" s="350" t="s">
        <v>156</v>
      </c>
    </row>
    <row r="709" spans="1:28" ht="12.75" customHeight="1" outlineLevel="1">
      <c r="A709" s="350"/>
    </row>
    <row r="710" spans="1:28" ht="12.75" customHeight="1" outlineLevel="1">
      <c r="B710" s="364">
        <v>1996</v>
      </c>
      <c r="C710" s="362">
        <v>1997</v>
      </c>
      <c r="D710" s="364">
        <v>1998</v>
      </c>
      <c r="E710" s="363">
        <v>1999</v>
      </c>
      <c r="F710" s="363">
        <v>2000</v>
      </c>
      <c r="G710" s="363">
        <v>2001</v>
      </c>
      <c r="H710" s="362">
        <v>2002</v>
      </c>
      <c r="I710" s="364">
        <v>2003</v>
      </c>
      <c r="J710" s="363">
        <v>2004</v>
      </c>
      <c r="K710" s="363">
        <v>2005</v>
      </c>
      <c r="L710" s="363">
        <v>2006</v>
      </c>
      <c r="M710" s="362">
        <v>2007</v>
      </c>
      <c r="N710" s="364">
        <v>2008</v>
      </c>
      <c r="O710" s="363">
        <v>2009</v>
      </c>
      <c r="P710" s="363">
        <v>2010</v>
      </c>
      <c r="Q710" s="363">
        <v>2011</v>
      </c>
      <c r="R710" s="362">
        <v>2012</v>
      </c>
      <c r="S710" s="435">
        <f t="shared" ref="S710:W710" si="201">R710+1</f>
        <v>2013</v>
      </c>
      <c r="T710" s="434">
        <f t="shared" si="201"/>
        <v>2014</v>
      </c>
      <c r="U710" s="434">
        <f t="shared" si="201"/>
        <v>2015</v>
      </c>
      <c r="V710" s="434">
        <f t="shared" si="201"/>
        <v>2016</v>
      </c>
      <c r="W710" s="433">
        <f t="shared" si="201"/>
        <v>2017</v>
      </c>
    </row>
    <row r="711" spans="1:28" ht="12.75" customHeight="1" outlineLevel="1">
      <c r="A711" s="394" t="s">
        <v>2</v>
      </c>
      <c r="B711" s="427">
        <f t="shared" ref="B711:R711" si="202">B612+B627+B642+B657+B687+B702</f>
        <v>0</v>
      </c>
      <c r="C711" s="428">
        <f t="shared" si="202"/>
        <v>0</v>
      </c>
      <c r="D711" s="427">
        <f t="shared" si="202"/>
        <v>0</v>
      </c>
      <c r="E711" s="426">
        <f t="shared" si="202"/>
        <v>0</v>
      </c>
      <c r="F711" s="426">
        <f t="shared" si="202"/>
        <v>0</v>
      </c>
      <c r="G711" s="426">
        <f t="shared" si="202"/>
        <v>0</v>
      </c>
      <c r="H711" s="428">
        <f t="shared" si="202"/>
        <v>0</v>
      </c>
      <c r="I711" s="427">
        <f t="shared" si="202"/>
        <v>0</v>
      </c>
      <c r="J711" s="426">
        <f t="shared" si="202"/>
        <v>0</v>
      </c>
      <c r="K711" s="426">
        <f t="shared" si="202"/>
        <v>0</v>
      </c>
      <c r="L711" s="426">
        <f t="shared" si="202"/>
        <v>0</v>
      </c>
      <c r="M711" s="428">
        <f t="shared" si="202"/>
        <v>0</v>
      </c>
      <c r="N711" s="390">
        <f t="shared" si="202"/>
        <v>0</v>
      </c>
      <c r="O711" s="426">
        <f t="shared" si="202"/>
        <v>0</v>
      </c>
      <c r="P711" s="426">
        <f t="shared" si="202"/>
        <v>0</v>
      </c>
      <c r="Q711" s="426">
        <f t="shared" si="202"/>
        <v>0</v>
      </c>
      <c r="R711" s="426">
        <f t="shared" si="202"/>
        <v>0</v>
      </c>
      <c r="S711" s="432">
        <f t="shared" ref="S711:W711" si="203">S612+S627+S642+S657+S672+S687+S702</f>
        <v>0</v>
      </c>
      <c r="T711" s="431">
        <f t="shared" si="203"/>
        <v>100.50547542908176</v>
      </c>
      <c r="U711" s="431">
        <f t="shared" si="203"/>
        <v>205.39394322986647</v>
      </c>
      <c r="V711" s="431">
        <f t="shared" si="203"/>
        <v>317.35837968056427</v>
      </c>
      <c r="W711" s="430">
        <f t="shared" si="203"/>
        <v>387.86568607309056</v>
      </c>
    </row>
    <row r="712" spans="1:28" ht="12.75" customHeight="1" outlineLevel="1">
      <c r="A712" s="389" t="s">
        <v>137</v>
      </c>
      <c r="B712" s="427">
        <f t="shared" ref="B712:R712" si="204">B613+B628+B643+B658+B688+B703</f>
        <v>0</v>
      </c>
      <c r="C712" s="428">
        <f t="shared" si="204"/>
        <v>0</v>
      </c>
      <c r="D712" s="427">
        <f t="shared" si="204"/>
        <v>0</v>
      </c>
      <c r="E712" s="426">
        <f t="shared" si="204"/>
        <v>0</v>
      </c>
      <c r="F712" s="426">
        <f t="shared" si="204"/>
        <v>0</v>
      </c>
      <c r="G712" s="426">
        <f t="shared" si="204"/>
        <v>0</v>
      </c>
      <c r="H712" s="428">
        <f t="shared" si="204"/>
        <v>0</v>
      </c>
      <c r="I712" s="427">
        <f t="shared" si="204"/>
        <v>0</v>
      </c>
      <c r="J712" s="426">
        <f t="shared" si="204"/>
        <v>0</v>
      </c>
      <c r="K712" s="426">
        <f t="shared" si="204"/>
        <v>0</v>
      </c>
      <c r="L712" s="426">
        <f t="shared" si="204"/>
        <v>0</v>
      </c>
      <c r="M712" s="428">
        <f t="shared" si="204"/>
        <v>0</v>
      </c>
      <c r="N712" s="427">
        <f t="shared" si="204"/>
        <v>0</v>
      </c>
      <c r="O712" s="426">
        <f t="shared" si="204"/>
        <v>0</v>
      </c>
      <c r="P712" s="426">
        <f t="shared" si="204"/>
        <v>0</v>
      </c>
      <c r="Q712" s="426">
        <f t="shared" si="204"/>
        <v>0</v>
      </c>
      <c r="R712" s="426">
        <f t="shared" si="204"/>
        <v>0</v>
      </c>
      <c r="S712" s="425">
        <f t="shared" ref="S712:W712" si="205">S613+S628+S643+S658+S673+S688+S703</f>
        <v>103.29831661999999</v>
      </c>
      <c r="T712" s="424">
        <f t="shared" si="205"/>
        <v>113.51682296565326</v>
      </c>
      <c r="U712" s="424">
        <f t="shared" si="205"/>
        <v>127.24363225800474</v>
      </c>
      <c r="V712" s="424">
        <f t="shared" si="205"/>
        <v>91.857436090463182</v>
      </c>
      <c r="W712" s="423">
        <f t="shared" si="205"/>
        <v>112.13999999999999</v>
      </c>
    </row>
    <row r="713" spans="1:28" ht="12.75" customHeight="1" outlineLevel="1">
      <c r="A713" s="389" t="s">
        <v>136</v>
      </c>
      <c r="B713" s="427">
        <f t="shared" ref="B713:R713" si="206">B614+B629+B644+B659+B689+B704</f>
        <v>0</v>
      </c>
      <c r="C713" s="428">
        <f t="shared" si="206"/>
        <v>0</v>
      </c>
      <c r="D713" s="427">
        <f t="shared" si="206"/>
        <v>0</v>
      </c>
      <c r="E713" s="426">
        <f t="shared" si="206"/>
        <v>0</v>
      </c>
      <c r="F713" s="426">
        <f t="shared" si="206"/>
        <v>0</v>
      </c>
      <c r="G713" s="426">
        <f t="shared" si="206"/>
        <v>0</v>
      </c>
      <c r="H713" s="428">
        <f t="shared" si="206"/>
        <v>0</v>
      </c>
      <c r="I713" s="427">
        <f t="shared" si="206"/>
        <v>0</v>
      </c>
      <c r="J713" s="426">
        <f t="shared" si="206"/>
        <v>0</v>
      </c>
      <c r="K713" s="426">
        <f t="shared" si="206"/>
        <v>0</v>
      </c>
      <c r="L713" s="426">
        <f t="shared" si="206"/>
        <v>0</v>
      </c>
      <c r="M713" s="428">
        <f t="shared" si="206"/>
        <v>0</v>
      </c>
      <c r="N713" s="427">
        <f t="shared" si="206"/>
        <v>0</v>
      </c>
      <c r="O713" s="426">
        <f t="shared" si="206"/>
        <v>0</v>
      </c>
      <c r="P713" s="426">
        <f t="shared" si="206"/>
        <v>0</v>
      </c>
      <c r="Q713" s="426">
        <f t="shared" si="206"/>
        <v>0</v>
      </c>
      <c r="R713" s="426">
        <f t="shared" si="206"/>
        <v>0</v>
      </c>
      <c r="S713" s="425">
        <f t="shared" ref="S713:W713" si="207">S614+S629+S644+S659+S674+S689+S704</f>
        <v>2.7928411909182471</v>
      </c>
      <c r="T713" s="424">
        <f t="shared" si="207"/>
        <v>8.6283551648685499</v>
      </c>
      <c r="U713" s="424">
        <f>U614+U629+U644+U659+U674+U689+U704</f>
        <v>15.279195807306859</v>
      </c>
      <c r="V713" s="424">
        <f t="shared" si="207"/>
        <v>21.350129697936929</v>
      </c>
      <c r="W713" s="423">
        <f t="shared" si="207"/>
        <v>27.076312395827408</v>
      </c>
    </row>
    <row r="714" spans="1:28" ht="12.75" customHeight="1" outlineLevel="1">
      <c r="A714" s="389" t="s">
        <v>113</v>
      </c>
      <c r="B714" s="421">
        <f t="shared" ref="B714:R714" si="208">B615+B630+B645+B660+B690+B705</f>
        <v>0</v>
      </c>
      <c r="C714" s="422">
        <f t="shared" si="208"/>
        <v>0</v>
      </c>
      <c r="D714" s="421">
        <f t="shared" si="208"/>
        <v>0</v>
      </c>
      <c r="E714" s="420">
        <f t="shared" si="208"/>
        <v>0</v>
      </c>
      <c r="F714" s="420">
        <f t="shared" si="208"/>
        <v>0</v>
      </c>
      <c r="G714" s="420">
        <f t="shared" si="208"/>
        <v>0</v>
      </c>
      <c r="H714" s="422">
        <f t="shared" si="208"/>
        <v>0</v>
      </c>
      <c r="I714" s="421">
        <f t="shared" si="208"/>
        <v>0</v>
      </c>
      <c r="J714" s="420">
        <f t="shared" si="208"/>
        <v>0</v>
      </c>
      <c r="K714" s="420">
        <f t="shared" si="208"/>
        <v>0</v>
      </c>
      <c r="L714" s="420">
        <f t="shared" si="208"/>
        <v>0</v>
      </c>
      <c r="M714" s="384">
        <f t="shared" si="208"/>
        <v>0</v>
      </c>
      <c r="N714" s="421">
        <f t="shared" si="208"/>
        <v>0</v>
      </c>
      <c r="O714" s="420">
        <f t="shared" si="208"/>
        <v>0</v>
      </c>
      <c r="P714" s="420">
        <f t="shared" si="208"/>
        <v>0</v>
      </c>
      <c r="Q714" s="420">
        <f t="shared" si="208"/>
        <v>0</v>
      </c>
      <c r="R714" s="420">
        <f t="shared" si="208"/>
        <v>0</v>
      </c>
      <c r="S714" s="419">
        <f t="shared" ref="S714:W714" si="209">S615+S630+S645+S660+S675+S690+S705</f>
        <v>100.50547542908176</v>
      </c>
      <c r="T714" s="418">
        <f t="shared" si="209"/>
        <v>205.39394322986647</v>
      </c>
      <c r="U714" s="418">
        <f t="shared" si="209"/>
        <v>317.35837968056427</v>
      </c>
      <c r="V714" s="418">
        <f t="shared" si="209"/>
        <v>387.86568607309056</v>
      </c>
      <c r="W714" s="417">
        <f t="shared" si="209"/>
        <v>472.92937367726319</v>
      </c>
    </row>
    <row r="715" spans="1:28" ht="12.75" customHeight="1" outlineLevel="1">
      <c r="A715" s="380"/>
      <c r="B715" s="380"/>
      <c r="C715" s="380"/>
      <c r="D715" s="380"/>
      <c r="E715" s="380"/>
      <c r="F715" s="380"/>
      <c r="G715" s="380"/>
      <c r="H715" s="380"/>
      <c r="I715" s="380"/>
      <c r="J715" s="380"/>
      <c r="K715" s="380"/>
      <c r="L715" s="380"/>
      <c r="M715" s="416"/>
      <c r="N715" s="380"/>
      <c r="O715" s="380"/>
      <c r="P715" s="380"/>
      <c r="Q715" s="380"/>
      <c r="R715" s="380"/>
      <c r="S715" s="380"/>
      <c r="T715" s="380"/>
      <c r="U715" s="380"/>
      <c r="V715" s="380"/>
      <c r="W715" s="380"/>
    </row>
    <row r="716" spans="1:28" ht="12.75" customHeight="1" outlineLevel="1">
      <c r="A716" s="383"/>
      <c r="B716" s="382"/>
      <c r="C716" s="382"/>
      <c r="D716" s="382"/>
      <c r="E716" s="382"/>
      <c r="F716" s="382"/>
      <c r="G716" s="382"/>
      <c r="H716" s="382"/>
      <c r="I716" s="382"/>
      <c r="J716" s="382"/>
      <c r="K716" s="382"/>
      <c r="L716" s="382"/>
      <c r="M716" s="381"/>
      <c r="N716" s="380"/>
      <c r="O716" s="380"/>
      <c r="P716" s="380"/>
      <c r="Q716" s="380"/>
      <c r="R716" s="380"/>
      <c r="S716" s="380"/>
      <c r="T716" s="380"/>
      <c r="U716" s="380"/>
      <c r="V716" s="380"/>
      <c r="W716" s="380"/>
    </row>
    <row r="717" spans="1:28" ht="12.75" customHeight="1" outlineLevel="1">
      <c r="A717" s="380"/>
      <c r="B717" s="380"/>
      <c r="C717" s="380"/>
      <c r="D717" s="380"/>
      <c r="E717" s="380"/>
      <c r="F717" s="380"/>
      <c r="G717" s="380"/>
      <c r="H717" s="380"/>
      <c r="I717" s="380"/>
      <c r="J717" s="380"/>
      <c r="K717" s="380"/>
      <c r="L717" s="380"/>
      <c r="M717" s="416"/>
      <c r="N717" s="380"/>
      <c r="O717" s="380"/>
      <c r="P717" s="380"/>
      <c r="Q717" s="380"/>
      <c r="R717" s="380"/>
      <c r="S717" s="380"/>
      <c r="T717" s="380"/>
      <c r="U717" s="380"/>
      <c r="V717" s="380"/>
      <c r="W717" s="380"/>
    </row>
    <row r="718" spans="1:28" ht="12.75" customHeight="1" outlineLevel="1">
      <c r="A718" s="383"/>
      <c r="B718" s="382"/>
      <c r="C718" s="382"/>
      <c r="D718" s="382"/>
      <c r="E718" s="382"/>
      <c r="F718" s="382"/>
      <c r="G718" s="382"/>
      <c r="H718" s="382"/>
      <c r="I718" s="382"/>
      <c r="J718" s="382"/>
      <c r="K718" s="382"/>
      <c r="L718" s="382"/>
      <c r="M718" s="381"/>
      <c r="N718" s="380"/>
      <c r="O718" s="380"/>
      <c r="P718" s="380"/>
      <c r="Q718" s="380"/>
      <c r="R718" s="380"/>
      <c r="S718" s="380"/>
      <c r="T718" s="380"/>
      <c r="U718" s="380"/>
      <c r="V718" s="380"/>
      <c r="W718" s="380"/>
    </row>
    <row r="719" spans="1:28" s="351" customFormat="1">
      <c r="A719" s="415" t="s">
        <v>138</v>
      </c>
      <c r="X719" s="344"/>
      <c r="Y719" s="344"/>
      <c r="Z719" s="344"/>
      <c r="AA719" s="344"/>
      <c r="AB719" s="344"/>
    </row>
    <row r="720" spans="1:28" s="351" customFormat="1">
      <c r="A720" s="356" t="s">
        <v>127</v>
      </c>
      <c r="X720" s="344"/>
      <c r="Y720" s="344"/>
      <c r="Z720" s="344"/>
      <c r="AA720" s="344"/>
      <c r="AB720" s="344"/>
    </row>
    <row r="721" spans="1:23" ht="12.75" customHeight="1" outlineLevel="1">
      <c r="A721" s="414" t="s">
        <v>131</v>
      </c>
      <c r="B721" s="413">
        <v>0</v>
      </c>
      <c r="C721" s="412"/>
      <c r="D721" s="380"/>
      <c r="E721" s="380"/>
    </row>
    <row r="722" spans="1:23" ht="12.75" customHeight="1" outlineLevel="1">
      <c r="A722" s="411" t="s">
        <v>155</v>
      </c>
      <c r="B722" s="393">
        <v>5</v>
      </c>
      <c r="C722" s="410"/>
      <c r="D722" s="380"/>
      <c r="E722" s="380"/>
    </row>
    <row r="723" spans="1:23" ht="12.75" customHeight="1" outlineLevel="1">
      <c r="A723" s="411" t="s">
        <v>154</v>
      </c>
      <c r="B723" s="393" t="s">
        <v>153</v>
      </c>
      <c r="C723" s="410"/>
      <c r="D723" s="380"/>
      <c r="E723" s="380"/>
    </row>
    <row r="724" spans="1:23" ht="12.75" customHeight="1" outlineLevel="1">
      <c r="A724" s="409" t="s">
        <v>152</v>
      </c>
      <c r="B724" s="408">
        <v>0.2</v>
      </c>
      <c r="C724" s="407"/>
      <c r="D724" s="380"/>
      <c r="E724" s="380"/>
    </row>
    <row r="725" spans="1:23" ht="12.75" customHeight="1" outlineLevel="1">
      <c r="A725" s="380"/>
      <c r="B725" s="392"/>
      <c r="C725" s="380"/>
      <c r="D725" s="380"/>
      <c r="E725" s="380"/>
    </row>
    <row r="726" spans="1:23" ht="12.75" customHeight="1" outlineLevel="1">
      <c r="A726" s="380" t="s">
        <v>137</v>
      </c>
      <c r="B726" s="406" t="s">
        <v>151</v>
      </c>
      <c r="C726" s="405">
        <f t="shared" ref="C726:H726" si="210">B726+1</f>
        <v>2012</v>
      </c>
      <c r="D726" s="405">
        <f t="shared" si="210"/>
        <v>2013</v>
      </c>
      <c r="E726" s="405">
        <f t="shared" si="210"/>
        <v>2014</v>
      </c>
      <c r="F726" s="405">
        <f t="shared" si="210"/>
        <v>2015</v>
      </c>
      <c r="G726" s="405">
        <f t="shared" si="210"/>
        <v>2016</v>
      </c>
      <c r="H726" s="404">
        <f t="shared" si="210"/>
        <v>2017</v>
      </c>
      <c r="I726" s="403"/>
      <c r="J726" s="403"/>
      <c r="K726" s="403"/>
      <c r="L726" s="403"/>
    </row>
    <row r="727" spans="1:23" ht="12.75" customHeight="1" outlineLevel="1">
      <c r="A727" s="402" t="s">
        <v>150</v>
      </c>
      <c r="B727" s="401">
        <v>0</v>
      </c>
      <c r="C727" s="400">
        <v>0</v>
      </c>
      <c r="D727" s="600">
        <f>Input!H47-Input!H81</f>
        <v>0</v>
      </c>
      <c r="E727" s="601">
        <f>Input!I47-Input!I81</f>
        <v>0</v>
      </c>
      <c r="F727" s="601">
        <f>Input!J47-Input!J81</f>
        <v>0</v>
      </c>
      <c r="G727" s="601">
        <f>Input!K47-Input!K81</f>
        <v>0</v>
      </c>
      <c r="H727" s="602">
        <f>Input!L47-Input!L81</f>
        <v>0</v>
      </c>
      <c r="I727" s="396"/>
      <c r="J727" s="396"/>
      <c r="K727" s="396"/>
      <c r="L727" s="395"/>
    </row>
    <row r="728" spans="1:23" ht="12.75" customHeight="1" outlineLevel="1">
      <c r="A728" s="380"/>
      <c r="B728" s="392"/>
      <c r="C728" s="380"/>
    </row>
    <row r="729" spans="1:23" ht="12.75" customHeight="1" outlineLevel="1">
      <c r="B729" s="364">
        <v>1996</v>
      </c>
      <c r="C729" s="362">
        <v>1997</v>
      </c>
      <c r="D729" s="364">
        <v>1998</v>
      </c>
      <c r="E729" s="363">
        <v>1999</v>
      </c>
      <c r="F729" s="363">
        <v>2000</v>
      </c>
      <c r="G729" s="363">
        <v>2001</v>
      </c>
      <c r="H729" s="362">
        <v>2002</v>
      </c>
      <c r="I729" s="364">
        <v>2003</v>
      </c>
      <c r="J729" s="363">
        <v>2004</v>
      </c>
      <c r="K729" s="363">
        <v>2005</v>
      </c>
      <c r="L729" s="363">
        <v>2006</v>
      </c>
      <c r="M729" s="362">
        <v>2007</v>
      </c>
      <c r="N729" s="364">
        <v>2008</v>
      </c>
      <c r="O729" s="363">
        <v>2009</v>
      </c>
      <c r="P729" s="363">
        <v>2010</v>
      </c>
      <c r="Q729" s="363">
        <v>2011</v>
      </c>
      <c r="R729" s="362">
        <v>2012</v>
      </c>
      <c r="S729" s="364">
        <f>R729+1</f>
        <v>2013</v>
      </c>
      <c r="T729" s="363">
        <f>S729+1</f>
        <v>2014</v>
      </c>
      <c r="U729" s="363">
        <f>T729+1</f>
        <v>2015</v>
      </c>
      <c r="V729" s="363">
        <f>U729+1</f>
        <v>2016</v>
      </c>
      <c r="W729" s="362">
        <f>V729+1</f>
        <v>2017</v>
      </c>
    </row>
    <row r="730" spans="1:23" ht="12.75" customHeight="1" outlineLevel="1">
      <c r="A730" s="394" t="s">
        <v>2</v>
      </c>
      <c r="B730" s="393">
        <f>B721</f>
        <v>0</v>
      </c>
      <c r="C730" s="391">
        <f t="shared" ref="C730:W730" si="211">B733</f>
        <v>0</v>
      </c>
      <c r="D730" s="393">
        <f t="shared" si="211"/>
        <v>0</v>
      </c>
      <c r="E730" s="392">
        <f t="shared" si="211"/>
        <v>0</v>
      </c>
      <c r="F730" s="392">
        <f t="shared" si="211"/>
        <v>0</v>
      </c>
      <c r="G730" s="392">
        <f t="shared" si="211"/>
        <v>0</v>
      </c>
      <c r="H730" s="391">
        <f t="shared" si="211"/>
        <v>0</v>
      </c>
      <c r="I730" s="393">
        <f t="shared" si="211"/>
        <v>0</v>
      </c>
      <c r="J730" s="392">
        <f t="shared" si="211"/>
        <v>0</v>
      </c>
      <c r="K730" s="392">
        <f t="shared" si="211"/>
        <v>0</v>
      </c>
      <c r="L730" s="392">
        <f t="shared" si="211"/>
        <v>0</v>
      </c>
      <c r="M730" s="391">
        <f t="shared" si="211"/>
        <v>0</v>
      </c>
      <c r="N730" s="390">
        <f t="shared" si="211"/>
        <v>0</v>
      </c>
      <c r="O730" s="392">
        <f t="shared" si="211"/>
        <v>0</v>
      </c>
      <c r="P730" s="392">
        <f t="shared" si="211"/>
        <v>0</v>
      </c>
      <c r="Q730" s="392">
        <f t="shared" si="211"/>
        <v>0</v>
      </c>
      <c r="R730" s="391">
        <f t="shared" si="211"/>
        <v>0</v>
      </c>
      <c r="S730" s="390">
        <f>R733</f>
        <v>0</v>
      </c>
      <c r="T730" s="392">
        <f t="shared" si="211"/>
        <v>0</v>
      </c>
      <c r="U730" s="392">
        <f t="shared" si="211"/>
        <v>0</v>
      </c>
      <c r="V730" s="392">
        <f t="shared" si="211"/>
        <v>0</v>
      </c>
      <c r="W730" s="391">
        <f t="shared" si="211"/>
        <v>0</v>
      </c>
    </row>
    <row r="731" spans="1:23" ht="12.75" customHeight="1" outlineLevel="1">
      <c r="A731" s="389" t="s">
        <v>149</v>
      </c>
      <c r="B731" s="393">
        <v>0</v>
      </c>
      <c r="C731" s="391">
        <v>0</v>
      </c>
      <c r="D731" s="393">
        <v>0</v>
      </c>
      <c r="E731" s="392">
        <v>0</v>
      </c>
      <c r="F731" s="392">
        <v>0</v>
      </c>
      <c r="G731" s="392">
        <v>0</v>
      </c>
      <c r="H731" s="391">
        <v>0</v>
      </c>
      <c r="I731" s="393">
        <v>0</v>
      </c>
      <c r="J731" s="392">
        <v>0</v>
      </c>
      <c r="K731" s="392">
        <v>0</v>
      </c>
      <c r="L731" s="392">
        <f>B727</f>
        <v>0</v>
      </c>
      <c r="M731" s="391">
        <f>C727</f>
        <v>0</v>
      </c>
      <c r="N731" s="393">
        <v>0</v>
      </c>
      <c r="O731" s="392">
        <v>0</v>
      </c>
      <c r="P731" s="392">
        <v>0</v>
      </c>
      <c r="Q731" s="392">
        <f t="shared" ref="Q731:W731" si="212">B727</f>
        <v>0</v>
      </c>
      <c r="R731" s="391">
        <f t="shared" si="212"/>
        <v>0</v>
      </c>
      <c r="S731" s="393">
        <f t="shared" si="212"/>
        <v>0</v>
      </c>
      <c r="T731" s="392">
        <f t="shared" si="212"/>
        <v>0</v>
      </c>
      <c r="U731" s="392">
        <f t="shared" si="212"/>
        <v>0</v>
      </c>
      <c r="V731" s="392">
        <f t="shared" si="212"/>
        <v>0</v>
      </c>
      <c r="W731" s="391">
        <f t="shared" si="212"/>
        <v>0</v>
      </c>
    </row>
    <row r="732" spans="1:23" ht="12.75" customHeight="1" outlineLevel="1">
      <c r="A732" s="389" t="s">
        <v>148</v>
      </c>
      <c r="B732" s="347">
        <f>IF($B724=1,B731+B730,B731*$B724*0.5)</f>
        <v>0</v>
      </c>
      <c r="C732" s="347">
        <f t="shared" ref="C732:R732" si="213">IF($B724=1,C731+C730,(C730+C731*0.5)*$B724)</f>
        <v>0</v>
      </c>
      <c r="D732" s="369">
        <f t="shared" si="213"/>
        <v>0</v>
      </c>
      <c r="E732" s="347">
        <f t="shared" si="213"/>
        <v>0</v>
      </c>
      <c r="F732" s="347">
        <f t="shared" si="213"/>
        <v>0</v>
      </c>
      <c r="G732" s="347">
        <f t="shared" si="213"/>
        <v>0</v>
      </c>
      <c r="H732" s="368">
        <f t="shared" si="213"/>
        <v>0</v>
      </c>
      <c r="I732" s="369">
        <f t="shared" si="213"/>
        <v>0</v>
      </c>
      <c r="J732" s="347">
        <f t="shared" si="213"/>
        <v>0</v>
      </c>
      <c r="K732" s="347">
        <f t="shared" si="213"/>
        <v>0</v>
      </c>
      <c r="L732" s="347">
        <f t="shared" si="213"/>
        <v>0</v>
      </c>
      <c r="M732" s="368">
        <f t="shared" si="213"/>
        <v>0</v>
      </c>
      <c r="N732" s="369">
        <f t="shared" si="213"/>
        <v>0</v>
      </c>
      <c r="O732" s="347">
        <f t="shared" si="213"/>
        <v>0</v>
      </c>
      <c r="P732" s="347">
        <f t="shared" si="213"/>
        <v>0</v>
      </c>
      <c r="Q732" s="347">
        <f t="shared" si="213"/>
        <v>0</v>
      </c>
      <c r="R732" s="368">
        <f t="shared" si="213"/>
        <v>0</v>
      </c>
      <c r="S732" s="369">
        <f>$D$727*$B$724</f>
        <v>0</v>
      </c>
      <c r="T732" s="347">
        <f>$D$727*$B$724</f>
        <v>0</v>
      </c>
      <c r="U732" s="347">
        <f>$D$727*$B$724</f>
        <v>0</v>
      </c>
      <c r="V732" s="347">
        <f>$D$727*$B$724</f>
        <v>0</v>
      </c>
      <c r="W732" s="368">
        <f>$D$727*$B$724</f>
        <v>0</v>
      </c>
    </row>
    <row r="733" spans="1:23" ht="12.75" customHeight="1" outlineLevel="1">
      <c r="A733" s="388" t="s">
        <v>113</v>
      </c>
      <c r="B733" s="387">
        <f t="shared" ref="B733:W733" si="214">B730+B731-B732</f>
        <v>0</v>
      </c>
      <c r="C733" s="385">
        <f t="shared" si="214"/>
        <v>0</v>
      </c>
      <c r="D733" s="387">
        <f t="shared" si="214"/>
        <v>0</v>
      </c>
      <c r="E733" s="386">
        <f t="shared" si="214"/>
        <v>0</v>
      </c>
      <c r="F733" s="386">
        <f t="shared" si="214"/>
        <v>0</v>
      </c>
      <c r="G733" s="386">
        <f t="shared" si="214"/>
        <v>0</v>
      </c>
      <c r="H733" s="385">
        <f t="shared" si="214"/>
        <v>0</v>
      </c>
      <c r="I733" s="387">
        <f t="shared" si="214"/>
        <v>0</v>
      </c>
      <c r="J733" s="386">
        <f t="shared" si="214"/>
        <v>0</v>
      </c>
      <c r="K733" s="386">
        <f t="shared" si="214"/>
        <v>0</v>
      </c>
      <c r="L733" s="386">
        <f t="shared" si="214"/>
        <v>0</v>
      </c>
      <c r="M733" s="385">
        <f t="shared" si="214"/>
        <v>0</v>
      </c>
      <c r="N733" s="387">
        <f t="shared" si="214"/>
        <v>0</v>
      </c>
      <c r="O733" s="386">
        <f t="shared" si="214"/>
        <v>0</v>
      </c>
      <c r="P733" s="386">
        <f t="shared" si="214"/>
        <v>0</v>
      </c>
      <c r="Q733" s="386">
        <f t="shared" si="214"/>
        <v>0</v>
      </c>
      <c r="R733" s="385">
        <f t="shared" si="214"/>
        <v>0</v>
      </c>
      <c r="S733" s="387">
        <f t="shared" si="214"/>
        <v>0</v>
      </c>
      <c r="T733" s="386">
        <f t="shared" si="214"/>
        <v>0</v>
      </c>
      <c r="U733" s="386">
        <f t="shared" si="214"/>
        <v>0</v>
      </c>
      <c r="V733" s="386">
        <f t="shared" si="214"/>
        <v>0</v>
      </c>
      <c r="W733" s="385">
        <f t="shared" si="214"/>
        <v>0</v>
      </c>
    </row>
    <row r="734" spans="1:23" ht="12.75" customHeight="1" outlineLevel="1">
      <c r="A734" s="383"/>
      <c r="B734" s="382"/>
      <c r="C734" s="382"/>
      <c r="D734" s="382"/>
      <c r="E734" s="382"/>
      <c r="F734" s="382"/>
      <c r="G734" s="382"/>
      <c r="H734" s="382"/>
      <c r="I734" s="382"/>
      <c r="J734" s="382"/>
      <c r="K734" s="382"/>
      <c r="L734" s="382"/>
      <c r="M734" s="381"/>
      <c r="N734" s="380"/>
      <c r="O734" s="380"/>
      <c r="P734" s="380"/>
      <c r="Q734" s="380"/>
      <c r="R734" s="380"/>
      <c r="S734" s="380"/>
      <c r="T734" s="380"/>
      <c r="U734" s="380"/>
      <c r="V734" s="380"/>
      <c r="W734" s="380"/>
    </row>
    <row r="735" spans="1:23">
      <c r="A735" s="383"/>
      <c r="B735" s="382"/>
      <c r="C735" s="382"/>
      <c r="D735" s="382"/>
      <c r="E735" s="382"/>
      <c r="F735" s="382"/>
      <c r="G735" s="382"/>
      <c r="H735" s="382"/>
      <c r="I735" s="382"/>
      <c r="J735" s="382"/>
      <c r="K735" s="382"/>
      <c r="L735" s="382"/>
      <c r="M735" s="381"/>
      <c r="N735" s="380"/>
      <c r="O735" s="380"/>
      <c r="P735" s="380"/>
      <c r="Q735" s="380"/>
      <c r="R735" s="380"/>
      <c r="S735" s="380"/>
      <c r="T735" s="380"/>
      <c r="U735" s="380"/>
      <c r="V735" s="380"/>
      <c r="W735" s="380"/>
    </row>
    <row r="736" spans="1:23">
      <c r="A736" s="356" t="s">
        <v>147</v>
      </c>
    </row>
    <row r="737" spans="1:23">
      <c r="A737" s="356" t="s">
        <v>136</v>
      </c>
      <c r="B737" s="364">
        <v>1996</v>
      </c>
      <c r="C737" s="363">
        <v>1997</v>
      </c>
      <c r="D737" s="364">
        <v>1998</v>
      </c>
      <c r="E737" s="363">
        <v>1999</v>
      </c>
      <c r="F737" s="363">
        <v>2000</v>
      </c>
      <c r="G737" s="363">
        <v>2001</v>
      </c>
      <c r="H737" s="362">
        <v>2002</v>
      </c>
      <c r="I737" s="363">
        <v>2003</v>
      </c>
      <c r="J737" s="363">
        <v>2004</v>
      </c>
      <c r="K737" s="363">
        <v>2005</v>
      </c>
      <c r="L737" s="363">
        <v>2006</v>
      </c>
      <c r="M737" s="362">
        <v>2007</v>
      </c>
      <c r="N737" s="363">
        <v>2008</v>
      </c>
      <c r="O737" s="363">
        <v>2009</v>
      </c>
      <c r="P737" s="363">
        <v>2010</v>
      </c>
      <c r="Q737" s="363">
        <v>2011</v>
      </c>
      <c r="R737" s="362">
        <v>2012</v>
      </c>
      <c r="S737" s="364">
        <f t="shared" ref="S737:W737" si="215">R737+1</f>
        <v>2013</v>
      </c>
      <c r="T737" s="363">
        <f t="shared" si="215"/>
        <v>2014</v>
      </c>
      <c r="U737" s="363">
        <f t="shared" si="215"/>
        <v>2015</v>
      </c>
      <c r="V737" s="363">
        <f t="shared" si="215"/>
        <v>2016</v>
      </c>
      <c r="W737" s="362">
        <f t="shared" si="215"/>
        <v>2017</v>
      </c>
    </row>
    <row r="738" spans="1:23">
      <c r="A738" s="350" t="s">
        <v>146</v>
      </c>
      <c r="B738" s="379">
        <f t="shared" ref="B738:W738" si="216">B63</f>
        <v>68.3543375</v>
      </c>
      <c r="C738" s="378">
        <f t="shared" si="216"/>
        <v>105.000675</v>
      </c>
      <c r="D738" s="376">
        <f t="shared" si="216"/>
        <v>65.929889000000017</v>
      </c>
      <c r="E738" s="376">
        <f t="shared" si="216"/>
        <v>52.689764000000018</v>
      </c>
      <c r="F738" s="376">
        <f t="shared" si="216"/>
        <v>42.119576660000014</v>
      </c>
      <c r="G738" s="376">
        <f t="shared" si="216"/>
        <v>33.67876565000001</v>
      </c>
      <c r="H738" s="375">
        <f t="shared" si="216"/>
        <v>26.936854045400001</v>
      </c>
      <c r="I738" s="376">
        <f t="shared" si="216"/>
        <v>21.550840804100002</v>
      </c>
      <c r="J738" s="376">
        <f t="shared" si="216"/>
        <v>17.247291440725999</v>
      </c>
      <c r="K738" s="376">
        <f t="shared" si="216"/>
        <v>13.808134810793</v>
      </c>
      <c r="L738" s="376">
        <f t="shared" si="216"/>
        <v>11.05938750938294</v>
      </c>
      <c r="M738" s="375">
        <f t="shared" si="216"/>
        <v>8.8621942700303311</v>
      </c>
      <c r="N738" s="376">
        <f t="shared" si="216"/>
        <v>7.1057028997910487</v>
      </c>
      <c r="O738" s="376">
        <f t="shared" si="216"/>
        <v>5.7013940584695879</v>
      </c>
      <c r="P738" s="376">
        <f t="shared" si="216"/>
        <v>4.5785659638213954</v>
      </c>
      <c r="Q738" s="376">
        <f t="shared" si="216"/>
        <v>3.6807367729891234</v>
      </c>
      <c r="R738" s="378">
        <f t="shared" si="216"/>
        <v>2.9627767197437036</v>
      </c>
      <c r="S738" s="376">
        <f t="shared" si="216"/>
        <v>2.3886209867416466</v>
      </c>
      <c r="T738" s="376">
        <f t="shared" si="216"/>
        <v>1.9294450170559956</v>
      </c>
      <c r="U738" s="625">
        <f t="shared" si="216"/>
        <v>1.5622082730086715</v>
      </c>
      <c r="V738" s="376">
        <f t="shared" si="216"/>
        <v>1.2684916999616496</v>
      </c>
      <c r="W738" s="378">
        <f t="shared" si="216"/>
        <v>1.0335694170576184</v>
      </c>
    </row>
    <row r="739" spans="1:23">
      <c r="A739" s="350" t="s">
        <v>144</v>
      </c>
      <c r="B739" s="377">
        <f t="shared" ref="B739:W739" si="217">B164</f>
        <v>1.9698</v>
      </c>
      <c r="C739" s="375">
        <f t="shared" si="217"/>
        <v>6.9217962499999999</v>
      </c>
      <c r="D739" s="376">
        <f t="shared" si="217"/>
        <v>15.717774500000003</v>
      </c>
      <c r="E739" s="376">
        <f t="shared" si="217"/>
        <v>17.749787850000001</v>
      </c>
      <c r="F739" s="376">
        <f t="shared" si="217"/>
        <v>10.999571305</v>
      </c>
      <c r="G739" s="376">
        <f t="shared" si="217"/>
        <v>8.7412920115000006</v>
      </c>
      <c r="H739" s="375">
        <f t="shared" si="217"/>
        <v>6.95256433645</v>
      </c>
      <c r="I739" s="376">
        <f t="shared" si="217"/>
        <v>5.5341092282349997</v>
      </c>
      <c r="J739" s="376">
        <f t="shared" si="217"/>
        <v>4.4081140639405003</v>
      </c>
      <c r="K739" s="376">
        <f t="shared" si="217"/>
        <v>3.5134561780991507</v>
      </c>
      <c r="L739" s="376">
        <f t="shared" si="217"/>
        <v>2.8020266413420454</v>
      </c>
      <c r="M739" s="375">
        <f t="shared" si="217"/>
        <v>2.2358907522775437</v>
      </c>
      <c r="N739" s="376">
        <f t="shared" si="217"/>
        <v>1.7850874592647703</v>
      </c>
      <c r="O739" s="376">
        <f t="shared" si="217"/>
        <v>1.4259186176217311</v>
      </c>
      <c r="P739" s="376">
        <f t="shared" si="217"/>
        <v>1.1396151992443251</v>
      </c>
      <c r="Q739" s="376">
        <f t="shared" si="217"/>
        <v>0.9112946229983182</v>
      </c>
      <c r="R739" s="375">
        <f t="shared" si="217"/>
        <v>0.72914367292065529</v>
      </c>
      <c r="S739" s="376">
        <f t="shared" si="217"/>
        <v>0.58377677050192467</v>
      </c>
      <c r="T739" s="376">
        <f t="shared" si="217"/>
        <v>0.46773094891732009</v>
      </c>
      <c r="U739" s="625">
        <f t="shared" si="217"/>
        <v>0.37506768189490231</v>
      </c>
      <c r="V739" s="376">
        <f t="shared" si="217"/>
        <v>0.30105844144865423</v>
      </c>
      <c r="W739" s="375">
        <f t="shared" si="217"/>
        <v>0.24193601031183606</v>
      </c>
    </row>
    <row r="740" spans="1:23">
      <c r="A740" s="350" t="s">
        <v>143</v>
      </c>
      <c r="B740" s="377">
        <f t="shared" ref="B740:W740" si="218">B265</f>
        <v>0</v>
      </c>
      <c r="C740" s="375">
        <f t="shared" si="218"/>
        <v>0</v>
      </c>
      <c r="D740" s="376">
        <f t="shared" si="218"/>
        <v>0</v>
      </c>
      <c r="E740" s="376">
        <f t="shared" si="218"/>
        <v>0.86265750000000008</v>
      </c>
      <c r="F740" s="376">
        <f t="shared" si="218"/>
        <v>3.2344564624999999</v>
      </c>
      <c r="G740" s="376">
        <f t="shared" si="218"/>
        <v>6.6924778483124996</v>
      </c>
      <c r="H740" s="375">
        <f t="shared" si="218"/>
        <v>6.8451620948487015</v>
      </c>
      <c r="I740" s="376">
        <f t="shared" si="218"/>
        <v>5.2452002237452948</v>
      </c>
      <c r="J740" s="376">
        <f t="shared" si="218"/>
        <v>3.9746309181190402</v>
      </c>
      <c r="K740" s="376">
        <f t="shared" si="218"/>
        <v>3.1358245966307945</v>
      </c>
      <c r="L740" s="376">
        <f t="shared" si="218"/>
        <v>2.5717825177114841</v>
      </c>
      <c r="M740" s="375">
        <f t="shared" si="218"/>
        <v>2.183697392208177</v>
      </c>
      <c r="N740" s="376">
        <f t="shared" si="218"/>
        <v>1.9092324366503677</v>
      </c>
      <c r="O740" s="376">
        <f t="shared" si="218"/>
        <v>1.7089307027559046</v>
      </c>
      <c r="P740" s="376">
        <f t="shared" si="218"/>
        <v>1.5577080899524418</v>
      </c>
      <c r="Q740" s="376">
        <f t="shared" si="218"/>
        <v>1.4395255811380279</v>
      </c>
      <c r="R740" s="375">
        <f t="shared" si="218"/>
        <v>1.3440501261596891</v>
      </c>
      <c r="S740" s="376">
        <f t="shared" si="218"/>
        <v>1.2645598183712472</v>
      </c>
      <c r="T740" s="376">
        <f t="shared" si="218"/>
        <v>1.1966279344225792</v>
      </c>
      <c r="U740" s="625">
        <f t="shared" si="218"/>
        <v>1.1372947666554842</v>
      </c>
      <c r="V740" s="376">
        <f t="shared" si="218"/>
        <v>1.0845451785399913</v>
      </c>
      <c r="W740" s="375">
        <f t="shared" si="218"/>
        <v>1.0369779618093544</v>
      </c>
    </row>
    <row r="741" spans="1:23">
      <c r="A741" s="350" t="s">
        <v>142</v>
      </c>
      <c r="B741" s="377">
        <f t="shared" ref="B741:W741" si="219">B366</f>
        <v>0</v>
      </c>
      <c r="C741" s="375">
        <f t="shared" si="219"/>
        <v>0</v>
      </c>
      <c r="D741" s="376">
        <f t="shared" si="219"/>
        <v>0</v>
      </c>
      <c r="E741" s="376">
        <f t="shared" si="219"/>
        <v>0</v>
      </c>
      <c r="F741" s="376">
        <f t="shared" si="219"/>
        <v>0</v>
      </c>
      <c r="G741" s="376">
        <f t="shared" si="219"/>
        <v>0</v>
      </c>
      <c r="H741" s="375">
        <f t="shared" si="219"/>
        <v>1.7384975799405744</v>
      </c>
      <c r="I741" s="376">
        <f t="shared" si="219"/>
        <v>5.7209124254438892</v>
      </c>
      <c r="J741" s="376">
        <f t="shared" si="219"/>
        <v>9.3758341896499751</v>
      </c>
      <c r="K741" s="376">
        <f t="shared" si="219"/>
        <v>12.298640481857271</v>
      </c>
      <c r="L741" s="376">
        <f t="shared" si="219"/>
        <v>12.119426450760223</v>
      </c>
      <c r="M741" s="375">
        <f t="shared" si="219"/>
        <v>10.219379740812874</v>
      </c>
      <c r="N741" s="376">
        <f t="shared" si="219"/>
        <v>8.3454141038457532</v>
      </c>
      <c r="O741" s="376">
        <f t="shared" si="219"/>
        <v>7.0175685402601999</v>
      </c>
      <c r="P741" s="376">
        <f t="shared" si="219"/>
        <v>6.0442559617807019</v>
      </c>
      <c r="Q741" s="376">
        <f t="shared" si="219"/>
        <v>5.3045245936108953</v>
      </c>
      <c r="R741" s="375">
        <f t="shared" si="219"/>
        <v>4.7216933576028435</v>
      </c>
      <c r="S741" s="376">
        <f t="shared" si="219"/>
        <v>4.2468597817019695</v>
      </c>
      <c r="T741" s="376">
        <f t="shared" si="219"/>
        <v>3.8485800436579418</v>
      </c>
      <c r="U741" s="625">
        <f t="shared" si="219"/>
        <v>3.5064081575997847</v>
      </c>
      <c r="V741" s="376">
        <f t="shared" si="219"/>
        <v>3.2068484725823825</v>
      </c>
      <c r="W741" s="375">
        <f t="shared" si="219"/>
        <v>2.9408176575264107</v>
      </c>
    </row>
    <row r="742" spans="1:23">
      <c r="A742" s="350" t="s">
        <v>141</v>
      </c>
      <c r="B742" s="377">
        <f t="shared" ref="B742:W742" si="220">B467</f>
        <v>0</v>
      </c>
      <c r="C742" s="375">
        <f t="shared" si="220"/>
        <v>0</v>
      </c>
      <c r="D742" s="376">
        <f t="shared" si="220"/>
        <v>0</v>
      </c>
      <c r="E742" s="376">
        <f t="shared" si="220"/>
        <v>0</v>
      </c>
      <c r="F742" s="376">
        <f t="shared" si="220"/>
        <v>0</v>
      </c>
      <c r="G742" s="376">
        <f t="shared" si="220"/>
        <v>0</v>
      </c>
      <c r="H742" s="375">
        <f t="shared" si="220"/>
        <v>0</v>
      </c>
      <c r="I742" s="376">
        <f t="shared" si="220"/>
        <v>0</v>
      </c>
      <c r="J742" s="376">
        <f t="shared" si="220"/>
        <v>0</v>
      </c>
      <c r="K742" s="376">
        <f t="shared" si="220"/>
        <v>0</v>
      </c>
      <c r="L742" s="376">
        <f t="shared" si="220"/>
        <v>3.0327453931018509</v>
      </c>
      <c r="M742" s="375">
        <f t="shared" si="220"/>
        <v>7.6721283971412522</v>
      </c>
      <c r="N742" s="376">
        <f t="shared" si="220"/>
        <v>9.9258370622361447</v>
      </c>
      <c r="O742" s="376">
        <f t="shared" si="220"/>
        <v>7.9234317307192814</v>
      </c>
      <c r="P742" s="376">
        <f t="shared" si="220"/>
        <v>6.4821248441999648</v>
      </c>
      <c r="Q742" s="376">
        <f t="shared" si="220"/>
        <v>5.4140498807640629</v>
      </c>
      <c r="R742" s="375">
        <f t="shared" si="220"/>
        <v>4.5988227168136886</v>
      </c>
      <c r="S742" s="376">
        <f t="shared" si="220"/>
        <v>3.9586750840198648</v>
      </c>
      <c r="T742" s="376">
        <f t="shared" si="220"/>
        <v>3.4428405239696165</v>
      </c>
      <c r="U742" s="625">
        <f t="shared" si="220"/>
        <v>3.0177361035301082</v>
      </c>
      <c r="V742" s="376">
        <f t="shared" si="220"/>
        <v>2.6607769945405995</v>
      </c>
      <c r="W742" s="375">
        <f t="shared" si="220"/>
        <v>2.3564701435508022</v>
      </c>
    </row>
    <row r="743" spans="1:23">
      <c r="A743" s="350" t="s">
        <v>140</v>
      </c>
      <c r="B743" s="377">
        <f t="shared" ref="B743:W743" si="221">B582</f>
        <v>0</v>
      </c>
      <c r="C743" s="375">
        <f t="shared" si="221"/>
        <v>0</v>
      </c>
      <c r="D743" s="376">
        <f t="shared" si="221"/>
        <v>0</v>
      </c>
      <c r="E743" s="376">
        <f t="shared" si="221"/>
        <v>0</v>
      </c>
      <c r="F743" s="376">
        <f t="shared" si="221"/>
        <v>0</v>
      </c>
      <c r="G743" s="376">
        <f t="shared" si="221"/>
        <v>0</v>
      </c>
      <c r="H743" s="375">
        <f t="shared" si="221"/>
        <v>0</v>
      </c>
      <c r="I743" s="376">
        <f t="shared" si="221"/>
        <v>0</v>
      </c>
      <c r="J743" s="376">
        <f t="shared" si="221"/>
        <v>0</v>
      </c>
      <c r="K743" s="376">
        <f t="shared" si="221"/>
        <v>0</v>
      </c>
      <c r="L743" s="376">
        <f t="shared" si="221"/>
        <v>0</v>
      </c>
      <c r="M743" s="375">
        <f t="shared" si="221"/>
        <v>0</v>
      </c>
      <c r="N743" s="376">
        <f t="shared" si="221"/>
        <v>3.5542999999999996</v>
      </c>
      <c r="O743" s="376">
        <f t="shared" si="221"/>
        <v>9.6374228572916678</v>
      </c>
      <c r="P743" s="376">
        <f t="shared" si="221"/>
        <v>14.829476208126737</v>
      </c>
      <c r="Q743" s="376">
        <f t="shared" si="221"/>
        <v>20.802598385797729</v>
      </c>
      <c r="R743" s="375">
        <f t="shared" si="221"/>
        <v>28.968716083746294</v>
      </c>
      <c r="S743" s="376">
        <f t="shared" si="221"/>
        <v>31.077294948114453</v>
      </c>
      <c r="T743" s="376">
        <f t="shared" si="221"/>
        <v>26.192341113191485</v>
      </c>
      <c r="U743" s="625">
        <f t="shared" si="221"/>
        <v>22.352976243070298</v>
      </c>
      <c r="V743" s="376">
        <f t="shared" si="221"/>
        <v>19.266987639790646</v>
      </c>
      <c r="W743" s="375">
        <f t="shared" si="221"/>
        <v>16.73759035980585</v>
      </c>
    </row>
    <row r="744" spans="1:23">
      <c r="A744" s="350" t="s">
        <v>139</v>
      </c>
      <c r="B744" s="377"/>
      <c r="C744" s="375"/>
      <c r="D744" s="376"/>
      <c r="E744" s="376"/>
      <c r="F744" s="376"/>
      <c r="G744" s="376"/>
      <c r="H744" s="375"/>
      <c r="I744" s="376"/>
      <c r="J744" s="376"/>
      <c r="K744" s="376"/>
      <c r="L744" s="376"/>
      <c r="M744" s="375"/>
      <c r="N744" s="376"/>
      <c r="O744" s="376"/>
      <c r="P744" s="376"/>
      <c r="Q744" s="376"/>
      <c r="R744" s="375"/>
      <c r="S744" s="376">
        <f t="shared" ref="S744:W744" si="222">S713</f>
        <v>2.7928411909182471</v>
      </c>
      <c r="T744" s="376">
        <f t="shared" si="222"/>
        <v>8.6283551648685499</v>
      </c>
      <c r="U744" s="625">
        <f>U713</f>
        <v>15.279195807306859</v>
      </c>
      <c r="V744" s="376">
        <f t="shared" si="222"/>
        <v>21.350129697936929</v>
      </c>
      <c r="W744" s="375">
        <f t="shared" si="222"/>
        <v>27.076312395827408</v>
      </c>
    </row>
    <row r="745" spans="1:23">
      <c r="A745" s="350" t="s">
        <v>138</v>
      </c>
      <c r="B745" s="377"/>
      <c r="C745" s="375"/>
      <c r="D745" s="376"/>
      <c r="E745" s="376"/>
      <c r="F745" s="376"/>
      <c r="G745" s="376"/>
      <c r="H745" s="375"/>
      <c r="I745" s="376"/>
      <c r="J745" s="376"/>
      <c r="K745" s="376"/>
      <c r="L745" s="376"/>
      <c r="M745" s="375"/>
      <c r="N745" s="376"/>
      <c r="O745" s="376"/>
      <c r="P745" s="376"/>
      <c r="Q745" s="376"/>
      <c r="R745" s="375"/>
      <c r="S745" s="376">
        <f t="shared" ref="S745:W745" si="223">S732</f>
        <v>0</v>
      </c>
      <c r="T745" s="376">
        <f t="shared" si="223"/>
        <v>0</v>
      </c>
      <c r="U745" s="625">
        <f t="shared" si="223"/>
        <v>0</v>
      </c>
      <c r="V745" s="376">
        <f t="shared" si="223"/>
        <v>0</v>
      </c>
      <c r="W745" s="375">
        <f t="shared" si="223"/>
        <v>0</v>
      </c>
    </row>
    <row r="746" spans="1:23">
      <c r="B746" s="374">
        <f t="shared" ref="B746:R746" si="224">SUM(B738:B744)</f>
        <v>70.324137500000006</v>
      </c>
      <c r="C746" s="372">
        <f t="shared" si="224"/>
        <v>111.92247125</v>
      </c>
      <c r="D746" s="373">
        <f t="shared" si="224"/>
        <v>81.647663500000021</v>
      </c>
      <c r="E746" s="373">
        <f t="shared" si="224"/>
        <v>71.302209350000012</v>
      </c>
      <c r="F746" s="373">
        <f t="shared" si="224"/>
        <v>56.353604427500009</v>
      </c>
      <c r="G746" s="373">
        <f t="shared" si="224"/>
        <v>49.11253550981251</v>
      </c>
      <c r="H746" s="372">
        <f t="shared" si="224"/>
        <v>42.473078056639281</v>
      </c>
      <c r="I746" s="373">
        <f t="shared" si="224"/>
        <v>38.051062681524186</v>
      </c>
      <c r="J746" s="373">
        <f t="shared" si="224"/>
        <v>35.005870612435515</v>
      </c>
      <c r="K746" s="373">
        <f t="shared" si="224"/>
        <v>32.756056067380214</v>
      </c>
      <c r="L746" s="373">
        <f t="shared" si="224"/>
        <v>31.585368512298544</v>
      </c>
      <c r="M746" s="372">
        <f t="shared" si="224"/>
        <v>31.173290552470178</v>
      </c>
      <c r="N746" s="373">
        <f t="shared" si="224"/>
        <v>32.625573961788085</v>
      </c>
      <c r="O746" s="373">
        <f t="shared" si="224"/>
        <v>33.414666507118369</v>
      </c>
      <c r="P746" s="373">
        <f t="shared" si="224"/>
        <v>34.631746267125564</v>
      </c>
      <c r="Q746" s="373">
        <f t="shared" si="224"/>
        <v>37.552729837298159</v>
      </c>
      <c r="R746" s="372">
        <f t="shared" si="224"/>
        <v>43.325202676986876</v>
      </c>
      <c r="S746" s="373">
        <f t="shared" ref="S746:W746" si="225">SUM(S738:S745)</f>
        <v>46.312628580369349</v>
      </c>
      <c r="T746" s="373">
        <f t="shared" si="225"/>
        <v>45.705920746083493</v>
      </c>
      <c r="U746" s="626">
        <f>SUM(U738:U745)</f>
        <v>47.230887033066111</v>
      </c>
      <c r="V746" s="373">
        <f t="shared" si="225"/>
        <v>49.138838124800856</v>
      </c>
      <c r="W746" s="372">
        <f t="shared" si="225"/>
        <v>51.423673945889277</v>
      </c>
    </row>
    <row r="749" spans="1:23">
      <c r="A749" s="356" t="s">
        <v>145</v>
      </c>
      <c r="B749" s="364">
        <v>1996</v>
      </c>
      <c r="C749" s="362">
        <v>1997</v>
      </c>
      <c r="D749" s="363">
        <v>1998</v>
      </c>
      <c r="E749" s="363">
        <v>1999</v>
      </c>
      <c r="F749" s="363">
        <v>2000</v>
      </c>
      <c r="G749" s="363">
        <v>2001</v>
      </c>
      <c r="H749" s="362">
        <v>2002</v>
      </c>
      <c r="I749" s="363">
        <v>2003</v>
      </c>
      <c r="J749" s="363">
        <v>2004</v>
      </c>
      <c r="K749" s="363">
        <v>2005</v>
      </c>
      <c r="L749" s="363">
        <v>2006</v>
      </c>
      <c r="M749" s="362">
        <v>2007</v>
      </c>
      <c r="N749" s="363">
        <v>2008</v>
      </c>
      <c r="O749" s="363">
        <v>2009</v>
      </c>
      <c r="P749" s="363">
        <v>2010</v>
      </c>
      <c r="Q749" s="363">
        <v>2011</v>
      </c>
      <c r="R749" s="362">
        <v>2012</v>
      </c>
      <c r="S749" s="364">
        <f>R749+1</f>
        <v>2013</v>
      </c>
      <c r="T749" s="363">
        <f>S749+1</f>
        <v>2014</v>
      </c>
      <c r="U749" s="363">
        <f>T749+1</f>
        <v>2015</v>
      </c>
      <c r="V749" s="363">
        <f>U749+1</f>
        <v>2016</v>
      </c>
      <c r="W749" s="362">
        <f>V749+1</f>
        <v>2017</v>
      </c>
    </row>
    <row r="750" spans="1:23">
      <c r="A750" s="350" t="s">
        <v>144</v>
      </c>
      <c r="B750" s="371">
        <f t="shared" ref="B750:W750" si="226">B163</f>
        <v>12.0975</v>
      </c>
      <c r="C750" s="368">
        <f t="shared" si="226"/>
        <v>28.6495</v>
      </c>
      <c r="D750" s="347">
        <f t="shared" si="226"/>
        <v>34.46</v>
      </c>
      <c r="E750" s="347">
        <f t="shared" si="226"/>
        <v>21.369</v>
      </c>
      <c r="F750" s="347">
        <f t="shared" si="226"/>
        <v>0</v>
      </c>
      <c r="G750" s="347">
        <f t="shared" si="226"/>
        <v>0</v>
      </c>
      <c r="H750" s="368">
        <f t="shared" si="226"/>
        <v>0</v>
      </c>
      <c r="I750" s="347">
        <f t="shared" si="226"/>
        <v>0</v>
      </c>
      <c r="J750" s="347">
        <f t="shared" si="226"/>
        <v>0</v>
      </c>
      <c r="K750" s="347">
        <f t="shared" si="226"/>
        <v>0</v>
      </c>
      <c r="L750" s="347">
        <f t="shared" si="226"/>
        <v>0</v>
      </c>
      <c r="M750" s="368">
        <f t="shared" si="226"/>
        <v>0</v>
      </c>
      <c r="N750" s="347">
        <f t="shared" si="226"/>
        <v>0</v>
      </c>
      <c r="O750" s="347">
        <f t="shared" si="226"/>
        <v>0</v>
      </c>
      <c r="P750" s="347">
        <f t="shared" si="226"/>
        <v>0</v>
      </c>
      <c r="Q750" s="347">
        <f t="shared" si="226"/>
        <v>0</v>
      </c>
      <c r="R750" s="370">
        <f t="shared" si="226"/>
        <v>0</v>
      </c>
      <c r="S750" s="347">
        <f t="shared" si="226"/>
        <v>0</v>
      </c>
      <c r="T750" s="347">
        <f t="shared" si="226"/>
        <v>0</v>
      </c>
      <c r="U750" s="347">
        <f t="shared" si="226"/>
        <v>0</v>
      </c>
      <c r="V750" s="347">
        <f t="shared" si="226"/>
        <v>0</v>
      </c>
      <c r="W750" s="370">
        <f t="shared" si="226"/>
        <v>0</v>
      </c>
    </row>
    <row r="751" spans="1:23">
      <c r="A751" s="350" t="s">
        <v>143</v>
      </c>
      <c r="B751" s="369">
        <f t="shared" ref="B751:W751" si="227">B264</f>
        <v>0</v>
      </c>
      <c r="C751" s="368">
        <f t="shared" si="227"/>
        <v>0</v>
      </c>
      <c r="D751" s="347">
        <f t="shared" si="227"/>
        <v>0</v>
      </c>
      <c r="E751" s="347">
        <f t="shared" si="227"/>
        <v>7.7000000000000011</v>
      </c>
      <c r="F751" s="347">
        <f t="shared" si="227"/>
        <v>28.651</v>
      </c>
      <c r="G751" s="347">
        <f t="shared" si="227"/>
        <v>28.57</v>
      </c>
      <c r="H751" s="368">
        <f t="shared" si="227"/>
        <v>14.492382424238698</v>
      </c>
      <c r="I751" s="347">
        <f t="shared" si="227"/>
        <v>0</v>
      </c>
      <c r="J751" s="347">
        <f t="shared" si="227"/>
        <v>0</v>
      </c>
      <c r="K751" s="347">
        <f t="shared" si="227"/>
        <v>0</v>
      </c>
      <c r="L751" s="347">
        <f t="shared" si="227"/>
        <v>0</v>
      </c>
      <c r="M751" s="368">
        <f t="shared" si="227"/>
        <v>0</v>
      </c>
      <c r="N751" s="347">
        <f t="shared" si="227"/>
        <v>0</v>
      </c>
      <c r="O751" s="347">
        <f t="shared" si="227"/>
        <v>0</v>
      </c>
      <c r="P751" s="347">
        <f t="shared" si="227"/>
        <v>0</v>
      </c>
      <c r="Q751" s="347">
        <f t="shared" si="227"/>
        <v>0</v>
      </c>
      <c r="R751" s="368">
        <f t="shared" si="227"/>
        <v>0</v>
      </c>
      <c r="S751" s="347">
        <f t="shared" si="227"/>
        <v>0</v>
      </c>
      <c r="T751" s="347">
        <f t="shared" si="227"/>
        <v>0</v>
      </c>
      <c r="U751" s="347">
        <f t="shared" si="227"/>
        <v>0</v>
      </c>
      <c r="V751" s="347">
        <f t="shared" si="227"/>
        <v>0</v>
      </c>
      <c r="W751" s="368">
        <f t="shared" si="227"/>
        <v>0</v>
      </c>
    </row>
    <row r="752" spans="1:23">
      <c r="A752" s="350" t="s">
        <v>142</v>
      </c>
      <c r="B752" s="369">
        <f t="shared" ref="B752:W752" si="228">B365</f>
        <v>0</v>
      </c>
      <c r="C752" s="368">
        <f t="shared" si="228"/>
        <v>0</v>
      </c>
      <c r="D752" s="347">
        <f t="shared" si="228"/>
        <v>0</v>
      </c>
      <c r="E752" s="347">
        <f t="shared" si="228"/>
        <v>0</v>
      </c>
      <c r="F752" s="347">
        <f t="shared" si="228"/>
        <v>0</v>
      </c>
      <c r="G752" s="347">
        <f t="shared" si="228"/>
        <v>0</v>
      </c>
      <c r="H752" s="368">
        <f t="shared" si="228"/>
        <v>14.256093580365238</v>
      </c>
      <c r="I752" s="347">
        <f t="shared" si="228"/>
        <v>29.423016380618421</v>
      </c>
      <c r="J752" s="347">
        <f t="shared" si="228"/>
        <v>34.238312409060207</v>
      </c>
      <c r="K752" s="347">
        <f t="shared" si="228"/>
        <v>42.345458377510305</v>
      </c>
      <c r="L752" s="347">
        <f t="shared" si="228"/>
        <v>15.560831308459836</v>
      </c>
      <c r="M752" s="368">
        <f t="shared" si="228"/>
        <v>0</v>
      </c>
      <c r="N752" s="347">
        <f t="shared" si="228"/>
        <v>0</v>
      </c>
      <c r="O752" s="347">
        <f t="shared" si="228"/>
        <v>0</v>
      </c>
      <c r="P752" s="347">
        <f t="shared" si="228"/>
        <v>0</v>
      </c>
      <c r="Q752" s="347">
        <f t="shared" si="228"/>
        <v>0</v>
      </c>
      <c r="R752" s="368">
        <f t="shared" si="228"/>
        <v>0</v>
      </c>
      <c r="S752" s="347">
        <f t="shared" si="228"/>
        <v>0</v>
      </c>
      <c r="T752" s="347">
        <f t="shared" si="228"/>
        <v>0</v>
      </c>
      <c r="U752" s="347">
        <f t="shared" si="228"/>
        <v>0</v>
      </c>
      <c r="V752" s="347">
        <f t="shared" si="228"/>
        <v>0</v>
      </c>
      <c r="W752" s="368">
        <f t="shared" si="228"/>
        <v>0</v>
      </c>
    </row>
    <row r="753" spans="1:23">
      <c r="A753" s="350" t="s">
        <v>141</v>
      </c>
      <c r="B753" s="369">
        <f t="shared" ref="B753:W753" si="229">B466</f>
        <v>0</v>
      </c>
      <c r="C753" s="368">
        <f t="shared" si="229"/>
        <v>0</v>
      </c>
      <c r="D753" s="347">
        <f t="shared" si="229"/>
        <v>0</v>
      </c>
      <c r="E753" s="347">
        <f t="shared" si="229"/>
        <v>0</v>
      </c>
      <c r="F753" s="347">
        <f t="shared" si="229"/>
        <v>0</v>
      </c>
      <c r="G753" s="347">
        <f t="shared" si="229"/>
        <v>0</v>
      </c>
      <c r="H753" s="368">
        <f t="shared" si="229"/>
        <v>0</v>
      </c>
      <c r="I753" s="347">
        <f t="shared" si="229"/>
        <v>0</v>
      </c>
      <c r="J753" s="347">
        <f t="shared" si="229"/>
        <v>0</v>
      </c>
      <c r="K753" s="347">
        <f t="shared" si="229"/>
        <v>0</v>
      </c>
      <c r="L753" s="347">
        <f t="shared" si="229"/>
        <v>28.811851719570164</v>
      </c>
      <c r="M753" s="368">
        <f t="shared" si="229"/>
        <v>51.846123000000006</v>
      </c>
      <c r="N753" s="347">
        <f t="shared" si="229"/>
        <v>0</v>
      </c>
      <c r="O753" s="347">
        <f t="shared" si="229"/>
        <v>0</v>
      </c>
      <c r="P753" s="347">
        <f t="shared" si="229"/>
        <v>0</v>
      </c>
      <c r="Q753" s="347">
        <f t="shared" si="229"/>
        <v>0</v>
      </c>
      <c r="R753" s="368">
        <f t="shared" si="229"/>
        <v>0</v>
      </c>
      <c r="S753" s="347">
        <f t="shared" si="229"/>
        <v>0</v>
      </c>
      <c r="T753" s="347">
        <f t="shared" si="229"/>
        <v>0</v>
      </c>
      <c r="U753" s="347">
        <f t="shared" si="229"/>
        <v>0</v>
      </c>
      <c r="V753" s="347">
        <f t="shared" si="229"/>
        <v>0</v>
      </c>
      <c r="W753" s="368">
        <f t="shared" si="229"/>
        <v>0</v>
      </c>
    </row>
    <row r="754" spans="1:23">
      <c r="A754" s="350" t="s">
        <v>140</v>
      </c>
      <c r="B754" s="369">
        <f t="shared" ref="B754:W754" si="230">B581</f>
        <v>0</v>
      </c>
      <c r="C754" s="368">
        <f t="shared" si="230"/>
        <v>0</v>
      </c>
      <c r="D754" s="347">
        <f t="shared" si="230"/>
        <v>0</v>
      </c>
      <c r="E754" s="347">
        <f t="shared" si="230"/>
        <v>0</v>
      </c>
      <c r="F754" s="347">
        <f t="shared" si="230"/>
        <v>0</v>
      </c>
      <c r="G754" s="347">
        <f t="shared" si="230"/>
        <v>0</v>
      </c>
      <c r="H754" s="368">
        <f t="shared" si="230"/>
        <v>0</v>
      </c>
      <c r="I754" s="347">
        <f t="shared" si="230"/>
        <v>0</v>
      </c>
      <c r="J754" s="347">
        <f t="shared" si="230"/>
        <v>0</v>
      </c>
      <c r="K754" s="347">
        <f t="shared" si="230"/>
        <v>0</v>
      </c>
      <c r="L754" s="347">
        <f t="shared" si="230"/>
        <v>0</v>
      </c>
      <c r="M754" s="368">
        <f t="shared" si="230"/>
        <v>0</v>
      </c>
      <c r="N754" s="347">
        <f t="shared" si="230"/>
        <v>50.802000000000007</v>
      </c>
      <c r="O754" s="347">
        <f t="shared" si="230"/>
        <v>43.590004080000007</v>
      </c>
      <c r="P754" s="347">
        <f t="shared" si="230"/>
        <v>55.073944299999994</v>
      </c>
      <c r="Q754" s="347">
        <f t="shared" si="230"/>
        <v>74.548000000000002</v>
      </c>
      <c r="R754" s="368">
        <f t="shared" si="230"/>
        <v>102.01500000000001</v>
      </c>
      <c r="S754" s="347">
        <f t="shared" si="230"/>
        <v>0</v>
      </c>
      <c r="T754" s="347">
        <f t="shared" si="230"/>
        <v>0</v>
      </c>
      <c r="U754" s="347">
        <f t="shared" si="230"/>
        <v>0</v>
      </c>
      <c r="V754" s="347">
        <f t="shared" si="230"/>
        <v>0</v>
      </c>
      <c r="W754" s="368">
        <f t="shared" si="230"/>
        <v>0</v>
      </c>
    </row>
    <row r="755" spans="1:23">
      <c r="A755" s="350" t="s">
        <v>139</v>
      </c>
      <c r="B755" s="369"/>
      <c r="C755" s="368"/>
      <c r="D755" s="347"/>
      <c r="E755" s="347"/>
      <c r="F755" s="347"/>
      <c r="G755" s="347"/>
      <c r="H755" s="368"/>
      <c r="I755" s="347"/>
      <c r="J755" s="347"/>
      <c r="K755" s="347"/>
      <c r="L755" s="347"/>
      <c r="M755" s="368"/>
      <c r="N755" s="347"/>
      <c r="O755" s="347"/>
      <c r="P755" s="347"/>
      <c r="Q755" s="347"/>
      <c r="R755" s="368"/>
      <c r="S755" s="347">
        <f t="shared" ref="S755:W755" si="231">S712</f>
        <v>103.29831661999999</v>
      </c>
      <c r="T755" s="347">
        <f t="shared" si="231"/>
        <v>113.51682296565326</v>
      </c>
      <c r="U755" s="347">
        <f t="shared" si="231"/>
        <v>127.24363225800474</v>
      </c>
      <c r="V755" s="347">
        <f t="shared" si="231"/>
        <v>91.857436090463182</v>
      </c>
      <c r="W755" s="368">
        <f t="shared" si="231"/>
        <v>112.13999999999999</v>
      </c>
    </row>
    <row r="756" spans="1:23">
      <c r="A756" s="350" t="s">
        <v>138</v>
      </c>
      <c r="B756" s="369"/>
      <c r="C756" s="368"/>
      <c r="D756" s="347"/>
      <c r="E756" s="347"/>
      <c r="F756" s="347"/>
      <c r="G756" s="347"/>
      <c r="H756" s="368"/>
      <c r="I756" s="347"/>
      <c r="J756" s="347"/>
      <c r="K756" s="347"/>
      <c r="L756" s="347"/>
      <c r="M756" s="368"/>
      <c r="N756" s="347"/>
      <c r="O756" s="347"/>
      <c r="P756" s="347"/>
      <c r="Q756" s="347"/>
      <c r="R756" s="368"/>
      <c r="S756" s="347">
        <f>S731</f>
        <v>0</v>
      </c>
      <c r="T756" s="347"/>
      <c r="U756" s="347"/>
      <c r="V756" s="347"/>
      <c r="W756" s="368"/>
    </row>
    <row r="757" spans="1:23">
      <c r="B757" s="367">
        <f t="shared" ref="B757:W757" si="232">SUM(B750:B756)</f>
        <v>12.0975</v>
      </c>
      <c r="C757" s="365">
        <f t="shared" si="232"/>
        <v>28.6495</v>
      </c>
      <c r="D757" s="366">
        <f t="shared" si="232"/>
        <v>34.46</v>
      </c>
      <c r="E757" s="366">
        <f t="shared" si="232"/>
        <v>29.069000000000003</v>
      </c>
      <c r="F757" s="366">
        <f t="shared" si="232"/>
        <v>28.651</v>
      </c>
      <c r="G757" s="366">
        <f t="shared" si="232"/>
        <v>28.57</v>
      </c>
      <c r="H757" s="365">
        <f t="shared" si="232"/>
        <v>28.748476004603937</v>
      </c>
      <c r="I757" s="366">
        <f t="shared" si="232"/>
        <v>29.423016380618421</v>
      </c>
      <c r="J757" s="366">
        <f t="shared" si="232"/>
        <v>34.238312409060207</v>
      </c>
      <c r="K757" s="366">
        <f t="shared" si="232"/>
        <v>42.345458377510305</v>
      </c>
      <c r="L757" s="366">
        <f t="shared" si="232"/>
        <v>44.372683028029996</v>
      </c>
      <c r="M757" s="365">
        <f t="shared" si="232"/>
        <v>51.846123000000006</v>
      </c>
      <c r="N757" s="366">
        <f t="shared" si="232"/>
        <v>50.802000000000007</v>
      </c>
      <c r="O757" s="366">
        <f t="shared" si="232"/>
        <v>43.590004080000007</v>
      </c>
      <c r="P757" s="366">
        <f t="shared" si="232"/>
        <v>55.073944299999994</v>
      </c>
      <c r="Q757" s="366">
        <f t="shared" si="232"/>
        <v>74.548000000000002</v>
      </c>
      <c r="R757" s="365">
        <f t="shared" si="232"/>
        <v>102.01500000000001</v>
      </c>
      <c r="S757" s="366">
        <f t="shared" si="232"/>
        <v>103.29831661999999</v>
      </c>
      <c r="T757" s="366">
        <f t="shared" si="232"/>
        <v>113.51682296565326</v>
      </c>
      <c r="U757" s="366">
        <f t="shared" si="232"/>
        <v>127.24363225800474</v>
      </c>
      <c r="V757" s="366">
        <f t="shared" si="232"/>
        <v>91.857436090463182</v>
      </c>
      <c r="W757" s="365">
        <f t="shared" si="232"/>
        <v>112.13999999999999</v>
      </c>
    </row>
    <row r="763" spans="1:23">
      <c r="A763" s="356" t="s">
        <v>2</v>
      </c>
      <c r="B763" s="364">
        <f t="shared" ref="B763:W763" si="233">B737</f>
        <v>1996</v>
      </c>
      <c r="C763" s="363">
        <f t="shared" si="233"/>
        <v>1997</v>
      </c>
      <c r="D763" s="364">
        <f t="shared" si="233"/>
        <v>1998</v>
      </c>
      <c r="E763" s="363">
        <f t="shared" si="233"/>
        <v>1999</v>
      </c>
      <c r="F763" s="363">
        <f t="shared" si="233"/>
        <v>2000</v>
      </c>
      <c r="G763" s="363">
        <f t="shared" si="233"/>
        <v>2001</v>
      </c>
      <c r="H763" s="362">
        <f t="shared" si="233"/>
        <v>2002</v>
      </c>
      <c r="I763" s="363">
        <f t="shared" si="233"/>
        <v>2003</v>
      </c>
      <c r="J763" s="363">
        <f t="shared" si="233"/>
        <v>2004</v>
      </c>
      <c r="K763" s="363">
        <f t="shared" si="233"/>
        <v>2005</v>
      </c>
      <c r="L763" s="363">
        <f t="shared" si="233"/>
        <v>2006</v>
      </c>
      <c r="M763" s="362">
        <f t="shared" si="233"/>
        <v>2007</v>
      </c>
      <c r="N763" s="363">
        <f t="shared" si="233"/>
        <v>2008</v>
      </c>
      <c r="O763" s="363">
        <f t="shared" si="233"/>
        <v>2009</v>
      </c>
      <c r="P763" s="363">
        <f t="shared" si="233"/>
        <v>2010</v>
      </c>
      <c r="Q763" s="363">
        <f t="shared" si="233"/>
        <v>2011</v>
      </c>
      <c r="R763" s="362">
        <f t="shared" si="233"/>
        <v>2012</v>
      </c>
      <c r="S763" s="364">
        <f t="shared" si="233"/>
        <v>2013</v>
      </c>
      <c r="T763" s="363">
        <f t="shared" si="233"/>
        <v>2014</v>
      </c>
      <c r="U763" s="363">
        <f t="shared" si="233"/>
        <v>2015</v>
      </c>
      <c r="V763" s="363">
        <f t="shared" si="233"/>
        <v>2016</v>
      </c>
      <c r="W763" s="362">
        <f t="shared" si="233"/>
        <v>2017</v>
      </c>
    </row>
    <row r="764" spans="1:23">
      <c r="A764" s="344" t="s">
        <v>121</v>
      </c>
      <c r="B764" s="358">
        <f t="shared" ref="B764:W764" si="234">B21+B92+B153+B193+B254+B294+B355+B395+B456+B496+B571+B612+B702</f>
        <v>452.11799999999999</v>
      </c>
      <c r="C764" s="358">
        <f t="shared" si="234"/>
        <v>417.03390000000002</v>
      </c>
      <c r="D764" s="358">
        <f t="shared" si="234"/>
        <v>356.76161999999999</v>
      </c>
      <c r="E764" s="358">
        <f t="shared" si="234"/>
        <v>308.76789600000006</v>
      </c>
      <c r="F764" s="358">
        <f t="shared" si="234"/>
        <v>265.69022180000002</v>
      </c>
      <c r="G764" s="358">
        <f t="shared" si="234"/>
        <v>231.60208729000001</v>
      </c>
      <c r="H764" s="358">
        <f t="shared" si="234"/>
        <v>207.17566838650004</v>
      </c>
      <c r="I764" s="358">
        <f t="shared" si="234"/>
        <v>189.81579014583366</v>
      </c>
      <c r="J764" s="358">
        <f t="shared" si="234"/>
        <v>180.09970324371801</v>
      </c>
      <c r="K764" s="358">
        <f t="shared" si="234"/>
        <v>178.73502519521196</v>
      </c>
      <c r="L764" s="358">
        <f t="shared" si="234"/>
        <v>187.85074225422693</v>
      </c>
      <c r="M764" s="358">
        <f t="shared" si="234"/>
        <v>198.9904669539128</v>
      </c>
      <c r="N764" s="358">
        <f t="shared" si="234"/>
        <v>216.21301378517202</v>
      </c>
      <c r="O764" s="358">
        <f t="shared" si="234"/>
        <v>230.20070034066708</v>
      </c>
      <c r="P764" s="358">
        <f t="shared" si="234"/>
        <v>236.67045202108835</v>
      </c>
      <c r="Q764" s="358">
        <f t="shared" si="234"/>
        <v>255.50133841619927</v>
      </c>
      <c r="R764" s="358">
        <f t="shared" si="234"/>
        <v>289.04429072313258</v>
      </c>
      <c r="S764" s="358">
        <f t="shared" si="234"/>
        <v>332.8606895008391</v>
      </c>
      <c r="T764" s="358">
        <f t="shared" si="234"/>
        <v>389.9859926890424</v>
      </c>
      <c r="U764" s="358">
        <f t="shared" si="234"/>
        <v>453.58248911934788</v>
      </c>
      <c r="V764" s="358">
        <f t="shared" si="234"/>
        <v>520.40394774825234</v>
      </c>
      <c r="W764" s="358">
        <f t="shared" si="234"/>
        <v>559.12145296768949</v>
      </c>
    </row>
    <row r="765" spans="1:23">
      <c r="A765" s="344" t="s">
        <v>134</v>
      </c>
      <c r="B765" s="358">
        <f t="shared" ref="B765:W765" si="235">B32+B107+B208+B309+B410+B511+B627</f>
        <v>44.963000000000001</v>
      </c>
      <c r="C765" s="358">
        <f t="shared" si="235"/>
        <v>22.4815</v>
      </c>
      <c r="D765" s="358">
        <f t="shared" si="235"/>
        <v>0</v>
      </c>
      <c r="E765" s="358">
        <f t="shared" si="235"/>
        <v>0</v>
      </c>
      <c r="F765" s="358">
        <f t="shared" si="235"/>
        <v>1.4161875000000002</v>
      </c>
      <c r="G765" s="358">
        <f t="shared" si="235"/>
        <v>5.6455546875000007</v>
      </c>
      <c r="H765" s="358">
        <f t="shared" si="235"/>
        <v>9.0079716796875005</v>
      </c>
      <c r="I765" s="358">
        <f t="shared" si="235"/>
        <v>9.9081134310185135</v>
      </c>
      <c r="J765" s="358">
        <f t="shared" si="235"/>
        <v>11.788875247531347</v>
      </c>
      <c r="K765" s="358">
        <f t="shared" si="235"/>
        <v>12.93135653102728</v>
      </c>
      <c r="L765" s="358">
        <f t="shared" si="235"/>
        <v>13.706490668105856</v>
      </c>
      <c r="M765" s="358">
        <f t="shared" si="235"/>
        <v>14.501162654803036</v>
      </c>
      <c r="N765" s="358">
        <f t="shared" si="235"/>
        <v>15.459326596751897</v>
      </c>
      <c r="O765" s="358">
        <f t="shared" si="235"/>
        <v>13.813141622969937</v>
      </c>
      <c r="P765" s="358">
        <f t="shared" si="235"/>
        <v>12.60782330123121</v>
      </c>
      <c r="Q765" s="358">
        <f t="shared" si="235"/>
        <v>12.728820045769506</v>
      </c>
      <c r="R765" s="358">
        <f t="shared" si="235"/>
        <v>12.86057502860594</v>
      </c>
      <c r="S765" s="358">
        <f t="shared" si="235"/>
        <v>12.792609392878711</v>
      </c>
      <c r="T765" s="358">
        <f t="shared" si="235"/>
        <v>13.154730615130067</v>
      </c>
      <c r="U765" s="358">
        <f t="shared" si="235"/>
        <v>16.55475685171173</v>
      </c>
      <c r="V765" s="358">
        <f t="shared" si="235"/>
        <v>20.779663797650908</v>
      </c>
      <c r="W765" s="358">
        <f t="shared" si="235"/>
        <v>26.098252227564785</v>
      </c>
    </row>
    <row r="766" spans="1:23">
      <c r="A766" s="344" t="s">
        <v>133</v>
      </c>
      <c r="B766" s="358">
        <f t="shared" ref="B766:W766" si="236">B526+B642</f>
        <v>0</v>
      </c>
      <c r="C766" s="358">
        <f t="shared" si="236"/>
        <v>0</v>
      </c>
      <c r="D766" s="358">
        <f t="shared" si="236"/>
        <v>0</v>
      </c>
      <c r="E766" s="358">
        <f t="shared" si="236"/>
        <v>0</v>
      </c>
      <c r="F766" s="358">
        <f t="shared" si="236"/>
        <v>0</v>
      </c>
      <c r="G766" s="358">
        <f t="shared" si="236"/>
        <v>0</v>
      </c>
      <c r="H766" s="358">
        <f t="shared" si="236"/>
        <v>0</v>
      </c>
      <c r="I766" s="358">
        <f t="shared" si="236"/>
        <v>0</v>
      </c>
      <c r="J766" s="358">
        <f t="shared" si="236"/>
        <v>0</v>
      </c>
      <c r="K766" s="358">
        <f t="shared" si="236"/>
        <v>0</v>
      </c>
      <c r="L766" s="358">
        <f t="shared" si="236"/>
        <v>0</v>
      </c>
      <c r="M766" s="358">
        <f t="shared" si="236"/>
        <v>0</v>
      </c>
      <c r="N766" s="358">
        <f t="shared" si="236"/>
        <v>0</v>
      </c>
      <c r="O766" s="358">
        <f t="shared" si="236"/>
        <v>2.8391999999999999</v>
      </c>
      <c r="P766" s="358">
        <f t="shared" si="236"/>
        <v>4.7624048733333328</v>
      </c>
      <c r="Q766" s="358">
        <f t="shared" si="236"/>
        <v>6.0342454262222214</v>
      </c>
      <c r="R766" s="358">
        <f t="shared" si="236"/>
        <v>7.5051460360592586</v>
      </c>
      <c r="S766" s="358">
        <f t="shared" si="236"/>
        <v>9.171926564584691</v>
      </c>
      <c r="T766" s="358">
        <f t="shared" si="236"/>
        <v>11.020982259871424</v>
      </c>
      <c r="U766" s="358">
        <f t="shared" si="236"/>
        <v>13.154287086552724</v>
      </c>
      <c r="V766" s="358">
        <f t="shared" si="236"/>
        <v>14.158159275452984</v>
      </c>
      <c r="W766" s="358">
        <f t="shared" si="236"/>
        <v>15.897406008741452</v>
      </c>
    </row>
    <row r="767" spans="1:23">
      <c r="A767" s="344" t="s">
        <v>132</v>
      </c>
      <c r="B767" s="358">
        <f t="shared" ref="B767:R767" si="237">B43+B122+B223+B324+B425+B541+B657</f>
        <v>3.7789999999999999</v>
      </c>
      <c r="C767" s="358">
        <f t="shared" si="237"/>
        <v>3.7317624999999999</v>
      </c>
      <c r="D767" s="358">
        <f t="shared" si="237"/>
        <v>3.7345562499999998</v>
      </c>
      <c r="E767" s="358">
        <f t="shared" si="237"/>
        <v>3.7946312499999997</v>
      </c>
      <c r="F767" s="358">
        <f t="shared" si="237"/>
        <v>3.6937187499999995</v>
      </c>
      <c r="G767" s="358">
        <f t="shared" si="237"/>
        <v>3.5928062499999993</v>
      </c>
      <c r="H767" s="358">
        <f t="shared" si="237"/>
        <v>3.4918937499999996</v>
      </c>
      <c r="I767" s="358">
        <f t="shared" si="237"/>
        <v>3.3909812499999994</v>
      </c>
      <c r="J767" s="358">
        <f t="shared" si="237"/>
        <v>3.2900687499999992</v>
      </c>
      <c r="K767" s="358">
        <f t="shared" si="237"/>
        <v>3.189156249999999</v>
      </c>
      <c r="L767" s="358">
        <f t="shared" si="237"/>
        <v>3.0882437499999988</v>
      </c>
      <c r="M767" s="358">
        <f t="shared" si="237"/>
        <v>2.9873312499999987</v>
      </c>
      <c r="N767" s="358">
        <f t="shared" si="237"/>
        <v>2.8864187499999989</v>
      </c>
      <c r="O767" s="358">
        <f t="shared" si="237"/>
        <v>2.9958437499999988</v>
      </c>
      <c r="P767" s="358">
        <f t="shared" si="237"/>
        <v>2.8896062499999986</v>
      </c>
      <c r="Q767" s="358">
        <f t="shared" si="237"/>
        <v>2.7833687499999984</v>
      </c>
      <c r="R767" s="358">
        <f t="shared" si="237"/>
        <v>2.6771312499999982</v>
      </c>
      <c r="S767" s="627">
        <f>S43+S122+S223+S324+S425+S541</f>
        <v>2.5708937499999984</v>
      </c>
      <c r="T767" s="627">
        <f t="shared" ref="T767:V767" si="238">T43+T122+T223+T324+T425+T541</f>
        <v>2.4646562499999982</v>
      </c>
      <c r="U767" s="627">
        <f t="shared" si="238"/>
        <v>2.358418749999998</v>
      </c>
      <c r="V767" s="627">
        <f t="shared" si="238"/>
        <v>2.2521812499999978</v>
      </c>
      <c r="W767" s="627">
        <f>W43+W122+W223+W324+W425+W541</f>
        <v>2.145943749999998</v>
      </c>
    </row>
    <row r="768" spans="1:23">
      <c r="A768" s="360" t="s">
        <v>123</v>
      </c>
      <c r="B768" s="359"/>
      <c r="C768" s="359"/>
      <c r="D768" s="359"/>
      <c r="E768" s="359"/>
      <c r="F768" s="359"/>
      <c r="G768" s="359"/>
      <c r="H768" s="359"/>
      <c r="I768" s="359"/>
      <c r="J768" s="359"/>
      <c r="K768" s="359"/>
      <c r="L768" s="359"/>
      <c r="M768" s="359"/>
      <c r="N768" s="359"/>
      <c r="O768" s="359"/>
      <c r="P768" s="359"/>
      <c r="Q768" s="359"/>
      <c r="R768" s="359"/>
      <c r="S768" s="359">
        <f t="shared" ref="S768:W768" si="239">S657</f>
        <v>0</v>
      </c>
      <c r="T768" s="359">
        <f t="shared" si="239"/>
        <v>-0.7496925607499999</v>
      </c>
      <c r="U768" s="359">
        <f t="shared" si="239"/>
        <v>-0.73071300224999991</v>
      </c>
      <c r="V768" s="359">
        <f t="shared" si="239"/>
        <v>-0.71173344374999992</v>
      </c>
      <c r="W768" s="359">
        <f t="shared" si="239"/>
        <v>-0.69275388524999992</v>
      </c>
    </row>
    <row r="769" spans="1:30">
      <c r="A769" s="360" t="s">
        <v>128</v>
      </c>
      <c r="B769" s="359"/>
      <c r="C769" s="359"/>
      <c r="D769" s="359"/>
      <c r="E769" s="359"/>
      <c r="F769" s="359"/>
      <c r="G769" s="359"/>
      <c r="H769" s="359"/>
      <c r="I769" s="359"/>
      <c r="J769" s="359"/>
      <c r="K769" s="359"/>
      <c r="L769" s="359"/>
      <c r="M769" s="359"/>
      <c r="N769" s="359"/>
      <c r="O769" s="359"/>
      <c r="P769" s="359"/>
      <c r="Q769" s="359"/>
      <c r="R769" s="359"/>
      <c r="S769" s="359">
        <f t="shared" ref="S769:W769" si="240">S672</f>
        <v>0</v>
      </c>
      <c r="T769" s="359">
        <f t="shared" si="240"/>
        <v>0</v>
      </c>
      <c r="U769" s="359">
        <f t="shared" si="240"/>
        <v>0</v>
      </c>
      <c r="V769" s="359">
        <f t="shared" si="240"/>
        <v>0</v>
      </c>
      <c r="W769" s="359">
        <f t="shared" si="240"/>
        <v>0</v>
      </c>
    </row>
    <row r="770" spans="1:30">
      <c r="A770" s="344" t="s">
        <v>126</v>
      </c>
      <c r="B770" s="358">
        <f t="shared" ref="B770:W770" si="241">B54+B137+B238+B339+B440+B556+B687</f>
        <v>4.0919999999999996</v>
      </c>
      <c r="C770" s="358">
        <f t="shared" si="241"/>
        <v>3.4781999999999997</v>
      </c>
      <c r="D770" s="358">
        <f t="shared" si="241"/>
        <v>2.9562149999999994</v>
      </c>
      <c r="E770" s="358">
        <f t="shared" si="241"/>
        <v>3.7022005</v>
      </c>
      <c r="F770" s="358">
        <f t="shared" si="241"/>
        <v>3.2313903499999999</v>
      </c>
      <c r="G770" s="358">
        <f t="shared" si="241"/>
        <v>5.4884657449999992</v>
      </c>
      <c r="H770" s="358">
        <f t="shared" si="241"/>
        <v>6.1108446465000004</v>
      </c>
      <c r="I770" s="358">
        <f t="shared" si="241"/>
        <v>8.9468915837999994</v>
      </c>
      <c r="J770" s="358">
        <f t="shared" si="241"/>
        <v>8.2550828684970199</v>
      </c>
      <c r="K770" s="358">
        <f t="shared" si="241"/>
        <v>7.8106339301318624</v>
      </c>
      <c r="L770" s="358">
        <f t="shared" si="241"/>
        <v>7.6100975441684078</v>
      </c>
      <c r="M770" s="358">
        <f t="shared" si="241"/>
        <v>8.5639278735168176</v>
      </c>
      <c r="N770" s="358">
        <f t="shared" si="241"/>
        <v>11.156962047838537</v>
      </c>
      <c r="O770" s="358">
        <f t="shared" si="241"/>
        <v>14.043261504337391</v>
      </c>
      <c r="P770" s="358">
        <f t="shared" si="241"/>
        <v>17.13719834520316</v>
      </c>
      <c r="Q770" s="358">
        <f t="shared" si="241"/>
        <v>17.461910185539452</v>
      </c>
      <c r="R770" s="358">
        <f t="shared" si="241"/>
        <v>19.417809948634517</v>
      </c>
      <c r="S770" s="358">
        <f t="shared" si="241"/>
        <v>32.798631101142924</v>
      </c>
      <c r="T770" s="358">
        <f t="shared" si="241"/>
        <v>31.303769095782165</v>
      </c>
      <c r="U770" s="358">
        <f t="shared" si="241"/>
        <v>30.072101763283449</v>
      </c>
      <c r="V770" s="358">
        <f t="shared" si="241"/>
        <v>38.121867165978124</v>
      </c>
      <c r="W770" s="358">
        <f t="shared" si="241"/>
        <v>35.152382690501</v>
      </c>
    </row>
    <row r="771" spans="1:30">
      <c r="A771" s="344" t="s">
        <v>127</v>
      </c>
      <c r="B771" s="358"/>
      <c r="C771" s="358"/>
      <c r="D771" s="358"/>
      <c r="E771" s="358"/>
      <c r="F771" s="358"/>
      <c r="G771" s="358"/>
      <c r="H771" s="358"/>
      <c r="I771" s="358"/>
      <c r="J771" s="358"/>
      <c r="K771" s="358"/>
      <c r="L771" s="358"/>
      <c r="M771" s="358"/>
      <c r="N771" s="358"/>
      <c r="O771" s="358"/>
      <c r="P771" s="358"/>
      <c r="Q771" s="358"/>
      <c r="R771" s="358"/>
      <c r="S771" s="358">
        <f>S730</f>
        <v>0</v>
      </c>
      <c r="T771" s="358">
        <f>T730</f>
        <v>0</v>
      </c>
      <c r="U771" s="358">
        <f>U730</f>
        <v>0</v>
      </c>
      <c r="V771" s="358">
        <f>V730</f>
        <v>0</v>
      </c>
      <c r="W771" s="358">
        <f>W730</f>
        <v>0</v>
      </c>
    </row>
    <row r="772" spans="1:30">
      <c r="A772" s="351" t="s">
        <v>22</v>
      </c>
      <c r="B772" s="358">
        <f t="shared" ref="B772:W772" si="242">SUM(B764:B771)</f>
        <v>504.952</v>
      </c>
      <c r="C772" s="358">
        <f t="shared" si="242"/>
        <v>446.72536250000002</v>
      </c>
      <c r="D772" s="358">
        <f t="shared" si="242"/>
        <v>363.45239125000001</v>
      </c>
      <c r="E772" s="358">
        <f t="shared" si="242"/>
        <v>316.26472775000008</v>
      </c>
      <c r="F772" s="358">
        <f t="shared" si="242"/>
        <v>274.03151840000004</v>
      </c>
      <c r="G772" s="358">
        <f t="shared" si="242"/>
        <v>246.3289139725</v>
      </c>
      <c r="H772" s="358">
        <f t="shared" si="242"/>
        <v>225.78637846268754</v>
      </c>
      <c r="I772" s="358">
        <f t="shared" si="242"/>
        <v>212.06177641065219</v>
      </c>
      <c r="J772" s="358">
        <f t="shared" si="242"/>
        <v>203.43373010974636</v>
      </c>
      <c r="K772" s="358">
        <f t="shared" si="242"/>
        <v>202.66617190637112</v>
      </c>
      <c r="L772" s="358">
        <f t="shared" si="242"/>
        <v>212.2555742165012</v>
      </c>
      <c r="M772" s="358">
        <f t="shared" si="242"/>
        <v>225.04288873223265</v>
      </c>
      <c r="N772" s="358">
        <f t="shared" si="242"/>
        <v>245.71572117976245</v>
      </c>
      <c r="O772" s="358">
        <f t="shared" si="242"/>
        <v>263.89214721797441</v>
      </c>
      <c r="P772" s="358">
        <f t="shared" si="242"/>
        <v>274.06748479085604</v>
      </c>
      <c r="Q772" s="358">
        <f t="shared" si="242"/>
        <v>294.50968282373049</v>
      </c>
      <c r="R772" s="358">
        <f t="shared" si="242"/>
        <v>331.50495298643227</v>
      </c>
      <c r="S772" s="610">
        <f t="shared" si="242"/>
        <v>390.1947503094454</v>
      </c>
      <c r="T772" s="610">
        <f t="shared" si="242"/>
        <v>447.18043834907604</v>
      </c>
      <c r="U772" s="610">
        <f t="shared" si="242"/>
        <v>514.99134056864568</v>
      </c>
      <c r="V772" s="610">
        <f t="shared" si="242"/>
        <v>595.0040857935843</v>
      </c>
      <c r="W772" s="610">
        <f t="shared" si="242"/>
        <v>637.72268375924671</v>
      </c>
      <c r="Z772" s="347"/>
      <c r="AA772" s="347"/>
      <c r="AB772" s="347"/>
      <c r="AC772" s="347"/>
      <c r="AD772" s="347"/>
    </row>
    <row r="773" spans="1:30">
      <c r="B773" s="361"/>
      <c r="C773" s="361"/>
      <c r="D773" s="361"/>
      <c r="E773" s="361"/>
      <c r="F773" s="361"/>
      <c r="G773" s="361"/>
      <c r="H773" s="361"/>
      <c r="I773" s="361"/>
      <c r="J773" s="361"/>
      <c r="K773" s="361"/>
      <c r="L773" s="361"/>
      <c r="M773" s="361"/>
      <c r="N773" s="361"/>
      <c r="O773" s="361"/>
      <c r="P773" s="361"/>
      <c r="Q773" s="361"/>
      <c r="R773" s="361"/>
      <c r="S773" s="361"/>
      <c r="T773" s="361"/>
      <c r="U773" s="361"/>
      <c r="V773" s="361"/>
      <c r="W773" s="361"/>
    </row>
    <row r="774" spans="1:30">
      <c r="A774" s="356" t="s">
        <v>137</v>
      </c>
      <c r="B774" s="358"/>
      <c r="C774" s="358"/>
      <c r="D774" s="358"/>
      <c r="E774" s="358"/>
      <c r="F774" s="358"/>
      <c r="G774" s="358"/>
      <c r="H774" s="358"/>
      <c r="I774" s="358"/>
      <c r="J774" s="358"/>
      <c r="K774" s="358"/>
      <c r="L774" s="358"/>
      <c r="M774" s="358"/>
      <c r="N774" s="358"/>
      <c r="O774" s="358"/>
      <c r="P774" s="358"/>
      <c r="Q774" s="358"/>
      <c r="R774" s="358"/>
      <c r="S774" s="358"/>
      <c r="T774" s="358"/>
      <c r="U774" s="358"/>
      <c r="V774" s="358"/>
      <c r="W774" s="358"/>
    </row>
    <row r="775" spans="1:30">
      <c r="A775" s="344" t="s">
        <v>121</v>
      </c>
      <c r="B775" s="358">
        <f t="shared" ref="B775:W775" si="243">B93+B154+B194+B255+B295+B356+B396+B457+B497+B572+B613+B703</f>
        <v>11.253</v>
      </c>
      <c r="C775" s="358">
        <f t="shared" si="243"/>
        <v>25.704999999999998</v>
      </c>
      <c r="D775" s="358">
        <f t="shared" si="243"/>
        <v>28.255000000000003</v>
      </c>
      <c r="E775" s="358">
        <f t="shared" si="243"/>
        <v>23.33</v>
      </c>
      <c r="F775" s="358">
        <f t="shared" si="243"/>
        <v>19.312000000000001</v>
      </c>
      <c r="G775" s="358">
        <f t="shared" si="243"/>
        <v>19.902000000000001</v>
      </c>
      <c r="H775" s="358">
        <f t="shared" si="243"/>
        <v>19.173343843110001</v>
      </c>
      <c r="I775" s="358">
        <f t="shared" si="243"/>
        <v>21.655354335370067</v>
      </c>
      <c r="J775" s="358">
        <f t="shared" si="243"/>
        <v>26.409115695627428</v>
      </c>
      <c r="K775" s="358">
        <f t="shared" si="243"/>
        <v>34.28662667293947</v>
      </c>
      <c r="L775" s="358">
        <f t="shared" si="243"/>
        <v>34.701071522200003</v>
      </c>
      <c r="M775" s="358">
        <f t="shared" si="243"/>
        <v>39.545000000000002</v>
      </c>
      <c r="N775" s="358">
        <f t="shared" si="243"/>
        <v>37.058</v>
      </c>
      <c r="O775" s="358">
        <f t="shared" si="243"/>
        <v>29.937000000000001</v>
      </c>
      <c r="P775" s="358">
        <f t="shared" si="243"/>
        <v>43.12</v>
      </c>
      <c r="Q775" s="358">
        <f t="shared" si="243"/>
        <v>60.213000000000001</v>
      </c>
      <c r="R775" s="358">
        <f t="shared" si="243"/>
        <v>74.288000000000011</v>
      </c>
      <c r="S775" s="358">
        <f t="shared" si="243"/>
        <v>90.344980505123758</v>
      </c>
      <c r="T775" s="358">
        <f t="shared" si="243"/>
        <v>98.320428527114714</v>
      </c>
      <c r="U775" s="358">
        <f t="shared" si="243"/>
        <v>103.7539594805359</v>
      </c>
      <c r="V775" s="358">
        <f t="shared" si="243"/>
        <v>77.663486793848918</v>
      </c>
      <c r="W775" s="358">
        <f t="shared" si="243"/>
        <v>83.55</v>
      </c>
    </row>
    <row r="776" spans="1:30">
      <c r="A776" s="344" t="s">
        <v>134</v>
      </c>
      <c r="B776" s="358">
        <f t="shared" ref="B776:W776" si="244">B108+B209+B310+B411+B512+B628</f>
        <v>0.84450000000000003</v>
      </c>
      <c r="C776" s="358">
        <f t="shared" si="244"/>
        <v>2.2324999999999999</v>
      </c>
      <c r="D776" s="358">
        <f t="shared" si="244"/>
        <v>4.125</v>
      </c>
      <c r="E776" s="358">
        <f t="shared" si="244"/>
        <v>4.9909999999999997</v>
      </c>
      <c r="F776" s="358">
        <f t="shared" si="244"/>
        <v>5.859</v>
      </c>
      <c r="G776" s="358">
        <f t="shared" si="244"/>
        <v>6.7439999999999998</v>
      </c>
      <c r="H776" s="358">
        <f t="shared" si="244"/>
        <v>5.2653921614939394</v>
      </c>
      <c r="I776" s="358">
        <f t="shared" si="244"/>
        <v>6.8877592038704938</v>
      </c>
      <c r="J776" s="358">
        <f t="shared" si="244"/>
        <v>6.8471501554709997</v>
      </c>
      <c r="K776" s="358">
        <f t="shared" si="244"/>
        <v>6.9223296445708398</v>
      </c>
      <c r="L776" s="358">
        <f t="shared" si="244"/>
        <v>7.3041304458299994</v>
      </c>
      <c r="M776" s="358">
        <f t="shared" si="244"/>
        <v>7.8721230000000002</v>
      </c>
      <c r="N776" s="358">
        <f t="shared" si="244"/>
        <v>5.1090000000000009</v>
      </c>
      <c r="O776" s="358">
        <f t="shared" si="244"/>
        <v>4.8918274300000002</v>
      </c>
      <c r="P776" s="358">
        <f t="shared" si="244"/>
        <v>5.9679144400000004</v>
      </c>
      <c r="Q776" s="358">
        <f t="shared" si="244"/>
        <v>6.0369999999999999</v>
      </c>
      <c r="R776" s="358">
        <f t="shared" si="244"/>
        <v>5.8520000000000003</v>
      </c>
      <c r="S776" s="358">
        <f t="shared" si="244"/>
        <v>5.3372583564629723</v>
      </c>
      <c r="T776" s="358">
        <f t="shared" si="244"/>
        <v>6.9870116760018712</v>
      </c>
      <c r="U776" s="358">
        <f t="shared" si="244"/>
        <v>7.1590782823846224</v>
      </c>
      <c r="V776" s="358">
        <f t="shared" si="244"/>
        <v>8.0572517454619259</v>
      </c>
      <c r="W776" s="358">
        <f t="shared" si="244"/>
        <v>10.272913892078071</v>
      </c>
    </row>
    <row r="777" spans="1:30">
      <c r="A777" s="344" t="s">
        <v>133</v>
      </c>
      <c r="B777" s="358">
        <f t="shared" ref="B777:W777" si="245">B527+B643</f>
        <v>0</v>
      </c>
      <c r="C777" s="358">
        <f t="shared" si="245"/>
        <v>0</v>
      </c>
      <c r="D777" s="358">
        <f t="shared" si="245"/>
        <v>0</v>
      </c>
      <c r="E777" s="358">
        <f t="shared" si="245"/>
        <v>0</v>
      </c>
      <c r="F777" s="358">
        <f t="shared" si="245"/>
        <v>0</v>
      </c>
      <c r="G777" s="358">
        <f t="shared" si="245"/>
        <v>0</v>
      </c>
      <c r="H777" s="358">
        <f t="shared" si="245"/>
        <v>0</v>
      </c>
      <c r="I777" s="358">
        <f t="shared" si="245"/>
        <v>0</v>
      </c>
      <c r="J777" s="358">
        <f t="shared" si="245"/>
        <v>0</v>
      </c>
      <c r="K777" s="358">
        <f t="shared" si="245"/>
        <v>0</v>
      </c>
      <c r="L777" s="358">
        <f t="shared" si="245"/>
        <v>0</v>
      </c>
      <c r="M777" s="358">
        <f t="shared" si="245"/>
        <v>0</v>
      </c>
      <c r="N777" s="358">
        <f t="shared" si="245"/>
        <v>3.0419999999999998</v>
      </c>
      <c r="O777" s="358">
        <f t="shared" si="245"/>
        <v>2.46617665</v>
      </c>
      <c r="P777" s="358">
        <f t="shared" si="245"/>
        <v>2.0430298599999999</v>
      </c>
      <c r="Q777" s="358">
        <f t="shared" si="245"/>
        <v>2.4380000000000002</v>
      </c>
      <c r="R777" s="358">
        <f t="shared" si="245"/>
        <v>2.8580000000000001</v>
      </c>
      <c r="S777" s="358">
        <f t="shared" si="245"/>
        <v>3.1779095557565773</v>
      </c>
      <c r="T777" s="358">
        <f t="shared" si="245"/>
        <v>3.5224474483624997</v>
      </c>
      <c r="U777" s="358">
        <f t="shared" si="245"/>
        <v>2.4508077064505125</v>
      </c>
      <c r="V777" s="358">
        <f t="shared" si="245"/>
        <v>3.2538644617253887</v>
      </c>
      <c r="W777" s="358">
        <f t="shared" si="245"/>
        <v>5.0170861079219282</v>
      </c>
    </row>
    <row r="778" spans="1:30">
      <c r="A778" s="344" t="s">
        <v>132</v>
      </c>
      <c r="B778" s="358">
        <f t="shared" ref="B778:R778" si="246">B123+B224+B325+B426+B542+B658</f>
        <v>0</v>
      </c>
      <c r="C778" s="358">
        <f t="shared" si="246"/>
        <v>9.8500000000000004E-2</v>
      </c>
      <c r="D778" s="358">
        <f t="shared" si="246"/>
        <v>0.159</v>
      </c>
      <c r="E778" s="358">
        <f t="shared" si="246"/>
        <v>0</v>
      </c>
      <c r="F778" s="358">
        <f t="shared" si="246"/>
        <v>0</v>
      </c>
      <c r="G778" s="358">
        <f t="shared" si="246"/>
        <v>0</v>
      </c>
      <c r="H778" s="358">
        <f t="shared" si="246"/>
        <v>0</v>
      </c>
      <c r="I778" s="358">
        <f t="shared" si="246"/>
        <v>0</v>
      </c>
      <c r="J778" s="358">
        <f t="shared" si="246"/>
        <v>0</v>
      </c>
      <c r="K778" s="358">
        <f t="shared" si="246"/>
        <v>0</v>
      </c>
      <c r="L778" s="358">
        <f t="shared" si="246"/>
        <v>0</v>
      </c>
      <c r="M778" s="358">
        <f t="shared" si="246"/>
        <v>0</v>
      </c>
      <c r="N778" s="358">
        <f t="shared" si="246"/>
        <v>0.21299999999999999</v>
      </c>
      <c r="O778" s="358">
        <f t="shared" si="246"/>
        <v>0</v>
      </c>
      <c r="P778" s="358">
        <f t="shared" si="246"/>
        <v>0</v>
      </c>
      <c r="Q778" s="358">
        <f t="shared" si="246"/>
        <v>0</v>
      </c>
      <c r="R778" s="358">
        <f t="shared" si="246"/>
        <v>0</v>
      </c>
      <c r="S778" s="359">
        <f>S123+S224+S325+S426+S542</f>
        <v>0</v>
      </c>
      <c r="T778" s="359">
        <f>T123+T224+T325+T426+T542</f>
        <v>0</v>
      </c>
      <c r="U778" s="359">
        <f>U123+U224+U325+U426+U542</f>
        <v>0</v>
      </c>
      <c r="V778" s="359">
        <f>V123+V224+V325+V426+V542</f>
        <v>0</v>
      </c>
      <c r="W778" s="359">
        <f>W123+W224+W325+W426+W542</f>
        <v>0</v>
      </c>
    </row>
    <row r="779" spans="1:30">
      <c r="A779" s="360" t="s">
        <v>123</v>
      </c>
      <c r="B779" s="359"/>
      <c r="C779" s="359"/>
      <c r="D779" s="359"/>
      <c r="E779" s="359"/>
      <c r="F779" s="359"/>
      <c r="G779" s="359"/>
      <c r="H779" s="359"/>
      <c r="I779" s="359"/>
      <c r="J779" s="359"/>
      <c r="K779" s="359"/>
      <c r="L779" s="359"/>
      <c r="M779" s="359"/>
      <c r="N779" s="359"/>
      <c r="O779" s="359"/>
      <c r="P779" s="359"/>
      <c r="Q779" s="359"/>
      <c r="R779" s="359"/>
      <c r="S779" s="359">
        <f>S658</f>
        <v>-0.75918233999999996</v>
      </c>
      <c r="T779" s="359">
        <f>T658</f>
        <v>0</v>
      </c>
      <c r="U779" s="359">
        <f>U658</f>
        <v>0</v>
      </c>
      <c r="V779" s="359">
        <f>V658</f>
        <v>0</v>
      </c>
      <c r="W779" s="359">
        <f>W658</f>
        <v>0</v>
      </c>
    </row>
    <row r="780" spans="1:30">
      <c r="A780" s="360" t="s">
        <v>128</v>
      </c>
      <c r="B780" s="359"/>
      <c r="C780" s="359"/>
      <c r="D780" s="359"/>
      <c r="E780" s="359"/>
      <c r="F780" s="359"/>
      <c r="G780" s="359"/>
      <c r="H780" s="359"/>
      <c r="I780" s="359"/>
      <c r="J780" s="359"/>
      <c r="K780" s="359"/>
      <c r="L780" s="359"/>
      <c r="M780" s="359"/>
      <c r="N780" s="359"/>
      <c r="O780" s="359"/>
      <c r="P780" s="359"/>
      <c r="Q780" s="359"/>
      <c r="R780" s="359"/>
      <c r="S780" s="359">
        <f>S673</f>
        <v>0</v>
      </c>
      <c r="T780" s="359">
        <f>T673</f>
        <v>0</v>
      </c>
      <c r="U780" s="359">
        <f>U673</f>
        <v>0</v>
      </c>
      <c r="V780" s="359">
        <f>V673</f>
        <v>0</v>
      </c>
      <c r="W780" s="359">
        <f>W673</f>
        <v>0</v>
      </c>
    </row>
    <row r="781" spans="1:30">
      <c r="A781" s="344" t="s">
        <v>126</v>
      </c>
      <c r="B781" s="358">
        <f t="shared" ref="B781:W781" si="247">B138+B239+B340+B441+B557+B688</f>
        <v>0</v>
      </c>
      <c r="C781" s="358">
        <f t="shared" si="247"/>
        <v>0.61349999999999993</v>
      </c>
      <c r="D781" s="358">
        <f t="shared" si="247"/>
        <v>1.9209999999999998</v>
      </c>
      <c r="E781" s="358">
        <f t="shared" si="247"/>
        <v>0.748</v>
      </c>
      <c r="F781" s="358">
        <f t="shared" si="247"/>
        <v>3.48</v>
      </c>
      <c r="G781" s="358">
        <f t="shared" si="247"/>
        <v>1.9239999999999999</v>
      </c>
      <c r="H781" s="358">
        <f t="shared" si="247"/>
        <v>4.3097399999999997</v>
      </c>
      <c r="I781" s="358">
        <f t="shared" si="247"/>
        <v>0.87990284137786023</v>
      </c>
      <c r="J781" s="358">
        <f t="shared" si="247"/>
        <v>0.98204655796177776</v>
      </c>
      <c r="K781" s="358">
        <f t="shared" si="247"/>
        <v>1.1365020599999998</v>
      </c>
      <c r="L781" s="358">
        <f t="shared" si="247"/>
        <v>2.3674810599999963</v>
      </c>
      <c r="M781" s="358">
        <f t="shared" si="247"/>
        <v>4.4290000000000003</v>
      </c>
      <c r="N781" s="358">
        <f t="shared" si="247"/>
        <v>5.38</v>
      </c>
      <c r="O781" s="358">
        <f t="shared" si="247"/>
        <v>6.2949999999999999</v>
      </c>
      <c r="P781" s="358">
        <f t="shared" si="247"/>
        <v>3.9429999999999996</v>
      </c>
      <c r="Q781" s="358">
        <f t="shared" si="247"/>
        <v>5.86</v>
      </c>
      <c r="R781" s="358">
        <f t="shared" si="247"/>
        <v>19.016999999999999</v>
      </c>
      <c r="S781" s="358">
        <f t="shared" si="247"/>
        <v>5.1973505426566931</v>
      </c>
      <c r="T781" s="358">
        <f t="shared" si="247"/>
        <v>4.6869353141741774</v>
      </c>
      <c r="U781" s="358">
        <f t="shared" si="247"/>
        <v>13.879786788633695</v>
      </c>
      <c r="V781" s="358">
        <f t="shared" si="247"/>
        <v>2.8828330894269572</v>
      </c>
      <c r="W781" s="358">
        <f t="shared" si="247"/>
        <v>13.3</v>
      </c>
    </row>
    <row r="782" spans="1:30">
      <c r="A782" s="344" t="s">
        <v>127</v>
      </c>
      <c r="B782" s="358"/>
      <c r="C782" s="358"/>
      <c r="D782" s="358"/>
      <c r="E782" s="358"/>
      <c r="F782" s="358"/>
      <c r="G782" s="358"/>
      <c r="H782" s="358"/>
      <c r="I782" s="358"/>
      <c r="J782" s="358"/>
      <c r="K782" s="358"/>
      <c r="L782" s="358"/>
      <c r="M782" s="358"/>
      <c r="N782" s="358"/>
      <c r="O782" s="358"/>
      <c r="P782" s="358"/>
      <c r="Q782" s="358"/>
      <c r="R782" s="358"/>
      <c r="S782" s="358">
        <f>S731</f>
        <v>0</v>
      </c>
      <c r="T782" s="358">
        <f>T731</f>
        <v>0</v>
      </c>
      <c r="U782" s="358">
        <f>U731</f>
        <v>0</v>
      </c>
      <c r="V782" s="358">
        <f>V731</f>
        <v>0</v>
      </c>
      <c r="W782" s="358">
        <f>W731</f>
        <v>0</v>
      </c>
    </row>
    <row r="783" spans="1:30">
      <c r="A783" s="351" t="s">
        <v>22</v>
      </c>
      <c r="B783" s="358">
        <f t="shared" ref="B783:W783" si="248">SUM(B775:B782)</f>
        <v>12.0975</v>
      </c>
      <c r="C783" s="358">
        <f t="shared" si="248"/>
        <v>28.6495</v>
      </c>
      <c r="D783" s="358">
        <f t="shared" si="248"/>
        <v>34.46</v>
      </c>
      <c r="E783" s="358">
        <f t="shared" si="248"/>
        <v>29.068999999999999</v>
      </c>
      <c r="F783" s="358">
        <f t="shared" si="248"/>
        <v>28.651</v>
      </c>
      <c r="G783" s="358">
        <f t="shared" si="248"/>
        <v>28.57</v>
      </c>
      <c r="H783" s="358">
        <f t="shared" si="248"/>
        <v>28.748476004603937</v>
      </c>
      <c r="I783" s="358">
        <f t="shared" si="248"/>
        <v>29.423016380618421</v>
      </c>
      <c r="J783" s="358">
        <f t="shared" si="248"/>
        <v>34.238312409060207</v>
      </c>
      <c r="K783" s="358">
        <f t="shared" si="248"/>
        <v>42.345458377510305</v>
      </c>
      <c r="L783" s="358">
        <f t="shared" si="248"/>
        <v>44.372683028029996</v>
      </c>
      <c r="M783" s="358">
        <f t="shared" si="248"/>
        <v>51.846123000000006</v>
      </c>
      <c r="N783" s="358">
        <f t="shared" si="248"/>
        <v>50.802000000000007</v>
      </c>
      <c r="O783" s="358">
        <f t="shared" si="248"/>
        <v>43.590004080000007</v>
      </c>
      <c r="P783" s="358">
        <f t="shared" si="248"/>
        <v>55.073944299999994</v>
      </c>
      <c r="Q783" s="358">
        <f t="shared" si="248"/>
        <v>74.548000000000002</v>
      </c>
      <c r="R783" s="358">
        <f t="shared" si="248"/>
        <v>102.01500000000001</v>
      </c>
      <c r="S783" s="610">
        <f t="shared" si="248"/>
        <v>103.29831661999999</v>
      </c>
      <c r="T783" s="610">
        <f t="shared" si="248"/>
        <v>113.51682296565326</v>
      </c>
      <c r="U783" s="610">
        <f t="shared" si="248"/>
        <v>127.24363225800474</v>
      </c>
      <c r="V783" s="610">
        <f t="shared" si="248"/>
        <v>91.857436090463182</v>
      </c>
      <c r="W783" s="610">
        <f t="shared" si="248"/>
        <v>112.13999999999999</v>
      </c>
      <c r="Z783" s="347"/>
      <c r="AA783" s="347"/>
      <c r="AB783" s="347"/>
      <c r="AC783" s="347"/>
      <c r="AD783" s="347"/>
    </row>
    <row r="784" spans="1:30">
      <c r="B784" s="358"/>
      <c r="C784" s="358"/>
      <c r="D784" s="358"/>
      <c r="E784" s="358"/>
      <c r="F784" s="358"/>
      <c r="G784" s="358"/>
      <c r="H784" s="358"/>
      <c r="I784" s="358"/>
      <c r="J784" s="358"/>
      <c r="K784" s="358"/>
      <c r="L784" s="358"/>
      <c r="M784" s="358"/>
      <c r="N784" s="358"/>
      <c r="O784" s="358"/>
      <c r="P784" s="358"/>
      <c r="Q784" s="358"/>
      <c r="R784" s="358"/>
      <c r="S784" s="358"/>
      <c r="T784" s="358"/>
      <c r="U784" s="358"/>
      <c r="V784" s="358"/>
      <c r="W784" s="358"/>
    </row>
    <row r="785" spans="1:30">
      <c r="A785" s="356" t="s">
        <v>136</v>
      </c>
      <c r="B785" s="358"/>
      <c r="C785" s="358"/>
      <c r="D785" s="358"/>
      <c r="E785" s="358"/>
      <c r="F785" s="358"/>
      <c r="G785" s="358"/>
      <c r="H785" s="358"/>
      <c r="I785" s="358"/>
      <c r="J785" s="358"/>
      <c r="K785" s="358"/>
      <c r="L785" s="358"/>
      <c r="M785" s="358"/>
      <c r="N785" s="358"/>
      <c r="O785" s="358"/>
      <c r="P785" s="358"/>
      <c r="Q785" s="358"/>
      <c r="R785" s="358"/>
      <c r="S785" s="358"/>
      <c r="T785" s="358"/>
      <c r="U785" s="358"/>
      <c r="V785" s="358"/>
      <c r="W785" s="358"/>
    </row>
    <row r="786" spans="1:30">
      <c r="A786" s="344" t="s">
        <v>121</v>
      </c>
      <c r="B786" s="358">
        <f t="shared" ref="B786:W786" si="249">B22+B94+B155+B195+B256+B296+B357+B397+B458+B498+B573+B614+B704</f>
        <v>46.337100000000007</v>
      </c>
      <c r="C786" s="358">
        <f t="shared" si="249"/>
        <v>85.977280000000007</v>
      </c>
      <c r="D786" s="358">
        <f t="shared" si="249"/>
        <v>76.24872400000001</v>
      </c>
      <c r="E786" s="358">
        <f t="shared" si="249"/>
        <v>66.407674200000017</v>
      </c>
      <c r="F786" s="358">
        <f t="shared" si="249"/>
        <v>53.400134510000008</v>
      </c>
      <c r="G786" s="358">
        <f t="shared" si="249"/>
        <v>44.328418903500001</v>
      </c>
      <c r="H786" s="358">
        <f t="shared" si="249"/>
        <v>36.533222083776351</v>
      </c>
      <c r="I786" s="358">
        <f t="shared" si="249"/>
        <v>31.371441237485687</v>
      </c>
      <c r="J786" s="358">
        <f t="shared" si="249"/>
        <v>27.773793744133513</v>
      </c>
      <c r="K786" s="358">
        <f t="shared" si="249"/>
        <v>25.170909613924497</v>
      </c>
      <c r="L786" s="358">
        <f t="shared" si="249"/>
        <v>23.561346822514135</v>
      </c>
      <c r="M786" s="358">
        <f t="shared" si="249"/>
        <v>22.322453168740761</v>
      </c>
      <c r="N786" s="358">
        <f t="shared" si="249"/>
        <v>23.070313444504976</v>
      </c>
      <c r="O786" s="358">
        <f t="shared" si="249"/>
        <v>23.467248319578747</v>
      </c>
      <c r="P786" s="358">
        <f t="shared" si="249"/>
        <v>24.289113604889046</v>
      </c>
      <c r="Q786" s="358">
        <f t="shared" si="249"/>
        <v>26.670047693066692</v>
      </c>
      <c r="R786" s="358">
        <f t="shared" si="249"/>
        <v>30.471601222293486</v>
      </c>
      <c r="S786" s="358">
        <f t="shared" si="249"/>
        <v>33.219677316920446</v>
      </c>
      <c r="T786" s="358">
        <f t="shared" si="249"/>
        <v>34.723932096809186</v>
      </c>
      <c r="U786" s="358">
        <f t="shared" si="249"/>
        <v>36.932500851631396</v>
      </c>
      <c r="V786" s="358">
        <f t="shared" si="249"/>
        <v>38.945981574411803</v>
      </c>
      <c r="W786" s="358">
        <f t="shared" si="249"/>
        <v>40.734967745566692</v>
      </c>
    </row>
    <row r="787" spans="1:30">
      <c r="A787" s="344" t="s">
        <v>134</v>
      </c>
      <c r="B787" s="358">
        <f t="shared" ref="B787:W787" si="250">B33+B109+B210+B311+B412+B513+B629</f>
        <v>23.326000000000001</v>
      </c>
      <c r="C787" s="358">
        <f t="shared" si="250"/>
        <v>24.713999999999999</v>
      </c>
      <c r="D787" s="358">
        <f t="shared" si="250"/>
        <v>4.125</v>
      </c>
      <c r="E787" s="358">
        <f t="shared" si="250"/>
        <v>3.5748124999999997</v>
      </c>
      <c r="F787" s="358">
        <f t="shared" si="250"/>
        <v>1.6296328125000001</v>
      </c>
      <c r="G787" s="358">
        <f t="shared" si="250"/>
        <v>3.3815830078125</v>
      </c>
      <c r="H787" s="358">
        <f t="shared" si="250"/>
        <v>4.3652504101629264</v>
      </c>
      <c r="I787" s="358">
        <f t="shared" si="250"/>
        <v>5.0069973873576599</v>
      </c>
      <c r="J787" s="358">
        <f t="shared" si="250"/>
        <v>5.704668871975068</v>
      </c>
      <c r="K787" s="358">
        <f t="shared" si="250"/>
        <v>6.1471955074922624</v>
      </c>
      <c r="L787" s="358">
        <f t="shared" si="250"/>
        <v>6.5094584591328202</v>
      </c>
      <c r="M787" s="358">
        <f t="shared" si="250"/>
        <v>6.9139590580511383</v>
      </c>
      <c r="N787" s="358">
        <f t="shared" si="250"/>
        <v>6.7551849737819607</v>
      </c>
      <c r="O787" s="358">
        <f t="shared" si="250"/>
        <v>6.0971457517387257</v>
      </c>
      <c r="P787" s="358">
        <f t="shared" si="250"/>
        <v>5.8469176954617037</v>
      </c>
      <c r="Q787" s="358">
        <f t="shared" si="250"/>
        <v>5.9052450171635646</v>
      </c>
      <c r="R787" s="358">
        <f t="shared" si="250"/>
        <v>5.9199656357272286</v>
      </c>
      <c r="S787" s="358">
        <f t="shared" si="250"/>
        <v>4.9751371342116162</v>
      </c>
      <c r="T787" s="358">
        <f t="shared" si="250"/>
        <v>3.5869854394202081</v>
      </c>
      <c r="U787" s="358">
        <f t="shared" si="250"/>
        <v>2.9341713364454445</v>
      </c>
      <c r="V787" s="358">
        <f t="shared" si="250"/>
        <v>2.7386633155480498</v>
      </c>
      <c r="W787" s="358">
        <f t="shared" si="250"/>
        <v>2.9104694481583753</v>
      </c>
    </row>
    <row r="788" spans="1:30">
      <c r="A788" s="344" t="s">
        <v>133</v>
      </c>
      <c r="B788" s="358">
        <f t="shared" ref="B788:W788" si="251">B528+B644</f>
        <v>0</v>
      </c>
      <c r="C788" s="358">
        <f t="shared" si="251"/>
        <v>0</v>
      </c>
      <c r="D788" s="358">
        <f t="shared" si="251"/>
        <v>0</v>
      </c>
      <c r="E788" s="358">
        <f t="shared" si="251"/>
        <v>0</v>
      </c>
      <c r="F788" s="358">
        <f t="shared" si="251"/>
        <v>0</v>
      </c>
      <c r="G788" s="358">
        <f t="shared" si="251"/>
        <v>0</v>
      </c>
      <c r="H788" s="358">
        <f t="shared" si="251"/>
        <v>0</v>
      </c>
      <c r="I788" s="358">
        <f t="shared" si="251"/>
        <v>0</v>
      </c>
      <c r="J788" s="358">
        <f t="shared" si="251"/>
        <v>0</v>
      </c>
      <c r="K788" s="358">
        <f t="shared" si="251"/>
        <v>0</v>
      </c>
      <c r="L788" s="358">
        <f t="shared" si="251"/>
        <v>0</v>
      </c>
      <c r="M788" s="358">
        <f t="shared" si="251"/>
        <v>0</v>
      </c>
      <c r="N788" s="358">
        <f t="shared" si="251"/>
        <v>0.20279999999999998</v>
      </c>
      <c r="O788" s="358">
        <f t="shared" si="251"/>
        <v>0.54297177666666663</v>
      </c>
      <c r="P788" s="358">
        <f t="shared" si="251"/>
        <v>0.77118930711111111</v>
      </c>
      <c r="Q788" s="358">
        <f t="shared" si="251"/>
        <v>0.96709939016296287</v>
      </c>
      <c r="R788" s="358">
        <f t="shared" si="251"/>
        <v>1.1912194714745679</v>
      </c>
      <c r="S788" s="358">
        <f t="shared" si="251"/>
        <v>1.3288538604698445</v>
      </c>
      <c r="T788" s="358">
        <f t="shared" si="251"/>
        <v>1.3891426216811973</v>
      </c>
      <c r="U788" s="358">
        <f t="shared" si="251"/>
        <v>1.4469355175502518</v>
      </c>
      <c r="V788" s="358">
        <f t="shared" si="251"/>
        <v>1.5146177284369202</v>
      </c>
      <c r="W788" s="358">
        <f t="shared" si="251"/>
        <v>1.684172356446306</v>
      </c>
    </row>
    <row r="789" spans="1:30">
      <c r="A789" s="344" t="s">
        <v>132</v>
      </c>
      <c r="B789" s="358">
        <f t="shared" ref="B789:R789" si="252">B44+B124+B225+B326+B427+B543+B659</f>
        <v>4.7237500000000002E-2</v>
      </c>
      <c r="C789" s="358">
        <f t="shared" si="252"/>
        <v>9.5706250000000007E-2</v>
      </c>
      <c r="D789" s="358">
        <f t="shared" si="252"/>
        <v>9.8924999999999999E-2</v>
      </c>
      <c r="E789" s="358">
        <f t="shared" si="252"/>
        <v>0.1009125</v>
      </c>
      <c r="F789" s="358">
        <f t="shared" si="252"/>
        <v>0.1009125</v>
      </c>
      <c r="G789" s="358">
        <f t="shared" si="252"/>
        <v>0.1009125</v>
      </c>
      <c r="H789" s="358">
        <f t="shared" si="252"/>
        <v>0.1009125</v>
      </c>
      <c r="I789" s="358">
        <f t="shared" si="252"/>
        <v>0.1009125</v>
      </c>
      <c r="J789" s="358">
        <f t="shared" si="252"/>
        <v>0.1009125</v>
      </c>
      <c r="K789" s="358">
        <f t="shared" si="252"/>
        <v>0.1009125</v>
      </c>
      <c r="L789" s="358">
        <f t="shared" si="252"/>
        <v>0.1009125</v>
      </c>
      <c r="M789" s="358">
        <f t="shared" si="252"/>
        <v>0.1009125</v>
      </c>
      <c r="N789" s="358">
        <f t="shared" si="252"/>
        <v>0.103575</v>
      </c>
      <c r="O789" s="358">
        <f t="shared" si="252"/>
        <v>0.1062375</v>
      </c>
      <c r="P789" s="358">
        <f t="shared" si="252"/>
        <v>0.1062375</v>
      </c>
      <c r="Q789" s="358">
        <f t="shared" si="252"/>
        <v>0.1062375</v>
      </c>
      <c r="R789" s="358">
        <f t="shared" si="252"/>
        <v>0.1062375</v>
      </c>
      <c r="S789" s="629">
        <f>S44+S124+S225+S326+S427+S543</f>
        <v>0.1062375</v>
      </c>
      <c r="T789" s="629">
        <f>T44+T124+T225+T326+T427+T543</f>
        <v>0.1062375</v>
      </c>
      <c r="U789" s="629">
        <f t="shared" ref="U789:W789" si="253">U44+U124+U225+U326+U427+U543</f>
        <v>0.1062375</v>
      </c>
      <c r="V789" s="629">
        <f t="shared" si="253"/>
        <v>0.1062375</v>
      </c>
      <c r="W789" s="629">
        <f t="shared" si="253"/>
        <v>0.1062375</v>
      </c>
    </row>
    <row r="790" spans="1:30">
      <c r="A790" s="360" t="s">
        <v>123</v>
      </c>
      <c r="B790" s="359"/>
      <c r="C790" s="359"/>
      <c r="D790" s="359"/>
      <c r="E790" s="359"/>
      <c r="F790" s="359"/>
      <c r="G790" s="359"/>
      <c r="H790" s="359"/>
      <c r="I790" s="359"/>
      <c r="J790" s="359"/>
      <c r="K790" s="359"/>
      <c r="L790" s="359"/>
      <c r="M790" s="359"/>
      <c r="N790" s="359"/>
      <c r="O790" s="359"/>
      <c r="P790" s="359"/>
      <c r="Q790" s="359"/>
      <c r="R790" s="359"/>
      <c r="S790" s="618">
        <f>+S659</f>
        <v>-9.4897792500000001E-3</v>
      </c>
      <c r="T790" s="618">
        <f>+T659</f>
        <v>-1.89795585E-2</v>
      </c>
      <c r="U790" s="618">
        <f>+U659</f>
        <v>-1.89795585E-2</v>
      </c>
      <c r="V790" s="618">
        <f>+V659</f>
        <v>-1.89795585E-2</v>
      </c>
      <c r="W790" s="618">
        <f>+W659</f>
        <v>-1.89795585E-2</v>
      </c>
    </row>
    <row r="791" spans="1:30">
      <c r="A791" s="360" t="s">
        <v>135</v>
      </c>
      <c r="B791" s="359"/>
      <c r="C791" s="359"/>
      <c r="D791" s="359"/>
      <c r="E791" s="359"/>
      <c r="F791" s="359"/>
      <c r="G791" s="359"/>
      <c r="H791" s="359"/>
      <c r="I791" s="359"/>
      <c r="J791" s="359"/>
      <c r="K791" s="359"/>
      <c r="L791" s="359"/>
      <c r="M791" s="359"/>
      <c r="N791" s="359"/>
      <c r="O791" s="359"/>
      <c r="P791" s="359"/>
      <c r="Q791" s="359"/>
      <c r="R791" s="359"/>
      <c r="S791" s="618">
        <f>S674</f>
        <v>0</v>
      </c>
      <c r="T791" s="618">
        <f>T674</f>
        <v>0</v>
      </c>
      <c r="U791" s="618">
        <f>U674</f>
        <v>0</v>
      </c>
      <c r="V791" s="618">
        <f>V674</f>
        <v>0</v>
      </c>
      <c r="W791" s="618">
        <f>W674</f>
        <v>0</v>
      </c>
    </row>
    <row r="792" spans="1:30">
      <c r="A792" s="344" t="s">
        <v>126</v>
      </c>
      <c r="B792" s="358">
        <f t="shared" ref="B792:R792" si="254">B55+B139+B240+B341+B442+B558</f>
        <v>0.61380000000000001</v>
      </c>
      <c r="C792" s="358">
        <f t="shared" si="254"/>
        <v>1.1354850000000001</v>
      </c>
      <c r="D792" s="358">
        <f t="shared" si="254"/>
        <v>1.1750145000000001</v>
      </c>
      <c r="E792" s="358">
        <f t="shared" si="254"/>
        <v>1.2188101500000001</v>
      </c>
      <c r="F792" s="358">
        <f t="shared" si="254"/>
        <v>1.2229246050000002</v>
      </c>
      <c r="G792" s="358">
        <f t="shared" si="254"/>
        <v>1.3016210985000001</v>
      </c>
      <c r="H792" s="358">
        <f t="shared" si="254"/>
        <v>1.4736930627000002</v>
      </c>
      <c r="I792" s="358">
        <f t="shared" si="254"/>
        <v>1.5717115566808397</v>
      </c>
      <c r="J792" s="358">
        <f t="shared" si="254"/>
        <v>1.4264954963269365</v>
      </c>
      <c r="K792" s="358">
        <f t="shared" si="254"/>
        <v>1.3370384459634543</v>
      </c>
      <c r="L792" s="358">
        <f t="shared" si="254"/>
        <v>1.4136507306515871</v>
      </c>
      <c r="M792" s="358">
        <f t="shared" si="254"/>
        <v>1.8359658256782798</v>
      </c>
      <c r="N792" s="358">
        <f t="shared" si="254"/>
        <v>2.4937005435011463</v>
      </c>
      <c r="O792" s="358">
        <f t="shared" si="254"/>
        <v>3.2010631591342333</v>
      </c>
      <c r="P792" s="358">
        <f t="shared" si="254"/>
        <v>3.618288159663706</v>
      </c>
      <c r="Q792" s="358">
        <f t="shared" si="254"/>
        <v>3.9041002369049367</v>
      </c>
      <c r="R792" s="358">
        <f t="shared" si="254"/>
        <v>5.6361788474915953</v>
      </c>
      <c r="S792" s="358">
        <f>S55+S139+S240+S341+S442+S558+S689</f>
        <v>6.6922125480174497</v>
      </c>
      <c r="T792" s="358">
        <f>T55+T139+T240+T341+T442+T558+T689</f>
        <v>5.9186026466728938</v>
      </c>
      <c r="U792" s="358">
        <f>U55+U139+U240+U341+U442+U558+U689</f>
        <v>5.830021385939018</v>
      </c>
      <c r="V792" s="358">
        <f>V55+V139+V240+V341+V442+V558+V689</f>
        <v>5.8523175649040802</v>
      </c>
      <c r="W792" s="358">
        <f>W55+W139+W240+W341+W442+W558+W689</f>
        <v>6.0068064542179034</v>
      </c>
    </row>
    <row r="793" spans="1:30">
      <c r="A793" s="344" t="s">
        <v>127</v>
      </c>
      <c r="B793" s="358"/>
      <c r="C793" s="358"/>
      <c r="D793" s="358"/>
      <c r="E793" s="358"/>
      <c r="F793" s="358"/>
      <c r="G793" s="358"/>
      <c r="H793" s="358"/>
      <c r="I793" s="358"/>
      <c r="J793" s="358"/>
      <c r="K793" s="358"/>
      <c r="L793" s="358"/>
      <c r="M793" s="358"/>
      <c r="N793" s="358"/>
      <c r="O793" s="358"/>
      <c r="P793" s="358"/>
      <c r="Q793" s="358"/>
      <c r="R793" s="358"/>
      <c r="S793" s="358">
        <f>S732</f>
        <v>0</v>
      </c>
      <c r="T793" s="358">
        <f>T732</f>
        <v>0</v>
      </c>
      <c r="U793" s="358">
        <f>U732</f>
        <v>0</v>
      </c>
      <c r="V793" s="358">
        <f>V732</f>
        <v>0</v>
      </c>
      <c r="W793" s="358">
        <f>W732</f>
        <v>0</v>
      </c>
    </row>
    <row r="794" spans="1:30">
      <c r="A794" s="351" t="s">
        <v>22</v>
      </c>
      <c r="B794" s="358">
        <f t="shared" ref="B794:W794" si="255">B746</f>
        <v>70.324137500000006</v>
      </c>
      <c r="C794" s="358">
        <f t="shared" si="255"/>
        <v>111.92247125</v>
      </c>
      <c r="D794" s="358">
        <f t="shared" si="255"/>
        <v>81.647663500000021</v>
      </c>
      <c r="E794" s="358">
        <f t="shared" si="255"/>
        <v>71.302209350000012</v>
      </c>
      <c r="F794" s="358">
        <f t="shared" si="255"/>
        <v>56.353604427500009</v>
      </c>
      <c r="G794" s="358">
        <f t="shared" si="255"/>
        <v>49.11253550981251</v>
      </c>
      <c r="H794" s="358">
        <f t="shared" si="255"/>
        <v>42.473078056639281</v>
      </c>
      <c r="I794" s="358">
        <f t="shared" si="255"/>
        <v>38.051062681524186</v>
      </c>
      <c r="J794" s="358">
        <f t="shared" si="255"/>
        <v>35.005870612435515</v>
      </c>
      <c r="K794" s="358">
        <f t="shared" si="255"/>
        <v>32.756056067380214</v>
      </c>
      <c r="L794" s="358">
        <f t="shared" si="255"/>
        <v>31.585368512298544</v>
      </c>
      <c r="M794" s="358">
        <f t="shared" si="255"/>
        <v>31.173290552470178</v>
      </c>
      <c r="N794" s="358">
        <f t="shared" si="255"/>
        <v>32.625573961788085</v>
      </c>
      <c r="O794" s="358">
        <f t="shared" si="255"/>
        <v>33.414666507118369</v>
      </c>
      <c r="P794" s="358">
        <f t="shared" si="255"/>
        <v>34.631746267125564</v>
      </c>
      <c r="Q794" s="358">
        <f t="shared" si="255"/>
        <v>37.552729837298159</v>
      </c>
      <c r="R794" s="358">
        <f t="shared" si="255"/>
        <v>43.325202676986876</v>
      </c>
      <c r="S794" s="610">
        <f t="shared" si="255"/>
        <v>46.312628580369349</v>
      </c>
      <c r="T794" s="610">
        <f t="shared" si="255"/>
        <v>45.705920746083493</v>
      </c>
      <c r="U794" s="610">
        <f>U746</f>
        <v>47.230887033066111</v>
      </c>
      <c r="V794" s="610">
        <f t="shared" si="255"/>
        <v>49.138838124800856</v>
      </c>
      <c r="W794" s="610">
        <f t="shared" si="255"/>
        <v>51.423673945889277</v>
      </c>
      <c r="Z794" s="347"/>
      <c r="AA794" s="347"/>
      <c r="AB794" s="347"/>
      <c r="AC794" s="347"/>
      <c r="AD794" s="347"/>
    </row>
    <row r="795" spans="1:30">
      <c r="B795" s="358"/>
      <c r="C795" s="358"/>
      <c r="D795" s="358"/>
      <c r="E795" s="358"/>
      <c r="F795" s="358"/>
      <c r="G795" s="358"/>
      <c r="H795" s="358"/>
      <c r="I795" s="358"/>
      <c r="J795" s="358"/>
      <c r="K795" s="358"/>
      <c r="L795" s="358"/>
      <c r="M795" s="358"/>
      <c r="N795" s="358"/>
      <c r="O795" s="358"/>
      <c r="P795" s="358"/>
      <c r="Q795" s="358"/>
      <c r="R795" s="358"/>
      <c r="S795" s="358"/>
      <c r="T795" s="358"/>
      <c r="U795" s="358"/>
      <c r="V795" s="358"/>
      <c r="W795" s="358"/>
    </row>
    <row r="796" spans="1:30">
      <c r="A796" s="356" t="s">
        <v>113</v>
      </c>
      <c r="B796" s="358"/>
      <c r="C796" s="358"/>
      <c r="D796" s="358"/>
      <c r="E796" s="358"/>
      <c r="F796" s="358"/>
      <c r="G796" s="358"/>
      <c r="H796" s="358"/>
      <c r="I796" s="358"/>
      <c r="J796" s="358"/>
      <c r="K796" s="358"/>
      <c r="L796" s="358"/>
      <c r="M796" s="358"/>
      <c r="N796" s="358"/>
      <c r="O796" s="358"/>
      <c r="P796" s="358"/>
      <c r="Q796" s="358"/>
      <c r="R796" s="358"/>
      <c r="S796" s="358"/>
      <c r="T796" s="358"/>
      <c r="U796" s="358"/>
      <c r="V796" s="358"/>
      <c r="W796" s="358"/>
    </row>
    <row r="797" spans="1:30">
      <c r="A797" s="344" t="s">
        <v>121</v>
      </c>
      <c r="B797" s="358">
        <f t="shared" ref="B797:W797" si="256">B764+B775-B786</f>
        <v>417.03389999999996</v>
      </c>
      <c r="C797" s="358">
        <f t="shared" si="256"/>
        <v>356.76161999999999</v>
      </c>
      <c r="D797" s="358">
        <f t="shared" si="256"/>
        <v>308.76789599999995</v>
      </c>
      <c r="E797" s="358">
        <f t="shared" si="256"/>
        <v>265.69022180000002</v>
      </c>
      <c r="F797" s="358">
        <f t="shared" si="256"/>
        <v>231.60208729000001</v>
      </c>
      <c r="G797" s="358">
        <f t="shared" si="256"/>
        <v>207.17566838650004</v>
      </c>
      <c r="H797" s="358">
        <f t="shared" si="256"/>
        <v>189.81579014583366</v>
      </c>
      <c r="I797" s="358">
        <f t="shared" si="256"/>
        <v>180.09970324371804</v>
      </c>
      <c r="J797" s="358">
        <f t="shared" si="256"/>
        <v>178.73502519521193</v>
      </c>
      <c r="K797" s="358">
        <f t="shared" si="256"/>
        <v>187.85074225422693</v>
      </c>
      <c r="L797" s="358">
        <f t="shared" si="256"/>
        <v>198.9904669539128</v>
      </c>
      <c r="M797" s="358">
        <f t="shared" si="256"/>
        <v>216.21301378517205</v>
      </c>
      <c r="N797" s="358">
        <f t="shared" si="256"/>
        <v>230.20070034066703</v>
      </c>
      <c r="O797" s="358">
        <f t="shared" si="256"/>
        <v>236.67045202108835</v>
      </c>
      <c r="P797" s="358">
        <f t="shared" si="256"/>
        <v>255.5013384161993</v>
      </c>
      <c r="Q797" s="358">
        <f t="shared" si="256"/>
        <v>289.04429072313258</v>
      </c>
      <c r="R797" s="358">
        <f t="shared" si="256"/>
        <v>332.8606895008391</v>
      </c>
      <c r="S797" s="358">
        <f t="shared" si="256"/>
        <v>389.9859926890424</v>
      </c>
      <c r="T797" s="358">
        <f t="shared" si="256"/>
        <v>453.58248911934794</v>
      </c>
      <c r="U797" s="358">
        <f t="shared" si="256"/>
        <v>520.40394774825234</v>
      </c>
      <c r="V797" s="358">
        <f t="shared" si="256"/>
        <v>559.12145296768949</v>
      </c>
      <c r="W797" s="615">
        <f t="shared" si="256"/>
        <v>601.93648522212277</v>
      </c>
    </row>
    <row r="798" spans="1:30">
      <c r="A798" s="344" t="s">
        <v>134</v>
      </c>
      <c r="B798" s="358">
        <f t="shared" ref="B798:W798" si="257">B765+B776-B787</f>
        <v>22.481500000000004</v>
      </c>
      <c r="C798" s="358">
        <f t="shared" si="257"/>
        <v>0</v>
      </c>
      <c r="D798" s="358">
        <f t="shared" si="257"/>
        <v>0</v>
      </c>
      <c r="E798" s="358">
        <f t="shared" si="257"/>
        <v>1.4161874999999999</v>
      </c>
      <c r="F798" s="358">
        <f t="shared" si="257"/>
        <v>5.6455546875000007</v>
      </c>
      <c r="G798" s="358">
        <f t="shared" si="257"/>
        <v>9.0079716796875005</v>
      </c>
      <c r="H798" s="358">
        <f t="shared" si="257"/>
        <v>9.9081134310185135</v>
      </c>
      <c r="I798" s="358">
        <f t="shared" si="257"/>
        <v>11.788875247531347</v>
      </c>
      <c r="J798" s="358">
        <f t="shared" si="257"/>
        <v>12.931356531027278</v>
      </c>
      <c r="K798" s="358">
        <f t="shared" si="257"/>
        <v>13.706490668105857</v>
      </c>
      <c r="L798" s="358">
        <f t="shared" si="257"/>
        <v>14.501162654803036</v>
      </c>
      <c r="M798" s="358">
        <f t="shared" si="257"/>
        <v>15.459326596751897</v>
      </c>
      <c r="N798" s="358">
        <f t="shared" si="257"/>
        <v>13.813141622969937</v>
      </c>
      <c r="O798" s="358">
        <f t="shared" si="257"/>
        <v>12.60782330123121</v>
      </c>
      <c r="P798" s="358">
        <f t="shared" si="257"/>
        <v>12.728820045769508</v>
      </c>
      <c r="Q798" s="358">
        <f t="shared" si="257"/>
        <v>12.86057502860594</v>
      </c>
      <c r="R798" s="358">
        <f t="shared" si="257"/>
        <v>12.792609392878711</v>
      </c>
      <c r="S798" s="358">
        <f t="shared" si="257"/>
        <v>13.154730615130068</v>
      </c>
      <c r="T798" s="358">
        <f t="shared" si="257"/>
        <v>16.55475685171173</v>
      </c>
      <c r="U798" s="358">
        <f t="shared" si="257"/>
        <v>20.779663797650908</v>
      </c>
      <c r="V798" s="358">
        <f t="shared" si="257"/>
        <v>26.098252227564785</v>
      </c>
      <c r="W798" s="615">
        <f t="shared" si="257"/>
        <v>33.460696671484484</v>
      </c>
    </row>
    <row r="799" spans="1:30">
      <c r="A799" s="344" t="s">
        <v>133</v>
      </c>
      <c r="B799" s="358">
        <f t="shared" ref="B799:W799" si="258">B766+B777-B788</f>
        <v>0</v>
      </c>
      <c r="C799" s="358">
        <f t="shared" si="258"/>
        <v>0</v>
      </c>
      <c r="D799" s="358">
        <f t="shared" si="258"/>
        <v>0</v>
      </c>
      <c r="E799" s="358">
        <f t="shared" si="258"/>
        <v>0</v>
      </c>
      <c r="F799" s="358">
        <f t="shared" si="258"/>
        <v>0</v>
      </c>
      <c r="G799" s="358">
        <f t="shared" si="258"/>
        <v>0</v>
      </c>
      <c r="H799" s="358">
        <f t="shared" si="258"/>
        <v>0</v>
      </c>
      <c r="I799" s="358">
        <f t="shared" si="258"/>
        <v>0</v>
      </c>
      <c r="J799" s="358">
        <f t="shared" si="258"/>
        <v>0</v>
      </c>
      <c r="K799" s="358">
        <f t="shared" si="258"/>
        <v>0</v>
      </c>
      <c r="L799" s="358">
        <f t="shared" si="258"/>
        <v>0</v>
      </c>
      <c r="M799" s="358">
        <f t="shared" si="258"/>
        <v>0</v>
      </c>
      <c r="N799" s="358">
        <f t="shared" si="258"/>
        <v>2.8391999999999999</v>
      </c>
      <c r="O799" s="358">
        <f t="shared" si="258"/>
        <v>4.7624048733333328</v>
      </c>
      <c r="P799" s="358">
        <f t="shared" si="258"/>
        <v>6.0342454262222214</v>
      </c>
      <c r="Q799" s="358">
        <f t="shared" si="258"/>
        <v>7.5051460360592586</v>
      </c>
      <c r="R799" s="358">
        <f t="shared" si="258"/>
        <v>9.171926564584691</v>
      </c>
      <c r="S799" s="358">
        <f t="shared" si="258"/>
        <v>11.020982259871424</v>
      </c>
      <c r="T799" s="358">
        <f t="shared" si="258"/>
        <v>13.154287086552726</v>
      </c>
      <c r="U799" s="358">
        <f t="shared" si="258"/>
        <v>14.158159275452984</v>
      </c>
      <c r="V799" s="358">
        <f t="shared" si="258"/>
        <v>15.897406008741452</v>
      </c>
      <c r="W799" s="615">
        <f t="shared" si="258"/>
        <v>19.230319760217075</v>
      </c>
    </row>
    <row r="800" spans="1:30">
      <c r="A800" s="344" t="s">
        <v>132</v>
      </c>
      <c r="B800" s="358">
        <f t="shared" ref="B800:W800" si="259">B767+B778-B789</f>
        <v>3.7317624999999999</v>
      </c>
      <c r="C800" s="358">
        <f t="shared" si="259"/>
        <v>3.7345562499999998</v>
      </c>
      <c r="D800" s="358">
        <f t="shared" si="259"/>
        <v>3.7946312499999997</v>
      </c>
      <c r="E800" s="358">
        <f t="shared" si="259"/>
        <v>3.6937187499999995</v>
      </c>
      <c r="F800" s="358">
        <f t="shared" si="259"/>
        <v>3.5928062499999993</v>
      </c>
      <c r="G800" s="358">
        <f t="shared" si="259"/>
        <v>3.4918937499999991</v>
      </c>
      <c r="H800" s="358">
        <f t="shared" si="259"/>
        <v>3.3909812499999994</v>
      </c>
      <c r="I800" s="358">
        <f t="shared" si="259"/>
        <v>3.2900687499999992</v>
      </c>
      <c r="J800" s="358">
        <f t="shared" si="259"/>
        <v>3.189156249999999</v>
      </c>
      <c r="K800" s="358">
        <f t="shared" si="259"/>
        <v>3.0882437499999988</v>
      </c>
      <c r="L800" s="358">
        <f t="shared" si="259"/>
        <v>2.9873312499999987</v>
      </c>
      <c r="M800" s="358">
        <f t="shared" si="259"/>
        <v>2.8864187499999985</v>
      </c>
      <c r="N800" s="358">
        <f t="shared" si="259"/>
        <v>2.9958437499999988</v>
      </c>
      <c r="O800" s="358">
        <f t="shared" si="259"/>
        <v>2.8896062499999986</v>
      </c>
      <c r="P800" s="358">
        <f t="shared" si="259"/>
        <v>2.7833687499999984</v>
      </c>
      <c r="Q800" s="358">
        <f t="shared" si="259"/>
        <v>2.6771312499999982</v>
      </c>
      <c r="R800" s="358">
        <f t="shared" si="259"/>
        <v>2.570893749999998</v>
      </c>
      <c r="S800" s="358">
        <f t="shared" si="259"/>
        <v>2.4646562499999982</v>
      </c>
      <c r="T800" s="358">
        <f t="shared" si="259"/>
        <v>2.358418749999998</v>
      </c>
      <c r="U800" s="358">
        <f t="shared" si="259"/>
        <v>2.2521812499999978</v>
      </c>
      <c r="V800" s="358">
        <f t="shared" si="259"/>
        <v>2.1459437499999976</v>
      </c>
      <c r="W800" s="615">
        <f t="shared" si="259"/>
        <v>2.0397062499999978</v>
      </c>
    </row>
    <row r="801" spans="1:36">
      <c r="A801" s="360" t="s">
        <v>123</v>
      </c>
      <c r="B801" s="358"/>
      <c r="C801" s="358"/>
      <c r="D801" s="358"/>
      <c r="E801" s="358"/>
      <c r="F801" s="358"/>
      <c r="G801" s="358"/>
      <c r="H801" s="358"/>
      <c r="I801" s="358"/>
      <c r="J801" s="358"/>
      <c r="K801" s="358"/>
      <c r="L801" s="358"/>
      <c r="M801" s="358"/>
      <c r="N801" s="358"/>
      <c r="O801" s="358"/>
      <c r="P801" s="358"/>
      <c r="Q801" s="358"/>
      <c r="R801" s="358"/>
      <c r="S801" s="359">
        <f t="shared" ref="S801:W805" si="260">S768+S779-S790</f>
        <v>-0.7496925607499999</v>
      </c>
      <c r="T801" s="359">
        <f t="shared" si="260"/>
        <v>-0.73071300224999991</v>
      </c>
      <c r="U801" s="359">
        <f t="shared" si="260"/>
        <v>-0.71173344374999992</v>
      </c>
      <c r="V801" s="359">
        <f t="shared" si="260"/>
        <v>-0.69275388524999992</v>
      </c>
      <c r="W801" s="611">
        <f t="shared" si="260"/>
        <v>-0.67377432674999993</v>
      </c>
    </row>
    <row r="802" spans="1:36">
      <c r="A802" s="360" t="s">
        <v>128</v>
      </c>
      <c r="B802" s="358"/>
      <c r="C802" s="358"/>
      <c r="D802" s="358"/>
      <c r="E802" s="358"/>
      <c r="F802" s="358"/>
      <c r="G802" s="358"/>
      <c r="H802" s="358"/>
      <c r="I802" s="358"/>
      <c r="J802" s="358"/>
      <c r="K802" s="358"/>
      <c r="L802" s="358"/>
      <c r="M802" s="358"/>
      <c r="N802" s="358"/>
      <c r="O802" s="358"/>
      <c r="P802" s="358"/>
      <c r="Q802" s="358"/>
      <c r="R802" s="358"/>
      <c r="S802" s="359">
        <f t="shared" si="260"/>
        <v>0</v>
      </c>
      <c r="T802" s="359">
        <f t="shared" si="260"/>
        <v>0</v>
      </c>
      <c r="U802" s="359">
        <f t="shared" si="260"/>
        <v>0</v>
      </c>
      <c r="V802" s="359">
        <f t="shared" si="260"/>
        <v>0</v>
      </c>
      <c r="W802" s="611">
        <f t="shared" si="260"/>
        <v>0</v>
      </c>
    </row>
    <row r="803" spans="1:36">
      <c r="A803" s="344" t="s">
        <v>126</v>
      </c>
      <c r="B803" s="358">
        <f t="shared" ref="B803:R803" si="261">B770+B781-B792</f>
        <v>3.4781999999999997</v>
      </c>
      <c r="C803" s="358">
        <f t="shared" si="261"/>
        <v>2.9562149999999994</v>
      </c>
      <c r="D803" s="358">
        <f t="shared" si="261"/>
        <v>3.7022004999999996</v>
      </c>
      <c r="E803" s="358">
        <f t="shared" si="261"/>
        <v>3.2313903499999999</v>
      </c>
      <c r="F803" s="358">
        <f t="shared" si="261"/>
        <v>5.4884657450000001</v>
      </c>
      <c r="G803" s="358">
        <f t="shared" si="261"/>
        <v>6.1108446464999986</v>
      </c>
      <c r="H803" s="358">
        <f t="shared" si="261"/>
        <v>8.9468915837999994</v>
      </c>
      <c r="I803" s="358">
        <f t="shared" si="261"/>
        <v>8.2550828684970199</v>
      </c>
      <c r="J803" s="358">
        <f t="shared" si="261"/>
        <v>7.8106339301318624</v>
      </c>
      <c r="K803" s="358">
        <f t="shared" si="261"/>
        <v>7.6100975441684078</v>
      </c>
      <c r="L803" s="358">
        <f t="shared" si="261"/>
        <v>8.5639278735168158</v>
      </c>
      <c r="M803" s="358">
        <f t="shared" si="261"/>
        <v>11.156962047838539</v>
      </c>
      <c r="N803" s="358">
        <f t="shared" si="261"/>
        <v>14.043261504337389</v>
      </c>
      <c r="O803" s="358">
        <f t="shared" si="261"/>
        <v>17.137198345203156</v>
      </c>
      <c r="P803" s="358">
        <f t="shared" si="261"/>
        <v>17.461910185539452</v>
      </c>
      <c r="Q803" s="358">
        <f t="shared" si="261"/>
        <v>19.417809948634513</v>
      </c>
      <c r="R803" s="358">
        <f t="shared" si="261"/>
        <v>32.798631101142924</v>
      </c>
      <c r="S803" s="358">
        <f t="shared" si="260"/>
        <v>31.303769095782165</v>
      </c>
      <c r="T803" s="358">
        <f t="shared" si="260"/>
        <v>30.072101763283449</v>
      </c>
      <c r="U803" s="358">
        <f t="shared" si="260"/>
        <v>38.121867165978124</v>
      </c>
      <c r="V803" s="358">
        <f t="shared" si="260"/>
        <v>35.152382690501</v>
      </c>
      <c r="W803" s="615">
        <f t="shared" si="260"/>
        <v>42.445576236283095</v>
      </c>
    </row>
    <row r="804" spans="1:36">
      <c r="A804" s="344" t="s">
        <v>127</v>
      </c>
      <c r="B804" s="358">
        <f t="shared" ref="B804:R804" si="262">B771+B782-B793</f>
        <v>0</v>
      </c>
      <c r="C804" s="358">
        <f t="shared" si="262"/>
        <v>0</v>
      </c>
      <c r="D804" s="358">
        <f t="shared" si="262"/>
        <v>0</v>
      </c>
      <c r="E804" s="358">
        <f t="shared" si="262"/>
        <v>0</v>
      </c>
      <c r="F804" s="358">
        <f t="shared" si="262"/>
        <v>0</v>
      </c>
      <c r="G804" s="358">
        <f t="shared" si="262"/>
        <v>0</v>
      </c>
      <c r="H804" s="358">
        <f t="shared" si="262"/>
        <v>0</v>
      </c>
      <c r="I804" s="358">
        <f t="shared" si="262"/>
        <v>0</v>
      </c>
      <c r="J804" s="358">
        <f t="shared" si="262"/>
        <v>0</v>
      </c>
      <c r="K804" s="358">
        <f t="shared" si="262"/>
        <v>0</v>
      </c>
      <c r="L804" s="358">
        <f t="shared" si="262"/>
        <v>0</v>
      </c>
      <c r="M804" s="358">
        <f t="shared" si="262"/>
        <v>0</v>
      </c>
      <c r="N804" s="358">
        <f t="shared" si="262"/>
        <v>0</v>
      </c>
      <c r="O804" s="358">
        <f t="shared" si="262"/>
        <v>0</v>
      </c>
      <c r="P804" s="358">
        <f t="shared" si="262"/>
        <v>0</v>
      </c>
      <c r="Q804" s="358">
        <f t="shared" si="262"/>
        <v>0</v>
      </c>
      <c r="R804" s="358">
        <f t="shared" si="262"/>
        <v>0</v>
      </c>
      <c r="S804" s="358">
        <f t="shared" si="260"/>
        <v>0</v>
      </c>
      <c r="T804" s="358">
        <f t="shared" si="260"/>
        <v>0</v>
      </c>
      <c r="U804" s="358">
        <f t="shared" si="260"/>
        <v>0</v>
      </c>
      <c r="V804" s="358">
        <f t="shared" si="260"/>
        <v>0</v>
      </c>
      <c r="W804" s="615">
        <f t="shared" si="260"/>
        <v>0</v>
      </c>
    </row>
    <row r="805" spans="1:36">
      <c r="A805" s="351" t="s">
        <v>22</v>
      </c>
      <c r="B805" s="358">
        <f t="shared" ref="B805:R805" si="263">B772+B783-B794</f>
        <v>446.72536249999996</v>
      </c>
      <c r="C805" s="358">
        <f t="shared" si="263"/>
        <v>363.45239125000001</v>
      </c>
      <c r="D805" s="358">
        <f t="shared" si="263"/>
        <v>316.26472774999996</v>
      </c>
      <c r="E805" s="358">
        <f t="shared" si="263"/>
        <v>274.0315184000001</v>
      </c>
      <c r="F805" s="358">
        <f t="shared" si="263"/>
        <v>246.32891397250003</v>
      </c>
      <c r="G805" s="358">
        <f t="shared" si="263"/>
        <v>225.78637846268748</v>
      </c>
      <c r="H805" s="358">
        <f t="shared" si="263"/>
        <v>212.06177641065219</v>
      </c>
      <c r="I805" s="358">
        <f t="shared" si="263"/>
        <v>203.43373010974642</v>
      </c>
      <c r="J805" s="358">
        <f t="shared" si="263"/>
        <v>202.66617190637106</v>
      </c>
      <c r="K805" s="358">
        <f t="shared" si="263"/>
        <v>212.2555742165012</v>
      </c>
      <c r="L805" s="358">
        <f t="shared" si="263"/>
        <v>225.04288873223265</v>
      </c>
      <c r="M805" s="358">
        <f t="shared" si="263"/>
        <v>245.71572117976251</v>
      </c>
      <c r="N805" s="358">
        <f t="shared" si="263"/>
        <v>263.89214721797441</v>
      </c>
      <c r="O805" s="358">
        <f t="shared" si="263"/>
        <v>274.06748479085604</v>
      </c>
      <c r="P805" s="358">
        <f t="shared" si="263"/>
        <v>294.50968282373049</v>
      </c>
      <c r="Q805" s="358">
        <f t="shared" si="263"/>
        <v>331.50495298643233</v>
      </c>
      <c r="R805" s="358">
        <f t="shared" si="263"/>
        <v>390.1947503094454</v>
      </c>
      <c r="S805" s="610">
        <f>S772+S783-S794</f>
        <v>447.18043834907604</v>
      </c>
      <c r="T805" s="610">
        <f>T772+T783-T794</f>
        <v>514.9913405686458</v>
      </c>
      <c r="U805" s="610">
        <f t="shared" si="260"/>
        <v>595.0040857935843</v>
      </c>
      <c r="V805" s="610">
        <f t="shared" si="260"/>
        <v>637.72268375924671</v>
      </c>
      <c r="W805" s="610">
        <f>W772+W783-W794</f>
        <v>698.43900981335742</v>
      </c>
      <c r="Z805" s="347"/>
      <c r="AA805" s="347"/>
      <c r="AB805" s="347"/>
      <c r="AC805" s="347"/>
      <c r="AD805" s="347"/>
    </row>
    <row r="806" spans="1:36">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row>
    <row r="807" spans="1:36">
      <c r="B807" s="347"/>
    </row>
    <row r="808" spans="1:36">
      <c r="A808" s="356"/>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row>
    <row r="809" spans="1:36">
      <c r="A809" s="351"/>
      <c r="B809" s="348"/>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8"/>
    </row>
    <row r="810" spans="1:36">
      <c r="A810" s="351"/>
      <c r="B810" s="348"/>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row>
    <row r="811" spans="1:36">
      <c r="A811" s="351"/>
      <c r="B811" s="348"/>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8"/>
    </row>
    <row r="812" spans="1:36">
      <c r="A812" s="351"/>
      <c r="B812" s="348"/>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8"/>
    </row>
    <row r="813" spans="1:36">
      <c r="A813" s="351"/>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row>
    <row r="814" spans="1:36">
      <c r="A814" s="351"/>
      <c r="B814" s="348"/>
      <c r="C814" s="348"/>
      <c r="D814" s="348"/>
      <c r="E814" s="348"/>
      <c r="F814" s="348"/>
      <c r="G814" s="348"/>
      <c r="H814" s="348"/>
      <c r="I814" s="348"/>
      <c r="J814" s="348"/>
      <c r="K814" s="348"/>
      <c r="L814" s="348"/>
      <c r="M814" s="348"/>
      <c r="N814" s="348"/>
      <c r="O814" s="348"/>
      <c r="P814" s="348"/>
      <c r="Q814" s="348"/>
      <c r="R814" s="348"/>
      <c r="S814" s="348"/>
      <c r="T814" s="348"/>
      <c r="U814" s="348"/>
      <c r="V814" s="348"/>
      <c r="W814" s="348"/>
    </row>
    <row r="815" spans="1:36">
      <c r="A815" s="351"/>
      <c r="B815" s="348"/>
      <c r="C815" s="348"/>
      <c r="D815" s="348"/>
      <c r="E815" s="348"/>
      <c r="F815" s="348"/>
      <c r="G815" s="348"/>
      <c r="H815" s="348"/>
      <c r="I815" s="348"/>
      <c r="J815" s="348"/>
      <c r="K815" s="348"/>
      <c r="L815" s="348"/>
      <c r="M815" s="348"/>
      <c r="N815" s="348"/>
      <c r="O815" s="348"/>
      <c r="P815" s="348"/>
      <c r="Q815" s="348"/>
      <c r="R815" s="348"/>
      <c r="S815" s="348"/>
      <c r="T815" s="348"/>
      <c r="U815" s="348"/>
      <c r="V815" s="348"/>
      <c r="W815" s="348"/>
    </row>
    <row r="816" spans="1:36">
      <c r="A816" s="351"/>
      <c r="B816" s="348"/>
      <c r="C816" s="348"/>
      <c r="D816" s="348"/>
      <c r="E816" s="348"/>
      <c r="F816" s="348"/>
      <c r="G816" s="348"/>
      <c r="H816" s="348"/>
      <c r="I816" s="348"/>
      <c r="J816" s="348"/>
      <c r="K816" s="348"/>
      <c r="L816" s="348"/>
      <c r="M816" s="348"/>
      <c r="N816" s="348"/>
      <c r="O816" s="348"/>
      <c r="P816" s="348"/>
      <c r="Q816" s="348"/>
      <c r="R816" s="348"/>
      <c r="S816" s="348"/>
      <c r="T816" s="348"/>
      <c r="U816" s="348"/>
      <c r="V816" s="348"/>
      <c r="W816" s="348"/>
      <c r="AC816" s="348"/>
      <c r="AD816" s="348"/>
      <c r="AE816" s="355"/>
      <c r="AF816" s="348"/>
      <c r="AG816" s="348"/>
      <c r="AH816" s="348"/>
      <c r="AI816" s="348"/>
      <c r="AJ816" s="348"/>
    </row>
    <row r="817" spans="1:36">
      <c r="A817" s="351"/>
      <c r="B817" s="348"/>
      <c r="C817" s="348"/>
      <c r="D817" s="348"/>
      <c r="E817" s="348"/>
      <c r="F817" s="348"/>
      <c r="G817" s="348"/>
      <c r="H817" s="348"/>
      <c r="I817" s="348"/>
      <c r="J817" s="348"/>
      <c r="K817" s="348"/>
      <c r="L817" s="348"/>
      <c r="M817" s="348"/>
      <c r="N817" s="348"/>
      <c r="O817" s="348"/>
      <c r="P817" s="348"/>
      <c r="Q817" s="348"/>
      <c r="R817" s="348"/>
      <c r="S817" s="348"/>
      <c r="T817" s="348"/>
      <c r="U817" s="348"/>
      <c r="V817" s="348"/>
      <c r="W817" s="348"/>
      <c r="AC817" s="348"/>
      <c r="AD817" s="355"/>
      <c r="AE817" s="348"/>
      <c r="AF817" s="348"/>
      <c r="AG817" s="348"/>
      <c r="AH817" s="348"/>
      <c r="AI817" s="348"/>
      <c r="AJ817" s="348"/>
    </row>
    <row r="818" spans="1:36">
      <c r="AD818" s="351"/>
    </row>
    <row r="819" spans="1:36">
      <c r="AD819" s="351"/>
    </row>
    <row r="821" spans="1:36">
      <c r="Q821" s="657"/>
      <c r="R821" s="657"/>
      <c r="S821" s="657"/>
      <c r="W821" s="346"/>
    </row>
    <row r="822" spans="1:36">
      <c r="Q822" s="351"/>
      <c r="R822" s="347"/>
      <c r="W822" s="346"/>
    </row>
    <row r="823" spans="1:36">
      <c r="M823" s="351"/>
      <c r="O823" s="349"/>
      <c r="P823" s="354"/>
      <c r="Q823" s="351"/>
      <c r="R823" s="352"/>
      <c r="S823" s="346"/>
      <c r="W823" s="346"/>
    </row>
    <row r="824" spans="1:36">
      <c r="M824" s="351"/>
      <c r="O824" s="349"/>
      <c r="P824" s="354"/>
      <c r="Q824" s="351"/>
      <c r="R824" s="352"/>
      <c r="S824" s="346"/>
      <c r="W824" s="346"/>
    </row>
    <row r="825" spans="1:36">
      <c r="M825" s="351"/>
      <c r="O825" s="349"/>
      <c r="P825" s="354"/>
      <c r="Q825" s="351"/>
      <c r="R825" s="352"/>
      <c r="S825" s="346"/>
      <c r="W825" s="346"/>
    </row>
    <row r="826" spans="1:36">
      <c r="M826" s="351"/>
      <c r="O826" s="349"/>
      <c r="P826" s="354"/>
      <c r="S826" s="346"/>
      <c r="W826" s="346"/>
    </row>
    <row r="827" spans="1:36">
      <c r="M827" s="351"/>
      <c r="O827" s="349"/>
      <c r="P827" s="354"/>
      <c r="Q827" s="351"/>
      <c r="R827" s="347"/>
      <c r="S827" s="353"/>
      <c r="W827" s="346"/>
    </row>
    <row r="828" spans="1:36">
      <c r="M828" s="351"/>
      <c r="O828" s="349"/>
      <c r="P828" s="354"/>
      <c r="Q828" s="351"/>
      <c r="R828" s="347"/>
      <c r="S828" s="353"/>
      <c r="W828" s="346"/>
    </row>
    <row r="829" spans="1:36">
      <c r="M829" s="351"/>
      <c r="O829" s="349"/>
      <c r="P829" s="354"/>
      <c r="Q829" s="351"/>
      <c r="R829" s="347"/>
      <c r="S829" s="353"/>
      <c r="W829" s="346"/>
    </row>
    <row r="830" spans="1:36">
      <c r="M830" s="351"/>
      <c r="O830" s="349"/>
      <c r="P830" s="354"/>
      <c r="W830" s="345"/>
    </row>
    <row r="831" spans="1:36">
      <c r="M831" s="351"/>
      <c r="O831" s="349"/>
      <c r="P831" s="354"/>
      <c r="W831" s="346"/>
    </row>
    <row r="832" spans="1:36">
      <c r="M832" s="351"/>
      <c r="O832" s="349"/>
      <c r="P832" s="354"/>
      <c r="Q832" s="351"/>
      <c r="R832" s="351"/>
      <c r="W832" s="346"/>
    </row>
    <row r="833" spans="13:23">
      <c r="M833" s="351"/>
      <c r="O833" s="349"/>
      <c r="P833" s="354"/>
      <c r="Q833" s="349"/>
      <c r="R833" s="348"/>
      <c r="W833" s="346"/>
    </row>
    <row r="834" spans="13:23">
      <c r="M834" s="351"/>
      <c r="O834" s="349"/>
      <c r="P834" s="354"/>
      <c r="Q834" s="349"/>
      <c r="R834" s="348"/>
      <c r="W834" s="346"/>
    </row>
    <row r="835" spans="13:23">
      <c r="M835" s="351"/>
      <c r="O835" s="349"/>
      <c r="P835" s="354"/>
      <c r="Q835" s="349"/>
      <c r="R835" s="348"/>
      <c r="W835" s="346"/>
    </row>
    <row r="836" spans="13:23">
      <c r="M836" s="351"/>
      <c r="O836" s="349"/>
      <c r="P836" s="354"/>
      <c r="Q836" s="349"/>
      <c r="R836" s="348"/>
      <c r="W836" s="346"/>
    </row>
    <row r="837" spans="13:23">
      <c r="M837" s="351"/>
      <c r="O837" s="349"/>
      <c r="P837" s="354"/>
      <c r="Q837" s="349"/>
      <c r="R837" s="348"/>
      <c r="W837" s="346"/>
    </row>
    <row r="838" spans="13:23">
      <c r="M838" s="351"/>
      <c r="O838" s="349"/>
      <c r="P838" s="354"/>
      <c r="Q838" s="349"/>
      <c r="R838" s="348"/>
      <c r="W838" s="346"/>
    </row>
    <row r="839" spans="13:23">
      <c r="M839" s="351"/>
      <c r="O839" s="349"/>
      <c r="P839" s="354"/>
      <c r="W839" s="346"/>
    </row>
    <row r="840" spans="13:23">
      <c r="M840" s="351"/>
      <c r="O840" s="349"/>
      <c r="P840" s="354"/>
      <c r="W840" s="346"/>
    </row>
    <row r="841" spans="13:23">
      <c r="M841" s="351"/>
      <c r="O841" s="349"/>
      <c r="P841" s="354"/>
      <c r="W841" s="346"/>
    </row>
    <row r="842" spans="13:23">
      <c r="M842" s="351"/>
      <c r="O842" s="349"/>
      <c r="P842" s="354"/>
      <c r="W842" s="346"/>
    </row>
    <row r="843" spans="13:23">
      <c r="M843" s="351"/>
      <c r="O843" s="349"/>
      <c r="P843" s="354"/>
      <c r="W843" s="346"/>
    </row>
    <row r="844" spans="13:23">
      <c r="M844" s="351"/>
      <c r="O844" s="349"/>
      <c r="P844" s="354"/>
      <c r="W844" s="345"/>
    </row>
    <row r="845" spans="13:23">
      <c r="M845" s="351"/>
      <c r="O845" s="349"/>
      <c r="P845" s="354"/>
    </row>
    <row r="846" spans="13:23">
      <c r="M846" s="351"/>
      <c r="O846" s="349"/>
      <c r="P846" s="354"/>
    </row>
    <row r="847" spans="13:23">
      <c r="M847" s="351"/>
      <c r="O847" s="349"/>
      <c r="P847" s="354"/>
      <c r="W847" s="346"/>
    </row>
    <row r="848" spans="13:23">
      <c r="M848" s="351"/>
      <c r="O848" s="349"/>
      <c r="P848" s="354"/>
    </row>
    <row r="849" spans="13:16">
      <c r="M849" s="351"/>
      <c r="O849" s="349"/>
      <c r="P849" s="354"/>
    </row>
    <row r="850" spans="13:16">
      <c r="M850" s="351"/>
      <c r="O850" s="349"/>
      <c r="P850" s="354"/>
    </row>
    <row r="851" spans="13:16">
      <c r="M851" s="351"/>
      <c r="O851" s="349"/>
      <c r="P851" s="354"/>
    </row>
    <row r="852" spans="13:16">
      <c r="M852" s="351"/>
      <c r="O852" s="349"/>
      <c r="P852" s="354"/>
    </row>
    <row r="853" spans="13:16">
      <c r="M853" s="351"/>
      <c r="O853" s="349"/>
      <c r="P853" s="354"/>
    </row>
    <row r="854" spans="13:16">
      <c r="M854" s="351"/>
      <c r="O854" s="349"/>
      <c r="P854" s="354"/>
    </row>
    <row r="855" spans="13:16">
      <c r="M855" s="351"/>
      <c r="O855" s="349"/>
      <c r="P855" s="354"/>
    </row>
    <row r="856" spans="13:16">
      <c r="M856" s="351"/>
      <c r="O856" s="349"/>
      <c r="P856" s="354"/>
    </row>
    <row r="857" spans="13:16">
      <c r="M857" s="351"/>
      <c r="O857" s="349"/>
      <c r="P857" s="354"/>
    </row>
    <row r="858" spans="13:16">
      <c r="M858" s="351"/>
      <c r="O858" s="349"/>
      <c r="P858" s="354"/>
    </row>
    <row r="859" spans="13:16">
      <c r="M859" s="351"/>
      <c r="O859" s="349"/>
      <c r="P859" s="354"/>
    </row>
    <row r="860" spans="13:16">
      <c r="M860" s="351"/>
      <c r="O860" s="349"/>
      <c r="P860" s="354"/>
    </row>
    <row r="861" spans="13:16">
      <c r="M861" s="351"/>
      <c r="O861" s="349"/>
      <c r="P861" s="354"/>
    </row>
    <row r="862" spans="13:16">
      <c r="M862" s="351"/>
      <c r="O862" s="349"/>
      <c r="P862" s="354"/>
    </row>
    <row r="863" spans="13:16">
      <c r="M863" s="351"/>
      <c r="O863" s="349"/>
      <c r="P863" s="354"/>
    </row>
    <row r="864" spans="13:16">
      <c r="M864" s="351"/>
      <c r="O864" s="349"/>
      <c r="P864" s="354"/>
    </row>
    <row r="865" spans="13:16">
      <c r="M865" s="351"/>
      <c r="O865" s="349"/>
      <c r="P865" s="354"/>
    </row>
    <row r="866" spans="13:16">
      <c r="M866" s="351"/>
      <c r="O866" s="349"/>
      <c r="P866" s="354"/>
    </row>
    <row r="867" spans="13:16">
      <c r="M867" s="351"/>
      <c r="O867" s="349"/>
      <c r="P867" s="354"/>
    </row>
    <row r="868" spans="13:16">
      <c r="M868" s="351"/>
      <c r="O868" s="349"/>
      <c r="P868" s="354"/>
    </row>
    <row r="869" spans="13:16">
      <c r="M869" s="351"/>
      <c r="O869" s="349"/>
      <c r="P869" s="354"/>
    </row>
    <row r="870" spans="13:16">
      <c r="M870" s="351"/>
      <c r="O870" s="349"/>
      <c r="P870" s="354"/>
    </row>
    <row r="871" spans="13:16">
      <c r="M871" s="351"/>
      <c r="O871" s="349"/>
      <c r="P871" s="354"/>
    </row>
    <row r="872" spans="13:16">
      <c r="M872" s="351"/>
      <c r="O872" s="349"/>
      <c r="P872" s="354"/>
    </row>
    <row r="873" spans="13:16">
      <c r="M873" s="351"/>
      <c r="O873" s="349"/>
      <c r="P873" s="354"/>
    </row>
    <row r="874" spans="13:16">
      <c r="M874" s="351"/>
      <c r="O874" s="349"/>
      <c r="P874" s="354"/>
    </row>
    <row r="875" spans="13:16">
      <c r="M875" s="351"/>
      <c r="O875" s="349"/>
      <c r="P875" s="354"/>
    </row>
    <row r="876" spans="13:16">
      <c r="M876" s="351"/>
      <c r="O876" s="349"/>
      <c r="P876" s="354"/>
    </row>
    <row r="877" spans="13:16">
      <c r="M877" s="351"/>
      <c r="O877" s="349"/>
      <c r="P877" s="354"/>
    </row>
    <row r="878" spans="13:16">
      <c r="M878" s="351"/>
      <c r="O878" s="349"/>
      <c r="P878" s="354"/>
    </row>
    <row r="879" spans="13:16">
      <c r="M879" s="351"/>
      <c r="O879" s="349"/>
      <c r="P879" s="354"/>
    </row>
    <row r="880" spans="13:16">
      <c r="M880" s="351"/>
      <c r="O880" s="349"/>
      <c r="P880" s="354"/>
    </row>
    <row r="881" spans="13:16">
      <c r="M881" s="351"/>
      <c r="O881" s="349"/>
      <c r="P881" s="354"/>
    </row>
    <row r="882" spans="13:16">
      <c r="M882" s="351"/>
      <c r="O882" s="349"/>
      <c r="P882" s="354"/>
    </row>
    <row r="883" spans="13:16">
      <c r="M883" s="351"/>
      <c r="O883" s="349"/>
      <c r="P883" s="354"/>
    </row>
    <row r="884" spans="13:16">
      <c r="M884" s="351"/>
      <c r="O884" s="349"/>
      <c r="P884" s="354"/>
    </row>
    <row r="885" spans="13:16">
      <c r="M885" s="351"/>
      <c r="O885" s="349"/>
      <c r="P885" s="354"/>
    </row>
    <row r="886" spans="13:16">
      <c r="M886" s="351"/>
      <c r="O886" s="349"/>
      <c r="P886" s="354"/>
    </row>
    <row r="887" spans="13:16">
      <c r="M887" s="351"/>
      <c r="O887" s="349"/>
      <c r="P887" s="354"/>
    </row>
    <row r="888" spans="13:16">
      <c r="M888" s="351"/>
      <c r="O888" s="349"/>
      <c r="P888" s="354"/>
    </row>
    <row r="889" spans="13:16">
      <c r="M889" s="351"/>
      <c r="O889" s="349"/>
      <c r="P889" s="354"/>
    </row>
    <row r="890" spans="13:16">
      <c r="M890" s="351"/>
      <c r="O890" s="349"/>
      <c r="P890" s="354"/>
    </row>
    <row r="891" spans="13:16">
      <c r="M891" s="351"/>
      <c r="O891" s="349"/>
      <c r="P891" s="354"/>
    </row>
    <row r="892" spans="13:16">
      <c r="M892" s="351"/>
      <c r="O892" s="349"/>
      <c r="P892" s="354"/>
    </row>
    <row r="893" spans="13:16">
      <c r="M893" s="351"/>
      <c r="O893" s="349"/>
      <c r="P893" s="354"/>
    </row>
    <row r="894" spans="13:16">
      <c r="M894" s="351"/>
      <c r="O894" s="349"/>
      <c r="P894" s="354"/>
    </row>
    <row r="895" spans="13:16">
      <c r="M895" s="351"/>
      <c r="O895" s="349"/>
      <c r="P895" s="354"/>
    </row>
    <row r="896" spans="13:16">
      <c r="M896" s="351"/>
      <c r="O896" s="349"/>
      <c r="P896" s="354"/>
    </row>
    <row r="897" spans="13:16">
      <c r="M897" s="351"/>
      <c r="O897" s="349"/>
      <c r="P897" s="354"/>
    </row>
    <row r="898" spans="13:16">
      <c r="M898" s="351"/>
      <c r="O898" s="349"/>
      <c r="P898" s="354"/>
    </row>
    <row r="899" spans="13:16">
      <c r="M899" s="351"/>
      <c r="O899" s="349"/>
      <c r="P899" s="354"/>
    </row>
    <row r="900" spans="13:16">
      <c r="M900" s="351"/>
      <c r="O900" s="349"/>
      <c r="P900" s="354"/>
    </row>
    <row r="901" spans="13:16">
      <c r="M901" s="351"/>
      <c r="O901" s="349"/>
      <c r="P901" s="354"/>
    </row>
    <row r="902" spans="13:16">
      <c r="M902" s="351"/>
      <c r="O902" s="349"/>
      <c r="P902" s="354"/>
    </row>
    <row r="903" spans="13:16">
      <c r="M903" s="351"/>
      <c r="O903" s="349"/>
      <c r="P903" s="354"/>
    </row>
    <row r="904" spans="13:16">
      <c r="M904" s="351"/>
      <c r="O904" s="349"/>
      <c r="P904" s="354"/>
    </row>
    <row r="905" spans="13:16">
      <c r="M905" s="351"/>
      <c r="O905" s="349"/>
      <c r="P905" s="354"/>
    </row>
    <row r="906" spans="13:16">
      <c r="M906" s="351"/>
      <c r="O906" s="349"/>
      <c r="P906" s="354"/>
    </row>
    <row r="907" spans="13:16">
      <c r="M907" s="351"/>
      <c r="O907" s="349"/>
      <c r="P907" s="354"/>
    </row>
    <row r="908" spans="13:16">
      <c r="M908" s="351"/>
      <c r="O908" s="349"/>
      <c r="P908" s="354"/>
    </row>
    <row r="909" spans="13:16">
      <c r="M909" s="351"/>
      <c r="O909" s="349"/>
      <c r="P909" s="354"/>
    </row>
    <row r="910" spans="13:16">
      <c r="M910" s="351"/>
      <c r="O910" s="349"/>
      <c r="P910" s="354"/>
    </row>
    <row r="911" spans="13:16">
      <c r="M911" s="351"/>
      <c r="O911" s="349"/>
      <c r="P911" s="354"/>
    </row>
    <row r="912" spans="13:16">
      <c r="M912" s="351"/>
      <c r="O912" s="349"/>
      <c r="P912" s="354"/>
    </row>
    <row r="913" spans="13:16">
      <c r="M913" s="351"/>
      <c r="O913" s="349"/>
      <c r="P913" s="354"/>
    </row>
    <row r="914" spans="13:16">
      <c r="M914" s="351"/>
      <c r="O914" s="349"/>
      <c r="P914" s="354"/>
    </row>
    <row r="915" spans="13:16">
      <c r="M915" s="351"/>
      <c r="O915" s="349"/>
      <c r="P915" s="354"/>
    </row>
    <row r="916" spans="13:16">
      <c r="M916" s="351"/>
      <c r="O916" s="349"/>
      <c r="P916" s="354"/>
    </row>
    <row r="917" spans="13:16">
      <c r="M917" s="351"/>
      <c r="O917" s="349"/>
      <c r="P917" s="354"/>
    </row>
    <row r="918" spans="13:16">
      <c r="M918" s="351"/>
      <c r="O918" s="349"/>
      <c r="P918" s="354"/>
    </row>
    <row r="919" spans="13:16">
      <c r="M919" s="351"/>
      <c r="O919" s="349"/>
      <c r="P919" s="354"/>
    </row>
    <row r="920" spans="13:16">
      <c r="M920" s="351"/>
      <c r="O920" s="349"/>
      <c r="P920" s="354"/>
    </row>
    <row r="921" spans="13:16">
      <c r="M921" s="351"/>
      <c r="O921" s="349"/>
      <c r="P921" s="354"/>
    </row>
    <row r="922" spans="13:16">
      <c r="M922" s="351"/>
      <c r="O922" s="349"/>
      <c r="P922" s="354"/>
    </row>
    <row r="923" spans="13:16">
      <c r="M923" s="351"/>
      <c r="O923" s="349"/>
      <c r="P923" s="354"/>
    </row>
    <row r="924" spans="13:16">
      <c r="M924" s="351"/>
      <c r="O924" s="349"/>
      <c r="P924" s="354"/>
    </row>
    <row r="925" spans="13:16">
      <c r="M925" s="351"/>
      <c r="O925" s="349"/>
      <c r="P925" s="354"/>
    </row>
    <row r="926" spans="13:16">
      <c r="M926" s="351"/>
      <c r="O926" s="349"/>
      <c r="P926" s="354"/>
    </row>
    <row r="927" spans="13:16">
      <c r="M927" s="351"/>
      <c r="O927" s="349"/>
      <c r="P927" s="354"/>
    </row>
    <row r="928" spans="13:16">
      <c r="M928" s="351"/>
      <c r="O928" s="349"/>
      <c r="P928" s="354"/>
    </row>
    <row r="929" spans="13:16">
      <c r="M929" s="351"/>
      <c r="O929" s="349"/>
      <c r="P929" s="354"/>
    </row>
    <row r="930" spans="13:16">
      <c r="M930" s="351"/>
      <c r="O930" s="349"/>
      <c r="P930" s="354"/>
    </row>
    <row r="931" spans="13:16">
      <c r="M931" s="351"/>
      <c r="O931" s="349"/>
      <c r="P931" s="354"/>
    </row>
    <row r="932" spans="13:16">
      <c r="M932" s="351"/>
      <c r="O932" s="349"/>
      <c r="P932" s="354"/>
    </row>
    <row r="933" spans="13:16">
      <c r="M933" s="351"/>
      <c r="O933" s="349"/>
      <c r="P933" s="354"/>
    </row>
    <row r="934" spans="13:16">
      <c r="M934" s="351"/>
      <c r="O934" s="349"/>
      <c r="P934" s="354"/>
    </row>
    <row r="935" spans="13:16">
      <c r="M935" s="351"/>
      <c r="O935" s="349"/>
      <c r="P935" s="354"/>
    </row>
    <row r="936" spans="13:16">
      <c r="M936" s="351"/>
      <c r="O936" s="349"/>
      <c r="P936" s="354"/>
    </row>
  </sheetData>
  <mergeCells count="8">
    <mergeCell ref="Q821:S821"/>
    <mergeCell ref="D590:E590"/>
    <mergeCell ref="D5:E5"/>
    <mergeCell ref="D72:E72"/>
    <mergeCell ref="D173:E173"/>
    <mergeCell ref="D274:E274"/>
    <mergeCell ref="D375:E375"/>
    <mergeCell ref="D475:E475"/>
  </mergeCells>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2"/>
  <sheetViews>
    <sheetView showGridLines="0" workbookViewId="0"/>
  </sheetViews>
  <sheetFormatPr defaultRowHeight="12.75" outlineLevelRow="1"/>
  <cols>
    <col min="1" max="2" width="5.140625" style="508" customWidth="1"/>
    <col min="3" max="3" width="50.85546875" style="508" customWidth="1"/>
    <col min="4" max="4" width="10.42578125" style="508" customWidth="1"/>
    <col min="5" max="5" width="11.42578125" style="508" customWidth="1"/>
    <col min="6" max="11" width="10.42578125" style="508" customWidth="1"/>
    <col min="12" max="12" width="9.85546875" style="508" customWidth="1"/>
    <col min="13" max="16384" width="9.140625" style="508"/>
  </cols>
  <sheetData>
    <row r="1" spans="1:21" ht="21">
      <c r="A1" s="506" t="s">
        <v>195</v>
      </c>
      <c r="B1" s="507"/>
      <c r="C1" s="507"/>
      <c r="D1" s="507"/>
      <c r="E1" s="507"/>
      <c r="F1" s="507"/>
      <c r="G1" s="507"/>
      <c r="H1" s="507"/>
      <c r="I1" s="507"/>
      <c r="J1" s="507"/>
      <c r="K1" s="507"/>
      <c r="L1" s="507"/>
    </row>
    <row r="2" spans="1:21">
      <c r="A2" s="507"/>
      <c r="B2" s="507"/>
      <c r="C2" s="507"/>
      <c r="D2" s="507"/>
      <c r="E2" s="507"/>
      <c r="F2" s="507"/>
      <c r="G2" s="507"/>
      <c r="H2" s="507"/>
      <c r="I2" s="507"/>
      <c r="J2" s="507"/>
      <c r="K2" s="507"/>
      <c r="L2" s="507"/>
    </row>
    <row r="4" spans="1:21" s="511" customFormat="1" ht="18.75">
      <c r="A4" s="509" t="s">
        <v>196</v>
      </c>
      <c r="B4" s="510"/>
      <c r="C4" s="510"/>
      <c r="D4" s="510"/>
      <c r="E4" s="510"/>
      <c r="F4" s="510"/>
      <c r="G4" s="510"/>
      <c r="H4" s="510"/>
      <c r="I4" s="510"/>
      <c r="J4" s="510"/>
      <c r="K4" s="510"/>
      <c r="L4" s="510"/>
      <c r="M4" s="510"/>
      <c r="N4" s="510"/>
      <c r="O4" s="510"/>
      <c r="P4" s="510"/>
      <c r="Q4" s="510"/>
      <c r="R4" s="510"/>
      <c r="S4" s="510"/>
      <c r="T4" s="510"/>
      <c r="U4" s="510"/>
    </row>
    <row r="6" spans="1:21" ht="36">
      <c r="C6" s="512" t="s">
        <v>85</v>
      </c>
      <c r="D6" s="513"/>
      <c r="E6" s="513"/>
      <c r="F6" s="514" t="s">
        <v>197</v>
      </c>
      <c r="G6" s="514" t="s">
        <v>198</v>
      </c>
      <c r="H6" s="515" t="s">
        <v>199</v>
      </c>
    </row>
    <row r="7" spans="1:21">
      <c r="C7" s="570" t="s">
        <v>121</v>
      </c>
      <c r="D7" s="571"/>
      <c r="E7" s="571"/>
      <c r="F7" s="642">
        <f>E20</f>
        <v>601.93648522212277</v>
      </c>
      <c r="G7" s="644">
        <f ca="1">G55</f>
        <v>35.776286402849145</v>
      </c>
      <c r="H7" s="568">
        <f>F55</f>
        <v>50</v>
      </c>
    </row>
    <row r="8" spans="1:21">
      <c r="C8" s="570" t="s">
        <v>122</v>
      </c>
      <c r="D8" s="571"/>
      <c r="E8" s="571"/>
      <c r="F8" s="642">
        <f t="shared" ref="F8:F12" si="0">E21</f>
        <v>52.691016431701556</v>
      </c>
      <c r="G8" s="644">
        <f t="shared" ref="G8:G14" ca="1" si="1">G56</f>
        <v>8.8380573552699104</v>
      </c>
      <c r="H8" s="568">
        <f t="shared" ref="H8:H14" si="2">F56</f>
        <v>15</v>
      </c>
    </row>
    <row r="9" spans="1:21">
      <c r="C9" s="570" t="s">
        <v>123</v>
      </c>
      <c r="D9" s="571"/>
      <c r="E9" s="571"/>
      <c r="F9" s="642">
        <f t="shared" si="0"/>
        <v>1.365931923249998</v>
      </c>
      <c r="G9" s="644">
        <f t="shared" ca="1" si="1"/>
        <v>8.4924157130792235</v>
      </c>
      <c r="H9" s="568">
        <f t="shared" si="2"/>
        <v>35</v>
      </c>
    </row>
    <row r="10" spans="1:21">
      <c r="C10" s="570" t="s">
        <v>124</v>
      </c>
      <c r="D10" s="571"/>
      <c r="E10" s="571"/>
      <c r="F10" s="642">
        <f t="shared" si="0"/>
        <v>1.2158191487337755</v>
      </c>
      <c r="G10" s="644">
        <f t="shared" ca="1" si="1"/>
        <v>7.6312798748802848</v>
      </c>
      <c r="H10" s="568">
        <f t="shared" si="2"/>
        <v>10</v>
      </c>
    </row>
    <row r="11" spans="1:21">
      <c r="C11" s="570" t="s">
        <v>125</v>
      </c>
      <c r="D11" s="571"/>
      <c r="E11" s="571"/>
      <c r="F11" s="642">
        <f t="shared" si="0"/>
        <v>7.4766843561737852</v>
      </c>
      <c r="G11" s="644">
        <f t="shared" ca="1" si="1"/>
        <v>4</v>
      </c>
      <c r="H11" s="568">
        <f t="shared" si="2"/>
        <v>4</v>
      </c>
    </row>
    <row r="12" spans="1:21">
      <c r="C12" s="570" t="s">
        <v>126</v>
      </c>
      <c r="D12" s="571"/>
      <c r="E12" s="571"/>
      <c r="F12" s="642">
        <f t="shared" si="0"/>
        <v>33.753072731375532</v>
      </c>
      <c r="G12" s="644">
        <f t="shared" ca="1" si="1"/>
        <v>9.215054702537623</v>
      </c>
      <c r="H12" s="568">
        <f t="shared" si="2"/>
        <v>15</v>
      </c>
    </row>
    <row r="13" spans="1:21">
      <c r="C13" s="570" t="s">
        <v>127</v>
      </c>
      <c r="D13" s="571"/>
      <c r="E13" s="571"/>
      <c r="F13" s="642">
        <f>'Tax Depn'!J839</f>
        <v>0</v>
      </c>
      <c r="G13" s="644" t="str">
        <f t="shared" si="1"/>
        <v>N/A</v>
      </c>
      <c r="H13" s="568">
        <f t="shared" si="2"/>
        <v>5</v>
      </c>
    </row>
    <row r="14" spans="1:21">
      <c r="C14" s="572" t="s">
        <v>128</v>
      </c>
      <c r="D14" s="573"/>
      <c r="E14" s="573"/>
      <c r="F14" s="643">
        <f>'Tax Depn'!J840</f>
        <v>0</v>
      </c>
      <c r="G14" s="645" t="str">
        <f t="shared" si="1"/>
        <v>N/A</v>
      </c>
      <c r="H14" s="569" t="str">
        <f t="shared" si="2"/>
        <v>N/A</v>
      </c>
    </row>
    <row r="15" spans="1:21">
      <c r="C15" s="516" t="s">
        <v>200</v>
      </c>
      <c r="D15" s="517"/>
      <c r="E15" s="517"/>
      <c r="F15" s="518"/>
      <c r="G15" s="519"/>
      <c r="H15" s="519"/>
    </row>
    <row r="17" spans="1:21" s="511" customFormat="1" ht="18.75" outlineLevel="1">
      <c r="A17" s="509" t="s">
        <v>215</v>
      </c>
      <c r="B17" s="510"/>
      <c r="C17" s="510"/>
      <c r="D17" s="510"/>
      <c r="E17" s="510"/>
      <c r="F17" s="510"/>
      <c r="G17" s="510"/>
      <c r="H17" s="510"/>
      <c r="I17" s="510"/>
      <c r="J17" s="510"/>
      <c r="K17" s="510"/>
      <c r="L17" s="510"/>
      <c r="M17" s="510"/>
      <c r="N17" s="510"/>
      <c r="O17" s="510"/>
      <c r="P17" s="510"/>
      <c r="Q17" s="510"/>
      <c r="R17" s="510"/>
      <c r="S17" s="510"/>
      <c r="T17" s="510"/>
      <c r="U17" s="510"/>
    </row>
    <row r="18" spans="1:21" outlineLevel="1"/>
    <row r="19" spans="1:21" outlineLevel="1">
      <c r="C19" s="520" t="s">
        <v>201</v>
      </c>
      <c r="D19" s="521" t="s">
        <v>202</v>
      </c>
      <c r="E19" s="522" t="s">
        <v>203</v>
      </c>
    </row>
    <row r="20" spans="1:21" outlineLevel="1">
      <c r="C20" s="523" t="s">
        <v>121</v>
      </c>
      <c r="D20" s="552"/>
      <c r="E20" s="616">
        <f>'Tax Depn'!W797</f>
        <v>601.93648522212277</v>
      </c>
    </row>
    <row r="21" spans="1:21" outlineLevel="1">
      <c r="C21" s="524" t="s">
        <v>122</v>
      </c>
      <c r="D21" s="551"/>
      <c r="E21" s="616">
        <f>'Tax Depn'!W798+'Tax Depn'!W799</f>
        <v>52.691016431701556</v>
      </c>
    </row>
    <row r="22" spans="1:21" outlineLevel="1">
      <c r="C22" s="524" t="s">
        <v>123</v>
      </c>
      <c r="D22" s="551"/>
      <c r="E22" s="617">
        <f>'Tax Depn'!W800+'Tax Depn'!W801</f>
        <v>1.365931923249998</v>
      </c>
    </row>
    <row r="23" spans="1:21" outlineLevel="1">
      <c r="C23" s="524" t="s">
        <v>124</v>
      </c>
      <c r="D23" s="551">
        <f>'Total actual RAB roll forward'!L362/SUM('Total actual RAB roll forward'!$L$362:$L$364)</f>
        <v>2.864418996141406E-2</v>
      </c>
      <c r="E23" s="616">
        <f>D23*'Tax Depn'!$W$803</f>
        <v>1.2158191487337755</v>
      </c>
    </row>
    <row r="24" spans="1:21" outlineLevel="1">
      <c r="C24" s="524" t="s">
        <v>125</v>
      </c>
      <c r="D24" s="551">
        <f>'Total actual RAB roll forward'!L363/SUM('Total actual RAB roll forward'!$L$362:$L$364)</f>
        <v>0.17614755221022554</v>
      </c>
      <c r="E24" s="616">
        <f>D24*'Tax Depn'!$W$803</f>
        <v>7.4766843561737852</v>
      </c>
    </row>
    <row r="25" spans="1:21" outlineLevel="1">
      <c r="C25" s="524" t="s">
        <v>126</v>
      </c>
      <c r="D25" s="551">
        <f>'Total actual RAB roll forward'!L364/SUM('Total actual RAB roll forward'!$L$362:$L$364)</f>
        <v>0.79520825782836035</v>
      </c>
      <c r="E25" s="616">
        <f>D25*'Tax Depn'!$W$803</f>
        <v>33.753072731375532</v>
      </c>
    </row>
    <row r="26" spans="1:21" outlineLevel="1">
      <c r="C26" s="524" t="s">
        <v>127</v>
      </c>
      <c r="D26" s="551"/>
      <c r="E26" s="617">
        <f>'Tax Depn'!W804</f>
        <v>0</v>
      </c>
    </row>
    <row r="27" spans="1:21" outlineLevel="1">
      <c r="C27" s="550" t="s">
        <v>128</v>
      </c>
      <c r="D27" s="551"/>
      <c r="E27" s="617">
        <f>'Tax Depn'!W802</f>
        <v>0</v>
      </c>
    </row>
    <row r="28" spans="1:21" outlineLevel="1">
      <c r="C28" s="525" t="s">
        <v>204</v>
      </c>
      <c r="D28" s="513"/>
      <c r="E28" s="628">
        <f>SUM(E20:E27)</f>
        <v>698.4390098133573</v>
      </c>
    </row>
    <row r="29" spans="1:21" outlineLevel="1">
      <c r="C29" s="526" t="s">
        <v>200</v>
      </c>
      <c r="E29" s="527"/>
    </row>
    <row r="30" spans="1:21" outlineLevel="1">
      <c r="C30" s="526"/>
      <c r="E30" s="527"/>
    </row>
    <row r="31" spans="1:21" s="511" customFormat="1" ht="18.75" outlineLevel="1">
      <c r="A31" s="509" t="s">
        <v>205</v>
      </c>
      <c r="B31" s="510"/>
      <c r="C31" s="510"/>
      <c r="D31" s="510"/>
      <c r="E31" s="510"/>
      <c r="F31" s="510"/>
      <c r="G31" s="510"/>
      <c r="H31" s="510"/>
      <c r="I31" s="510"/>
      <c r="J31" s="510"/>
      <c r="K31" s="510"/>
      <c r="L31" s="510"/>
      <c r="M31" s="510"/>
      <c r="N31" s="510"/>
      <c r="O31" s="510"/>
      <c r="P31" s="510"/>
      <c r="Q31" s="510"/>
      <c r="R31" s="510"/>
      <c r="S31" s="510"/>
      <c r="T31" s="510"/>
      <c r="U31" s="510"/>
    </row>
    <row r="32" spans="1:21" outlineLevel="1"/>
    <row r="33" spans="3:5" outlineLevel="1">
      <c r="C33" s="528" t="s">
        <v>216</v>
      </c>
      <c r="D33" s="544" t="s">
        <v>206</v>
      </c>
      <c r="E33" s="529" t="s">
        <v>207</v>
      </c>
    </row>
    <row r="34" spans="3:5" s="530" customFormat="1" ht="25.5" outlineLevel="1">
      <c r="C34" s="553" t="s">
        <v>217</v>
      </c>
      <c r="D34" s="554">
        <v>168</v>
      </c>
      <c r="E34" s="555">
        <v>50</v>
      </c>
    </row>
    <row r="35" spans="3:5" s="530" customFormat="1" outlineLevel="1">
      <c r="C35" s="556" t="s">
        <v>218</v>
      </c>
      <c r="D35" s="557">
        <v>168</v>
      </c>
      <c r="E35" s="558">
        <v>15</v>
      </c>
    </row>
    <row r="36" spans="3:5" s="530" customFormat="1" outlineLevel="1">
      <c r="C36" s="556" t="s">
        <v>219</v>
      </c>
      <c r="D36" s="603">
        <v>168</v>
      </c>
      <c r="E36" s="604">
        <v>35</v>
      </c>
    </row>
    <row r="37" spans="3:5" s="530" customFormat="1" outlineLevel="1">
      <c r="C37" s="556" t="s">
        <v>220</v>
      </c>
      <c r="D37" s="557">
        <v>168</v>
      </c>
      <c r="E37" s="558">
        <v>10</v>
      </c>
    </row>
    <row r="38" spans="3:5" s="530" customFormat="1" outlineLevel="1">
      <c r="C38" s="559" t="s">
        <v>221</v>
      </c>
      <c r="D38" s="560">
        <v>247</v>
      </c>
      <c r="E38" s="561">
        <v>4</v>
      </c>
    </row>
    <row r="39" spans="3:5" s="530" customFormat="1" ht="38.25" outlineLevel="1">
      <c r="C39" s="562" t="s">
        <v>222</v>
      </c>
      <c r="D39" s="563">
        <v>168</v>
      </c>
      <c r="E39" s="564">
        <v>40</v>
      </c>
    </row>
    <row r="40" spans="3:5" outlineLevel="1"/>
    <row r="42" spans="3:5" s="535" customFormat="1" ht="38.25">
      <c r="C42" s="533" t="s">
        <v>213</v>
      </c>
      <c r="D42" s="534" t="s">
        <v>208</v>
      </c>
    </row>
    <row r="43" spans="3:5">
      <c r="C43" s="531" t="s">
        <v>121</v>
      </c>
      <c r="D43" s="536">
        <v>50</v>
      </c>
    </row>
    <row r="44" spans="3:5">
      <c r="C44" s="532" t="s">
        <v>122</v>
      </c>
      <c r="D44" s="536">
        <v>15</v>
      </c>
    </row>
    <row r="45" spans="3:5">
      <c r="C45" s="532" t="s">
        <v>123</v>
      </c>
      <c r="D45" s="613">
        <v>35</v>
      </c>
    </row>
    <row r="46" spans="3:5">
      <c r="C46" s="532" t="s">
        <v>124</v>
      </c>
      <c r="D46" s="536">
        <v>10</v>
      </c>
    </row>
    <row r="47" spans="3:5">
      <c r="C47" s="532" t="s">
        <v>125</v>
      </c>
      <c r="D47" s="536">
        <v>4</v>
      </c>
    </row>
    <row r="48" spans="3:5">
      <c r="C48" s="532" t="s">
        <v>126</v>
      </c>
      <c r="D48" s="614">
        <v>15</v>
      </c>
    </row>
    <row r="49" spans="1:21">
      <c r="C49" s="532" t="s">
        <v>127</v>
      </c>
      <c r="D49" s="614">
        <v>5</v>
      </c>
    </row>
    <row r="50" spans="1:21">
      <c r="C50" s="545" t="s">
        <v>128</v>
      </c>
      <c r="D50" s="537" t="s">
        <v>214</v>
      </c>
    </row>
    <row r="52" spans="1:21" s="511" customFormat="1" ht="18.75">
      <c r="A52" s="509" t="s">
        <v>230</v>
      </c>
      <c r="B52" s="510"/>
      <c r="C52" s="510"/>
      <c r="D52" s="510"/>
      <c r="E52" s="510"/>
      <c r="F52" s="510"/>
      <c r="G52" s="510"/>
      <c r="H52" s="510"/>
      <c r="I52" s="510"/>
      <c r="J52" s="510"/>
      <c r="K52" s="510"/>
      <c r="L52" s="510"/>
      <c r="M52" s="510"/>
      <c r="N52" s="510"/>
      <c r="O52" s="510"/>
      <c r="P52" s="510"/>
      <c r="Q52" s="510"/>
      <c r="R52" s="510"/>
      <c r="S52" s="510"/>
      <c r="T52" s="510"/>
      <c r="U52" s="510"/>
    </row>
    <row r="54" spans="1:21" s="538" customFormat="1" ht="51">
      <c r="C54" s="539" t="s">
        <v>201</v>
      </c>
      <c r="D54" s="546" t="s">
        <v>209</v>
      </c>
      <c r="E54" s="546" t="s">
        <v>210</v>
      </c>
      <c r="F54" s="547" t="s">
        <v>211</v>
      </c>
      <c r="G54" s="540" t="s">
        <v>212</v>
      </c>
    </row>
    <row r="55" spans="1:21">
      <c r="C55" s="541" t="s">
        <v>121</v>
      </c>
      <c r="D55" s="565">
        <f>Input!L7</f>
        <v>60</v>
      </c>
      <c r="E55" s="607">
        <f ca="1">'Asset lives roll forward'!F20</f>
        <v>42.931543683418973</v>
      </c>
      <c r="F55" s="609">
        <f>D43</f>
        <v>50</v>
      </c>
      <c r="G55" s="605">
        <f ca="1">E55/D55*F55</f>
        <v>35.776286402849145</v>
      </c>
    </row>
    <row r="56" spans="1:21">
      <c r="C56" s="542" t="s">
        <v>122</v>
      </c>
      <c r="D56" s="566">
        <f>Input!L8</f>
        <v>15</v>
      </c>
      <c r="E56" s="608">
        <f ca="1">'Asset lives roll forward'!F35</f>
        <v>8.8380573552699104</v>
      </c>
      <c r="F56" s="609">
        <f t="shared" ref="F56:F62" si="3">D44</f>
        <v>15</v>
      </c>
      <c r="G56" s="606">
        <f t="shared" ref="G56:G60" ca="1" si="4">E56/D56*F56</f>
        <v>8.8380573552699104</v>
      </c>
    </row>
    <row r="57" spans="1:21">
      <c r="C57" s="542" t="s">
        <v>123</v>
      </c>
      <c r="D57" s="566">
        <f>Input!L9</f>
        <v>50</v>
      </c>
      <c r="E57" s="608">
        <f ca="1">'Asset lives roll forward'!F50</f>
        <v>12.132022447256032</v>
      </c>
      <c r="F57" s="609">
        <f t="shared" si="3"/>
        <v>35</v>
      </c>
      <c r="G57" s="606">
        <f t="shared" ca="1" si="4"/>
        <v>8.4924157130792235</v>
      </c>
    </row>
    <row r="58" spans="1:21">
      <c r="C58" s="524" t="s">
        <v>124</v>
      </c>
      <c r="D58" s="566">
        <f>Input!L10</f>
        <v>15</v>
      </c>
      <c r="E58" s="608">
        <f ca="1">'Asset lives roll forward'!F65</f>
        <v>11.446919812320427</v>
      </c>
      <c r="F58" s="609">
        <f t="shared" si="3"/>
        <v>10</v>
      </c>
      <c r="G58" s="606">
        <f t="shared" ca="1" si="4"/>
        <v>7.6312798748802848</v>
      </c>
    </row>
    <row r="59" spans="1:21">
      <c r="C59" s="542" t="s">
        <v>125</v>
      </c>
      <c r="D59" s="566">
        <f>Input!L11</f>
        <v>5</v>
      </c>
      <c r="E59" s="608">
        <f ca="1">'Asset lives roll forward'!F80</f>
        <v>5</v>
      </c>
      <c r="F59" s="609">
        <f t="shared" si="3"/>
        <v>4</v>
      </c>
      <c r="G59" s="606">
        <f t="shared" ca="1" si="4"/>
        <v>4</v>
      </c>
    </row>
    <row r="60" spans="1:21">
      <c r="C60" s="542" t="s">
        <v>126</v>
      </c>
      <c r="D60" s="566">
        <f>Input!L12</f>
        <v>15</v>
      </c>
      <c r="E60" s="608">
        <f ca="1">'Asset lives roll forward'!F95</f>
        <v>9.215054702537623</v>
      </c>
      <c r="F60" s="609">
        <f t="shared" si="3"/>
        <v>15</v>
      </c>
      <c r="G60" s="606">
        <f t="shared" ca="1" si="4"/>
        <v>9.215054702537623</v>
      </c>
    </row>
    <row r="61" spans="1:21">
      <c r="C61" s="542" t="s">
        <v>127</v>
      </c>
      <c r="D61" s="566" t="s">
        <v>214</v>
      </c>
      <c r="E61" s="566">
        <v>0</v>
      </c>
      <c r="F61" s="609">
        <f t="shared" si="3"/>
        <v>5</v>
      </c>
      <c r="G61" s="543" t="s">
        <v>214</v>
      </c>
    </row>
    <row r="62" spans="1:21">
      <c r="C62" s="548" t="s">
        <v>128</v>
      </c>
      <c r="D62" s="567" t="s">
        <v>214</v>
      </c>
      <c r="E62" s="567">
        <v>0</v>
      </c>
      <c r="F62" s="609" t="str">
        <f t="shared" si="3"/>
        <v>N/A</v>
      </c>
      <c r="G62" s="549" t="s">
        <v>214</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565"/>
  <sheetViews>
    <sheetView workbookViewId="0"/>
  </sheetViews>
  <sheetFormatPr defaultRowHeight="12.75" outlineLevelRow="1"/>
  <cols>
    <col min="1" max="1" width="4.140625" style="259" customWidth="1"/>
    <col min="2" max="2" width="25.42578125" style="259" customWidth="1"/>
    <col min="3" max="3" width="12" style="259" customWidth="1"/>
    <col min="4" max="4" width="5.42578125" style="259" customWidth="1"/>
    <col min="5" max="5" width="18.140625" style="293" customWidth="1"/>
    <col min="6" max="6" width="21" style="293" customWidth="1"/>
    <col min="7" max="7" width="4.140625" style="294" customWidth="1"/>
    <col min="8" max="8" width="6.85546875" style="295" customWidth="1"/>
    <col min="9" max="9" width="6.85546875" style="288" customWidth="1"/>
    <col min="10" max="10" width="16.140625" style="295" customWidth="1"/>
    <col min="11" max="11" width="24.5703125" style="288" customWidth="1"/>
    <col min="12" max="12" width="9.140625" style="282" customWidth="1"/>
    <col min="13" max="19" width="9.140625" style="259"/>
    <col min="20" max="26" width="0" style="259" hidden="1" customWidth="1"/>
    <col min="27" max="16384" width="9.140625" style="259"/>
  </cols>
  <sheetData>
    <row r="1" spans="1:38">
      <c r="A1" s="258"/>
      <c r="B1" s="258"/>
      <c r="C1" s="258"/>
      <c r="D1" s="258"/>
      <c r="E1" s="307"/>
      <c r="F1" s="307"/>
      <c r="G1" s="258"/>
      <c r="H1" s="258"/>
      <c r="I1" s="258"/>
      <c r="J1" s="307"/>
      <c r="K1" s="307"/>
      <c r="L1" s="258"/>
      <c r="M1" s="258"/>
      <c r="N1" s="258"/>
      <c r="O1" s="258"/>
      <c r="P1" s="258"/>
      <c r="Q1" s="258"/>
      <c r="R1" s="258"/>
      <c r="S1" s="258"/>
      <c r="T1" s="258"/>
      <c r="U1" s="258"/>
      <c r="V1" s="258"/>
      <c r="W1" s="258"/>
      <c r="X1" s="258"/>
      <c r="Y1" s="258"/>
      <c r="Z1" s="258"/>
    </row>
    <row r="2" spans="1:38" ht="15.75">
      <c r="A2" s="258"/>
      <c r="B2" s="260" t="str">
        <f>"Average Remaining Asset Lives Roll Forward - RFM "&amp;Intro!K4</f>
        <v xml:space="preserve">Average Remaining Asset Lives Roll Forward - RFM Date: </v>
      </c>
      <c r="C2" s="258"/>
      <c r="D2" s="258"/>
      <c r="E2" s="258"/>
      <c r="F2" s="258"/>
      <c r="G2" s="258"/>
      <c r="H2" s="258"/>
      <c r="I2" s="258"/>
      <c r="J2" s="307"/>
      <c r="K2" s="307"/>
      <c r="L2" s="258"/>
      <c r="M2" s="258"/>
      <c r="N2" s="258"/>
      <c r="O2" s="258"/>
      <c r="P2" s="258"/>
      <c r="Q2" s="258"/>
      <c r="R2" s="258"/>
      <c r="S2" s="258"/>
      <c r="T2" s="258"/>
      <c r="U2" s="258"/>
      <c r="V2" s="258"/>
      <c r="W2" s="258"/>
      <c r="X2" s="258"/>
      <c r="Y2" s="258"/>
      <c r="Z2" s="258"/>
    </row>
    <row r="3" spans="1:38">
      <c r="A3" s="258"/>
      <c r="B3" s="258"/>
      <c r="C3" s="258"/>
      <c r="D3" s="258"/>
      <c r="E3" s="258"/>
      <c r="F3" s="258"/>
      <c r="G3" s="258"/>
      <c r="H3" s="258"/>
      <c r="I3" s="258"/>
      <c r="J3" s="258"/>
      <c r="K3" s="258"/>
      <c r="L3" s="258"/>
      <c r="M3" s="258"/>
      <c r="N3" s="258"/>
      <c r="O3" s="258"/>
      <c r="P3" s="258"/>
      <c r="Q3" s="258"/>
      <c r="R3" s="258"/>
      <c r="S3" s="258"/>
      <c r="T3" s="258"/>
      <c r="U3" s="258"/>
      <c r="V3" s="258"/>
      <c r="W3" s="258"/>
      <c r="X3" s="258"/>
      <c r="Y3" s="258"/>
      <c r="Z3" s="258"/>
    </row>
    <row r="4" spans="1:38" ht="16.5" customHeight="1">
      <c r="A4" s="261"/>
      <c r="B4" s="262"/>
      <c r="C4" s="261"/>
      <c r="D4" s="261"/>
      <c r="E4" s="261"/>
      <c r="F4" s="261"/>
      <c r="G4" s="263"/>
      <c r="H4" s="263"/>
      <c r="I4" s="263"/>
      <c r="J4" s="263"/>
      <c r="K4" s="263"/>
      <c r="L4" s="263"/>
      <c r="M4" s="263"/>
      <c r="N4" s="263"/>
      <c r="O4" s="263"/>
      <c r="P4" s="263"/>
      <c r="Q4" s="263"/>
      <c r="R4" s="263"/>
      <c r="S4" s="258"/>
      <c r="T4" s="258"/>
      <c r="U4" s="258"/>
      <c r="V4" s="258"/>
      <c r="W4" s="258"/>
      <c r="X4" s="258"/>
      <c r="Y4" s="258"/>
      <c r="Z4" s="258"/>
      <c r="AB4" s="337"/>
      <c r="AH4" s="337"/>
    </row>
    <row r="5" spans="1:38">
      <c r="A5" s="264"/>
      <c r="B5" s="265" t="s">
        <v>110</v>
      </c>
      <c r="C5" s="264"/>
      <c r="D5" s="264"/>
      <c r="E5" s="266" t="str">
        <f>"($m Real "&amp;'Tax value roll forward'!G4&amp;")"</f>
        <v>($m Real 2012)</v>
      </c>
      <c r="F5" s="266" t="s">
        <v>111</v>
      </c>
      <c r="G5" s="267"/>
      <c r="H5" s="266"/>
      <c r="I5" s="266"/>
      <c r="J5" s="266" t="s">
        <v>112</v>
      </c>
      <c r="K5" s="266" t="s">
        <v>111</v>
      </c>
      <c r="L5" s="264"/>
      <c r="M5" s="264"/>
      <c r="N5" s="264"/>
      <c r="O5" s="264"/>
      <c r="P5" s="264"/>
      <c r="Q5" s="264"/>
      <c r="R5" s="264"/>
      <c r="S5" s="258"/>
      <c r="T5" s="258"/>
      <c r="U5" s="258"/>
      <c r="V5" s="258"/>
      <c r="W5" s="258"/>
      <c r="X5" s="258"/>
      <c r="Y5" s="258"/>
      <c r="Z5" s="258"/>
    </row>
    <row r="6" spans="1:38" s="273" customFormat="1" ht="12.75" customHeight="1">
      <c r="A6" s="268"/>
      <c r="B6" s="268"/>
      <c r="C6" s="268"/>
      <c r="D6" s="269"/>
      <c r="E6" s="270" t="s">
        <v>113</v>
      </c>
      <c r="F6" s="270" t="s">
        <v>114</v>
      </c>
      <c r="G6" s="268"/>
      <c r="H6" s="271"/>
      <c r="I6" s="271"/>
      <c r="J6" s="272" t="s">
        <v>115</v>
      </c>
      <c r="K6" s="270" t="s">
        <v>116</v>
      </c>
      <c r="L6" s="268"/>
      <c r="M6" s="308"/>
      <c r="N6" s="308"/>
      <c r="O6" s="268"/>
      <c r="P6" s="268"/>
      <c r="Q6" s="268"/>
      <c r="R6" s="268"/>
      <c r="S6" s="258"/>
      <c r="T6" s="258"/>
      <c r="U6" s="258"/>
      <c r="V6" s="258"/>
      <c r="W6" s="258"/>
      <c r="X6" s="258"/>
      <c r="Y6" s="258"/>
      <c r="Z6" s="258"/>
      <c r="AA6" s="338"/>
      <c r="AB6" s="336"/>
      <c r="AC6" s="336"/>
      <c r="AD6" s="336"/>
      <c r="AE6" s="336"/>
      <c r="AF6" s="336"/>
      <c r="AH6" s="336"/>
      <c r="AI6" s="336"/>
      <c r="AJ6" s="336"/>
      <c r="AK6" s="336"/>
      <c r="AL6" s="336"/>
    </row>
    <row r="7" spans="1:38" s="273" customFormat="1" hidden="1" outlineLevel="1">
      <c r="A7" s="268"/>
      <c r="B7" s="274" t="str">
        <f>Asset1</f>
        <v>Mains &amp; Services</v>
      </c>
      <c r="C7" s="268"/>
      <c r="D7" s="268"/>
      <c r="E7" s="270"/>
      <c r="F7" s="270"/>
      <c r="G7" s="268"/>
      <c r="H7" s="271"/>
      <c r="I7" s="271"/>
      <c r="J7" s="271"/>
      <c r="L7" s="268"/>
      <c r="M7" s="308"/>
      <c r="N7" s="308"/>
      <c r="O7" s="268"/>
      <c r="P7" s="268"/>
      <c r="Q7" s="268"/>
      <c r="R7" s="268"/>
      <c r="S7" s="258"/>
      <c r="T7" s="258"/>
      <c r="U7" s="258"/>
      <c r="V7" s="258"/>
      <c r="W7" s="258"/>
      <c r="X7" s="258"/>
      <c r="Y7" s="258"/>
      <c r="Z7" s="258"/>
      <c r="AA7" s="339"/>
      <c r="AB7" s="335"/>
      <c r="AC7" s="335"/>
      <c r="AD7" s="335"/>
      <c r="AE7" s="335"/>
      <c r="AF7" s="335"/>
      <c r="AH7" s="342"/>
      <c r="AI7" s="342"/>
      <c r="AJ7" s="342"/>
      <c r="AK7" s="342"/>
      <c r="AL7" s="342"/>
    </row>
    <row r="8" spans="1:38" ht="12.75" hidden="1" customHeight="1" outlineLevel="1">
      <c r="A8" s="271"/>
      <c r="B8" s="271"/>
      <c r="C8" s="659" t="s">
        <v>28</v>
      </c>
      <c r="D8" s="660"/>
      <c r="E8" s="275">
        <f ca="1">A1value-SUM('Actual RAB roll forward'!H44:OFFSET('Actual RAB roll forward'!H44,0,Input!$W$7-1))</f>
        <v>864.55085927439779</v>
      </c>
      <c r="F8" s="275">
        <f ca="1">IF(A1remlife="N/A","n/a",IF(E8=0,0,A1remlife-Input!$W$7))</f>
        <v>35.999434066606099</v>
      </c>
      <c r="G8" s="276"/>
      <c r="H8" s="277" t="s">
        <v>67</v>
      </c>
      <c r="I8" s="278"/>
      <c r="J8" s="309">
        <f ca="1">A1taxvalue-SUM('Tax value roll forward'!G72:OFFSET('Tax value roll forward'!G72,0,Input!$W$7))</f>
        <v>0</v>
      </c>
      <c r="K8" s="321">
        <f ca="1">IF(A1taxremlife="N/A","n/a",IF(J8=0,0,A1taxremlife-Input!$W$7-1))</f>
        <v>0</v>
      </c>
      <c r="L8" s="271"/>
      <c r="M8" s="308"/>
      <c r="N8" s="308"/>
      <c r="O8" s="268"/>
      <c r="P8" s="268"/>
      <c r="Q8" s="268"/>
      <c r="R8" s="268"/>
      <c r="S8" s="258"/>
      <c r="T8" s="258"/>
      <c r="U8" s="258"/>
      <c r="V8" s="258"/>
      <c r="W8" s="258"/>
      <c r="X8" s="258"/>
      <c r="Y8" s="258"/>
      <c r="Z8" s="258"/>
      <c r="AA8" s="340"/>
      <c r="AB8" s="334"/>
      <c r="AC8" s="335"/>
      <c r="AD8" s="335"/>
      <c r="AE8" s="335"/>
      <c r="AF8" s="335"/>
    </row>
    <row r="9" spans="1:38" ht="12.75" hidden="1" customHeight="1" outlineLevel="1">
      <c r="A9" s="271"/>
      <c r="B9" s="271"/>
      <c r="C9" s="661" t="s">
        <v>84</v>
      </c>
      <c r="D9" s="320">
        <v>0</v>
      </c>
      <c r="E9" s="275"/>
      <c r="F9" s="275"/>
      <c r="G9" s="276"/>
      <c r="H9" s="661" t="s">
        <v>84</v>
      </c>
      <c r="I9" s="320">
        <v>0</v>
      </c>
      <c r="J9" s="321">
        <f ca="1">OFFSET('Tax value roll forward'!G$40,0,I9)-SUM('Tax value roll forward'!G74:OFFSET('Tax value roll forward'!G74,0,Input!$W$7))</f>
        <v>56.52825</v>
      </c>
      <c r="K9" s="321">
        <f ca="1">IF(A1taxstdlife="N/A","n/a",IF(J9=0,0,A1taxstdlife+I9-Input!$W$7))</f>
        <v>15</v>
      </c>
      <c r="L9" s="279"/>
      <c r="M9" s="308"/>
      <c r="N9" s="308"/>
      <c r="O9" s="268"/>
      <c r="P9" s="268"/>
      <c r="Q9" s="268"/>
      <c r="R9" s="268"/>
      <c r="S9" s="258"/>
      <c r="T9" s="258"/>
      <c r="U9" s="258"/>
      <c r="V9" s="258"/>
      <c r="W9" s="258"/>
      <c r="X9" s="258"/>
      <c r="Y9" s="258"/>
      <c r="Z9" s="258"/>
      <c r="AA9" s="341"/>
      <c r="AB9" s="334"/>
      <c r="AC9" s="335"/>
      <c r="AD9" s="335"/>
      <c r="AE9" s="335"/>
      <c r="AF9" s="335"/>
    </row>
    <row r="10" spans="1:38" ht="12.75" hidden="1" customHeight="1" outlineLevel="1">
      <c r="A10" s="271"/>
      <c r="B10" s="271"/>
      <c r="C10" s="662"/>
      <c r="D10" s="280">
        <v>1</v>
      </c>
      <c r="E10" s="275">
        <f ca="1">OFFSET('Actual RAB roll forward'!H$12,0,D10-1)-SUM('Actual RAB roll forward'!H46:OFFSET('Actual RAB roll forward'!H46,0,Input!$W$7-1))</f>
        <v>81.877178314606567</v>
      </c>
      <c r="F10" s="275">
        <f ca="1">IF(A1stdlife="N/A","n/a",IF(E10=0,0,A1stdlife+D10-Input!$W$7))</f>
        <v>56</v>
      </c>
      <c r="G10" s="276"/>
      <c r="H10" s="664"/>
      <c r="I10" s="280">
        <v>1</v>
      </c>
      <c r="J10" s="309">
        <f ca="1">OFFSET('Tax value roll forward'!G$40,0,I10)-SUM('Tax value roll forward'!G75:OFFSET('Tax value roll forward'!G75,0,Input!$W$7))</f>
        <v>72.275984404099006</v>
      </c>
      <c r="K10" s="309">
        <f ca="1">IF(A1taxstdlife="N/A","n/a",IF(J10=0,0,A1taxstdlife+I10-Input!$W$7))</f>
        <v>16</v>
      </c>
      <c r="L10" s="279"/>
      <c r="M10" s="308"/>
      <c r="N10" s="308"/>
      <c r="O10" s="268"/>
      <c r="P10" s="268"/>
      <c r="Q10" s="268"/>
      <c r="R10" s="268"/>
      <c r="S10" s="258"/>
      <c r="T10" s="258"/>
      <c r="U10" s="258"/>
      <c r="V10" s="258"/>
      <c r="W10" s="258"/>
      <c r="X10" s="258"/>
      <c r="Y10" s="258"/>
      <c r="Z10" s="258"/>
      <c r="AA10" s="341"/>
      <c r="AB10" s="334"/>
      <c r="AC10" s="335"/>
      <c r="AD10" s="335"/>
      <c r="AE10" s="335"/>
      <c r="AF10" s="335"/>
    </row>
    <row r="11" spans="1:38" hidden="1" outlineLevel="1">
      <c r="A11" s="271"/>
      <c r="B11" s="271"/>
      <c r="C11" s="662"/>
      <c r="D11" s="280">
        <v>2</v>
      </c>
      <c r="E11" s="275">
        <f ca="1">OFFSET('Actual RAB roll forward'!H$12,0,D11-1)-SUM('Actual RAB roll forward'!H47:OFFSET('Actual RAB roll forward'!H47,0,Input!$W$7-1))</f>
        <v>89.355573537205387</v>
      </c>
      <c r="F11" s="275">
        <f ca="1">IF(A1stdlife="N/A","n/a",IF(E11=0,0,A1stdlife+D11-Input!$W$7))</f>
        <v>57</v>
      </c>
      <c r="G11" s="276"/>
      <c r="H11" s="664"/>
      <c r="I11" s="280">
        <v>2</v>
      </c>
      <c r="J11" s="309">
        <f ca="1">OFFSET('Tax value roll forward'!G$40,0,I11)-SUM('Tax value roll forward'!G76:OFFSET('Tax value roll forward'!G76,0,Input!$W$7))</f>
        <v>83.572364248047506</v>
      </c>
      <c r="K11" s="309">
        <f ca="1">IF(A1taxstdlife="N/A","n/a",IF(J11=0,0,A1taxstdlife+I11-Input!$W$7))</f>
        <v>17</v>
      </c>
      <c r="L11" s="279"/>
      <c r="M11" s="308"/>
      <c r="N11" s="308"/>
      <c r="O11" s="268"/>
      <c r="P11" s="268"/>
      <c r="Q11" s="268"/>
      <c r="R11" s="268"/>
      <c r="S11" s="258"/>
      <c r="T11" s="258"/>
      <c r="U11" s="258"/>
      <c r="V11" s="258"/>
      <c r="W11" s="258"/>
      <c r="X11" s="258"/>
      <c r="Y11" s="258"/>
      <c r="Z11" s="258"/>
      <c r="AA11" s="341"/>
      <c r="AB11" s="334"/>
      <c r="AC11" s="335"/>
      <c r="AD11" s="335"/>
      <c r="AE11" s="335"/>
      <c r="AF11" s="335"/>
    </row>
    <row r="12" spans="1:38" hidden="1" outlineLevel="1">
      <c r="A12" s="271"/>
      <c r="B12" s="271"/>
      <c r="C12" s="662"/>
      <c r="D12" s="280">
        <v>3</v>
      </c>
      <c r="E12" s="275">
        <f ca="1">OFFSET('Actual RAB roll forward'!H$12,0,D12-1)-SUM('Actual RAB roll forward'!H48:OFFSET('Actual RAB roll forward'!H48,0,Input!$W$7-1))</f>
        <v>94.615678992178658</v>
      </c>
      <c r="F12" s="275">
        <f ca="1">IF(A1stdlife="N/A","n/a",IF(E12=0,0,A1stdlife+D12-Input!$W$7))</f>
        <v>58</v>
      </c>
      <c r="G12" s="276"/>
      <c r="H12" s="664"/>
      <c r="I12" s="280">
        <v>3</v>
      </c>
      <c r="J12" s="309">
        <f ca="1">OFFSET('Tax value roll forward'!G$40,0,I12)-SUM('Tax value roll forward'!G77:OFFSET('Tax value roll forward'!G77,0,Input!$W$7))</f>
        <v>93.378563532482303</v>
      </c>
      <c r="K12" s="309">
        <f ca="1">IF(A1taxstdlife="N/A","n/a",IF(J12=0,0,A1taxstdlife+I12-Input!$W$7))</f>
        <v>18</v>
      </c>
      <c r="L12" s="279"/>
      <c r="M12" s="308"/>
      <c r="N12" s="308"/>
      <c r="O12" s="268"/>
      <c r="P12" s="268"/>
      <c r="Q12" s="268"/>
      <c r="R12" s="268"/>
      <c r="S12" s="258"/>
      <c r="T12" s="258"/>
      <c r="U12" s="258"/>
      <c r="V12" s="258"/>
      <c r="W12" s="258"/>
      <c r="X12" s="258"/>
      <c r="Y12" s="258"/>
      <c r="Z12" s="258"/>
      <c r="AA12" s="341"/>
      <c r="AB12" s="334"/>
      <c r="AC12" s="335"/>
      <c r="AD12" s="335"/>
      <c r="AE12" s="335"/>
      <c r="AF12" s="335"/>
    </row>
    <row r="13" spans="1:38" hidden="1" outlineLevel="1">
      <c r="A13" s="271"/>
      <c r="B13" s="271"/>
      <c r="C13" s="662"/>
      <c r="D13" s="280">
        <v>4</v>
      </c>
      <c r="E13" s="275">
        <f ca="1">OFFSET('Actual RAB roll forward'!H$12,0,D13-1)-SUM('Actual RAB roll forward'!H49:OFFSET('Actual RAB roll forward'!H49,0,Input!$W$7-1))</f>
        <v>67.998714489365554</v>
      </c>
      <c r="F13" s="275">
        <f ca="1">IF(A1stdlife="N/A","n/a",IF(E13=0,0,A1stdlife+D13-Input!$W$7))</f>
        <v>59</v>
      </c>
      <c r="G13" s="276"/>
      <c r="H13" s="664"/>
      <c r="I13" s="280">
        <v>4</v>
      </c>
      <c r="J13" s="309">
        <f ca="1">OFFSET('Tax value roll forward'!G$40,0,I13)-SUM('Tax value roll forward'!G78:OFFSET('Tax value roll forward'!G78,0,Input!$W$7))</f>
        <v>73.780312454156473</v>
      </c>
      <c r="K13" s="309">
        <f ca="1">IF(A1taxstdlife="N/A","n/a",IF(J13=0,0,A1taxstdlife+I13-Input!$W$7))</f>
        <v>19</v>
      </c>
      <c r="L13" s="279"/>
      <c r="M13" s="308"/>
      <c r="N13" s="308"/>
      <c r="O13" s="268"/>
      <c r="P13" s="268"/>
      <c r="Q13" s="268"/>
      <c r="R13" s="268"/>
      <c r="S13" s="258"/>
      <c r="T13" s="258"/>
      <c r="U13" s="258"/>
      <c r="V13" s="258"/>
      <c r="W13" s="258"/>
      <c r="X13" s="258"/>
      <c r="Y13" s="258"/>
      <c r="Z13" s="258"/>
      <c r="AA13" s="341"/>
      <c r="AB13" s="334"/>
      <c r="AC13" s="335"/>
      <c r="AD13" s="335"/>
      <c r="AE13" s="335"/>
      <c r="AF13" s="335"/>
    </row>
    <row r="14" spans="1:38" hidden="1" outlineLevel="1">
      <c r="A14" s="271"/>
      <c r="B14" s="271"/>
      <c r="C14" s="662"/>
      <c r="D14" s="280">
        <v>5</v>
      </c>
      <c r="E14" s="275">
        <f ca="1">OFFSET('Actual RAB roll forward'!H$12,0,D14-1)-SUM('Actual RAB roll forward'!H50:OFFSET('Actual RAB roll forward'!H50,0,Input!$W$7-1))</f>
        <v>67.241664642574776</v>
      </c>
      <c r="F14" s="275">
        <f ca="1">IF(A1stdlife="N/A","n/a",IF(E14=0,0,A1stdlife+D14-Input!$W$7))</f>
        <v>60</v>
      </c>
      <c r="G14" s="276"/>
      <c r="H14" s="664"/>
      <c r="I14" s="280">
        <v>5</v>
      </c>
      <c r="J14" s="309">
        <f ca="1">OFFSET('Tax value roll forward'!G$40,0,I14)-SUM('Tax value roll forward'!G79:OFFSET('Tax value roll forward'!G79,0,Input!$W$7))</f>
        <v>83.55</v>
      </c>
      <c r="K14" s="309">
        <f ca="1">IF(A1taxstdlife="N/A","n/a",IF(J14=0,0,A1taxstdlife+I14-Input!$W$7))</f>
        <v>20</v>
      </c>
      <c r="L14" s="279"/>
      <c r="M14" s="308"/>
      <c r="N14" s="308"/>
      <c r="O14" s="268"/>
      <c r="P14" s="268"/>
      <c r="Q14" s="268"/>
      <c r="R14" s="268"/>
      <c r="S14" s="258"/>
      <c r="T14" s="258"/>
      <c r="U14" s="258"/>
      <c r="V14" s="258"/>
      <c r="W14" s="258"/>
      <c r="X14" s="258"/>
      <c r="Y14" s="258"/>
      <c r="Z14" s="258"/>
      <c r="AA14" s="341"/>
      <c r="AB14" s="334"/>
      <c r="AC14" s="335"/>
      <c r="AD14" s="335"/>
      <c r="AE14" s="335"/>
      <c r="AF14" s="335"/>
    </row>
    <row r="15" spans="1:38" hidden="1" outlineLevel="1">
      <c r="A15" s="271"/>
      <c r="B15" s="271"/>
      <c r="C15" s="662"/>
      <c r="D15" s="280">
        <v>6</v>
      </c>
      <c r="E15" s="275">
        <f ca="1">OFFSET('Actual RAB roll forward'!H$12,0,D15-1)-SUM('Actual RAB roll forward'!H51:OFFSET('Actual RAB roll forward'!H51,0,Input!$W$7-1))</f>
        <v>0</v>
      </c>
      <c r="F15" s="275">
        <f ca="1">IF(A1stdlife="N/A","n/a",IF(E15=0,0,A1stdlife+D15-Input!$W$7))</f>
        <v>0</v>
      </c>
      <c r="G15" s="276"/>
      <c r="H15" s="664"/>
      <c r="I15" s="280">
        <v>6</v>
      </c>
      <c r="J15" s="309">
        <f ca="1">OFFSET('Tax value roll forward'!G$40,0,I15)-SUM('Tax value roll forward'!G80:OFFSET('Tax value roll forward'!G80,0,Input!$W$7))</f>
        <v>0</v>
      </c>
      <c r="K15" s="309">
        <f ca="1">IF(A1taxstdlife="N/A","n/a",IF(J15=0,0,A1taxstdlife+I15-Input!$W$7))</f>
        <v>0</v>
      </c>
      <c r="L15" s="279"/>
      <c r="M15" s="308"/>
      <c r="N15" s="308"/>
      <c r="O15" s="268"/>
      <c r="P15" s="268"/>
      <c r="Q15" s="268"/>
      <c r="R15" s="268"/>
      <c r="S15" s="258"/>
      <c r="T15" s="258"/>
      <c r="U15" s="258"/>
      <c r="V15" s="258"/>
      <c r="W15" s="258"/>
      <c r="X15" s="258"/>
      <c r="Y15" s="258"/>
      <c r="Z15" s="258"/>
    </row>
    <row r="16" spans="1:38" hidden="1" outlineLevel="1">
      <c r="A16" s="271"/>
      <c r="B16" s="271"/>
      <c r="C16" s="662"/>
      <c r="D16" s="280">
        <v>7</v>
      </c>
      <c r="E16" s="275">
        <f ca="1">OFFSET('Actual RAB roll forward'!H$12,0,D16-1)-SUM('Actual RAB roll forward'!H52:OFFSET('Actual RAB roll forward'!H52,0,Input!$W$7-1))</f>
        <v>0</v>
      </c>
      <c r="F16" s="275">
        <f ca="1">IF(A1stdlife="N/A","n/a",IF(E16=0,0,A1stdlife+D16-Input!$W$7))</f>
        <v>0</v>
      </c>
      <c r="G16" s="276"/>
      <c r="H16" s="664"/>
      <c r="I16" s="280">
        <v>7</v>
      </c>
      <c r="J16" s="309">
        <f ca="1">OFFSET('Tax value roll forward'!G$40,0,I16)-SUM('Tax value roll forward'!G81:OFFSET('Tax value roll forward'!G81,0,Input!$W$7))</f>
        <v>0</v>
      </c>
      <c r="K16" s="309">
        <f ca="1">IF(A1taxstdlife="N/A","n/a",IF(J16=0,0,A1taxstdlife+I16-Input!$W$7))</f>
        <v>0</v>
      </c>
      <c r="L16" s="279"/>
      <c r="M16" s="308"/>
      <c r="N16" s="308"/>
      <c r="O16" s="268"/>
      <c r="P16" s="268"/>
      <c r="Q16" s="268"/>
      <c r="R16" s="268"/>
      <c r="S16" s="258"/>
      <c r="T16" s="258"/>
      <c r="U16" s="258"/>
      <c r="V16" s="258"/>
      <c r="W16" s="258"/>
      <c r="X16" s="258"/>
      <c r="Y16" s="258"/>
      <c r="Z16" s="258"/>
    </row>
    <row r="17" spans="1:38" hidden="1" outlineLevel="1">
      <c r="A17" s="271"/>
      <c r="B17" s="271"/>
      <c r="C17" s="662"/>
      <c r="D17" s="280">
        <v>8</v>
      </c>
      <c r="E17" s="275">
        <f ca="1">OFFSET('Actual RAB roll forward'!H$12,0,D17-1)-SUM('Actual RAB roll forward'!H53:OFFSET('Actual RAB roll forward'!H53,0,Input!$W$7-1))</f>
        <v>0</v>
      </c>
      <c r="F17" s="275">
        <f ca="1">IF(A1stdlife="N/A","n/a",IF(E17=0,0,A1stdlife+D17-Input!$W$7))</f>
        <v>0</v>
      </c>
      <c r="G17" s="276"/>
      <c r="H17" s="664"/>
      <c r="I17" s="280">
        <v>8</v>
      </c>
      <c r="J17" s="309">
        <f ca="1">OFFSET('Tax value roll forward'!G$40,0,I17)-SUM('Tax value roll forward'!G82:OFFSET('Tax value roll forward'!G82,0,Input!$W$7))</f>
        <v>0</v>
      </c>
      <c r="K17" s="309">
        <f ca="1">IF(A1taxstdlife="N/A","n/a",IF(J17=0,0,A1taxstdlife+I17-Input!$W$7))</f>
        <v>0</v>
      </c>
      <c r="L17" s="279"/>
      <c r="M17" s="308"/>
      <c r="N17" s="308"/>
      <c r="O17" s="268"/>
      <c r="P17" s="268"/>
      <c r="Q17" s="268"/>
      <c r="R17" s="268"/>
      <c r="S17" s="258"/>
      <c r="T17" s="258"/>
      <c r="U17" s="258"/>
      <c r="V17" s="258"/>
      <c r="W17" s="258"/>
      <c r="X17" s="258"/>
      <c r="Y17" s="258"/>
      <c r="Z17" s="258"/>
    </row>
    <row r="18" spans="1:38" hidden="1" outlineLevel="1">
      <c r="A18" s="271"/>
      <c r="B18" s="271"/>
      <c r="C18" s="662"/>
      <c r="D18" s="280">
        <v>9</v>
      </c>
      <c r="E18" s="275">
        <f ca="1">OFFSET('Actual RAB roll forward'!H$12,0,D18-1)-SUM('Actual RAB roll forward'!H54:OFFSET('Actual RAB roll forward'!H54,0,Input!$W$7-1))</f>
        <v>0</v>
      </c>
      <c r="F18" s="275">
        <f ca="1">IF(A1stdlife="N/A","n/a",IF(E18=0,0,A1stdlife+D18-Input!$W$7))</f>
        <v>0</v>
      </c>
      <c r="G18" s="276"/>
      <c r="H18" s="664"/>
      <c r="I18" s="280">
        <v>9</v>
      </c>
      <c r="J18" s="309">
        <f ca="1">OFFSET('Tax value roll forward'!G$40,0,I18)-SUM('Tax value roll forward'!G83:OFFSET('Tax value roll forward'!G83,0,Input!$W$7))</f>
        <v>0</v>
      </c>
      <c r="K18" s="309">
        <f ca="1">IF(A1taxstdlife="N/A","n/a",IF(J18=0,0,A1taxstdlife+I18-Input!$W$7))</f>
        <v>0</v>
      </c>
      <c r="L18" s="279"/>
      <c r="M18" s="308"/>
      <c r="N18" s="308"/>
      <c r="O18" s="268"/>
      <c r="P18" s="268"/>
      <c r="Q18" s="268"/>
      <c r="R18" s="268"/>
      <c r="S18" s="258"/>
      <c r="T18" s="258"/>
      <c r="U18" s="258"/>
      <c r="V18" s="327"/>
      <c r="W18" s="258"/>
      <c r="X18" s="258"/>
      <c r="Y18" s="258"/>
      <c r="Z18" s="258"/>
    </row>
    <row r="19" spans="1:38" hidden="1" outlineLevel="1">
      <c r="A19" s="271"/>
      <c r="B19" s="271"/>
      <c r="C19" s="663"/>
      <c r="D19" s="281">
        <v>10</v>
      </c>
      <c r="E19" s="275">
        <f ca="1">OFFSET('Actual RAB roll forward'!H$12,0,D19-1)-SUM('Actual RAB roll forward'!H55:OFFSET('Actual RAB roll forward'!H55,0,Input!$W$7-1))</f>
        <v>0</v>
      </c>
      <c r="F19" s="275">
        <f ca="1">IF(A1stdlife="N/A","n/a",IF(E19=0,0,A1stdlife+D19-Input!$W$7))</f>
        <v>0</v>
      </c>
      <c r="G19" s="276"/>
      <c r="H19" s="665"/>
      <c r="I19" s="281">
        <v>10</v>
      </c>
      <c r="J19" s="309">
        <f ca="1">OFFSET('Tax value roll forward'!G$40,0,I19)-SUM('Tax value roll forward'!G84:OFFSET('Tax value roll forward'!G84,0,Input!$W$7))</f>
        <v>0</v>
      </c>
      <c r="K19" s="309">
        <f ca="1">IF(A1taxstdlife="N/A","n/a",IF(J19=0,0,A1taxstdlife+I19-Input!$W$7))</f>
        <v>0</v>
      </c>
      <c r="M19" s="308"/>
      <c r="N19" s="308"/>
      <c r="O19" s="268"/>
      <c r="P19" s="268"/>
      <c r="Q19" s="268"/>
      <c r="R19" s="268"/>
      <c r="S19" s="258"/>
      <c r="T19" s="258"/>
      <c r="U19" s="258"/>
      <c r="V19" s="328"/>
      <c r="W19" s="284"/>
      <c r="X19" s="284"/>
      <c r="Y19" s="284"/>
      <c r="Z19" s="284"/>
    </row>
    <row r="20" spans="1:38" collapsed="1">
      <c r="A20" s="271"/>
      <c r="B20" s="271"/>
      <c r="C20" s="279" t="str">
        <f>Asset1</f>
        <v>Mains &amp; Services</v>
      </c>
      <c r="D20" s="271"/>
      <c r="E20" s="275">
        <f ca="1">SUM(E8:E19)</f>
        <v>1265.6396692503286</v>
      </c>
      <c r="F20" s="275">
        <f ca="1">IF(E20=0,0,SUMPRODUCT(E8:E19,F8:F19)/E20)</f>
        <v>42.931543683418973</v>
      </c>
      <c r="G20" s="276"/>
      <c r="H20" s="283"/>
      <c r="I20" s="275"/>
      <c r="J20" s="309">
        <f ca="1">SUM(J8:J19)</f>
        <v>463.08547463878534</v>
      </c>
      <c r="K20" s="309">
        <f ca="1">IF(J20=0,0,SUMPRODUCT(J8:J19,K8:K19)/J20)</f>
        <v>17.661339473615708</v>
      </c>
      <c r="L20" s="279"/>
      <c r="M20" s="308"/>
      <c r="N20" s="308"/>
      <c r="O20" s="268"/>
      <c r="P20" s="268"/>
      <c r="Q20" s="268"/>
      <c r="R20" s="268"/>
      <c r="S20" s="258"/>
      <c r="T20" s="326"/>
      <c r="U20" s="258"/>
      <c r="V20" s="112"/>
      <c r="W20" s="112"/>
      <c r="X20" s="112"/>
      <c r="Y20" s="112"/>
      <c r="Z20" s="112"/>
    </row>
    <row r="21" spans="1:38" hidden="1" outlineLevel="1">
      <c r="A21" s="271"/>
      <c r="B21" s="284"/>
      <c r="C21" s="279"/>
      <c r="D21" s="271"/>
      <c r="E21" s="275"/>
      <c r="F21" s="275"/>
      <c r="G21" s="276"/>
      <c r="H21" s="275"/>
      <c r="I21" s="275"/>
      <c r="J21" s="275"/>
      <c r="K21" s="275"/>
      <c r="L21" s="279"/>
      <c r="M21" s="308"/>
      <c r="N21" s="308"/>
      <c r="O21" s="268"/>
      <c r="P21" s="268"/>
      <c r="Q21" s="268"/>
      <c r="R21" s="268"/>
      <c r="S21" s="258"/>
      <c r="T21" s="258"/>
      <c r="U21" s="307"/>
      <c r="V21" s="329"/>
      <c r="W21" s="329"/>
      <c r="X21" s="329"/>
      <c r="Y21" s="329"/>
      <c r="Z21" s="329"/>
      <c r="AA21" s="338"/>
    </row>
    <row r="22" spans="1:38" hidden="1" outlineLevel="1">
      <c r="A22" s="271"/>
      <c r="B22" s="274" t="str">
        <f>Asset2</f>
        <v>Meters</v>
      </c>
      <c r="C22" s="285"/>
      <c r="D22" s="286"/>
      <c r="E22" s="287"/>
      <c r="F22" s="275"/>
      <c r="G22" s="276"/>
      <c r="H22" s="275"/>
      <c r="I22" s="275"/>
      <c r="J22" s="275"/>
      <c r="K22" s="275"/>
      <c r="L22" s="279"/>
      <c r="M22" s="308"/>
      <c r="N22" s="308"/>
      <c r="O22" s="268"/>
      <c r="P22" s="268"/>
      <c r="Q22" s="268"/>
      <c r="R22" s="268"/>
      <c r="S22" s="258"/>
      <c r="T22" s="258"/>
      <c r="U22" s="307"/>
      <c r="V22" s="329"/>
      <c r="W22" s="329"/>
      <c r="X22" s="329"/>
      <c r="Y22" s="329"/>
      <c r="Z22" s="329"/>
      <c r="AA22" s="339"/>
      <c r="AB22" s="335"/>
      <c r="AC22" s="335"/>
      <c r="AD22" s="335"/>
      <c r="AE22" s="335"/>
      <c r="AF22" s="335"/>
      <c r="AH22" s="342"/>
      <c r="AI22" s="342"/>
      <c r="AJ22" s="342"/>
      <c r="AK22" s="342"/>
      <c r="AL22" s="342"/>
    </row>
    <row r="23" spans="1:38" ht="12.75" hidden="1" customHeight="1" outlineLevel="1">
      <c r="A23" s="271"/>
      <c r="B23" s="271"/>
      <c r="C23" s="659" t="s">
        <v>28</v>
      </c>
      <c r="D23" s="660"/>
      <c r="E23" s="275">
        <f ca="1">A2value-SUM('Actual RAB roll forward'!H57:OFFSET('Actual RAB roll forward'!H57,0,Input!$W$7-1))</f>
        <v>36.056486382110499</v>
      </c>
      <c r="F23" s="275">
        <f ca="1">IF(A2remlife="N/A","n/a",IF(E23=0,0,A2remlife-Input!$W$7))</f>
        <v>3.0232974801028369</v>
      </c>
      <c r="G23" s="276"/>
      <c r="H23" s="277" t="s">
        <v>67</v>
      </c>
      <c r="I23" s="278"/>
      <c r="J23" s="275">
        <f ca="1">A2taxvalue-SUM('Tax value roll forward'!G86:OFFSET('Tax value roll forward'!G86,0,Input!$W$7))</f>
        <v>0</v>
      </c>
      <c r="K23" s="321">
        <f ca="1">IF(A2taxremlife="N/A","n/a",IF(J23=0,0,A2taxremlife-Input!$W$7-1))</f>
        <v>0</v>
      </c>
      <c r="L23" s="279"/>
      <c r="M23" s="308"/>
      <c r="N23" s="308"/>
      <c r="O23" s="268"/>
      <c r="P23" s="268"/>
      <c r="Q23" s="268"/>
      <c r="R23" s="268"/>
      <c r="S23" s="258"/>
      <c r="T23" s="258"/>
      <c r="U23" s="307"/>
      <c r="V23" s="329"/>
      <c r="W23" s="329"/>
      <c r="X23" s="329"/>
      <c r="Y23" s="329"/>
      <c r="Z23" s="329"/>
      <c r="AA23" s="340"/>
      <c r="AB23" s="334"/>
      <c r="AC23" s="335"/>
      <c r="AD23" s="335"/>
      <c r="AE23" s="335"/>
      <c r="AF23" s="335"/>
    </row>
    <row r="24" spans="1:38" ht="12.75" hidden="1" customHeight="1" outlineLevel="1">
      <c r="A24" s="271"/>
      <c r="B24" s="271"/>
      <c r="C24" s="666" t="s">
        <v>84</v>
      </c>
      <c r="D24" s="320">
        <f>D$9</f>
        <v>0</v>
      </c>
      <c r="E24" s="275"/>
      <c r="F24" s="275"/>
      <c r="G24" s="276"/>
      <c r="H24" s="666" t="s">
        <v>84</v>
      </c>
      <c r="I24" s="320">
        <v>0</v>
      </c>
      <c r="J24" s="321">
        <f ca="1">OFFSET('Tax value roll forward'!G$41,0,I24)-SUM('Tax value roll forward'!G88:OFFSET('Tax value roll forward'!G88,0,Input!$W$7))</f>
        <v>0</v>
      </c>
      <c r="K24" s="321">
        <f ca="1">IF(A2taxstdlife="N/A","n/a",IF(J24=0,0,A2taxstdlife+I24-Input!$W$7))</f>
        <v>0</v>
      </c>
      <c r="L24" s="279"/>
      <c r="M24" s="308"/>
      <c r="N24" s="308"/>
      <c r="O24" s="268"/>
      <c r="P24" s="268"/>
      <c r="Q24" s="268"/>
      <c r="R24" s="268"/>
      <c r="S24" s="258"/>
      <c r="T24" s="258"/>
      <c r="U24" s="307"/>
      <c r="V24" s="329"/>
      <c r="W24" s="329"/>
      <c r="X24" s="329"/>
      <c r="Y24" s="329"/>
      <c r="Z24" s="329"/>
      <c r="AA24" s="341"/>
      <c r="AB24" s="334"/>
      <c r="AC24" s="335"/>
      <c r="AD24" s="335"/>
      <c r="AE24" s="335"/>
      <c r="AF24" s="335"/>
    </row>
    <row r="25" spans="1:38" ht="12.75" hidden="1" customHeight="1" outlineLevel="1">
      <c r="A25" s="271"/>
      <c r="B25" s="271"/>
      <c r="C25" s="667"/>
      <c r="D25" s="280">
        <f>D$10</f>
        <v>1</v>
      </c>
      <c r="E25" s="275">
        <f ca="1">OFFSET('Actual RAB roll forward'!H$13,0,D25-1)-SUM('Actual RAB roll forward'!H59:OFFSET('Actual RAB roll forward'!H59,0,Input!$W$7-1))</f>
        <v>6.4255639787485226</v>
      </c>
      <c r="F25" s="275">
        <f ca="1">IF(A2stdlife="N/A","n/a",IF(E25=0,0,A2stdlife+D25-Input!$W$7))</f>
        <v>11</v>
      </c>
      <c r="G25" s="276"/>
      <c r="H25" s="667"/>
      <c r="I25" s="280">
        <v>1</v>
      </c>
      <c r="J25" s="275">
        <f ca="1">OFFSET('Tax value roll forward'!G$41,0,I25)-SUM('Tax value roll forward'!G89:OFFSET('Tax value roll forward'!G89,0,Input!$W$7))</f>
        <v>0</v>
      </c>
      <c r="K25" s="275">
        <f ca="1">IF(A2taxstdlife="N/A","n/a",IF(J25=0,0,A2taxstdlife+I25-Input!$W$7))</f>
        <v>0</v>
      </c>
      <c r="L25" s="279"/>
      <c r="M25" s="308"/>
      <c r="N25" s="308"/>
      <c r="O25" s="268"/>
      <c r="P25" s="268"/>
      <c r="Q25" s="268"/>
      <c r="R25" s="268"/>
      <c r="S25" s="258"/>
      <c r="T25" s="258"/>
      <c r="U25" s="307"/>
      <c r="V25" s="329"/>
      <c r="W25" s="329"/>
      <c r="X25" s="329"/>
      <c r="Y25" s="329"/>
      <c r="Z25" s="329"/>
      <c r="AA25" s="341"/>
      <c r="AB25" s="334"/>
      <c r="AC25" s="335"/>
      <c r="AD25" s="335"/>
      <c r="AE25" s="335"/>
      <c r="AF25" s="335"/>
    </row>
    <row r="26" spans="1:38" hidden="1" outlineLevel="1">
      <c r="A26" s="271"/>
      <c r="B26" s="271"/>
      <c r="C26" s="667"/>
      <c r="D26" s="280">
        <f>D$11</f>
        <v>2</v>
      </c>
      <c r="E26" s="275">
        <f ca="1">OFFSET('Actual RAB roll forward'!H$13,0,D26-1)-SUM('Actual RAB roll forward'!H60:OFFSET('Actual RAB roll forward'!H60,0,Input!$W$7-1))</f>
        <v>7.8994766207343741</v>
      </c>
      <c r="F26" s="275">
        <f ca="1">IF(A2stdlife="N/A","n/a",IF(E26=0,0,A2stdlife+D26-Input!$W$7))</f>
        <v>12</v>
      </c>
      <c r="G26" s="276"/>
      <c r="H26" s="667"/>
      <c r="I26" s="280">
        <v>2</v>
      </c>
      <c r="J26" s="275">
        <f ca="1">OFFSET('Tax value roll forward'!G$41,0,I26)-SUM('Tax value roll forward'!G90:OFFSET('Tax value roll forward'!G90,0,Input!$W$7))</f>
        <v>2.6273647810910923</v>
      </c>
      <c r="K26" s="275">
        <f ca="1">IF(A2taxstdlife="N/A","n/a",IF(J26=0,0,A2taxstdlife+I26-Input!$W$7))</f>
        <v>1</v>
      </c>
      <c r="L26" s="279"/>
      <c r="M26" s="308"/>
      <c r="N26" s="308"/>
      <c r="O26" s="268"/>
      <c r="P26" s="268"/>
      <c r="Q26" s="268"/>
      <c r="R26" s="268"/>
      <c r="S26" s="258"/>
      <c r="T26" s="258"/>
      <c r="U26" s="307"/>
      <c r="V26" s="329"/>
      <c r="W26" s="329"/>
      <c r="X26" s="329"/>
      <c r="Y26" s="329"/>
      <c r="Z26" s="329"/>
      <c r="AA26" s="341"/>
      <c r="AB26" s="334"/>
      <c r="AC26" s="335"/>
      <c r="AD26" s="335"/>
      <c r="AE26" s="335"/>
      <c r="AF26" s="335"/>
    </row>
    <row r="27" spans="1:38" hidden="1" outlineLevel="1">
      <c r="A27" s="271"/>
      <c r="B27" s="271"/>
      <c r="C27" s="667"/>
      <c r="D27" s="280">
        <f>D$12</f>
        <v>3</v>
      </c>
      <c r="E27" s="275">
        <f ca="1">OFFSET('Actual RAB roll forward'!H$13,0,D27-1)-SUM('Actual RAB roll forward'!H61:OFFSET('Actual RAB roll forward'!H61,0,Input!$W$7-1))</f>
        <v>7.7936938351486136</v>
      </c>
      <c r="F27" s="275">
        <f ca="1">IF(A2stdlife="N/A","n/a",IF(E27=0,0,A2stdlife+D27-Input!$W$7))</f>
        <v>13</v>
      </c>
      <c r="G27" s="276"/>
      <c r="H27" s="667"/>
      <c r="I27" s="280">
        <v>3</v>
      </c>
      <c r="J27" s="275">
        <f ca="1">OFFSET('Tax value roll forward'!G$41,0,I27)-SUM('Tax value roll forward'!G91:OFFSET('Tax value roll forward'!G91,0,Input!$W$7))</f>
        <v>4.8049429944175674</v>
      </c>
      <c r="K27" s="275">
        <f ca="1">IF(A2taxstdlife="N/A","n/a",IF(J27=0,0,A2taxstdlife+I27-Input!$W$7))</f>
        <v>2</v>
      </c>
      <c r="L27" s="279"/>
      <c r="M27" s="308"/>
      <c r="N27" s="308"/>
      <c r="O27" s="268"/>
      <c r="P27" s="268"/>
      <c r="Q27" s="268"/>
      <c r="R27" s="268"/>
      <c r="S27" s="258"/>
      <c r="T27" s="258"/>
      <c r="U27" s="258"/>
      <c r="V27" s="258"/>
      <c r="W27" s="258"/>
      <c r="X27" s="258"/>
      <c r="Y27" s="258"/>
      <c r="Z27" s="258"/>
      <c r="AA27" s="341"/>
      <c r="AB27" s="334"/>
      <c r="AC27" s="335"/>
      <c r="AD27" s="335"/>
      <c r="AE27" s="335"/>
      <c r="AF27" s="335"/>
    </row>
    <row r="28" spans="1:38" hidden="1" outlineLevel="1">
      <c r="A28" s="271"/>
      <c r="B28" s="271"/>
      <c r="C28" s="667"/>
      <c r="D28" s="280">
        <f>D$13</f>
        <v>4</v>
      </c>
      <c r="E28" s="275">
        <f ca="1">OFFSET('Actual RAB roll forward'!H$13,0,D28-1)-SUM('Actual RAB roll forward'!H62:OFFSET('Actual RAB roll forward'!H62,0,Input!$W$7-1))</f>
        <v>9.6495778260003249</v>
      </c>
      <c r="F28" s="275">
        <f ca="1">IF(A2stdlife="N/A","n/a",IF(E28=0,0,A2stdlife+D28-Input!$W$7))</f>
        <v>14</v>
      </c>
      <c r="G28" s="276"/>
      <c r="H28" s="667"/>
      <c r="I28" s="280">
        <v>4</v>
      </c>
      <c r="J28" s="275">
        <f ca="1">OFFSET('Tax value roll forward'!G$41,0,I28)-SUM('Tax value roll forward'!G92:OFFSET('Tax value roll forward'!G92,0,Input!$W$7))</f>
        <v>8.4833371553904868</v>
      </c>
      <c r="K28" s="275">
        <f ca="1">IF(A2taxstdlife="N/A","n/a",IF(J28=0,0,A2taxstdlife+I28-Input!$W$7))</f>
        <v>3</v>
      </c>
      <c r="L28" s="279"/>
      <c r="M28" s="308"/>
      <c r="N28" s="308"/>
      <c r="O28" s="268"/>
      <c r="P28" s="268"/>
      <c r="Q28" s="268"/>
      <c r="R28" s="268"/>
      <c r="S28" s="258"/>
      <c r="T28" s="258"/>
      <c r="U28" s="258"/>
      <c r="V28" s="258"/>
      <c r="W28" s="258"/>
      <c r="X28" s="258"/>
      <c r="Y28" s="258"/>
      <c r="Z28" s="258"/>
      <c r="AA28" s="341"/>
      <c r="AB28" s="334"/>
      <c r="AC28" s="335"/>
      <c r="AD28" s="335"/>
      <c r="AE28" s="335"/>
      <c r="AF28" s="335"/>
    </row>
    <row r="29" spans="1:38" hidden="1" outlineLevel="1">
      <c r="A29" s="271"/>
      <c r="B29" s="271"/>
      <c r="C29" s="667"/>
      <c r="D29" s="280">
        <f>D$14</f>
        <v>5</v>
      </c>
      <c r="E29" s="275">
        <f ca="1">OFFSET('Actual RAB roll forward'!H$13,0,D29-1)-SUM('Actual RAB roll forward'!H63:OFFSET('Actual RAB roll forward'!H63,0,Input!$W$7-1))</f>
        <v>14.369322884485934</v>
      </c>
      <c r="F29" s="275">
        <f ca="1">IF(A2stdlife="N/A","n/a",IF(E29=0,0,A2stdlife+D29-Input!$W$7))</f>
        <v>15</v>
      </c>
      <c r="G29" s="276"/>
      <c r="H29" s="667"/>
      <c r="I29" s="280">
        <v>5</v>
      </c>
      <c r="J29" s="275">
        <f ca="1">OFFSET('Tax value roll forward'!G$41,0,I29)-SUM('Tax value roll forward'!G93:OFFSET('Tax value roll forward'!G93,0,Input!$W$7))</f>
        <v>15.29</v>
      </c>
      <c r="K29" s="275">
        <f ca="1">IF(A2taxstdlife="N/A","n/a",IF(J29=0,0,A2taxstdlife+I29-Input!$W$7))</f>
        <v>4</v>
      </c>
      <c r="L29" s="279"/>
      <c r="M29" s="308"/>
      <c r="N29" s="308"/>
      <c r="O29" s="268"/>
      <c r="P29" s="268"/>
      <c r="Q29" s="268"/>
      <c r="R29" s="268"/>
      <c r="S29" s="258"/>
      <c r="T29" s="258"/>
      <c r="U29" s="258"/>
      <c r="V29" s="258"/>
      <c r="W29" s="258"/>
      <c r="X29" s="258"/>
      <c r="Y29" s="258"/>
      <c r="Z29" s="258"/>
      <c r="AA29" s="341"/>
      <c r="AB29" s="334"/>
      <c r="AC29" s="335"/>
      <c r="AD29" s="335"/>
      <c r="AE29" s="335"/>
      <c r="AF29" s="335"/>
    </row>
    <row r="30" spans="1:38" hidden="1" outlineLevel="1">
      <c r="A30" s="271"/>
      <c r="B30" s="271"/>
      <c r="C30" s="667"/>
      <c r="D30" s="280">
        <f>D$15</f>
        <v>6</v>
      </c>
      <c r="E30" s="275">
        <f ca="1">OFFSET('Actual RAB roll forward'!H$13,0,D30-1)-SUM('Actual RAB roll forward'!H64:OFFSET('Actual RAB roll forward'!H64,0,Input!$W$7-1))</f>
        <v>0</v>
      </c>
      <c r="F30" s="275">
        <f ca="1">IF(A2stdlife="N/A","n/a",IF(E30=0,0,A2stdlife+D30-Input!$W$7))</f>
        <v>0</v>
      </c>
      <c r="G30" s="276"/>
      <c r="H30" s="667"/>
      <c r="I30" s="280">
        <v>6</v>
      </c>
      <c r="J30" s="275">
        <f ca="1">OFFSET('Tax value roll forward'!G$41,0,I30)-SUM('Tax value roll forward'!G94:OFFSET('Tax value roll forward'!G94,0,Input!$W$7))</f>
        <v>0</v>
      </c>
      <c r="K30" s="275">
        <f ca="1">IF(A2taxstdlife="N/A","n/a",IF(J30=0,0,A2taxstdlife+I30-Input!$W$7))</f>
        <v>0</v>
      </c>
      <c r="L30" s="279"/>
      <c r="M30" s="308"/>
      <c r="N30" s="308"/>
      <c r="O30" s="268"/>
      <c r="P30" s="268"/>
      <c r="Q30" s="268"/>
      <c r="R30" s="268"/>
      <c r="S30" s="258"/>
      <c r="T30" s="258"/>
      <c r="U30" s="258"/>
      <c r="V30" s="258"/>
      <c r="W30" s="258"/>
      <c r="X30" s="258"/>
      <c r="Y30" s="258"/>
      <c r="Z30" s="258"/>
    </row>
    <row r="31" spans="1:38" hidden="1" outlineLevel="1">
      <c r="A31" s="271"/>
      <c r="B31" s="271"/>
      <c r="C31" s="667"/>
      <c r="D31" s="280">
        <f>D$16</f>
        <v>7</v>
      </c>
      <c r="E31" s="275">
        <f ca="1">OFFSET('Actual RAB roll forward'!H$13,0,D31-1)-SUM('Actual RAB roll forward'!H65:OFFSET('Actual RAB roll forward'!H65,0,Input!$W$7-1))</f>
        <v>0</v>
      </c>
      <c r="F31" s="275">
        <f ca="1">IF(A2stdlife="N/A","n/a",IF(E31=0,0,A2stdlife+D31-Input!$W$7))</f>
        <v>0</v>
      </c>
      <c r="G31" s="276"/>
      <c r="H31" s="667"/>
      <c r="I31" s="280">
        <v>7</v>
      </c>
      <c r="J31" s="275">
        <f ca="1">OFFSET('Tax value roll forward'!G$41,0,I31)-SUM('Tax value roll forward'!G95:OFFSET('Tax value roll forward'!G95,0,Input!$W$7))</f>
        <v>0</v>
      </c>
      <c r="K31" s="275">
        <f ca="1">IF(A2taxstdlife="N/A","n/a",IF(J31=0,0,A2taxstdlife+I31-Input!$W$7))</f>
        <v>0</v>
      </c>
      <c r="M31" s="308"/>
      <c r="N31" s="308"/>
      <c r="O31" s="268"/>
      <c r="P31" s="268"/>
      <c r="Q31" s="268"/>
      <c r="R31" s="268"/>
      <c r="S31" s="258"/>
      <c r="T31" s="258"/>
      <c r="U31" s="258"/>
      <c r="V31" s="258"/>
      <c r="W31" s="258"/>
      <c r="X31" s="258"/>
      <c r="Y31" s="258"/>
      <c r="Z31" s="258"/>
    </row>
    <row r="32" spans="1:38" hidden="1" outlineLevel="1">
      <c r="A32" s="271"/>
      <c r="B32" s="271"/>
      <c r="C32" s="667"/>
      <c r="D32" s="280">
        <f>D$17</f>
        <v>8</v>
      </c>
      <c r="E32" s="275">
        <f ca="1">OFFSET('Actual RAB roll forward'!H$13,0,D32-1)-SUM('Actual RAB roll forward'!H66:OFFSET('Actual RAB roll forward'!H66,0,Input!$W$7-1))</f>
        <v>0</v>
      </c>
      <c r="F32" s="275">
        <f ca="1">IF(A2stdlife="N/A","n/a",IF(E32=0,0,A2stdlife+D32-Input!$W$7))</f>
        <v>0</v>
      </c>
      <c r="G32" s="276"/>
      <c r="H32" s="667"/>
      <c r="I32" s="280">
        <v>8</v>
      </c>
      <c r="J32" s="275">
        <f ca="1">OFFSET('Tax value roll forward'!G$41,0,I32)-SUM('Tax value roll forward'!G96:OFFSET('Tax value roll forward'!G96,0,Input!$W$7))</f>
        <v>0</v>
      </c>
      <c r="K32" s="275">
        <f ca="1">IF(A2taxstdlife="N/A","n/a",IF(J32=0,0,A2taxstdlife+I32-Input!$W$7))</f>
        <v>0</v>
      </c>
      <c r="L32" s="279"/>
      <c r="M32" s="308"/>
      <c r="N32" s="308"/>
      <c r="O32" s="268"/>
      <c r="P32" s="268"/>
      <c r="Q32" s="268"/>
      <c r="R32" s="268"/>
      <c r="S32" s="258"/>
      <c r="T32" s="258"/>
      <c r="U32" s="258"/>
      <c r="V32" s="258"/>
      <c r="W32" s="258"/>
      <c r="X32" s="258"/>
      <c r="Y32" s="258"/>
      <c r="Z32" s="258"/>
    </row>
    <row r="33" spans="1:38" hidden="1" outlineLevel="1">
      <c r="A33" s="271"/>
      <c r="B33" s="271"/>
      <c r="C33" s="667"/>
      <c r="D33" s="280">
        <f>D$18</f>
        <v>9</v>
      </c>
      <c r="E33" s="275">
        <f ca="1">OFFSET('Actual RAB roll forward'!H$13,0,D33-1)-SUM('Actual RAB roll forward'!H67:OFFSET('Actual RAB roll forward'!H67,0,Input!$W$7-1))</f>
        <v>0</v>
      </c>
      <c r="F33" s="275">
        <f ca="1">IF(A2stdlife="N/A","n/a",IF(E33=0,0,A2stdlife+D33-Input!$W$7))</f>
        <v>0</v>
      </c>
      <c r="G33" s="276"/>
      <c r="H33" s="667"/>
      <c r="I33" s="280">
        <v>9</v>
      </c>
      <c r="J33" s="275">
        <f ca="1">OFFSET('Tax value roll forward'!G$41,0,I33)-SUM('Tax value roll forward'!G97:OFFSET('Tax value roll forward'!G97,0,Input!$W$7))</f>
        <v>0</v>
      </c>
      <c r="K33" s="275">
        <f ca="1">IF(A2taxstdlife="N/A","n/a",IF(J33=0,0,A2taxstdlife+I33-Input!$W$7))</f>
        <v>0</v>
      </c>
      <c r="L33" s="279"/>
      <c r="M33" s="308"/>
      <c r="N33" s="308"/>
      <c r="O33" s="268"/>
      <c r="P33" s="268"/>
      <c r="Q33" s="268"/>
      <c r="R33" s="268"/>
      <c r="S33" s="258"/>
      <c r="T33" s="258"/>
      <c r="U33" s="258"/>
      <c r="V33" s="258"/>
      <c r="W33" s="258"/>
      <c r="X33" s="258"/>
      <c r="Y33" s="258"/>
      <c r="Z33" s="258"/>
    </row>
    <row r="34" spans="1:38" hidden="1" outlineLevel="1">
      <c r="A34" s="271"/>
      <c r="B34" s="271"/>
      <c r="C34" s="668"/>
      <c r="D34" s="281">
        <f>D$19</f>
        <v>10</v>
      </c>
      <c r="E34" s="275">
        <f ca="1">OFFSET('Actual RAB roll forward'!H$13,0,D34-1)-SUM('Actual RAB roll forward'!H68:OFFSET('Actual RAB roll forward'!H68,0,Input!$W$7-1))</f>
        <v>0</v>
      </c>
      <c r="F34" s="275">
        <f ca="1">IF(A2stdlife="N/A","n/a",IF(E34=0,0,A2stdlife+D34-Input!$W$7))</f>
        <v>0</v>
      </c>
      <c r="G34" s="276"/>
      <c r="H34" s="668"/>
      <c r="I34" s="281">
        <v>10</v>
      </c>
      <c r="J34" s="275">
        <f ca="1">OFFSET('Tax value roll forward'!G$41,0,I34)-SUM('Tax value roll forward'!G98:OFFSET('Tax value roll forward'!G98,0,Input!$W$7))</f>
        <v>0</v>
      </c>
      <c r="K34" s="275">
        <f ca="1">IF(A2taxstdlife="N/A","n/a",IF(J34=0,0,A2taxstdlife+I34-Input!$W$7))</f>
        <v>0</v>
      </c>
      <c r="L34" s="279"/>
      <c r="M34" s="308"/>
      <c r="N34" s="308"/>
      <c r="O34" s="268"/>
      <c r="P34" s="268"/>
      <c r="Q34" s="268"/>
      <c r="R34" s="268"/>
      <c r="S34" s="258"/>
      <c r="T34" s="258"/>
      <c r="U34" s="258"/>
      <c r="V34" s="258"/>
      <c r="W34" s="258"/>
      <c r="X34" s="258"/>
      <c r="Y34" s="258"/>
      <c r="Z34" s="258"/>
    </row>
    <row r="35" spans="1:38" collapsed="1">
      <c r="A35" s="271"/>
      <c r="B35" s="271"/>
      <c r="C35" s="279" t="str">
        <f>Asset2</f>
        <v>Meters</v>
      </c>
      <c r="D35" s="271"/>
      <c r="E35" s="275">
        <f ca="1">SUM(E23:E34)</f>
        <v>82.194121527228276</v>
      </c>
      <c r="F35" s="275">
        <f ca="1">IF(E35=0,0,SUMPRODUCT(E23:E34,F23:F34)/E35)</f>
        <v>8.8380573552699104</v>
      </c>
      <c r="G35" s="276"/>
      <c r="H35" s="283"/>
      <c r="J35" s="309">
        <f ca="1">SUM(J23:J34)</f>
        <v>31.205644930899147</v>
      </c>
      <c r="K35" s="309">
        <f ca="1">IF(J35=0,0,SUMPRODUCT(J23:J34,K23:K34)/J35)</f>
        <v>3.1676083751828279</v>
      </c>
      <c r="L35" s="279"/>
      <c r="M35" s="308"/>
      <c r="N35" s="308"/>
      <c r="O35" s="268"/>
      <c r="P35" s="268"/>
      <c r="Q35" s="268"/>
      <c r="R35" s="268"/>
      <c r="S35" s="258"/>
      <c r="T35" s="258"/>
      <c r="U35" s="258"/>
      <c r="V35" s="258"/>
      <c r="W35" s="258"/>
      <c r="X35" s="258"/>
      <c r="Y35" s="258"/>
      <c r="Z35" s="258"/>
    </row>
    <row r="36" spans="1:38" hidden="1" outlineLevel="1">
      <c r="A36" s="271"/>
      <c r="B36" s="271"/>
      <c r="C36" s="279"/>
      <c r="D36" s="271"/>
      <c r="E36" s="275"/>
      <c r="F36" s="275"/>
      <c r="G36" s="276"/>
      <c r="H36" s="275"/>
      <c r="I36" s="275"/>
      <c r="J36" s="289"/>
      <c r="K36" s="275"/>
      <c r="L36" s="279"/>
      <c r="M36" s="308"/>
      <c r="N36" s="308"/>
      <c r="O36" s="268"/>
      <c r="P36" s="268"/>
      <c r="Q36" s="268"/>
      <c r="R36" s="268"/>
      <c r="S36" s="258"/>
      <c r="T36" s="258"/>
      <c r="U36" s="258"/>
      <c r="V36" s="258"/>
      <c r="W36" s="258"/>
      <c r="X36" s="258"/>
      <c r="Y36" s="258"/>
      <c r="Z36" s="258"/>
      <c r="AA36" s="338"/>
    </row>
    <row r="37" spans="1:38" hidden="1" outlineLevel="1">
      <c r="A37" s="271"/>
      <c r="B37" s="274" t="str">
        <f>Asset3</f>
        <v>Buildings</v>
      </c>
      <c r="C37" s="290"/>
      <c r="D37" s="268"/>
      <c r="E37" s="287"/>
      <c r="F37" s="275"/>
      <c r="G37" s="276"/>
      <c r="H37" s="275"/>
      <c r="I37" s="275"/>
      <c r="J37" s="289"/>
      <c r="K37" s="275"/>
      <c r="L37" s="279"/>
      <c r="M37" s="308"/>
      <c r="N37" s="308"/>
      <c r="O37" s="268"/>
      <c r="P37" s="268"/>
      <c r="Q37" s="268"/>
      <c r="R37" s="268"/>
      <c r="S37" s="258"/>
      <c r="T37" s="258"/>
      <c r="U37" s="258"/>
      <c r="V37" s="258"/>
      <c r="W37" s="258"/>
      <c r="X37" s="258"/>
      <c r="Y37" s="258"/>
      <c r="Z37" s="258"/>
      <c r="AA37" s="339"/>
      <c r="AB37" s="335"/>
      <c r="AC37" s="335"/>
      <c r="AD37" s="335"/>
      <c r="AE37" s="335"/>
      <c r="AF37" s="335"/>
      <c r="AH37" s="342"/>
      <c r="AI37" s="342"/>
      <c r="AJ37" s="342"/>
      <c r="AK37" s="342"/>
      <c r="AL37" s="342"/>
    </row>
    <row r="38" spans="1:38" ht="12.75" hidden="1" customHeight="1" outlineLevel="1">
      <c r="A38" s="271"/>
      <c r="B38" s="271"/>
      <c r="C38" s="659" t="s">
        <v>28</v>
      </c>
      <c r="D38" s="660"/>
      <c r="E38" s="275">
        <f ca="1">A3value-SUM('Actual RAB roll forward'!H70:OFFSET('Actual RAB roll forward'!H70,0,Input!$W$7-1))</f>
        <v>6.736923449796226</v>
      </c>
      <c r="F38" s="275">
        <f ca="1">IF(A3remlife="N/A","n/a",IF(E38=0,0,A3remlife-Input!$W$7))</f>
        <v>16</v>
      </c>
      <c r="G38" s="276"/>
      <c r="H38" s="277" t="s">
        <v>67</v>
      </c>
      <c r="I38" s="278"/>
      <c r="J38" s="275">
        <f ca="1">A3taxvalue-SUM('Tax value roll forward'!G100:OFFSET('Tax value roll forward'!G100,0,Input!$W$7))</f>
        <v>0</v>
      </c>
      <c r="K38" s="321">
        <f ca="1">IF(A3taxremlife="N/A","n/a",IF(J38=0,0,A3taxremlife-Input!$W$7-1))</f>
        <v>0</v>
      </c>
      <c r="L38" s="279"/>
      <c r="M38" s="308"/>
      <c r="N38" s="308"/>
      <c r="O38" s="268"/>
      <c r="P38" s="268"/>
      <c r="Q38" s="268"/>
      <c r="R38" s="268"/>
      <c r="S38" s="258"/>
      <c r="T38" s="258"/>
      <c r="U38" s="258"/>
      <c r="V38" s="258"/>
      <c r="W38" s="258"/>
      <c r="X38" s="258"/>
      <c r="Y38" s="258"/>
      <c r="Z38" s="258"/>
      <c r="AA38" s="340"/>
      <c r="AB38" s="334"/>
      <c r="AC38" s="335"/>
      <c r="AD38" s="335"/>
      <c r="AE38" s="335"/>
      <c r="AF38" s="335"/>
    </row>
    <row r="39" spans="1:38" ht="12.75" hidden="1" customHeight="1" outlineLevel="1">
      <c r="A39" s="271"/>
      <c r="B39" s="271"/>
      <c r="C39" s="666" t="s">
        <v>84</v>
      </c>
      <c r="D39" s="320">
        <f>D$9</f>
        <v>0</v>
      </c>
      <c r="E39" s="275"/>
      <c r="F39" s="275"/>
      <c r="G39" s="276"/>
      <c r="H39" s="666" t="s">
        <v>84</v>
      </c>
      <c r="I39" s="320">
        <v>0</v>
      </c>
      <c r="J39" s="321">
        <f ca="1">OFFSET('Tax value roll forward'!G$42,0,I39)-SUM('Tax value roll forward'!G102:OFFSET('Tax value roll forward'!G102,0,Input!$W$7))</f>
        <v>0</v>
      </c>
      <c r="K39" s="321">
        <f ca="1">IF(A3taxstdlife="N/A","n/a",IF(J39=0,0,A3taxstdlife+I39-Input!$W$7))</f>
        <v>0</v>
      </c>
      <c r="L39" s="279"/>
      <c r="M39" s="308"/>
      <c r="N39" s="308"/>
      <c r="O39" s="268"/>
      <c r="P39" s="268"/>
      <c r="Q39" s="268"/>
      <c r="R39" s="268"/>
      <c r="S39" s="258"/>
      <c r="T39" s="258"/>
      <c r="U39" s="258"/>
      <c r="V39" s="258"/>
      <c r="W39" s="258"/>
      <c r="X39" s="258"/>
      <c r="Y39" s="258"/>
      <c r="Z39" s="258"/>
      <c r="AA39" s="341"/>
      <c r="AB39" s="334"/>
      <c r="AC39" s="335"/>
      <c r="AD39" s="335"/>
      <c r="AE39" s="335"/>
      <c r="AF39" s="335"/>
    </row>
    <row r="40" spans="1:38" ht="12.75" hidden="1" customHeight="1" outlineLevel="1">
      <c r="A40" s="271"/>
      <c r="B40" s="271"/>
      <c r="C40" s="667"/>
      <c r="D40" s="280">
        <f>D$10</f>
        <v>1</v>
      </c>
      <c r="E40" s="275">
        <f ca="1">OFFSET('Actual RAB roll forward'!H$14,0,D40-1)-SUM('Actual RAB roll forward'!H72:OFFSET('Actual RAB roll forward'!H72,0,Input!$W$7-1))</f>
        <v>-0.76940728562207938</v>
      </c>
      <c r="F40" s="275">
        <f ca="1">IF(A3stdlife="N/A","n/a",IF(E40=0,0,A3stdlife+D40-Input!$W$7))</f>
        <v>46</v>
      </c>
      <c r="G40" s="276"/>
      <c r="H40" s="667"/>
      <c r="I40" s="280">
        <v>1</v>
      </c>
      <c r="J40" s="275">
        <f ca="1">OFFSET('Tax value roll forward'!G$42,0,I40)-SUM('Tax value roll forward'!G103:OFFSET('Tax value roll forward'!G103,0,Input!$W$7))</f>
        <v>-0.68326410599999998</v>
      </c>
      <c r="K40" s="275">
        <f ca="1">IF(A3taxstdlife="N/A","n/a",IF(J40=0,0,A3taxstdlife+I40-Input!$W$7))</f>
        <v>36</v>
      </c>
      <c r="L40" s="279"/>
      <c r="M40" s="308"/>
      <c r="N40" s="308"/>
      <c r="O40" s="268"/>
      <c r="P40" s="268"/>
      <c r="Q40" s="268"/>
      <c r="R40" s="268"/>
      <c r="S40" s="258"/>
      <c r="T40" s="258"/>
      <c r="U40" s="258"/>
      <c r="V40" s="258"/>
      <c r="W40" s="258"/>
      <c r="X40" s="258"/>
      <c r="Y40" s="258"/>
      <c r="Z40" s="258"/>
      <c r="AA40" s="341"/>
      <c r="AB40" s="334"/>
      <c r="AC40" s="335"/>
      <c r="AD40" s="335"/>
      <c r="AE40" s="335"/>
      <c r="AF40" s="335"/>
    </row>
    <row r="41" spans="1:38" hidden="1" outlineLevel="1">
      <c r="A41" s="271"/>
      <c r="B41" s="271"/>
      <c r="C41" s="667"/>
      <c r="D41" s="280">
        <f>D$11</f>
        <v>2</v>
      </c>
      <c r="E41" s="275">
        <f ca="1">OFFSET('Actual RAB roll forward'!H$14,0,D41-1)-SUM('Actual RAB roll forward'!H73:OFFSET('Actual RAB roll forward'!H73,0,Input!$W$7-1))</f>
        <v>0</v>
      </c>
      <c r="F41" s="275">
        <f ca="1">IF(A3stdlife="N/A","n/a",IF(E41=0,0,A3stdlife+D41-Input!$W$7))</f>
        <v>0</v>
      </c>
      <c r="G41" s="276"/>
      <c r="H41" s="667"/>
      <c r="I41" s="280">
        <v>2</v>
      </c>
      <c r="J41" s="275">
        <f ca="1">OFFSET('Tax value roll forward'!G$42,0,I41)-SUM('Tax value roll forward'!G104:OFFSET('Tax value roll forward'!G104,0,Input!$W$7))</f>
        <v>0</v>
      </c>
      <c r="K41" s="275">
        <f ca="1">IF(A3taxstdlife="N/A","n/a",IF(J41=0,0,A3taxstdlife+I41-Input!$W$7))</f>
        <v>0</v>
      </c>
      <c r="L41" s="279"/>
      <c r="M41" s="308"/>
      <c r="N41" s="308"/>
      <c r="O41" s="268"/>
      <c r="P41" s="268"/>
      <c r="Q41" s="268"/>
      <c r="R41" s="268"/>
      <c r="S41" s="258"/>
      <c r="T41" s="258"/>
      <c r="U41" s="258"/>
      <c r="V41" s="258"/>
      <c r="W41" s="258"/>
      <c r="X41" s="258"/>
      <c r="Y41" s="258"/>
      <c r="Z41" s="258"/>
      <c r="AA41" s="341"/>
      <c r="AB41" s="334"/>
      <c r="AC41" s="335"/>
      <c r="AD41" s="335"/>
      <c r="AE41" s="335"/>
      <c r="AF41" s="335"/>
    </row>
    <row r="42" spans="1:38" hidden="1" outlineLevel="1">
      <c r="A42" s="271"/>
      <c r="B42" s="271"/>
      <c r="C42" s="667"/>
      <c r="D42" s="280">
        <f>D$12</f>
        <v>3</v>
      </c>
      <c r="E42" s="275">
        <f ca="1">OFFSET('Actual RAB roll forward'!H$14,0,D42-1)-SUM('Actual RAB roll forward'!H74:OFFSET('Actual RAB roll forward'!H74,0,Input!$W$7-1))</f>
        <v>0</v>
      </c>
      <c r="F42" s="275">
        <f ca="1">IF(A3stdlife="N/A","n/a",IF(E42=0,0,A3stdlife+D42-Input!$W$7))</f>
        <v>0</v>
      </c>
      <c r="G42" s="276"/>
      <c r="H42" s="667"/>
      <c r="I42" s="280">
        <v>3</v>
      </c>
      <c r="J42" s="275">
        <f ca="1">OFFSET('Tax value roll forward'!G$42,0,I42)-SUM('Tax value roll forward'!G105:OFFSET('Tax value roll forward'!G105,0,Input!$W$7))</f>
        <v>0</v>
      </c>
      <c r="K42" s="275">
        <f ca="1">IF(A3taxstdlife="N/A","n/a",IF(J42=0,0,A3taxstdlife+I42-Input!$W$7))</f>
        <v>0</v>
      </c>
      <c r="L42" s="279"/>
      <c r="M42" s="308"/>
      <c r="N42" s="308"/>
      <c r="O42" s="268"/>
      <c r="P42" s="268"/>
      <c r="Q42" s="268"/>
      <c r="R42" s="268"/>
      <c r="S42" s="258"/>
      <c r="T42" s="258"/>
      <c r="U42" s="258"/>
      <c r="V42" s="258"/>
      <c r="W42" s="258"/>
      <c r="X42" s="258"/>
      <c r="Y42" s="258"/>
      <c r="Z42" s="258"/>
      <c r="AA42" s="341"/>
      <c r="AB42" s="334"/>
      <c r="AC42" s="335"/>
      <c r="AD42" s="335"/>
      <c r="AE42" s="335"/>
      <c r="AF42" s="335"/>
    </row>
    <row r="43" spans="1:38" hidden="1" outlineLevel="1">
      <c r="A43" s="271"/>
      <c r="B43" s="271"/>
      <c r="C43" s="667"/>
      <c r="D43" s="280">
        <f>D$13</f>
        <v>4</v>
      </c>
      <c r="E43" s="275">
        <f ca="1">OFFSET('Actual RAB roll forward'!H$14,0,D43-1)-SUM('Actual RAB roll forward'!H75:OFFSET('Actual RAB roll forward'!H75,0,Input!$W$7-1))</f>
        <v>0</v>
      </c>
      <c r="F43" s="275">
        <f ca="1">IF(A3stdlife="N/A","n/a",IF(E43=0,0,A3stdlife+D43-Input!$W$7))</f>
        <v>0</v>
      </c>
      <c r="G43" s="276"/>
      <c r="H43" s="667"/>
      <c r="I43" s="280">
        <v>4</v>
      </c>
      <c r="J43" s="275">
        <f ca="1">OFFSET('Tax value roll forward'!G$42,0,I43)-SUM('Tax value roll forward'!G106:OFFSET('Tax value roll forward'!G106,0,Input!$W$7))</f>
        <v>0</v>
      </c>
      <c r="K43" s="275">
        <f ca="1">IF(A3taxstdlife="N/A","n/a",IF(J43=0,0,A3taxstdlife+I43-Input!$W$7))</f>
        <v>0</v>
      </c>
      <c r="L43" s="279"/>
      <c r="M43" s="308"/>
      <c r="N43" s="308"/>
      <c r="O43" s="268"/>
      <c r="P43" s="268"/>
      <c r="Q43" s="268"/>
      <c r="R43" s="268"/>
      <c r="S43" s="258"/>
      <c r="T43" s="258"/>
      <c r="U43" s="258"/>
      <c r="V43" s="258"/>
      <c r="W43" s="258"/>
      <c r="X43" s="258"/>
      <c r="Y43" s="258"/>
      <c r="Z43" s="258"/>
      <c r="AA43" s="341"/>
      <c r="AB43" s="334"/>
      <c r="AC43" s="335"/>
      <c r="AD43" s="335"/>
      <c r="AE43" s="335"/>
      <c r="AF43" s="335"/>
    </row>
    <row r="44" spans="1:38" hidden="1" outlineLevel="1">
      <c r="A44" s="271"/>
      <c r="B44" s="271"/>
      <c r="C44" s="667"/>
      <c r="D44" s="280">
        <f>D$14</f>
        <v>5</v>
      </c>
      <c r="E44" s="275">
        <f ca="1">OFFSET('Actual RAB roll forward'!H$14,0,D44-1)-SUM('Actual RAB roll forward'!H76:OFFSET('Actual RAB roll forward'!H76,0,Input!$W$7-1))</f>
        <v>0</v>
      </c>
      <c r="F44" s="275">
        <f ca="1">IF(A3stdlife="N/A","n/a",IF(E44=0,0,A3stdlife+D44-Input!$W$7))</f>
        <v>0</v>
      </c>
      <c r="G44" s="276"/>
      <c r="H44" s="667"/>
      <c r="I44" s="280">
        <v>5</v>
      </c>
      <c r="J44" s="275">
        <f ca="1">OFFSET('Tax value roll forward'!G$42,0,I44)-SUM('Tax value roll forward'!G107:OFFSET('Tax value roll forward'!G107,0,Input!$W$7))</f>
        <v>0</v>
      </c>
      <c r="K44" s="275">
        <f ca="1">IF(A3taxstdlife="N/A","n/a",IF(J44=0,0,A3taxstdlife+I44-Input!$W$7))</f>
        <v>0</v>
      </c>
      <c r="L44" s="279"/>
      <c r="M44" s="308"/>
      <c r="N44" s="308"/>
      <c r="O44" s="268"/>
      <c r="P44" s="268"/>
      <c r="Q44" s="268"/>
      <c r="R44" s="268"/>
      <c r="S44" s="258"/>
      <c r="T44" s="258"/>
      <c r="U44" s="258"/>
      <c r="V44" s="258"/>
      <c r="W44" s="258"/>
      <c r="X44" s="258"/>
      <c r="Y44" s="258"/>
      <c r="Z44" s="258"/>
      <c r="AA44" s="341"/>
      <c r="AB44" s="334"/>
      <c r="AC44" s="335"/>
      <c r="AD44" s="335"/>
      <c r="AE44" s="335"/>
      <c r="AF44" s="335"/>
    </row>
    <row r="45" spans="1:38" hidden="1" outlineLevel="1">
      <c r="A45" s="271"/>
      <c r="B45" s="271"/>
      <c r="C45" s="667"/>
      <c r="D45" s="280">
        <f>D$15</f>
        <v>6</v>
      </c>
      <c r="E45" s="275">
        <f ca="1">OFFSET('Actual RAB roll forward'!H$14,0,D45-1)-SUM('Actual RAB roll forward'!H77:OFFSET('Actual RAB roll forward'!H77,0,Input!$W$7-1))</f>
        <v>0</v>
      </c>
      <c r="F45" s="275">
        <f ca="1">IF(A3stdlife="N/A","n/a",IF(E45=0,0,A3stdlife+D45-Input!$W$7))</f>
        <v>0</v>
      </c>
      <c r="G45" s="276"/>
      <c r="H45" s="667"/>
      <c r="I45" s="280">
        <v>6</v>
      </c>
      <c r="J45" s="275">
        <f ca="1">OFFSET('Tax value roll forward'!G$42,0,I45)-SUM('Tax value roll forward'!G108:OFFSET('Tax value roll forward'!G108,0,Input!$W$7))</f>
        <v>0</v>
      </c>
      <c r="K45" s="275">
        <f ca="1">IF(A3taxstdlife="N/A","n/a",IF(J45=0,0,A3taxstdlife+I45-Input!$W$7))</f>
        <v>0</v>
      </c>
      <c r="L45" s="279"/>
      <c r="M45" s="308"/>
      <c r="N45" s="308"/>
      <c r="O45" s="268"/>
      <c r="P45" s="268"/>
      <c r="Q45" s="268"/>
      <c r="R45" s="268"/>
      <c r="S45" s="258"/>
      <c r="T45" s="258"/>
      <c r="U45" s="258"/>
      <c r="V45" s="258"/>
      <c r="W45" s="258"/>
      <c r="X45" s="258"/>
      <c r="Y45" s="258"/>
      <c r="Z45" s="258"/>
    </row>
    <row r="46" spans="1:38" hidden="1" outlineLevel="1">
      <c r="A46" s="271"/>
      <c r="B46" s="271"/>
      <c r="C46" s="667"/>
      <c r="D46" s="280">
        <f>D$16</f>
        <v>7</v>
      </c>
      <c r="E46" s="275">
        <f ca="1">OFFSET('Actual RAB roll forward'!H$14,0,D46-1)-SUM('Actual RAB roll forward'!H78:OFFSET('Actual RAB roll forward'!H78,0,Input!$W$7-1))</f>
        <v>0</v>
      </c>
      <c r="F46" s="275">
        <f ca="1">IF(A3stdlife="N/A","n/a",IF(E46=0,0,A3stdlife+D46-Input!$W$7))</f>
        <v>0</v>
      </c>
      <c r="G46" s="276"/>
      <c r="H46" s="667"/>
      <c r="I46" s="280">
        <v>7</v>
      </c>
      <c r="J46" s="275">
        <f ca="1">OFFSET('Tax value roll forward'!G$42,0,I46)-SUM('Tax value roll forward'!G109:OFFSET('Tax value roll forward'!G109,0,Input!$W$7))</f>
        <v>0</v>
      </c>
      <c r="K46" s="275">
        <f ca="1">IF(A3taxstdlife="N/A","n/a",IF(J46=0,0,A3taxstdlife+I46-Input!$W$7))</f>
        <v>0</v>
      </c>
      <c r="L46" s="279"/>
      <c r="M46" s="308"/>
      <c r="N46" s="308"/>
      <c r="O46" s="268"/>
      <c r="P46" s="268"/>
      <c r="Q46" s="268"/>
      <c r="R46" s="268"/>
      <c r="S46" s="258"/>
      <c r="T46" s="258"/>
      <c r="U46" s="258"/>
      <c r="V46" s="258"/>
      <c r="W46" s="258"/>
      <c r="X46" s="258"/>
      <c r="Y46" s="258"/>
      <c r="Z46" s="258"/>
    </row>
    <row r="47" spans="1:38" hidden="1" outlineLevel="1">
      <c r="A47" s="271"/>
      <c r="B47" s="271"/>
      <c r="C47" s="667"/>
      <c r="D47" s="280">
        <f>D$17</f>
        <v>8</v>
      </c>
      <c r="E47" s="275">
        <f ca="1">OFFSET('Actual RAB roll forward'!H$14,0,D47-1)-SUM('Actual RAB roll forward'!H79:OFFSET('Actual RAB roll forward'!H79,0,Input!$W$7-1))</f>
        <v>0</v>
      </c>
      <c r="F47" s="275">
        <f ca="1">IF(A3stdlife="N/A","n/a",IF(E47=0,0,A3stdlife+D47-Input!$W$7))</f>
        <v>0</v>
      </c>
      <c r="G47" s="276"/>
      <c r="H47" s="667"/>
      <c r="I47" s="280">
        <v>8</v>
      </c>
      <c r="J47" s="275">
        <f ca="1">OFFSET('Tax value roll forward'!G$42,0,I47)-SUM('Tax value roll forward'!G110:OFFSET('Tax value roll forward'!G110,0,Input!$W$7))</f>
        <v>0</v>
      </c>
      <c r="K47" s="275">
        <f ca="1">IF(A3taxstdlife="N/A","n/a",IF(J47=0,0,A3taxstdlife+I47-Input!$W$7))</f>
        <v>0</v>
      </c>
      <c r="L47" s="279"/>
      <c r="M47" s="308"/>
      <c r="N47" s="308"/>
      <c r="O47" s="268"/>
      <c r="P47" s="268"/>
      <c r="Q47" s="268"/>
      <c r="R47" s="268"/>
      <c r="S47" s="258"/>
      <c r="T47" s="258"/>
      <c r="U47" s="258"/>
      <c r="V47" s="258"/>
      <c r="W47" s="258"/>
      <c r="X47" s="258"/>
      <c r="Y47" s="258"/>
      <c r="Z47" s="258"/>
    </row>
    <row r="48" spans="1:38" hidden="1" outlineLevel="1">
      <c r="A48" s="271"/>
      <c r="B48" s="271"/>
      <c r="C48" s="667"/>
      <c r="D48" s="280">
        <f>D$18</f>
        <v>9</v>
      </c>
      <c r="E48" s="275">
        <f ca="1">OFFSET('Actual RAB roll forward'!H$14,0,D48-1)-SUM('Actual RAB roll forward'!H80:OFFSET('Actual RAB roll forward'!H80,0,Input!$W$7-1))</f>
        <v>0</v>
      </c>
      <c r="F48" s="275">
        <f ca="1">IF(A3stdlife="N/A","n/a",IF(E48=0,0,A3stdlife+D48-Input!$W$7))</f>
        <v>0</v>
      </c>
      <c r="G48" s="276"/>
      <c r="H48" s="667"/>
      <c r="I48" s="280">
        <v>9</v>
      </c>
      <c r="J48" s="275">
        <f ca="1">OFFSET('Tax value roll forward'!G$42,0,I48)-SUM('Tax value roll forward'!G111:OFFSET('Tax value roll forward'!G111,0,Input!$W$7))</f>
        <v>0</v>
      </c>
      <c r="K48" s="275">
        <f ca="1">IF(A3taxstdlife="N/A","n/a",IF(J48=0,0,A3taxstdlife+I48-Input!$W$7))</f>
        <v>0</v>
      </c>
      <c r="L48" s="279"/>
      <c r="M48" s="308"/>
      <c r="N48" s="308"/>
      <c r="O48" s="268"/>
      <c r="P48" s="268"/>
      <c r="Q48" s="268"/>
      <c r="R48" s="268"/>
      <c r="S48" s="258"/>
      <c r="T48" s="258"/>
      <c r="U48" s="258"/>
      <c r="V48" s="258"/>
      <c r="W48" s="258"/>
      <c r="X48" s="258"/>
      <c r="Y48" s="258"/>
      <c r="Z48" s="258"/>
    </row>
    <row r="49" spans="1:38" hidden="1" outlineLevel="1">
      <c r="A49" s="271"/>
      <c r="B49" s="271"/>
      <c r="C49" s="668"/>
      <c r="D49" s="281">
        <f>D$19</f>
        <v>10</v>
      </c>
      <c r="E49" s="275">
        <f ca="1">OFFSET('Actual RAB roll forward'!H$14,0,D49-1)-SUM('Actual RAB roll forward'!H81:OFFSET('Actual RAB roll forward'!H81,0,Input!$W$7-1))</f>
        <v>0</v>
      </c>
      <c r="F49" s="275">
        <f ca="1">IF(A3stdlife="N/A","n/a",IF(E49=0,0,A3stdlife+D49-Input!$W$7))</f>
        <v>0</v>
      </c>
      <c r="G49" s="276"/>
      <c r="H49" s="668"/>
      <c r="I49" s="281">
        <v>10</v>
      </c>
      <c r="J49" s="275">
        <f ca="1">OFFSET('Tax value roll forward'!G$42,0,I49)-SUM('Tax value roll forward'!G112:OFFSET('Tax value roll forward'!G112,0,Input!$W$7))</f>
        <v>0</v>
      </c>
      <c r="K49" s="275">
        <f ca="1">IF(A3taxstdlife="N/A","n/a",IF(J49=0,0,A3taxstdlife+I49-Input!$W$7))</f>
        <v>0</v>
      </c>
      <c r="L49" s="279"/>
      <c r="M49" s="308"/>
      <c r="N49" s="308"/>
      <c r="O49" s="268"/>
      <c r="P49" s="268"/>
      <c r="Q49" s="268"/>
      <c r="R49" s="268"/>
      <c r="S49" s="258"/>
      <c r="T49" s="258"/>
      <c r="U49" s="258"/>
      <c r="V49" s="258"/>
      <c r="W49" s="258"/>
      <c r="X49" s="258"/>
      <c r="Y49" s="258"/>
      <c r="Z49" s="258"/>
    </row>
    <row r="50" spans="1:38" collapsed="1">
      <c r="A50" s="271"/>
      <c r="B50" s="271"/>
      <c r="C50" s="279" t="str">
        <f>Asset3</f>
        <v>Buildings</v>
      </c>
      <c r="D50" s="271"/>
      <c r="E50" s="275">
        <f ca="1">SUM(E38:E49)</f>
        <v>5.967516164174147</v>
      </c>
      <c r="F50" s="275">
        <f ca="1">IF(E50=0,0,SUMPRODUCT(E38:E49,F38:F49)/E50)</f>
        <v>12.132022447256032</v>
      </c>
      <c r="G50" s="276"/>
      <c r="H50" s="283"/>
      <c r="I50" s="275"/>
      <c r="J50" s="309">
        <f ca="1">SUM(J38:J49)</f>
        <v>-0.68326410599999998</v>
      </c>
      <c r="K50" s="309">
        <f ca="1">IF(J50=0,0,SUMPRODUCT(J38:J49,K38:K49)/J50)</f>
        <v>36</v>
      </c>
      <c r="L50" s="279"/>
      <c r="M50" s="308"/>
      <c r="N50" s="308"/>
      <c r="O50" s="268"/>
      <c r="P50" s="268"/>
      <c r="Q50" s="268"/>
      <c r="R50" s="268"/>
      <c r="S50" s="258"/>
      <c r="T50" s="258"/>
      <c r="U50" s="258"/>
      <c r="V50" s="258"/>
      <c r="W50" s="258"/>
      <c r="X50" s="258"/>
      <c r="Y50" s="258"/>
      <c r="Z50" s="258"/>
    </row>
    <row r="51" spans="1:38" hidden="1" outlineLevel="1">
      <c r="A51" s="271"/>
      <c r="B51" s="271"/>
      <c r="C51" s="279"/>
      <c r="D51" s="271"/>
      <c r="E51" s="275"/>
      <c r="F51" s="275"/>
      <c r="G51" s="276"/>
      <c r="H51" s="275"/>
      <c r="I51" s="275"/>
      <c r="J51" s="289"/>
      <c r="K51" s="275"/>
      <c r="L51" s="279"/>
      <c r="M51" s="308"/>
      <c r="N51" s="308"/>
      <c r="O51" s="268"/>
      <c r="P51" s="268"/>
      <c r="Q51" s="268"/>
      <c r="R51" s="268"/>
      <c r="S51" s="258"/>
      <c r="T51" s="258"/>
      <c r="U51" s="258"/>
      <c r="V51" s="258"/>
      <c r="W51" s="258"/>
      <c r="X51" s="258"/>
      <c r="Y51" s="258"/>
      <c r="Z51" s="258"/>
      <c r="AA51" s="338"/>
    </row>
    <row r="52" spans="1:38" hidden="1" outlineLevel="1">
      <c r="A52" s="271"/>
      <c r="B52" s="274" t="str">
        <f>Asset4</f>
        <v>SCADA</v>
      </c>
      <c r="C52" s="271"/>
      <c r="D52" s="271"/>
      <c r="E52" s="275"/>
      <c r="F52" s="275"/>
      <c r="G52" s="276"/>
      <c r="H52" s="275"/>
      <c r="I52" s="275"/>
      <c r="J52" s="289"/>
      <c r="K52" s="275"/>
      <c r="L52" s="279"/>
      <c r="M52" s="308"/>
      <c r="N52" s="308"/>
      <c r="O52" s="268"/>
      <c r="P52" s="268"/>
      <c r="Q52" s="268"/>
      <c r="R52" s="268"/>
      <c r="S52" s="258"/>
      <c r="T52" s="258"/>
      <c r="U52" s="258"/>
      <c r="V52" s="258"/>
      <c r="W52" s="258"/>
      <c r="X52" s="258"/>
      <c r="Y52" s="258"/>
      <c r="Z52" s="258"/>
      <c r="AA52" s="339"/>
      <c r="AB52" s="335"/>
      <c r="AC52" s="335"/>
      <c r="AD52" s="335"/>
      <c r="AE52" s="335"/>
      <c r="AF52" s="335"/>
      <c r="AH52" s="342"/>
      <c r="AI52" s="342"/>
      <c r="AJ52" s="342"/>
      <c r="AK52" s="342"/>
      <c r="AL52" s="342"/>
    </row>
    <row r="53" spans="1:38" ht="12.75" hidden="1" customHeight="1" outlineLevel="1">
      <c r="A53" s="271"/>
      <c r="B53" s="271"/>
      <c r="C53" s="669" t="s">
        <v>28</v>
      </c>
      <c r="D53" s="670"/>
      <c r="E53" s="275">
        <f ca="1">A4value-SUM('Actual RAB roll forward'!H83:OFFSET('Actual RAB roll forward'!H83,0,Input!$W$7-1))</f>
        <v>0.34607877071564863</v>
      </c>
      <c r="F53" s="275">
        <f ca="1">IF(A4remlife="N/A","n/a",IF(E53=0,0,A4remlife-Input!$W$7))</f>
        <v>2.9192508960023327</v>
      </c>
      <c r="G53" s="276"/>
      <c r="H53" s="277" t="s">
        <v>67</v>
      </c>
      <c r="I53" s="278"/>
      <c r="J53" s="275">
        <f ca="1">A4taxvalue-SUM('Tax value roll forward'!G114:OFFSET('Tax value roll forward'!G114,0,Input!$W$7))</f>
        <v>0</v>
      </c>
      <c r="K53" s="321">
        <f ca="1">IF(A4taxremlife="N/A","n/a",IF(J53=0,0,A4taxremlife-Input!$W$7-1))</f>
        <v>0</v>
      </c>
      <c r="L53" s="279"/>
      <c r="M53" s="308"/>
      <c r="N53" s="308"/>
      <c r="O53" s="268"/>
      <c r="P53" s="268"/>
      <c r="Q53" s="268"/>
      <c r="R53" s="268"/>
      <c r="S53" s="258"/>
      <c r="T53" s="258"/>
      <c r="U53" s="258"/>
      <c r="V53" s="258"/>
      <c r="W53" s="258"/>
      <c r="X53" s="258"/>
      <c r="Y53" s="258"/>
      <c r="Z53" s="258"/>
      <c r="AA53" s="340"/>
      <c r="AB53" s="334"/>
      <c r="AC53" s="335"/>
      <c r="AD53" s="335"/>
      <c r="AE53" s="335"/>
      <c r="AF53" s="335"/>
    </row>
    <row r="54" spans="1:38" ht="12.75" hidden="1" customHeight="1" outlineLevel="1">
      <c r="A54" s="271"/>
      <c r="B54" s="271"/>
      <c r="C54" s="666" t="s">
        <v>84</v>
      </c>
      <c r="D54" s="320">
        <f>D$9</f>
        <v>0</v>
      </c>
      <c r="E54" s="275"/>
      <c r="F54" s="275"/>
      <c r="G54" s="276"/>
      <c r="H54" s="666" t="s">
        <v>84</v>
      </c>
      <c r="I54" s="320">
        <v>0</v>
      </c>
      <c r="J54" s="321">
        <f ca="1">OFFSET('Tax value roll forward'!G$43,0,I54)-SUM('Tax value roll forward'!G116:OFFSET('Tax value roll forward'!G116,0,Input!$W$7))</f>
        <v>0</v>
      </c>
      <c r="K54" s="321">
        <f ca="1">IF(A4taxstdlife="N/A","n/a",IF(J54=0,0,A4taxstdlife+I54-Input!$W$7))</f>
        <v>0</v>
      </c>
      <c r="L54" s="279"/>
      <c r="M54" s="308"/>
      <c r="N54" s="308"/>
      <c r="O54" s="268"/>
      <c r="P54" s="268"/>
      <c r="Q54" s="268"/>
      <c r="R54" s="268"/>
      <c r="S54" s="258"/>
      <c r="T54" s="258"/>
      <c r="U54" s="258"/>
      <c r="V54" s="258"/>
      <c r="W54" s="258"/>
      <c r="X54" s="258"/>
      <c r="Y54" s="258"/>
      <c r="Z54" s="258"/>
      <c r="AA54" s="341"/>
      <c r="AB54" s="334"/>
      <c r="AC54" s="335"/>
      <c r="AD54" s="335"/>
      <c r="AE54" s="335"/>
      <c r="AF54" s="335"/>
    </row>
    <row r="55" spans="1:38" ht="12.75" hidden="1" customHeight="1" outlineLevel="1">
      <c r="A55" s="271"/>
      <c r="B55" s="271"/>
      <c r="C55" s="667"/>
      <c r="D55" s="280">
        <f>D$10</f>
        <v>1</v>
      </c>
      <c r="E55" s="275">
        <f ca="1">OFFSET('Actual RAB roll forward'!H$15,0,D55-1)-SUM('Actual RAB roll forward'!H85:OFFSET('Actual RAB roll forward'!H85,0,Input!$W$7-1))</f>
        <v>9.2612707742973102E-2</v>
      </c>
      <c r="F55" s="275">
        <f ca="1">IF(A4stdlife="N/A","n/a",IF(E55=0,0,A4stdlife+D55-Input!$W$7))</f>
        <v>11</v>
      </c>
      <c r="G55" s="276"/>
      <c r="H55" s="667"/>
      <c r="I55" s="280">
        <v>1</v>
      </c>
      <c r="J55" s="275">
        <f ca="1">OFFSET('Tax value roll forward'!G$43,0,I55)-SUM('Tax value roll forward'!G117:OFFSET('Tax value roll forward'!G117,0,Input!$W$7))</f>
        <v>0</v>
      </c>
      <c r="K55" s="275">
        <f ca="1">IF(A4taxstdlife="N/A","n/a",IF(J55=0,0,A4taxstdlife+I55-Input!$W$7))</f>
        <v>0</v>
      </c>
      <c r="L55" s="279"/>
      <c r="M55" s="308"/>
      <c r="N55" s="308"/>
      <c r="O55" s="268"/>
      <c r="P55" s="268"/>
      <c r="Q55" s="268"/>
      <c r="R55" s="268"/>
      <c r="S55" s="258"/>
      <c r="T55" s="258"/>
      <c r="U55" s="258"/>
      <c r="V55" s="258"/>
      <c r="W55" s="258"/>
      <c r="X55" s="258"/>
      <c r="Y55" s="258"/>
      <c r="Z55" s="258"/>
      <c r="AA55" s="341"/>
      <c r="AB55" s="334"/>
      <c r="AC55" s="335"/>
      <c r="AD55" s="335"/>
      <c r="AE55" s="335"/>
      <c r="AF55" s="335"/>
    </row>
    <row r="56" spans="1:38" hidden="1" outlineLevel="1">
      <c r="A56" s="271"/>
      <c r="B56" s="271"/>
      <c r="C56" s="667"/>
      <c r="D56" s="280">
        <f>D$11</f>
        <v>2</v>
      </c>
      <c r="E56" s="275">
        <f ca="1">OFFSET('Actual RAB roll forward'!H$15,0,D56-1)-SUM('Actual RAB roll forward'!H86:OFFSET('Actual RAB roll forward'!H86,0,Input!$W$7-1))</f>
        <v>0.34257484940210792</v>
      </c>
      <c r="F56" s="275">
        <f ca="1">IF(A4stdlife="N/A","n/a",IF(E56=0,0,A4stdlife+D56-Input!$W$7))</f>
        <v>12</v>
      </c>
      <c r="G56" s="276"/>
      <c r="H56" s="667"/>
      <c r="I56" s="280">
        <v>2</v>
      </c>
      <c r="J56" s="275">
        <f ca="1">OFFSET('Tax value roll forward'!G$43,0,I56)-SUM('Tax value roll forward'!G118:OFFSET('Tax value roll forward'!G118,0,Input!$W$7))</f>
        <v>0</v>
      </c>
      <c r="K56" s="275">
        <f ca="1">IF(A4taxstdlife="N/A","n/a",IF(J56=0,0,A4taxstdlife+I56-Input!$W$7))</f>
        <v>0</v>
      </c>
      <c r="L56" s="279"/>
      <c r="M56" s="308"/>
      <c r="N56" s="308"/>
      <c r="O56" s="268"/>
      <c r="P56" s="268"/>
      <c r="Q56" s="268"/>
      <c r="R56" s="268"/>
      <c r="S56" s="258"/>
      <c r="T56" s="258"/>
      <c r="U56" s="258"/>
      <c r="V56" s="258"/>
      <c r="W56" s="258"/>
      <c r="X56" s="258"/>
      <c r="Y56" s="258"/>
      <c r="Z56" s="258"/>
      <c r="AA56" s="341"/>
      <c r="AB56" s="334"/>
      <c r="AC56" s="335"/>
      <c r="AD56" s="335"/>
      <c r="AE56" s="335"/>
      <c r="AF56" s="335"/>
    </row>
    <row r="57" spans="1:38" hidden="1" outlineLevel="1">
      <c r="A57" s="271"/>
      <c r="B57" s="271"/>
      <c r="C57" s="667"/>
      <c r="D57" s="280">
        <f>D$12</f>
        <v>3</v>
      </c>
      <c r="E57" s="275">
        <f ca="1">OFFSET('Actual RAB roll forward'!H$15,0,D57-1)-SUM('Actual RAB roll forward'!H87:OFFSET('Actual RAB roll forward'!H87,0,Input!$W$7-1))</f>
        <v>0.3636197562429081</v>
      </c>
      <c r="F57" s="296">
        <f ca="1">IF(A4stdlife="N/A","n/a",IF(E57=0,0,A4stdlife+D57-Input!$W$7))</f>
        <v>13</v>
      </c>
      <c r="G57" s="276"/>
      <c r="H57" s="667"/>
      <c r="I57" s="280">
        <v>3</v>
      </c>
      <c r="J57" s="275">
        <f ca="1">OFFSET('Tax value roll forward'!G$43,0,I57)-SUM('Tax value roll forward'!G119:OFFSET('Tax value roll forward'!G119,0,Input!$W$7))</f>
        <v>0</v>
      </c>
      <c r="K57" s="275">
        <f ca="1">IF(A4taxstdlife="N/A","n/a",IF(J57=0,0,A4taxstdlife+I57-Input!$W$7))</f>
        <v>0</v>
      </c>
      <c r="L57" s="279"/>
      <c r="M57" s="308"/>
      <c r="N57" s="308"/>
      <c r="O57" s="268"/>
      <c r="P57" s="268"/>
      <c r="Q57" s="268"/>
      <c r="R57" s="268"/>
      <c r="S57" s="258"/>
      <c r="T57" s="258"/>
      <c r="U57" s="258"/>
      <c r="V57" s="258"/>
      <c r="W57" s="258"/>
      <c r="X57" s="258"/>
      <c r="Y57" s="258"/>
      <c r="Z57" s="258"/>
      <c r="AA57" s="341"/>
      <c r="AB57" s="334"/>
      <c r="AC57" s="335"/>
      <c r="AD57" s="335"/>
      <c r="AE57" s="335"/>
      <c r="AF57" s="335"/>
    </row>
    <row r="58" spans="1:38" hidden="1" outlineLevel="1">
      <c r="A58" s="271"/>
      <c r="B58" s="271"/>
      <c r="C58" s="667"/>
      <c r="D58" s="280">
        <f>D$13</f>
        <v>4</v>
      </c>
      <c r="E58" s="275">
        <f ca="1">OFFSET('Actual RAB roll forward'!H$15,0,D58-1)-SUM('Actual RAB roll forward'!H88:OFFSET('Actual RAB roll forward'!H88,0,Input!$W$7-1))</f>
        <v>0.20973699582554253</v>
      </c>
      <c r="F58" s="275">
        <f ca="1">IF(A4stdlife="N/A","n/a",IF(E58=0,0,A4stdlife+D58-Input!$W$7))</f>
        <v>14</v>
      </c>
      <c r="G58" s="276"/>
      <c r="H58" s="667"/>
      <c r="I58" s="280">
        <v>4</v>
      </c>
      <c r="J58" s="275">
        <f ca="1">OFFSET('Tax value roll forward'!G$43,0,I58)-SUM('Tax value roll forward'!G120:OFFSET('Tax value roll forward'!G120,0,Input!$W$7))</f>
        <v>0</v>
      </c>
      <c r="K58" s="275">
        <f ca="1">IF(A4taxstdlife="N/A","n/a",IF(J58=0,0,A4taxstdlife+I58-Input!$W$7))</f>
        <v>0</v>
      </c>
      <c r="L58" s="279"/>
      <c r="M58" s="308"/>
      <c r="N58" s="308"/>
      <c r="O58" s="268"/>
      <c r="P58" s="268"/>
      <c r="Q58" s="268"/>
      <c r="R58" s="268"/>
      <c r="S58" s="258"/>
      <c r="T58" s="258"/>
      <c r="U58" s="258"/>
      <c r="V58" s="258"/>
      <c r="W58" s="258"/>
      <c r="X58" s="258"/>
      <c r="Y58" s="258"/>
      <c r="Z58" s="258"/>
      <c r="AA58" s="341"/>
      <c r="AB58" s="334"/>
      <c r="AC58" s="335"/>
      <c r="AD58" s="335"/>
      <c r="AE58" s="335"/>
      <c r="AF58" s="335"/>
    </row>
    <row r="59" spans="1:38" hidden="1" outlineLevel="1">
      <c r="A59" s="271"/>
      <c r="B59" s="271"/>
      <c r="C59" s="667"/>
      <c r="D59" s="280">
        <f>D$14</f>
        <v>5</v>
      </c>
      <c r="E59" s="275">
        <f ca="1">OFFSET('Actual RAB roll forward'!H$15,0,D59-1)-SUM('Actual RAB roll forward'!H89:OFFSET('Actual RAB roll forward'!H89,0,Input!$W$7-1))</f>
        <v>0.47929069137265051</v>
      </c>
      <c r="F59" s="275">
        <f ca="1">IF(A4stdlife="N/A","n/a",IF(E59=0,0,A4stdlife+D59-Input!$W$7))</f>
        <v>15</v>
      </c>
      <c r="G59" s="276"/>
      <c r="H59" s="667"/>
      <c r="I59" s="280">
        <v>5</v>
      </c>
      <c r="J59" s="275">
        <f ca="1">OFFSET('Tax value roll forward'!G$43,0,I59)-SUM('Tax value roll forward'!G121:OFFSET('Tax value roll forward'!G121,0,Input!$W$7))</f>
        <v>0.51</v>
      </c>
      <c r="K59" s="275">
        <f ca="1">IF(A4taxstdlife="N/A","n/a",IF(J59=0,0,A4taxstdlife+I59-Input!$W$7))</f>
        <v>0</v>
      </c>
      <c r="L59" s="279"/>
      <c r="M59" s="308"/>
      <c r="N59" s="308"/>
      <c r="O59" s="268"/>
      <c r="P59" s="268"/>
      <c r="Q59" s="268"/>
      <c r="R59" s="268"/>
      <c r="S59" s="258"/>
      <c r="T59" s="258"/>
      <c r="U59" s="258"/>
      <c r="V59" s="258"/>
      <c r="W59" s="258"/>
      <c r="X59" s="258"/>
      <c r="Y59" s="258"/>
      <c r="Z59" s="258"/>
      <c r="AA59" s="341"/>
      <c r="AB59" s="334"/>
      <c r="AC59" s="335"/>
      <c r="AD59" s="335"/>
      <c r="AE59" s="335"/>
      <c r="AF59" s="335"/>
    </row>
    <row r="60" spans="1:38" hidden="1" outlineLevel="1">
      <c r="A60" s="271"/>
      <c r="B60" s="271"/>
      <c r="C60" s="667"/>
      <c r="D60" s="280">
        <f>D$15</f>
        <v>6</v>
      </c>
      <c r="E60" s="275">
        <f ca="1">OFFSET('Actual RAB roll forward'!H$15,0,D60-1)-SUM('Actual RAB roll forward'!H90:OFFSET('Actual RAB roll forward'!H90,0,Input!$W$7-1))</f>
        <v>0</v>
      </c>
      <c r="F60" s="275">
        <f ca="1">IF(A4stdlife="N/A","n/a",IF(E60=0,0,A4stdlife+D60-Input!$W$7))</f>
        <v>0</v>
      </c>
      <c r="G60" s="276"/>
      <c r="H60" s="667"/>
      <c r="I60" s="280">
        <v>6</v>
      </c>
      <c r="J60" s="275">
        <f ca="1">OFFSET('Tax value roll forward'!G$43,0,I60)-SUM('Tax value roll forward'!G122:OFFSET('Tax value roll forward'!G122,0,Input!$W$7))</f>
        <v>0</v>
      </c>
      <c r="K60" s="275">
        <f ca="1">IF(A4taxstdlife="N/A","n/a",IF(J60=0,0,A4taxstdlife+I60-Input!$W$7))</f>
        <v>0</v>
      </c>
      <c r="L60" s="279"/>
      <c r="M60" s="308"/>
      <c r="N60" s="308"/>
      <c r="O60" s="268"/>
      <c r="P60" s="268"/>
      <c r="Q60" s="268"/>
      <c r="R60" s="268"/>
      <c r="S60" s="258"/>
      <c r="T60" s="258"/>
      <c r="U60" s="258"/>
      <c r="V60" s="258"/>
      <c r="W60" s="258"/>
      <c r="X60" s="258"/>
      <c r="Y60" s="258"/>
      <c r="Z60" s="258"/>
    </row>
    <row r="61" spans="1:38" hidden="1" outlineLevel="1">
      <c r="A61" s="271"/>
      <c r="B61" s="271"/>
      <c r="C61" s="667"/>
      <c r="D61" s="280">
        <f>D$16</f>
        <v>7</v>
      </c>
      <c r="E61" s="275">
        <f ca="1">OFFSET('Actual RAB roll forward'!H$15,0,D61-1)-SUM('Actual RAB roll forward'!H91:OFFSET('Actual RAB roll forward'!H91,0,Input!$W$7-1))</f>
        <v>0</v>
      </c>
      <c r="F61" s="275">
        <f ca="1">IF(A4stdlife="N/A","n/a",IF(E61=0,0,A4stdlife+D61-Input!$W$7))</f>
        <v>0</v>
      </c>
      <c r="G61" s="276"/>
      <c r="H61" s="667"/>
      <c r="I61" s="280">
        <v>7</v>
      </c>
      <c r="J61" s="275">
        <f ca="1">OFFSET('Tax value roll forward'!G$43,0,I61)-SUM('Tax value roll forward'!G123:OFFSET('Tax value roll forward'!G123,0,Input!$W$7))</f>
        <v>0</v>
      </c>
      <c r="K61" s="275">
        <f ca="1">IF(A4taxstdlife="N/A","n/a",IF(J61=0,0,A4taxstdlife+I61-Input!$W$7))</f>
        <v>0</v>
      </c>
      <c r="L61" s="279"/>
      <c r="M61" s="308"/>
      <c r="N61" s="308"/>
      <c r="O61" s="268"/>
      <c r="P61" s="268"/>
      <c r="Q61" s="268"/>
      <c r="R61" s="268"/>
      <c r="S61" s="258"/>
      <c r="T61" s="258"/>
      <c r="U61" s="258"/>
      <c r="V61" s="258"/>
      <c r="W61" s="258"/>
      <c r="X61" s="258"/>
      <c r="Y61" s="258"/>
      <c r="Z61" s="258"/>
    </row>
    <row r="62" spans="1:38" hidden="1" outlineLevel="1">
      <c r="A62" s="271"/>
      <c r="B62" s="271"/>
      <c r="C62" s="667"/>
      <c r="D62" s="280">
        <f>D$17</f>
        <v>8</v>
      </c>
      <c r="E62" s="275">
        <f ca="1">OFFSET('Actual RAB roll forward'!H$15,0,D62-1)-SUM('Actual RAB roll forward'!H92:OFFSET('Actual RAB roll forward'!H92,0,Input!$W$7-1))</f>
        <v>0</v>
      </c>
      <c r="F62" s="275">
        <f ca="1">IF(A4stdlife="N/A","n/a",IF(E62=0,0,A4stdlife+D62-Input!$W$7))</f>
        <v>0</v>
      </c>
      <c r="G62" s="276"/>
      <c r="H62" s="667"/>
      <c r="I62" s="280">
        <v>8</v>
      </c>
      <c r="J62" s="275">
        <f ca="1">OFFSET('Tax value roll forward'!G$43,0,I62)-SUM('Tax value roll forward'!G124:OFFSET('Tax value roll forward'!G124,0,Input!$W$7))</f>
        <v>0</v>
      </c>
      <c r="K62" s="275">
        <f ca="1">IF(A4taxstdlife="N/A","n/a",IF(J62=0,0,A4taxstdlife+I62-Input!$W$7))</f>
        <v>0</v>
      </c>
      <c r="L62" s="279"/>
      <c r="M62" s="308"/>
      <c r="N62" s="308"/>
      <c r="O62" s="268"/>
      <c r="P62" s="268"/>
      <c r="Q62" s="268"/>
      <c r="R62" s="268"/>
      <c r="S62" s="258"/>
      <c r="T62" s="258"/>
      <c r="U62" s="258"/>
      <c r="V62" s="258"/>
      <c r="W62" s="258"/>
      <c r="X62" s="258"/>
      <c r="Y62" s="258"/>
      <c r="Z62" s="258"/>
    </row>
    <row r="63" spans="1:38" hidden="1" outlineLevel="1">
      <c r="A63" s="271"/>
      <c r="B63" s="271"/>
      <c r="C63" s="667"/>
      <c r="D63" s="280">
        <f>D$18</f>
        <v>9</v>
      </c>
      <c r="E63" s="275">
        <f ca="1">OFFSET('Actual RAB roll forward'!H$15,0,D63-1)-SUM('Actual RAB roll forward'!H93:OFFSET('Actual RAB roll forward'!H93,0,Input!$W$7-1))</f>
        <v>0</v>
      </c>
      <c r="F63" s="275">
        <f ca="1">IF(A4stdlife="N/A","n/a",IF(E63=0,0,A4stdlife+D63-Input!$W$7))</f>
        <v>0</v>
      </c>
      <c r="G63" s="276"/>
      <c r="H63" s="667"/>
      <c r="I63" s="280">
        <v>9</v>
      </c>
      <c r="J63" s="275">
        <f ca="1">OFFSET('Tax value roll forward'!G$43,0,I63)-SUM('Tax value roll forward'!G125:OFFSET('Tax value roll forward'!G125,0,Input!$W$7))</f>
        <v>0</v>
      </c>
      <c r="K63" s="275">
        <f ca="1">IF(A4taxstdlife="N/A","n/a",IF(J63=0,0,A4taxstdlife+I63-Input!$W$7))</f>
        <v>0</v>
      </c>
      <c r="L63" s="279"/>
      <c r="M63" s="308"/>
      <c r="N63" s="308"/>
      <c r="O63" s="268"/>
      <c r="P63" s="268"/>
      <c r="Q63" s="268"/>
      <c r="R63" s="268"/>
      <c r="S63" s="258"/>
      <c r="T63" s="258"/>
      <c r="U63" s="258"/>
      <c r="V63" s="258"/>
      <c r="W63" s="258"/>
      <c r="X63" s="258"/>
      <c r="Y63" s="258"/>
      <c r="Z63" s="258"/>
    </row>
    <row r="64" spans="1:38" hidden="1" outlineLevel="1">
      <c r="A64" s="271"/>
      <c r="B64" s="271"/>
      <c r="C64" s="668"/>
      <c r="D64" s="281">
        <f>D$19</f>
        <v>10</v>
      </c>
      <c r="E64" s="275">
        <f ca="1">OFFSET('Actual RAB roll forward'!H$15,0,D64-1)-SUM('Actual RAB roll forward'!H94:OFFSET('Actual RAB roll forward'!H94,0,Input!$W$7-1))</f>
        <v>0</v>
      </c>
      <c r="F64" s="275">
        <f ca="1">IF(A4stdlife="N/A","n/a",IF(E64=0,0,A4stdlife+D64-Input!$W$7))</f>
        <v>0</v>
      </c>
      <c r="G64" s="276"/>
      <c r="H64" s="668"/>
      <c r="I64" s="281">
        <v>10</v>
      </c>
      <c r="J64" s="275">
        <f ca="1">OFFSET('Tax value roll forward'!G$43,0,I64)-SUM('Tax value roll forward'!G126:OFFSET('Tax value roll forward'!G126,0,Input!$W$7))</f>
        <v>0</v>
      </c>
      <c r="K64" s="275">
        <f ca="1">IF(A4taxstdlife="N/A","n/a",IF(J64=0,0,A4taxstdlife+I64-Input!$W$7))</f>
        <v>0</v>
      </c>
      <c r="M64" s="308"/>
      <c r="N64" s="308"/>
      <c r="O64" s="268"/>
      <c r="P64" s="268"/>
      <c r="Q64" s="268"/>
      <c r="R64" s="268"/>
      <c r="S64" s="258"/>
      <c r="T64" s="258"/>
      <c r="U64" s="258"/>
      <c r="V64" s="258"/>
      <c r="W64" s="258"/>
      <c r="X64" s="258"/>
      <c r="Y64" s="258"/>
      <c r="Z64" s="258"/>
    </row>
    <row r="65" spans="1:38" collapsed="1">
      <c r="A65" s="271"/>
      <c r="B65" s="271"/>
      <c r="C65" s="291" t="str">
        <f>Asset4</f>
        <v>SCADA</v>
      </c>
      <c r="D65" s="271"/>
      <c r="E65" s="275">
        <f ca="1">SUM(E53:E64)</f>
        <v>1.833913771301831</v>
      </c>
      <c r="F65" s="275">
        <f ca="1">IF(E65=0,0,SUMPRODUCT(E53:E64,F53:F64)/E65)</f>
        <v>11.446919812320427</v>
      </c>
      <c r="G65" s="276"/>
      <c r="H65" s="283"/>
      <c r="I65" s="275"/>
      <c r="J65" s="309">
        <f ca="1">SUM(J53:J64)</f>
        <v>0.51</v>
      </c>
      <c r="K65" s="309">
        <f ca="1">IF(J65=0,0,SUMPRODUCT(J53:J64,K53:K64)/J65)</f>
        <v>0</v>
      </c>
      <c r="L65" s="279"/>
      <c r="M65" s="308"/>
      <c r="N65" s="308"/>
      <c r="O65" s="268"/>
      <c r="P65" s="268"/>
      <c r="Q65" s="268"/>
      <c r="R65" s="268"/>
      <c r="S65" s="258"/>
      <c r="T65" s="258"/>
      <c r="U65" s="258"/>
      <c r="V65" s="258"/>
      <c r="W65" s="258"/>
      <c r="X65" s="258"/>
      <c r="Y65" s="258"/>
      <c r="Z65" s="258"/>
    </row>
    <row r="66" spans="1:38" hidden="1" outlineLevel="1">
      <c r="A66" s="271"/>
      <c r="B66" s="271"/>
      <c r="C66" s="291"/>
      <c r="D66" s="271"/>
      <c r="E66" s="275"/>
      <c r="F66" s="275"/>
      <c r="G66" s="276"/>
      <c r="H66" s="275"/>
      <c r="I66" s="275"/>
      <c r="J66" s="289"/>
      <c r="K66" s="275"/>
      <c r="L66" s="279"/>
      <c r="M66" s="308"/>
      <c r="N66" s="308"/>
      <c r="O66" s="268"/>
      <c r="P66" s="268"/>
      <c r="Q66" s="268"/>
      <c r="R66" s="268"/>
      <c r="S66" s="258"/>
      <c r="T66" s="258"/>
      <c r="U66" s="258"/>
      <c r="V66" s="258"/>
      <c r="W66" s="258"/>
      <c r="X66" s="258"/>
      <c r="Y66" s="258"/>
      <c r="Z66" s="258"/>
      <c r="AA66" s="338"/>
    </row>
    <row r="67" spans="1:38" hidden="1" outlineLevel="1">
      <c r="A67" s="271"/>
      <c r="B67" s="274" t="str">
        <f>Asset5</f>
        <v>Computer Equipment</v>
      </c>
      <c r="C67" s="271"/>
      <c r="D67" s="271"/>
      <c r="E67" s="275"/>
      <c r="F67" s="275"/>
      <c r="G67" s="276"/>
      <c r="H67" s="275"/>
      <c r="I67" s="275"/>
      <c r="J67" s="289"/>
      <c r="K67" s="275"/>
      <c r="L67" s="279"/>
      <c r="M67" s="308"/>
      <c r="N67" s="308"/>
      <c r="O67" s="268"/>
      <c r="P67" s="268"/>
      <c r="Q67" s="268"/>
      <c r="R67" s="268"/>
      <c r="S67" s="258"/>
      <c r="T67" s="258"/>
      <c r="U67" s="258"/>
      <c r="V67" s="258"/>
      <c r="W67" s="258"/>
      <c r="X67" s="258"/>
      <c r="Y67" s="258"/>
      <c r="Z67" s="258"/>
      <c r="AA67" s="339"/>
      <c r="AB67" s="335"/>
      <c r="AC67" s="335"/>
      <c r="AD67" s="335"/>
      <c r="AE67" s="335"/>
      <c r="AF67" s="335"/>
      <c r="AH67" s="342"/>
      <c r="AI67" s="342"/>
      <c r="AJ67" s="342"/>
      <c r="AK67" s="342"/>
      <c r="AL67" s="342"/>
    </row>
    <row r="68" spans="1:38" ht="12.75" hidden="1" customHeight="1" outlineLevel="1">
      <c r="A68" s="271"/>
      <c r="B68" s="271"/>
      <c r="C68" s="669" t="s">
        <v>28</v>
      </c>
      <c r="D68" s="670"/>
      <c r="E68" s="275">
        <f ca="1">A5value-SUM('Actual RAB roll forward'!H96:OFFSET('Actual RAB roll forward'!H96,0,Input!$W$7-1))</f>
        <v>0</v>
      </c>
      <c r="F68" s="275">
        <f ca="1">IF(A5remlife="N/A","n/a",IF(E68=0,0,A5remlife-Input!$W$7))</f>
        <v>0</v>
      </c>
      <c r="G68" s="276"/>
      <c r="H68" s="277" t="s">
        <v>67</v>
      </c>
      <c r="I68" s="278"/>
      <c r="J68" s="275">
        <f ca="1">A5taxvalue-SUM('Tax value roll forward'!G128:OFFSET('Tax value roll forward'!G128,0,Input!$W$7))</f>
        <v>0</v>
      </c>
      <c r="K68" s="321">
        <f ca="1">IF(A5taxremlife="N/A","n/a",IF(J68=0,0,A5taxremlife-Input!$W$7-1))</f>
        <v>0</v>
      </c>
      <c r="L68" s="279"/>
      <c r="M68" s="308"/>
      <c r="N68" s="308"/>
      <c r="O68" s="268"/>
      <c r="P68" s="268"/>
      <c r="Q68" s="268"/>
      <c r="R68" s="268"/>
      <c r="S68" s="258"/>
      <c r="T68" s="258"/>
      <c r="U68" s="258"/>
      <c r="V68" s="258"/>
      <c r="W68" s="258"/>
      <c r="X68" s="258"/>
      <c r="Y68" s="258"/>
      <c r="Z68" s="258"/>
      <c r="AA68" s="340"/>
      <c r="AB68" s="334"/>
      <c r="AC68" s="335"/>
      <c r="AD68" s="335"/>
      <c r="AE68" s="335"/>
      <c r="AF68" s="335"/>
    </row>
    <row r="69" spans="1:38" ht="12.75" hidden="1" customHeight="1" outlineLevel="1">
      <c r="A69" s="271"/>
      <c r="B69" s="271"/>
      <c r="C69" s="666" t="s">
        <v>84</v>
      </c>
      <c r="D69" s="320">
        <f>D$9</f>
        <v>0</v>
      </c>
      <c r="E69" s="275"/>
      <c r="F69" s="275"/>
      <c r="G69" s="276"/>
      <c r="H69" s="666" t="s">
        <v>84</v>
      </c>
      <c r="I69" s="320">
        <v>0</v>
      </c>
      <c r="J69" s="321">
        <f ca="1">OFFSET('Tax value roll forward'!G$44,0,I69)-SUM('Tax value roll forward'!G130:OFFSET('Tax value roll forward'!G130,0,Input!$W$7))</f>
        <v>0</v>
      </c>
      <c r="K69" s="321">
        <f ca="1">IF(A5taxstdlife="N/A","n/a",IF(J69=0,0,A5taxstdlife+I69-Input!$W$7))</f>
        <v>0</v>
      </c>
      <c r="L69" s="279"/>
      <c r="M69" s="308"/>
      <c r="N69" s="308"/>
      <c r="O69" s="268"/>
      <c r="P69" s="268"/>
      <c r="Q69" s="268"/>
      <c r="R69" s="268"/>
      <c r="S69" s="258"/>
      <c r="T69" s="258"/>
      <c r="U69" s="258"/>
      <c r="V69" s="258"/>
      <c r="W69" s="258"/>
      <c r="X69" s="258"/>
      <c r="Y69" s="258"/>
      <c r="Z69" s="258"/>
      <c r="AA69" s="341"/>
      <c r="AB69" s="334"/>
      <c r="AC69" s="335"/>
      <c r="AD69" s="335"/>
      <c r="AE69" s="335"/>
      <c r="AF69" s="335"/>
    </row>
    <row r="70" spans="1:38" ht="12.75" hidden="1" customHeight="1" outlineLevel="1">
      <c r="A70" s="271"/>
      <c r="B70" s="271"/>
      <c r="C70" s="667"/>
      <c r="D70" s="280">
        <f>D$10</f>
        <v>1</v>
      </c>
      <c r="E70" s="275">
        <f ca="1">OFFSET('Actual RAB roll forward'!H$16,0,D70-1)-SUM('Actual RAB roll forward'!H98:OFFSET('Actual RAB roll forward'!H98,0,Input!$W$7-1))</f>
        <v>-2.7999869019059069</v>
      </c>
      <c r="F70" s="275">
        <f ca="1">IF(A5stdlife="N/A","n/a",IF(E70=0,0,A5stdlife+D70-Input!$W$7))</f>
        <v>1</v>
      </c>
      <c r="G70" s="276"/>
      <c r="H70" s="667"/>
      <c r="I70" s="280">
        <v>1</v>
      </c>
      <c r="J70" s="275">
        <f ca="1">OFFSET('Tax value roll forward'!G$44,0,I70)-SUM('Tax value roll forward'!G131:OFFSET('Tax value roll forward'!G131,0,Input!$W$7))</f>
        <v>0</v>
      </c>
      <c r="K70" s="275">
        <f ca="1">IF(A5taxstdlife="N/A","n/a",IF(J70=0,0,A5taxstdlife+I70-Input!$W$7))</f>
        <v>0</v>
      </c>
      <c r="L70" s="279"/>
      <c r="M70" s="308"/>
      <c r="N70" s="308"/>
      <c r="O70" s="268"/>
      <c r="P70" s="268"/>
      <c r="Q70" s="268"/>
      <c r="R70" s="268"/>
      <c r="S70" s="258"/>
      <c r="T70" s="258"/>
      <c r="U70" s="258"/>
      <c r="V70" s="258"/>
      <c r="W70" s="258"/>
      <c r="X70" s="258"/>
      <c r="Y70" s="258"/>
      <c r="Z70" s="258"/>
      <c r="AA70" s="341"/>
      <c r="AB70" s="334"/>
      <c r="AC70" s="335"/>
      <c r="AD70" s="335"/>
      <c r="AE70" s="335"/>
      <c r="AF70" s="335"/>
    </row>
    <row r="71" spans="1:38" hidden="1" outlineLevel="1">
      <c r="A71" s="271"/>
      <c r="B71" s="271"/>
      <c r="C71" s="667"/>
      <c r="D71" s="280">
        <f>D$11</f>
        <v>2</v>
      </c>
      <c r="E71" s="275">
        <f ca="1">OFFSET('Actual RAB roll forward'!H$16,0,D71-1)-SUM('Actual RAB roll forward'!H99:OFFSET('Actual RAB roll forward'!H99,0,Input!$W$7-1))</f>
        <v>-5.0435311557828548</v>
      </c>
      <c r="F71" s="275">
        <f ca="1">IF(A5stdlife="N/A","n/a",IF(E71=0,0,A5stdlife+D71-Input!$W$7))</f>
        <v>2</v>
      </c>
      <c r="G71" s="276"/>
      <c r="H71" s="667"/>
      <c r="I71" s="280">
        <v>2</v>
      </c>
      <c r="J71" s="275">
        <f ca="1">OFFSET('Tax value roll forward'!G$44,0,I71)-SUM('Tax value roll forward'!G132:OFFSET('Tax value roll forward'!G132,0,Input!$W$7))</f>
        <v>0</v>
      </c>
      <c r="K71" s="275">
        <f ca="1">IF(A5taxstdlife="N/A","n/a",IF(J71=0,0,A5taxstdlife+I71-Input!$W$7))</f>
        <v>0</v>
      </c>
      <c r="L71" s="279"/>
      <c r="M71" s="308"/>
      <c r="N71" s="308"/>
      <c r="O71" s="268"/>
      <c r="P71" s="268"/>
      <c r="Q71" s="268"/>
      <c r="R71" s="268"/>
      <c r="S71" s="258"/>
      <c r="T71" s="258"/>
      <c r="U71" s="258"/>
      <c r="V71" s="258"/>
      <c r="W71" s="258"/>
      <c r="X71" s="258"/>
      <c r="Y71" s="258"/>
      <c r="Z71" s="258"/>
      <c r="AA71" s="341"/>
      <c r="AB71" s="334"/>
      <c r="AC71" s="335"/>
      <c r="AD71" s="335"/>
      <c r="AE71" s="335"/>
      <c r="AF71" s="335"/>
    </row>
    <row r="72" spans="1:38" hidden="1" outlineLevel="1">
      <c r="A72" s="271"/>
      <c r="B72" s="271"/>
      <c r="C72" s="667"/>
      <c r="D72" s="280">
        <f>D$12</f>
        <v>3</v>
      </c>
      <c r="E72" s="275">
        <f ca="1">OFFSET('Actual RAB roll forward'!H$16,0,D72-1)-SUM('Actual RAB roll forward'!H100:OFFSET('Actual RAB roll forward'!H100,0,Input!$W$7-1))</f>
        <v>9.4486319323236501</v>
      </c>
      <c r="F72" s="275">
        <f ca="1">IF(A5stdlife="N/A","n/a",IF(E72=0,0,A5stdlife+D72-Input!$W$7))</f>
        <v>3</v>
      </c>
      <c r="G72" s="276"/>
      <c r="H72" s="667"/>
      <c r="I72" s="280">
        <v>3</v>
      </c>
      <c r="J72" s="275">
        <f ca="1">OFFSET('Tax value roll forward'!G$44,0,I72)-SUM('Tax value roll forward'!G133:OFFSET('Tax value roll forward'!G133,0,Input!$W$7))</f>
        <v>0</v>
      </c>
      <c r="K72" s="275">
        <f ca="1">IF(A5taxstdlife="N/A","n/a",IF(J72=0,0,A5taxstdlife+I72-Input!$W$7))</f>
        <v>0</v>
      </c>
      <c r="L72" s="279"/>
      <c r="M72" s="308"/>
      <c r="N72" s="308"/>
      <c r="O72" s="268"/>
      <c r="P72" s="268"/>
      <c r="Q72" s="268"/>
      <c r="R72" s="268"/>
      <c r="S72" s="258"/>
      <c r="T72" s="258"/>
      <c r="U72" s="258"/>
      <c r="V72" s="258"/>
      <c r="W72" s="258"/>
      <c r="X72" s="258"/>
      <c r="Y72" s="258"/>
      <c r="Z72" s="258"/>
      <c r="AA72" s="341"/>
      <c r="AB72" s="334"/>
      <c r="AC72" s="335"/>
      <c r="AD72" s="335"/>
      <c r="AE72" s="335"/>
      <c r="AF72" s="335"/>
    </row>
    <row r="73" spans="1:38" hidden="1" outlineLevel="1">
      <c r="A73" s="271"/>
      <c r="B73" s="271"/>
      <c r="C73" s="667"/>
      <c r="D73" s="280">
        <f>D$13</f>
        <v>4</v>
      </c>
      <c r="E73" s="275">
        <f ca="1">OFFSET('Actual RAB roll forward'!H$16,0,D73-1)-SUM('Actual RAB roll forward'!H101:OFFSET('Actual RAB roll forward'!H101,0,Input!$W$7-1))</f>
        <v>0.45611670603366211</v>
      </c>
      <c r="F73" s="275">
        <f ca="1">IF(A5stdlife="N/A","n/a",IF(E73=0,0,A5stdlife+D73-Input!$W$7))</f>
        <v>4</v>
      </c>
      <c r="G73" s="276"/>
      <c r="H73" s="667"/>
      <c r="I73" s="280">
        <v>4</v>
      </c>
      <c r="J73" s="275">
        <f ca="1">OFFSET('Tax value roll forward'!G$44,0,I73)-SUM('Tax value roll forward'!G134:OFFSET('Tax value roll forward'!G134,0,Input!$W$7))</f>
        <v>0</v>
      </c>
      <c r="K73" s="275">
        <f ca="1">IF(A5taxstdlife="N/A","n/a",IF(J73=0,0,A5taxstdlife+I73-Input!$W$7))</f>
        <v>0</v>
      </c>
      <c r="L73" s="279"/>
      <c r="M73" s="308"/>
      <c r="N73" s="308"/>
      <c r="O73" s="268"/>
      <c r="P73" s="268"/>
      <c r="Q73" s="268"/>
      <c r="R73" s="268"/>
      <c r="S73" s="258"/>
      <c r="T73" s="258"/>
      <c r="U73" s="258"/>
      <c r="V73" s="258"/>
      <c r="W73" s="258"/>
      <c r="X73" s="258"/>
      <c r="Y73" s="258"/>
      <c r="Z73" s="258"/>
      <c r="AA73" s="341"/>
      <c r="AB73" s="334"/>
      <c r="AC73" s="335"/>
      <c r="AD73" s="335"/>
      <c r="AE73" s="335"/>
      <c r="AF73" s="335"/>
    </row>
    <row r="74" spans="1:38" hidden="1" outlineLevel="1">
      <c r="A74" s="271"/>
      <c r="B74" s="271"/>
      <c r="C74" s="667"/>
      <c r="D74" s="280">
        <f>D$14</f>
        <v>5</v>
      </c>
      <c r="E74" s="275">
        <f ca="1">OFFSET('Actual RAB roll forward'!H$16,0,D74-1)-SUM('Actual RAB roll forward'!H102:OFFSET('Actual RAB roll forward'!H102,0,Input!$W$7-1))</f>
        <v>8.1103503265607344</v>
      </c>
      <c r="F74" s="275">
        <f ca="1">IF(A5stdlife="N/A","n/a",IF(E74=0,0,A5stdlife+D74-Input!$W$7))</f>
        <v>5</v>
      </c>
      <c r="G74" s="276"/>
      <c r="H74" s="667"/>
      <c r="I74" s="280">
        <v>5</v>
      </c>
      <c r="J74" s="275">
        <f ca="1">OFFSET('Tax value roll forward'!G$44,0,I74)-SUM('Tax value roll forward'!G135:OFFSET('Tax value roll forward'!G135,0,Input!$W$7))</f>
        <v>8.6300000000000008</v>
      </c>
      <c r="K74" s="275">
        <f ca="1">IF(A5taxstdlife="N/A","n/a",IF(J74=0,0,A5taxstdlife+I74-Input!$W$7))</f>
        <v>0</v>
      </c>
      <c r="L74" s="279"/>
      <c r="M74" s="308"/>
      <c r="N74" s="308"/>
      <c r="O74" s="268"/>
      <c r="P74" s="268"/>
      <c r="Q74" s="268"/>
      <c r="R74" s="268"/>
      <c r="S74" s="258"/>
      <c r="T74" s="329"/>
      <c r="U74" s="258"/>
      <c r="V74" s="258"/>
      <c r="W74" s="258"/>
      <c r="X74" s="258"/>
      <c r="Y74" s="258"/>
      <c r="Z74" s="258"/>
      <c r="AA74" s="341"/>
      <c r="AB74" s="334"/>
      <c r="AC74" s="335"/>
      <c r="AD74" s="335"/>
      <c r="AE74" s="335"/>
      <c r="AF74" s="335"/>
    </row>
    <row r="75" spans="1:38" hidden="1" outlineLevel="1">
      <c r="A75" s="271"/>
      <c r="B75" s="271"/>
      <c r="C75" s="667"/>
      <c r="D75" s="280">
        <f>D$15</f>
        <v>6</v>
      </c>
      <c r="E75" s="275">
        <f ca="1">OFFSET('Actual RAB roll forward'!H$16,0,D75-1)-SUM('Actual RAB roll forward'!H103:OFFSET('Actual RAB roll forward'!H103,0,Input!$W$7-1))</f>
        <v>0</v>
      </c>
      <c r="F75" s="275">
        <f ca="1">IF(A5stdlife="N/A","n/a",IF(E75=0,0,A5stdlife+D75-Input!$W$7))</f>
        <v>0</v>
      </c>
      <c r="G75" s="276"/>
      <c r="H75" s="667"/>
      <c r="I75" s="280">
        <v>6</v>
      </c>
      <c r="J75" s="275">
        <f ca="1">OFFSET('Tax value roll forward'!G$44,0,I75)-SUM('Tax value roll forward'!G136:OFFSET('Tax value roll forward'!G136,0,Input!$W$7))</f>
        <v>0</v>
      </c>
      <c r="K75" s="275">
        <f ca="1">IF(A5taxstdlife="N/A","n/a",IF(J75=0,0,A5taxstdlife+I75-Input!$W$7))</f>
        <v>0</v>
      </c>
      <c r="L75" s="279"/>
      <c r="M75" s="308"/>
      <c r="N75" s="308"/>
      <c r="O75" s="268"/>
      <c r="P75" s="268"/>
      <c r="Q75" s="268"/>
      <c r="R75" s="268"/>
      <c r="S75" s="258"/>
      <c r="T75" s="258"/>
      <c r="U75" s="258"/>
      <c r="V75" s="258"/>
      <c r="W75" s="258"/>
      <c r="X75" s="258"/>
      <c r="Y75" s="258"/>
      <c r="Z75" s="258"/>
    </row>
    <row r="76" spans="1:38" hidden="1" outlineLevel="1">
      <c r="A76" s="271"/>
      <c r="B76" s="271"/>
      <c r="C76" s="667"/>
      <c r="D76" s="280">
        <f>D$16</f>
        <v>7</v>
      </c>
      <c r="E76" s="275">
        <f ca="1">OFFSET('Actual RAB roll forward'!H$16,0,D76-1)-SUM('Actual RAB roll forward'!H104:OFFSET('Actual RAB roll forward'!H104,0,Input!$W$7-1))</f>
        <v>0</v>
      </c>
      <c r="F76" s="275">
        <f ca="1">IF(A5stdlife="N/A","n/a",IF(E76=0,0,A5stdlife+D76-Input!$W$7))</f>
        <v>0</v>
      </c>
      <c r="G76" s="276"/>
      <c r="H76" s="667"/>
      <c r="I76" s="280">
        <v>7</v>
      </c>
      <c r="J76" s="275">
        <f ca="1">OFFSET('Tax value roll forward'!G$44,0,I76)-SUM('Tax value roll forward'!G137:OFFSET('Tax value roll forward'!G137,0,Input!$W$7))</f>
        <v>0</v>
      </c>
      <c r="K76" s="275">
        <f ca="1">IF(A5taxstdlife="N/A","n/a",IF(J76=0,0,A5taxstdlife+I76-Input!$W$7))</f>
        <v>0</v>
      </c>
      <c r="L76" s="279"/>
      <c r="M76" s="308"/>
      <c r="N76" s="308"/>
      <c r="O76" s="268"/>
      <c r="P76" s="268"/>
      <c r="Q76" s="268"/>
      <c r="R76" s="268"/>
      <c r="S76" s="258"/>
      <c r="T76" s="258"/>
      <c r="U76" s="258"/>
      <c r="V76" s="258"/>
      <c r="W76" s="258"/>
      <c r="X76" s="258"/>
      <c r="Y76" s="258"/>
      <c r="Z76" s="258"/>
    </row>
    <row r="77" spans="1:38" hidden="1" outlineLevel="1">
      <c r="A77" s="271"/>
      <c r="B77" s="271"/>
      <c r="C77" s="667"/>
      <c r="D77" s="280">
        <f>D$17</f>
        <v>8</v>
      </c>
      <c r="E77" s="275">
        <f ca="1">OFFSET('Actual RAB roll forward'!H$16,0,D77-1)-SUM('Actual RAB roll forward'!H105:OFFSET('Actual RAB roll forward'!H105,0,Input!$W$7-1))</f>
        <v>0</v>
      </c>
      <c r="F77" s="275">
        <f ca="1">IF(A5stdlife="N/A","n/a",IF(E77=0,0,A5stdlife+D77-Input!$W$7))</f>
        <v>0</v>
      </c>
      <c r="G77" s="276"/>
      <c r="H77" s="667"/>
      <c r="I77" s="280">
        <v>8</v>
      </c>
      <c r="J77" s="275">
        <f ca="1">OFFSET('Tax value roll forward'!G$44,0,I77)-SUM('Tax value roll forward'!G138:OFFSET('Tax value roll forward'!G138,0,Input!$W$7))</f>
        <v>0</v>
      </c>
      <c r="K77" s="275">
        <f ca="1">IF(A5taxstdlife="N/A","n/a",IF(J77=0,0,A5taxstdlife+I77-Input!$W$7))</f>
        <v>0</v>
      </c>
      <c r="L77" s="279"/>
      <c r="M77" s="308"/>
      <c r="N77" s="308"/>
      <c r="O77" s="268"/>
      <c r="P77" s="268"/>
      <c r="Q77" s="268"/>
      <c r="R77" s="268"/>
      <c r="S77" s="258"/>
      <c r="T77" s="258"/>
      <c r="U77" s="258"/>
      <c r="V77" s="258"/>
      <c r="W77" s="258"/>
      <c r="X77" s="258"/>
      <c r="Y77" s="258"/>
      <c r="Z77" s="258"/>
    </row>
    <row r="78" spans="1:38" hidden="1" outlineLevel="1">
      <c r="A78" s="271"/>
      <c r="B78" s="271"/>
      <c r="C78" s="667"/>
      <c r="D78" s="280">
        <f>D$18</f>
        <v>9</v>
      </c>
      <c r="E78" s="275">
        <f ca="1">OFFSET('Actual RAB roll forward'!H$16,0,D78-1)-SUM('Actual RAB roll forward'!H106:OFFSET('Actual RAB roll forward'!H106,0,Input!$W$7-1))</f>
        <v>0</v>
      </c>
      <c r="F78" s="275">
        <f ca="1">IF(A5stdlife="N/A","n/a",IF(E78=0,0,A5stdlife+D78-Input!$W$7))</f>
        <v>0</v>
      </c>
      <c r="G78" s="276"/>
      <c r="H78" s="667"/>
      <c r="I78" s="280">
        <v>9</v>
      </c>
      <c r="J78" s="275">
        <f ca="1">OFFSET('Tax value roll forward'!G$44,0,I78)-SUM('Tax value roll forward'!G139:OFFSET('Tax value roll forward'!G139,0,Input!$W$7))</f>
        <v>0</v>
      </c>
      <c r="K78" s="275">
        <f ca="1">IF(A5taxstdlife="N/A","n/a",IF(J78=0,0,A5taxstdlife+I78-Input!$W$7))</f>
        <v>0</v>
      </c>
      <c r="L78" s="279"/>
      <c r="M78" s="308"/>
      <c r="N78" s="308"/>
      <c r="O78" s="268"/>
      <c r="P78" s="268"/>
      <c r="Q78" s="268"/>
      <c r="R78" s="268"/>
      <c r="S78" s="258"/>
      <c r="T78" s="258"/>
      <c r="U78" s="258"/>
      <c r="V78" s="258"/>
      <c r="W78" s="258"/>
      <c r="X78" s="258"/>
      <c r="Y78" s="258"/>
      <c r="Z78" s="258"/>
    </row>
    <row r="79" spans="1:38" hidden="1" outlineLevel="1">
      <c r="A79" s="271"/>
      <c r="B79" s="271"/>
      <c r="C79" s="668"/>
      <c r="D79" s="281">
        <f>D$19</f>
        <v>10</v>
      </c>
      <c r="E79" s="275">
        <f ca="1">OFFSET('Actual RAB roll forward'!H$16,0,D79-1)-SUM('Actual RAB roll forward'!H107:OFFSET('Actual RAB roll forward'!H107,0,Input!$W$7-1))</f>
        <v>0</v>
      </c>
      <c r="F79" s="275">
        <f ca="1">IF(A5stdlife="N/A","n/a",IF(E79=0,0,A5stdlife+D79-Input!$W$7))</f>
        <v>0</v>
      </c>
      <c r="G79" s="276"/>
      <c r="H79" s="668"/>
      <c r="I79" s="281">
        <v>10</v>
      </c>
      <c r="J79" s="275">
        <f ca="1">OFFSET('Tax value roll forward'!G$44,0,I79)-SUM('Tax value roll forward'!G140:OFFSET('Tax value roll forward'!G140,0,Input!$W$7))</f>
        <v>0</v>
      </c>
      <c r="K79" s="275">
        <f ca="1">IF(A5taxstdlife="N/A","n/a",IF(J79=0,0,A5taxstdlife+I79-Input!$W$7))</f>
        <v>0</v>
      </c>
      <c r="M79" s="308"/>
      <c r="N79" s="308"/>
      <c r="O79" s="268"/>
      <c r="P79" s="268"/>
      <c r="Q79" s="268"/>
      <c r="R79" s="268"/>
      <c r="S79" s="258"/>
      <c r="T79" s="258"/>
      <c r="U79" s="258"/>
      <c r="V79" s="258"/>
      <c r="W79" s="258"/>
      <c r="X79" s="258"/>
      <c r="Y79" s="258"/>
      <c r="Z79" s="258"/>
    </row>
    <row r="80" spans="1:38" collapsed="1">
      <c r="A80" s="271"/>
      <c r="B80" s="271"/>
      <c r="C80" s="291" t="str">
        <f>Asset5</f>
        <v>Computer Equipment</v>
      </c>
      <c r="D80" s="271"/>
      <c r="E80" s="275">
        <f ca="1">SUM(E68:E79)</f>
        <v>10.171580907229284</v>
      </c>
      <c r="F80" s="321">
        <f ca="1">MIN(F74,IF(E80=0,0,SUMPRODUCT(E68:E79,F68:F79)/E80))</f>
        <v>5</v>
      </c>
      <c r="G80" s="276"/>
      <c r="H80" s="283"/>
      <c r="I80" s="275"/>
      <c r="J80" s="309">
        <f ca="1">SUM(J68:J79)</f>
        <v>8.6300000000000008</v>
      </c>
      <c r="K80" s="309">
        <f ca="1">IF(J80=0,0,SUMPRODUCT(J68:J79,K68:K79)/J80)</f>
        <v>0</v>
      </c>
      <c r="L80" s="279"/>
      <c r="M80" s="308"/>
      <c r="N80" s="308"/>
      <c r="O80" s="268"/>
      <c r="P80" s="268"/>
      <c r="Q80" s="268"/>
      <c r="R80" s="268"/>
      <c r="S80" s="258"/>
      <c r="T80" s="258"/>
      <c r="U80" s="258"/>
      <c r="V80" s="258"/>
      <c r="W80" s="258"/>
      <c r="X80" s="258"/>
      <c r="Y80" s="258"/>
      <c r="Z80" s="258"/>
    </row>
    <row r="81" spans="1:38" hidden="1" outlineLevel="1">
      <c r="A81" s="271"/>
      <c r="B81" s="271"/>
      <c r="C81" s="291"/>
      <c r="D81" s="271"/>
      <c r="E81" s="275"/>
      <c r="F81" s="275"/>
      <c r="G81" s="276"/>
      <c r="H81" s="275"/>
      <c r="I81" s="275"/>
      <c r="J81" s="289"/>
      <c r="K81" s="275"/>
      <c r="L81" s="279"/>
      <c r="M81" s="308"/>
      <c r="N81" s="308"/>
      <c r="O81" s="268"/>
      <c r="P81" s="268"/>
      <c r="Q81" s="268"/>
      <c r="R81" s="268"/>
      <c r="S81" s="258"/>
      <c r="T81" s="258"/>
      <c r="U81" s="258"/>
      <c r="V81" s="258"/>
      <c r="W81" s="258"/>
      <c r="X81" s="258"/>
      <c r="Y81" s="258"/>
      <c r="Z81" s="258"/>
      <c r="AA81" s="338"/>
    </row>
    <row r="82" spans="1:38" hidden="1" outlineLevel="1">
      <c r="A82" s="271"/>
      <c r="B82" s="274" t="str">
        <f>Asset6</f>
        <v>Other Assets</v>
      </c>
      <c r="C82" s="271"/>
      <c r="D82" s="271"/>
      <c r="E82" s="275"/>
      <c r="F82" s="275"/>
      <c r="G82" s="276"/>
      <c r="H82" s="275"/>
      <c r="I82" s="275"/>
      <c r="J82" s="289"/>
      <c r="K82" s="275"/>
      <c r="L82" s="279"/>
      <c r="M82" s="308"/>
      <c r="N82" s="308"/>
      <c r="O82" s="268"/>
      <c r="P82" s="268"/>
      <c r="Q82" s="268"/>
      <c r="R82" s="268"/>
      <c r="S82" s="258"/>
      <c r="T82" s="258"/>
      <c r="U82" s="258"/>
      <c r="V82" s="258"/>
      <c r="W82" s="258"/>
      <c r="X82" s="258"/>
      <c r="Y82" s="258"/>
      <c r="Z82" s="258"/>
      <c r="AA82" s="339"/>
      <c r="AB82" s="335"/>
      <c r="AC82" s="335"/>
      <c r="AD82" s="335"/>
      <c r="AE82" s="335"/>
      <c r="AF82" s="335"/>
      <c r="AH82" s="342"/>
      <c r="AI82" s="342"/>
      <c r="AJ82" s="342"/>
      <c r="AK82" s="342"/>
      <c r="AL82" s="342"/>
    </row>
    <row r="83" spans="1:38" ht="12.75" hidden="1" customHeight="1" outlineLevel="1">
      <c r="A83" s="271"/>
      <c r="B83" s="271"/>
      <c r="C83" s="659" t="s">
        <v>28</v>
      </c>
      <c r="D83" s="660"/>
      <c r="E83" s="275">
        <f ca="1">A6value-SUM('Actual RAB roll forward'!H109:OFFSET('Actual RAB roll forward'!H109,0,Input!$W$7-1))</f>
        <v>14.385042337345791</v>
      </c>
      <c r="F83" s="275">
        <f ca="1">IF(A6remlife="N/A","n/a",IF(E83=0,0,A6remlife-Input!$W$7))</f>
        <v>5.9506131067429955</v>
      </c>
      <c r="G83" s="276"/>
      <c r="H83" s="277" t="s">
        <v>67</v>
      </c>
      <c r="I83" s="278"/>
      <c r="J83" s="275">
        <f ca="1">A6taxvalue-SUM('Tax value roll forward'!G142:OFFSET('Tax value roll forward'!G142,0,Input!$W$7))</f>
        <v>0</v>
      </c>
      <c r="K83" s="321">
        <f ca="1">IF(A6taxremlife="N/A","n/a",IF(J83=0,0,A6taxremlife-Input!$W$7-1))</f>
        <v>0</v>
      </c>
      <c r="L83" s="279"/>
      <c r="M83" s="308"/>
      <c r="N83" s="308"/>
      <c r="O83" s="268"/>
      <c r="P83" s="268"/>
      <c r="Q83" s="268"/>
      <c r="R83" s="268"/>
      <c r="S83" s="258"/>
      <c r="T83" s="258"/>
      <c r="U83" s="258"/>
      <c r="V83" s="258"/>
      <c r="W83" s="258"/>
      <c r="X83" s="258"/>
      <c r="Y83" s="258"/>
      <c r="Z83" s="258"/>
      <c r="AA83" s="340"/>
      <c r="AB83" s="334"/>
      <c r="AC83" s="335"/>
      <c r="AD83" s="335"/>
      <c r="AE83" s="335"/>
      <c r="AF83" s="335"/>
    </row>
    <row r="84" spans="1:38" ht="12.75" hidden="1" customHeight="1" outlineLevel="1">
      <c r="A84" s="271"/>
      <c r="B84" s="271"/>
      <c r="C84" s="666" t="s">
        <v>84</v>
      </c>
      <c r="D84" s="320">
        <f>D$9</f>
        <v>0</v>
      </c>
      <c r="E84" s="275"/>
      <c r="F84" s="275"/>
      <c r="G84" s="276"/>
      <c r="H84" s="666" t="s">
        <v>84</v>
      </c>
      <c r="I84" s="320">
        <v>0</v>
      </c>
      <c r="J84" s="321">
        <f ca="1">OFFSET('Tax value roll forward'!G$45,0,I84)-SUM('Tax value roll forward'!G144:OFFSET('Tax value roll forward'!G144,0,Input!$W$7))</f>
        <v>8.8580000000000005</v>
      </c>
      <c r="K84" s="321">
        <f ca="1">IF(A6taxstdlife="N/A","n/a",IF(J84=0,0,A6taxstdlife+I84-Input!$W$7))</f>
        <v>5</v>
      </c>
      <c r="L84" s="279"/>
      <c r="M84" s="308"/>
      <c r="N84" s="308"/>
      <c r="O84" s="268"/>
      <c r="P84" s="268"/>
      <c r="Q84" s="268"/>
      <c r="R84" s="268"/>
      <c r="S84" s="258"/>
      <c r="T84" s="258"/>
      <c r="U84" s="258"/>
      <c r="V84" s="258"/>
      <c r="W84" s="258"/>
      <c r="X84" s="258"/>
      <c r="Y84" s="258"/>
      <c r="Z84" s="258"/>
      <c r="AA84" s="341"/>
      <c r="AB84" s="334"/>
      <c r="AC84" s="335"/>
      <c r="AD84" s="335"/>
      <c r="AE84" s="335"/>
      <c r="AF84" s="335"/>
    </row>
    <row r="85" spans="1:38" ht="12.75" hidden="1" customHeight="1" outlineLevel="1">
      <c r="A85" s="271"/>
      <c r="B85" s="271"/>
      <c r="C85" s="667"/>
      <c r="D85" s="280">
        <f>D$10</f>
        <v>1</v>
      </c>
      <c r="E85" s="275">
        <f ca="1">OFFSET('Actual RAB roll forward'!H$17,0,D85-1)-SUM('Actual RAB roll forward'!H111:OFFSET('Actual RAB roll forward'!H111,0,Input!$W$7-1))</f>
        <v>2.901683693826639</v>
      </c>
      <c r="F85" s="275">
        <f ca="1">IF(A6stdlife="N/A","n/a",IF(E85=0,0,A6stdlife+D85-Input!$W$7))</f>
        <v>11</v>
      </c>
      <c r="G85" s="276"/>
      <c r="H85" s="667"/>
      <c r="I85" s="280">
        <v>1</v>
      </c>
      <c r="J85" s="275">
        <f ca="1">OFFSET('Tax value roll forward'!G$45,0,I85)-SUM('Tax value roll forward'!G145:OFFSET('Tax value roll forward'!G145,0,Input!$W$7))</f>
        <v>2.5042930690104295</v>
      </c>
      <c r="K85" s="275">
        <f ca="1">IF(A6taxstdlife="N/A","n/a",IF(J85=0,0,A6taxstdlife+I85-Input!$W$7))</f>
        <v>6</v>
      </c>
      <c r="L85" s="279"/>
      <c r="M85" s="308"/>
      <c r="N85" s="308"/>
      <c r="O85" s="268"/>
      <c r="P85" s="268"/>
      <c r="Q85" s="268"/>
      <c r="R85" s="268"/>
      <c r="S85" s="258"/>
      <c r="T85" s="258"/>
      <c r="U85" s="258"/>
      <c r="V85" s="258"/>
      <c r="W85" s="258"/>
      <c r="X85" s="258"/>
      <c r="Y85" s="258"/>
      <c r="Z85" s="258"/>
      <c r="AA85" s="341"/>
      <c r="AB85" s="334"/>
      <c r="AC85" s="335"/>
      <c r="AD85" s="335"/>
      <c r="AE85" s="335"/>
      <c r="AF85" s="335"/>
    </row>
    <row r="86" spans="1:38" hidden="1" outlineLevel="1">
      <c r="A86" s="271"/>
      <c r="B86" s="271"/>
      <c r="C86" s="667"/>
      <c r="D86" s="280">
        <f>D$11</f>
        <v>2</v>
      </c>
      <c r="E86" s="275">
        <f ca="1">OFFSET('Actual RAB roll forward'!H$17,0,D86-1)-SUM('Actual RAB roll forward'!H112:OFFSET('Actual RAB roll forward'!H112,0,Input!$W$7-1))</f>
        <v>2.1353534407581689</v>
      </c>
      <c r="F86" s="275">
        <f ca="1">IF(A6stdlife="N/A","n/a",IF(E86=0,0,A6stdlife+D86-Input!$W$7))</f>
        <v>12</v>
      </c>
      <c r="G86" s="276"/>
      <c r="H86" s="667"/>
      <c r="I86" s="280">
        <v>2</v>
      </c>
      <c r="J86" s="275">
        <f ca="1">OFFSET('Tax value roll forward'!G$45,0,I86)-SUM('Tax value roll forward'!G146:OFFSET('Tax value roll forward'!G146,0,Input!$W$7))</f>
        <v>2.7192283929316523</v>
      </c>
      <c r="K86" s="275">
        <f ca="1">IF(A6taxstdlife="N/A","n/a",IF(J86=0,0,A6taxstdlife+I86-Input!$W$7))</f>
        <v>7</v>
      </c>
      <c r="L86" s="279"/>
      <c r="M86" s="308"/>
      <c r="N86" s="308"/>
      <c r="O86" s="268"/>
      <c r="P86" s="268"/>
      <c r="Q86" s="268"/>
      <c r="R86" s="268"/>
      <c r="S86" s="258"/>
      <c r="T86" s="258"/>
      <c r="U86" s="258"/>
      <c r="V86" s="258"/>
      <c r="W86" s="258"/>
      <c r="X86" s="258"/>
      <c r="Y86" s="258"/>
      <c r="Z86" s="258"/>
      <c r="AA86" s="341"/>
      <c r="AB86" s="334"/>
      <c r="AC86" s="335"/>
      <c r="AD86" s="335"/>
      <c r="AE86" s="335"/>
      <c r="AF86" s="335"/>
    </row>
    <row r="87" spans="1:38" hidden="1" outlineLevel="1">
      <c r="A87" s="271"/>
      <c r="B87" s="271"/>
      <c r="C87" s="667"/>
      <c r="D87" s="280">
        <f>D$12</f>
        <v>3</v>
      </c>
      <c r="E87" s="275">
        <f ca="1">OFFSET('Actual RAB roll forward'!H$17,0,D87-1)-SUM('Actual RAB roll forward'!H113:OFFSET('Actual RAB roll forward'!H113,0,Input!$W$7-1))</f>
        <v>1.2771344897346504</v>
      </c>
      <c r="F87" s="275">
        <f ca="1">IF(A6stdlife="N/A","n/a",IF(E87=0,0,A6stdlife+D87-Input!$W$7))</f>
        <v>13</v>
      </c>
      <c r="G87" s="276"/>
      <c r="H87" s="667"/>
      <c r="I87" s="280">
        <v>3</v>
      </c>
      <c r="J87" s="275">
        <f ca="1">OFFSET('Tax value roll forward'!G$45,0,I87)-SUM('Tax value roll forward'!G147:OFFSET('Tax value roll forward'!G147,0,Input!$W$7))</f>
        <v>1.7475377902084464</v>
      </c>
      <c r="K87" s="275">
        <f ca="1">IF(A6taxstdlife="N/A","n/a",IF(J87=0,0,A6taxstdlife+I87-Input!$W$7))</f>
        <v>8</v>
      </c>
      <c r="L87" s="279"/>
      <c r="M87" s="308"/>
      <c r="N87" s="308"/>
      <c r="O87" s="268"/>
      <c r="P87" s="268"/>
      <c r="Q87" s="268"/>
      <c r="R87" s="268"/>
      <c r="S87" s="258"/>
      <c r="T87" s="258"/>
      <c r="U87" s="258"/>
      <c r="V87" s="258"/>
      <c r="W87" s="258"/>
      <c r="X87" s="258"/>
      <c r="Y87" s="258"/>
      <c r="Z87" s="258"/>
      <c r="AA87" s="341"/>
      <c r="AB87" s="334"/>
      <c r="AC87" s="335"/>
      <c r="AD87" s="335"/>
      <c r="AE87" s="335"/>
      <c r="AF87" s="335"/>
    </row>
    <row r="88" spans="1:38" hidden="1" outlineLevel="1">
      <c r="A88" s="271"/>
      <c r="B88" s="271"/>
      <c r="C88" s="667"/>
      <c r="D88" s="280">
        <f>D$13</f>
        <v>4</v>
      </c>
      <c r="E88" s="275">
        <f ca="1">OFFSET('Actual RAB roll forward'!H$17,0,D88-1)-SUM('Actual RAB roll forward'!H114:OFFSET('Actual RAB roll forward'!H114,0,Input!$W$7-1))</f>
        <v>1.7519040509912376</v>
      </c>
      <c r="F88" s="275">
        <f ca="1">IF(A6stdlife="N/A","n/a",IF(E88=0,0,A6stdlife+D88-Input!$W$7))</f>
        <v>14</v>
      </c>
      <c r="G88" s="276"/>
      <c r="H88" s="667"/>
      <c r="I88" s="280">
        <v>4</v>
      </c>
      <c r="J88" s="275">
        <f ca="1">OFFSET('Tax value roll forward'!G$45,0,I88)-SUM('Tax value roll forward'!G148:OFFSET('Tax value roll forward'!G148,0,Input!$W$7))</f>
        <v>1.9087470446899191</v>
      </c>
      <c r="K88" s="275">
        <f ca="1">IF(A6taxstdlife="N/A","n/a",IF(J88=0,0,A6taxstdlife+I88-Input!$W$7))</f>
        <v>9</v>
      </c>
      <c r="L88" s="279"/>
      <c r="M88" s="308"/>
      <c r="N88" s="308"/>
      <c r="O88" s="268"/>
      <c r="P88" s="268"/>
      <c r="Q88" s="268"/>
      <c r="R88" s="268"/>
      <c r="S88" s="258"/>
      <c r="T88" s="258"/>
      <c r="U88" s="258"/>
      <c r="V88" s="258"/>
      <c r="W88" s="258"/>
      <c r="X88" s="258"/>
      <c r="Y88" s="258"/>
      <c r="Z88" s="258"/>
      <c r="AA88" s="341"/>
      <c r="AB88" s="334"/>
      <c r="AC88" s="335"/>
      <c r="AD88" s="335"/>
      <c r="AE88" s="335"/>
      <c r="AF88" s="335"/>
    </row>
    <row r="89" spans="1:38" hidden="1" outlineLevel="1">
      <c r="A89" s="271"/>
      <c r="B89" s="271"/>
      <c r="C89" s="667"/>
      <c r="D89" s="280">
        <f>D$14</f>
        <v>5</v>
      </c>
      <c r="E89" s="275">
        <f ca="1">OFFSET('Actual RAB roll forward'!H$17,0,D89-1)-SUM('Actual RAB roll forward'!H115:OFFSET('Actual RAB roll forward'!H115,0,Input!$W$7-1))</f>
        <v>3.9095083845298553</v>
      </c>
      <c r="F89" s="275">
        <f ca="1">IF(A6stdlife="N/A","n/a",IF(E89=0,0,A6stdlife+D89-Input!$W$7))</f>
        <v>15</v>
      </c>
      <c r="G89" s="276"/>
      <c r="H89" s="667"/>
      <c r="I89" s="280">
        <v>5</v>
      </c>
      <c r="J89" s="275">
        <f ca="1">OFFSET('Tax value roll forward'!G$45,0,I89)-SUM('Tax value roll forward'!G149:OFFSET('Tax value roll forward'!G149,0,Input!$W$7))</f>
        <v>4.16</v>
      </c>
      <c r="K89" s="275">
        <f ca="1">IF(A6taxstdlife="N/A","n/a",IF(J89=0,0,A6taxstdlife+I89-Input!$W$7))</f>
        <v>10</v>
      </c>
      <c r="L89" s="279"/>
      <c r="M89" s="308"/>
      <c r="N89" s="308"/>
      <c r="O89" s="268"/>
      <c r="P89" s="268"/>
      <c r="Q89" s="268"/>
      <c r="R89" s="268"/>
      <c r="S89" s="258"/>
      <c r="T89" s="258"/>
      <c r="U89" s="258"/>
      <c r="V89" s="258"/>
      <c r="W89" s="258"/>
      <c r="X89" s="258"/>
      <c r="Y89" s="258"/>
      <c r="Z89" s="258"/>
      <c r="AA89" s="341"/>
      <c r="AB89" s="334"/>
      <c r="AC89" s="335"/>
      <c r="AD89" s="335"/>
      <c r="AE89" s="335"/>
      <c r="AF89" s="335"/>
    </row>
    <row r="90" spans="1:38" hidden="1" outlineLevel="1">
      <c r="A90" s="271"/>
      <c r="B90" s="271"/>
      <c r="C90" s="667"/>
      <c r="D90" s="280">
        <f>D$15</f>
        <v>6</v>
      </c>
      <c r="E90" s="275">
        <f ca="1">OFFSET('Actual RAB roll forward'!H$17,0,D90-1)-SUM('Actual RAB roll forward'!H116:OFFSET('Actual RAB roll forward'!H116,0,Input!$W$7-1))</f>
        <v>0</v>
      </c>
      <c r="F90" s="275">
        <f ca="1">IF(A6stdlife="N/A","n/a",IF(E90=0,0,A6stdlife+D90-Input!$W$7))</f>
        <v>0</v>
      </c>
      <c r="G90" s="276"/>
      <c r="H90" s="667"/>
      <c r="I90" s="280">
        <v>6</v>
      </c>
      <c r="J90" s="275">
        <f ca="1">OFFSET('Tax value roll forward'!G$45,0,I90)-SUM('Tax value roll forward'!G150:OFFSET('Tax value roll forward'!G150,0,Input!$W$7))</f>
        <v>0</v>
      </c>
      <c r="K90" s="275">
        <f ca="1">IF(A6taxstdlife="N/A","n/a",IF(J90=0,0,A6taxstdlife+I90-Input!$W$7))</f>
        <v>0</v>
      </c>
      <c r="L90" s="279"/>
      <c r="M90" s="308"/>
      <c r="N90" s="308"/>
      <c r="O90" s="268"/>
      <c r="P90" s="268"/>
      <c r="Q90" s="268"/>
      <c r="R90" s="268"/>
      <c r="S90" s="258"/>
      <c r="T90" s="258"/>
      <c r="U90" s="258"/>
      <c r="V90" s="258"/>
      <c r="W90" s="258"/>
      <c r="X90" s="258"/>
      <c r="Y90" s="258"/>
      <c r="Z90" s="258"/>
    </row>
    <row r="91" spans="1:38" hidden="1" outlineLevel="1">
      <c r="A91" s="271"/>
      <c r="B91" s="271"/>
      <c r="C91" s="667"/>
      <c r="D91" s="280">
        <f>D$16</f>
        <v>7</v>
      </c>
      <c r="E91" s="275">
        <f ca="1">OFFSET('Actual RAB roll forward'!H$17,0,D91-1)-SUM('Actual RAB roll forward'!H117:OFFSET('Actual RAB roll forward'!H117,0,Input!$W$7-1))</f>
        <v>0</v>
      </c>
      <c r="F91" s="275">
        <f ca="1">IF(A6stdlife="N/A","n/a",IF(E91=0,0,A6stdlife+D91-Input!$W$7))</f>
        <v>0</v>
      </c>
      <c r="G91" s="276"/>
      <c r="H91" s="667"/>
      <c r="I91" s="280">
        <v>7</v>
      </c>
      <c r="J91" s="275">
        <f ca="1">OFFSET('Tax value roll forward'!G$45,0,I91)-SUM('Tax value roll forward'!G151:OFFSET('Tax value roll forward'!G151,0,Input!$W$7))</f>
        <v>0</v>
      </c>
      <c r="K91" s="275">
        <f ca="1">IF(A6taxstdlife="N/A","n/a",IF(J91=0,0,A6taxstdlife+I91-Input!$W$7))</f>
        <v>0</v>
      </c>
      <c r="L91" s="279"/>
      <c r="M91" s="308"/>
      <c r="N91" s="308"/>
      <c r="O91" s="268"/>
      <c r="P91" s="268"/>
      <c r="Q91" s="268"/>
      <c r="R91" s="268"/>
      <c r="S91" s="258"/>
      <c r="T91" s="258"/>
      <c r="U91" s="258"/>
      <c r="V91" s="258"/>
      <c r="W91" s="258"/>
      <c r="X91" s="258"/>
      <c r="Y91" s="258"/>
      <c r="Z91" s="258"/>
    </row>
    <row r="92" spans="1:38" hidden="1" outlineLevel="1">
      <c r="A92" s="271"/>
      <c r="B92" s="271"/>
      <c r="C92" s="667"/>
      <c r="D92" s="280">
        <f>D$17</f>
        <v>8</v>
      </c>
      <c r="E92" s="275">
        <f ca="1">OFFSET('Actual RAB roll forward'!H$17,0,D92-1)-SUM('Actual RAB roll forward'!H118:OFFSET('Actual RAB roll forward'!H118,0,Input!$W$7-1))</f>
        <v>0</v>
      </c>
      <c r="F92" s="275">
        <f ca="1">IF(A6stdlife="N/A","n/a",IF(E92=0,0,A6stdlife+D92-Input!$W$7))</f>
        <v>0</v>
      </c>
      <c r="G92" s="276"/>
      <c r="H92" s="667"/>
      <c r="I92" s="280">
        <v>8</v>
      </c>
      <c r="J92" s="275">
        <f ca="1">OFFSET('Tax value roll forward'!G$45,0,I92)-SUM('Tax value roll forward'!G152:OFFSET('Tax value roll forward'!G152,0,Input!$W$7))</f>
        <v>0</v>
      </c>
      <c r="K92" s="275">
        <f ca="1">IF(A6taxstdlife="N/A","n/a",IF(J92=0,0,A6taxstdlife+I92-Input!$W$7))</f>
        <v>0</v>
      </c>
      <c r="L92" s="279"/>
      <c r="M92" s="308"/>
      <c r="N92" s="308"/>
      <c r="O92" s="268"/>
      <c r="P92" s="268"/>
      <c r="Q92" s="268"/>
      <c r="R92" s="268"/>
      <c r="S92" s="258"/>
      <c r="T92" s="258"/>
      <c r="U92" s="258"/>
      <c r="V92" s="258"/>
      <c r="W92" s="258"/>
      <c r="X92" s="258"/>
      <c r="Y92" s="258"/>
      <c r="Z92" s="258"/>
    </row>
    <row r="93" spans="1:38" hidden="1" outlineLevel="1">
      <c r="A93" s="271"/>
      <c r="B93" s="271"/>
      <c r="C93" s="667"/>
      <c r="D93" s="280">
        <f>D$18</f>
        <v>9</v>
      </c>
      <c r="E93" s="275">
        <f ca="1">OFFSET('Actual RAB roll forward'!H$17,0,D93-1)-SUM('Actual RAB roll forward'!H119:OFFSET('Actual RAB roll forward'!H119,0,Input!$W$7-1))</f>
        <v>0</v>
      </c>
      <c r="F93" s="275">
        <f ca="1">IF(A6stdlife="N/A","n/a",IF(E93=0,0,A6stdlife+D93-Input!$W$7))</f>
        <v>0</v>
      </c>
      <c r="G93" s="276"/>
      <c r="H93" s="667"/>
      <c r="I93" s="280">
        <v>9</v>
      </c>
      <c r="J93" s="275">
        <f ca="1">OFFSET('Tax value roll forward'!G$45,0,I93)-SUM('Tax value roll forward'!G153:OFFSET('Tax value roll forward'!G153,0,Input!$W$7))</f>
        <v>0</v>
      </c>
      <c r="K93" s="275">
        <f ca="1">IF(A6taxstdlife="N/A","n/a",IF(J93=0,0,A6taxstdlife+I93-Input!$W$7))</f>
        <v>0</v>
      </c>
      <c r="L93" s="279"/>
      <c r="M93" s="308"/>
      <c r="N93" s="308"/>
      <c r="O93" s="268"/>
      <c r="P93" s="268"/>
      <c r="Q93" s="268"/>
      <c r="R93" s="268"/>
      <c r="S93" s="258"/>
      <c r="T93" s="258"/>
      <c r="U93" s="258"/>
      <c r="V93" s="258"/>
      <c r="W93" s="258"/>
      <c r="X93" s="258"/>
      <c r="Y93" s="258"/>
      <c r="Z93" s="258"/>
    </row>
    <row r="94" spans="1:38" hidden="1" outlineLevel="1">
      <c r="A94" s="271"/>
      <c r="B94" s="271"/>
      <c r="C94" s="668"/>
      <c r="D94" s="281">
        <f>D$19</f>
        <v>10</v>
      </c>
      <c r="E94" s="275">
        <f ca="1">OFFSET('Actual RAB roll forward'!H$17,0,D94-1)-SUM('Actual RAB roll forward'!H120:OFFSET('Actual RAB roll forward'!H120,0,Input!$W$7-1))</f>
        <v>0</v>
      </c>
      <c r="F94" s="275">
        <f ca="1">IF(A6stdlife="N/A","n/a",IF(E94=0,0,A6stdlife+D94-Input!$W$7))</f>
        <v>0</v>
      </c>
      <c r="G94" s="276"/>
      <c r="H94" s="668"/>
      <c r="I94" s="281">
        <v>10</v>
      </c>
      <c r="J94" s="275">
        <f ca="1">OFFSET('Tax value roll forward'!G$45,0,I94)-SUM('Tax value roll forward'!G154:OFFSET('Tax value roll forward'!G154,0,Input!$W$7))</f>
        <v>0</v>
      </c>
      <c r="K94" s="275">
        <f ca="1">IF(A6taxstdlife="N/A","n/a",IF(J94=0,0,A6taxstdlife+I94-Input!$W$7))</f>
        <v>0</v>
      </c>
      <c r="L94" s="279"/>
      <c r="M94" s="308"/>
      <c r="N94" s="308"/>
      <c r="O94" s="268"/>
      <c r="P94" s="268"/>
      <c r="Q94" s="268"/>
      <c r="R94" s="268"/>
      <c r="S94" s="258"/>
      <c r="T94" s="258"/>
      <c r="U94" s="258"/>
      <c r="V94" s="258"/>
      <c r="W94" s="258"/>
      <c r="X94" s="258"/>
      <c r="Y94" s="258"/>
      <c r="Z94" s="258"/>
    </row>
    <row r="95" spans="1:38" collapsed="1">
      <c r="A95" s="271"/>
      <c r="B95" s="271"/>
      <c r="C95" s="291" t="str">
        <f>Asset6</f>
        <v>Other Assets</v>
      </c>
      <c r="D95" s="271"/>
      <c r="E95" s="275">
        <f ca="1">SUM(E83:E94)</f>
        <v>26.360626397186341</v>
      </c>
      <c r="F95" s="275">
        <f ca="1">IF(E95=0,0,SUMPRODUCT(E83:E94,F83:F94)/E95)</f>
        <v>9.215054702537623</v>
      </c>
      <c r="G95" s="276"/>
      <c r="H95" s="283"/>
      <c r="I95" s="275"/>
      <c r="J95" s="309">
        <f ca="1">SUM(J83:J94)</f>
        <v>21.897806296840447</v>
      </c>
      <c r="K95" s="309">
        <f ca="1">IF(J95=0,0,SUMPRODUCT(J83:J94,K83:K94)/J95)</f>
        <v>6.9006630545573877</v>
      </c>
      <c r="L95" s="279"/>
      <c r="M95" s="308"/>
      <c r="N95" s="308"/>
      <c r="O95" s="268"/>
      <c r="P95" s="268"/>
      <c r="Q95" s="268"/>
      <c r="R95" s="268"/>
      <c r="S95" s="258"/>
      <c r="T95" s="258"/>
      <c r="U95" s="258"/>
      <c r="V95" s="258"/>
      <c r="W95" s="258"/>
      <c r="X95" s="258"/>
      <c r="Y95" s="258"/>
      <c r="Z95" s="258"/>
    </row>
    <row r="96" spans="1:38" hidden="1" outlineLevel="1">
      <c r="A96" s="271"/>
      <c r="B96" s="271"/>
      <c r="C96" s="291"/>
      <c r="D96" s="271"/>
      <c r="E96" s="275"/>
      <c r="F96" s="275"/>
      <c r="G96" s="276"/>
      <c r="H96" s="275"/>
      <c r="I96" s="275"/>
      <c r="J96" s="289"/>
      <c r="K96" s="275"/>
      <c r="L96" s="279"/>
      <c r="M96" s="308"/>
      <c r="N96" s="308"/>
      <c r="O96" s="268"/>
      <c r="P96" s="268"/>
      <c r="Q96" s="268"/>
      <c r="R96" s="268"/>
      <c r="S96" s="258"/>
      <c r="T96" s="258"/>
      <c r="U96" s="258"/>
      <c r="V96" s="258"/>
      <c r="W96" s="258"/>
      <c r="X96" s="258"/>
      <c r="Y96" s="258"/>
      <c r="Z96" s="258"/>
    </row>
    <row r="97" spans="1:26" hidden="1" outlineLevel="1">
      <c r="A97" s="271"/>
      <c r="B97" s="274" t="str">
        <f>Asset7</f>
        <v>Equity Raising Costs</v>
      </c>
      <c r="C97" s="271"/>
      <c r="D97" s="268"/>
      <c r="E97" s="275"/>
      <c r="F97" s="275"/>
      <c r="G97" s="276"/>
      <c r="H97" s="275"/>
      <c r="I97" s="275"/>
      <c r="J97" s="289"/>
      <c r="K97" s="275"/>
      <c r="L97" s="279"/>
      <c r="M97" s="308"/>
      <c r="N97" s="308"/>
      <c r="O97" s="268"/>
      <c r="P97" s="268"/>
      <c r="Q97" s="268"/>
      <c r="R97" s="268"/>
      <c r="S97" s="258"/>
      <c r="T97" s="258"/>
      <c r="U97" s="258"/>
      <c r="V97" s="258"/>
      <c r="W97" s="258"/>
      <c r="X97" s="258"/>
      <c r="Y97" s="258"/>
      <c r="Z97" s="258"/>
    </row>
    <row r="98" spans="1:26" ht="12.75" hidden="1" customHeight="1" outlineLevel="1">
      <c r="A98" s="271"/>
      <c r="B98" s="271"/>
      <c r="C98" s="659" t="s">
        <v>28</v>
      </c>
      <c r="D98" s="660"/>
      <c r="E98" s="275">
        <f ca="1">A7value-SUM('Actual RAB roll forward'!H122:OFFSET('Actual RAB roll forward'!H122,0,Input!$W$7-1))</f>
        <v>0</v>
      </c>
      <c r="F98" s="275">
        <f ca="1">IF(A7remlife="N/A","n/a",IF(E98=0,0,A7remlife-Input!$W$7))</f>
        <v>0</v>
      </c>
      <c r="G98" s="276"/>
      <c r="H98" s="277" t="s">
        <v>67</v>
      </c>
      <c r="I98" s="278"/>
      <c r="J98" s="275">
        <f ca="1">A7taxvalue-SUM('Tax value roll forward'!G156:OFFSET('Tax value roll forward'!G156,0,Input!$W$7))</f>
        <v>0</v>
      </c>
      <c r="K98" s="321">
        <f ca="1">IF(A7taxremlife="N/A","n/a",IF(J98=0,0,A7taxremlife-Input!$W$7-1))</f>
        <v>0</v>
      </c>
      <c r="L98" s="279"/>
      <c r="M98" s="308"/>
      <c r="N98" s="308"/>
      <c r="O98" s="268"/>
      <c r="P98" s="268"/>
      <c r="Q98" s="268"/>
      <c r="R98" s="268"/>
      <c r="S98" s="258"/>
      <c r="T98" s="258"/>
      <c r="U98" s="258"/>
      <c r="V98" s="258"/>
      <c r="W98" s="258"/>
      <c r="X98" s="258"/>
      <c r="Y98" s="258"/>
      <c r="Z98" s="258"/>
    </row>
    <row r="99" spans="1:26" ht="12.75" hidden="1" customHeight="1" outlineLevel="1">
      <c r="A99" s="271"/>
      <c r="B99" s="271"/>
      <c r="C99" s="666" t="s">
        <v>84</v>
      </c>
      <c r="D99" s="320">
        <f>D$9</f>
        <v>0</v>
      </c>
      <c r="E99" s="275"/>
      <c r="F99" s="275"/>
      <c r="G99" s="276"/>
      <c r="H99" s="666" t="s">
        <v>84</v>
      </c>
      <c r="I99" s="320">
        <v>0</v>
      </c>
      <c r="J99" s="321">
        <f ca="1">OFFSET('Tax value roll forward'!G$46,0,I99)-SUM('Tax value roll forward'!G158:OFFSET('Tax value roll forward'!G158,0,Input!$W$7))</f>
        <v>0</v>
      </c>
      <c r="K99" s="321">
        <f ca="1">IF(A7taxstdlife="N/A","n/a",IF(J99=0,0,A7taxstdlife+I99-Input!$W$7))</f>
        <v>0</v>
      </c>
      <c r="L99" s="279"/>
      <c r="M99" s="308"/>
      <c r="N99" s="308"/>
      <c r="O99" s="268"/>
      <c r="P99" s="268"/>
      <c r="Q99" s="268"/>
      <c r="R99" s="268"/>
      <c r="S99" s="258"/>
      <c r="T99" s="258"/>
      <c r="U99" s="258"/>
      <c r="V99" s="258"/>
      <c r="W99" s="258"/>
      <c r="X99" s="258"/>
      <c r="Y99" s="258"/>
      <c r="Z99" s="258"/>
    </row>
    <row r="100" spans="1:26" ht="12.75" hidden="1" customHeight="1" outlineLevel="1">
      <c r="A100" s="271"/>
      <c r="B100" s="271"/>
      <c r="C100" s="667"/>
      <c r="D100" s="280">
        <f>D$10</f>
        <v>1</v>
      </c>
      <c r="E100" s="275">
        <f ca="1">OFFSET('Actual RAB roll forward'!H$18,0,D100-1)-SUM('Actual RAB roll forward'!H124:OFFSET('Actual RAB roll forward'!H124,0,Input!$W$7-1))</f>
        <v>0</v>
      </c>
      <c r="F100" s="275">
        <f ca="1">IF(A7stdlife="N/A","n/a",IF(E100=0,0,A7stdlife+D100-Input!$W$7))</f>
        <v>0</v>
      </c>
      <c r="G100" s="276"/>
      <c r="H100" s="667"/>
      <c r="I100" s="280">
        <v>1</v>
      </c>
      <c r="J100" s="275">
        <f ca="1">OFFSET('Tax value roll forward'!G$46,0,I100)-SUM('Tax value roll forward'!G159:OFFSET('Tax value roll forward'!G159,0,Input!$W$7))</f>
        <v>0</v>
      </c>
      <c r="K100" s="275">
        <f ca="1">IF(A7taxstdlife="N/A","n/a",IF(J100=0,0,A7taxstdlife+I100-Input!$W$7))</f>
        <v>0</v>
      </c>
      <c r="L100" s="279"/>
      <c r="M100" s="308"/>
      <c r="N100" s="308"/>
      <c r="O100" s="268"/>
      <c r="P100" s="268"/>
      <c r="Q100" s="268"/>
      <c r="R100" s="268"/>
      <c r="S100" s="258"/>
      <c r="T100" s="258"/>
      <c r="U100" s="258"/>
      <c r="V100" s="258"/>
      <c r="W100" s="258"/>
      <c r="X100" s="258"/>
      <c r="Y100" s="258"/>
      <c r="Z100" s="258"/>
    </row>
    <row r="101" spans="1:26" hidden="1" outlineLevel="1">
      <c r="A101" s="271"/>
      <c r="B101" s="271"/>
      <c r="C101" s="667"/>
      <c r="D101" s="280">
        <f>D$11</f>
        <v>2</v>
      </c>
      <c r="E101" s="275">
        <f ca="1">OFFSET('Actual RAB roll forward'!H$18,0,D101-1)-SUM('Actual RAB roll forward'!H125:OFFSET('Actual RAB roll forward'!H125,0,Input!$W$7-1))</f>
        <v>0</v>
      </c>
      <c r="F101" s="275">
        <f ca="1">IF(A7stdlife="N/A","n/a",IF(E101=0,0,A7stdlife+D101-Input!$W$7))</f>
        <v>0</v>
      </c>
      <c r="G101" s="276"/>
      <c r="H101" s="667"/>
      <c r="I101" s="280">
        <v>2</v>
      </c>
      <c r="J101" s="275">
        <f ca="1">OFFSET('Tax value roll forward'!G$46,0,I101)-SUM('Tax value roll forward'!G160:OFFSET('Tax value roll forward'!G160,0,Input!$W$7))</f>
        <v>0</v>
      </c>
      <c r="K101" s="275">
        <f ca="1">IF(A7taxstdlife="N/A","n/a",IF(J101=0,0,A7taxstdlife+I101-Input!$W$7))</f>
        <v>0</v>
      </c>
      <c r="L101" s="279"/>
      <c r="M101" s="308"/>
      <c r="N101" s="308"/>
      <c r="O101" s="268"/>
      <c r="P101" s="268"/>
      <c r="Q101" s="268"/>
      <c r="R101" s="268"/>
      <c r="S101" s="258"/>
      <c r="T101" s="258"/>
      <c r="U101" s="258"/>
      <c r="V101" s="258"/>
      <c r="W101" s="258"/>
      <c r="X101" s="258"/>
      <c r="Y101" s="258"/>
      <c r="Z101" s="258"/>
    </row>
    <row r="102" spans="1:26" hidden="1" outlineLevel="1">
      <c r="A102" s="271"/>
      <c r="B102" s="271"/>
      <c r="C102" s="667"/>
      <c r="D102" s="280">
        <f>D$12</f>
        <v>3</v>
      </c>
      <c r="E102" s="275">
        <f ca="1">OFFSET('Actual RAB roll forward'!H$18,0,D102-1)-SUM('Actual RAB roll forward'!H126:OFFSET('Actual RAB roll forward'!H126,0,Input!$W$7-1))</f>
        <v>0</v>
      </c>
      <c r="F102" s="275">
        <f ca="1">IF(A7stdlife="N/A","n/a",IF(E102=0,0,A7stdlife+D102-Input!$W$7))</f>
        <v>0</v>
      </c>
      <c r="G102" s="276"/>
      <c r="H102" s="667"/>
      <c r="I102" s="280">
        <v>3</v>
      </c>
      <c r="J102" s="275">
        <f ca="1">OFFSET('Tax value roll forward'!G$46,0,I102)-SUM('Tax value roll forward'!G161:OFFSET('Tax value roll forward'!G161,0,Input!$W$7))</f>
        <v>0</v>
      </c>
      <c r="K102" s="275">
        <f ca="1">IF(A7taxstdlife="N/A","n/a",IF(J102=0,0,A7taxstdlife+I102-Input!$W$7))</f>
        <v>0</v>
      </c>
      <c r="L102" s="279"/>
      <c r="M102" s="308"/>
      <c r="N102" s="308"/>
      <c r="O102" s="268"/>
      <c r="P102" s="268"/>
      <c r="Q102" s="268"/>
      <c r="R102" s="268"/>
      <c r="S102" s="258"/>
      <c r="T102" s="258"/>
      <c r="U102" s="258"/>
      <c r="V102" s="258"/>
      <c r="W102" s="258"/>
      <c r="X102" s="258"/>
      <c r="Y102" s="258"/>
      <c r="Z102" s="258"/>
    </row>
    <row r="103" spans="1:26" hidden="1" outlineLevel="1">
      <c r="A103" s="271"/>
      <c r="B103" s="271"/>
      <c r="C103" s="667"/>
      <c r="D103" s="280">
        <f>D$13</f>
        <v>4</v>
      </c>
      <c r="E103" s="275">
        <f ca="1">OFFSET('Actual RAB roll forward'!H$18,0,D103-1)-SUM('Actual RAB roll forward'!H127:OFFSET('Actual RAB roll forward'!H127,0,Input!$W$7-1))</f>
        <v>0</v>
      </c>
      <c r="F103" s="275">
        <f ca="1">IF(A7stdlife="N/A","n/a",IF(E103=0,0,A7stdlife+D103-Input!$W$7))</f>
        <v>0</v>
      </c>
      <c r="G103" s="276"/>
      <c r="H103" s="667"/>
      <c r="I103" s="280">
        <v>4</v>
      </c>
      <c r="J103" s="275">
        <f ca="1">OFFSET('Tax value roll forward'!G$46,0,I103)-SUM('Tax value roll forward'!G162:OFFSET('Tax value roll forward'!G162,0,Input!$W$7))</f>
        <v>0</v>
      </c>
      <c r="K103" s="275">
        <f ca="1">IF(A7taxstdlife="N/A","n/a",IF(J103=0,0,A7taxstdlife+I103-Input!$W$7))</f>
        <v>0</v>
      </c>
      <c r="L103" s="279"/>
      <c r="M103" s="308"/>
      <c r="N103" s="308"/>
      <c r="O103" s="268"/>
      <c r="P103" s="268"/>
      <c r="Q103" s="268"/>
      <c r="R103" s="268"/>
      <c r="S103" s="258"/>
      <c r="T103" s="258"/>
      <c r="U103" s="258"/>
      <c r="V103" s="258"/>
      <c r="W103" s="258"/>
      <c r="X103" s="258"/>
      <c r="Y103" s="258"/>
      <c r="Z103" s="258"/>
    </row>
    <row r="104" spans="1:26" hidden="1" outlineLevel="1">
      <c r="A104" s="271"/>
      <c r="B104" s="271"/>
      <c r="C104" s="667"/>
      <c r="D104" s="280">
        <f>D$14</f>
        <v>5</v>
      </c>
      <c r="E104" s="275">
        <f ca="1">OFFSET('Actual RAB roll forward'!H$18,0,D104-1)-SUM('Actual RAB roll forward'!H128:OFFSET('Actual RAB roll forward'!H128,0,Input!$W$7-1))</f>
        <v>0</v>
      </c>
      <c r="F104" s="275">
        <f ca="1">IF(A7stdlife="N/A","n/a",IF(E104=0,0,A7stdlife+D104-Input!$W$7))</f>
        <v>0</v>
      </c>
      <c r="G104" s="276"/>
      <c r="H104" s="667"/>
      <c r="I104" s="280">
        <v>5</v>
      </c>
      <c r="J104" s="275">
        <f ca="1">OFFSET('Tax value roll forward'!G$46,0,I104)-SUM('Tax value roll forward'!G163:OFFSET('Tax value roll forward'!G163,0,Input!$W$7))</f>
        <v>0</v>
      </c>
      <c r="K104" s="275">
        <f ca="1">IF(A7taxstdlife="N/A","n/a",IF(J104=0,0,A7taxstdlife+I104-Input!$W$7))</f>
        <v>0</v>
      </c>
      <c r="L104" s="279"/>
      <c r="M104" s="308"/>
      <c r="N104" s="308"/>
      <c r="O104" s="268"/>
      <c r="P104" s="268"/>
      <c r="Q104" s="268"/>
      <c r="R104" s="268"/>
      <c r="S104" s="258"/>
      <c r="T104" s="258"/>
      <c r="U104" s="258"/>
      <c r="V104" s="258"/>
      <c r="W104" s="258"/>
      <c r="X104" s="258"/>
      <c r="Y104" s="258"/>
      <c r="Z104" s="258"/>
    </row>
    <row r="105" spans="1:26" hidden="1" outlineLevel="1">
      <c r="A105" s="271"/>
      <c r="B105" s="271"/>
      <c r="C105" s="667"/>
      <c r="D105" s="280">
        <f>D$15</f>
        <v>6</v>
      </c>
      <c r="E105" s="275">
        <f ca="1">OFFSET('Actual RAB roll forward'!H$18,0,D105-1)-SUM('Actual RAB roll forward'!H129:OFFSET('Actual RAB roll forward'!H129,0,Input!$W$7-1))</f>
        <v>0</v>
      </c>
      <c r="F105" s="275">
        <f ca="1">IF(A7stdlife="N/A","n/a",IF(E105=0,0,A7stdlife+D105-Input!$W$7))</f>
        <v>0</v>
      </c>
      <c r="G105" s="276"/>
      <c r="H105" s="667"/>
      <c r="I105" s="280">
        <v>6</v>
      </c>
      <c r="J105" s="275">
        <f ca="1">OFFSET('Tax value roll forward'!G$46,0,I105)-SUM('Tax value roll forward'!G164:OFFSET('Tax value roll forward'!G164,0,Input!$W$7))</f>
        <v>0</v>
      </c>
      <c r="K105" s="275">
        <f ca="1">IF(A7taxstdlife="N/A","n/a",IF(J105=0,0,A7taxstdlife+I105-Input!$W$7))</f>
        <v>0</v>
      </c>
      <c r="L105" s="279"/>
      <c r="M105" s="308"/>
      <c r="N105" s="308"/>
      <c r="O105" s="268"/>
      <c r="P105" s="268"/>
      <c r="Q105" s="268"/>
      <c r="R105" s="268"/>
      <c r="S105" s="258"/>
      <c r="T105" s="258"/>
      <c r="U105" s="258"/>
      <c r="V105" s="258"/>
      <c r="W105" s="258"/>
      <c r="X105" s="258"/>
      <c r="Y105" s="258"/>
      <c r="Z105" s="258"/>
    </row>
    <row r="106" spans="1:26" hidden="1" outlineLevel="1">
      <c r="A106" s="271"/>
      <c r="B106" s="271"/>
      <c r="C106" s="667"/>
      <c r="D106" s="280">
        <f>D$16</f>
        <v>7</v>
      </c>
      <c r="E106" s="275">
        <f ca="1">OFFSET('Actual RAB roll forward'!H$18,0,D106-1)-SUM('Actual RAB roll forward'!H130:OFFSET('Actual RAB roll forward'!H130,0,Input!$W$7-1))</f>
        <v>0</v>
      </c>
      <c r="F106" s="275">
        <f ca="1">IF(A7stdlife="N/A","n/a",IF(E106=0,0,A7stdlife+D106-Input!$W$7))</f>
        <v>0</v>
      </c>
      <c r="G106" s="276"/>
      <c r="H106" s="667"/>
      <c r="I106" s="280">
        <v>7</v>
      </c>
      <c r="J106" s="275">
        <f ca="1">OFFSET('Tax value roll forward'!G$46,0,I106)-SUM('Tax value roll forward'!G165:OFFSET('Tax value roll forward'!G165,0,Input!$W$7))</f>
        <v>0</v>
      </c>
      <c r="K106" s="275">
        <f ca="1">IF(A7taxstdlife="N/A","n/a",IF(J106=0,0,A7taxstdlife+I106-Input!$W$7))</f>
        <v>0</v>
      </c>
      <c r="L106" s="279"/>
      <c r="M106" s="308"/>
      <c r="N106" s="308"/>
      <c r="O106" s="268"/>
      <c r="P106" s="268"/>
      <c r="Q106" s="268"/>
      <c r="R106" s="268"/>
      <c r="S106" s="258"/>
      <c r="T106" s="258"/>
      <c r="U106" s="258"/>
      <c r="V106" s="258"/>
      <c r="W106" s="258"/>
      <c r="X106" s="258"/>
      <c r="Y106" s="258"/>
      <c r="Z106" s="258"/>
    </row>
    <row r="107" spans="1:26" hidden="1" outlineLevel="1">
      <c r="A107" s="271"/>
      <c r="B107" s="271"/>
      <c r="C107" s="667"/>
      <c r="D107" s="280">
        <f>D$17</f>
        <v>8</v>
      </c>
      <c r="E107" s="275">
        <f ca="1">OFFSET('Actual RAB roll forward'!H$18,0,D107-1)-SUM('Actual RAB roll forward'!H131:OFFSET('Actual RAB roll forward'!H131,0,Input!$W$7-1))</f>
        <v>0</v>
      </c>
      <c r="F107" s="275">
        <f ca="1">IF(A7stdlife="N/A","n/a",IF(E107=0,0,A7stdlife+D107-Input!$W$7))</f>
        <v>0</v>
      </c>
      <c r="G107" s="276"/>
      <c r="H107" s="667"/>
      <c r="I107" s="280">
        <v>8</v>
      </c>
      <c r="J107" s="275">
        <f ca="1">OFFSET('Tax value roll forward'!G$46,0,I107)-SUM('Tax value roll forward'!G166:OFFSET('Tax value roll forward'!G166,0,Input!$W$7))</f>
        <v>0</v>
      </c>
      <c r="K107" s="275">
        <f ca="1">IF(A7taxstdlife="N/A","n/a",IF(J107=0,0,A7taxstdlife+I107-Input!$W$7))</f>
        <v>0</v>
      </c>
      <c r="L107" s="279"/>
      <c r="M107" s="308"/>
      <c r="N107" s="308"/>
      <c r="O107" s="268"/>
      <c r="P107" s="268"/>
      <c r="Q107" s="268"/>
      <c r="R107" s="268"/>
      <c r="S107" s="258"/>
      <c r="T107" s="258"/>
      <c r="U107" s="258"/>
      <c r="V107" s="258"/>
      <c r="W107" s="258"/>
      <c r="X107" s="258"/>
      <c r="Y107" s="258"/>
      <c r="Z107" s="258"/>
    </row>
    <row r="108" spans="1:26" hidden="1" outlineLevel="1">
      <c r="A108" s="271"/>
      <c r="B108" s="271"/>
      <c r="C108" s="667"/>
      <c r="D108" s="280">
        <f>D$18</f>
        <v>9</v>
      </c>
      <c r="E108" s="275">
        <f ca="1">OFFSET('Actual RAB roll forward'!H$18,0,D108-1)-SUM('Actual RAB roll forward'!H132:OFFSET('Actual RAB roll forward'!H132,0,Input!$W$7-1))</f>
        <v>0</v>
      </c>
      <c r="F108" s="275">
        <f ca="1">IF(A7stdlife="N/A","n/a",IF(E108=0,0,A7stdlife+D108-Input!$W$7))</f>
        <v>0</v>
      </c>
      <c r="G108" s="276"/>
      <c r="H108" s="667"/>
      <c r="I108" s="280">
        <v>9</v>
      </c>
      <c r="J108" s="275">
        <f ca="1">OFFSET('Tax value roll forward'!G$46,0,I108)-SUM('Tax value roll forward'!G167:OFFSET('Tax value roll forward'!G167,0,Input!$W$7))</f>
        <v>0</v>
      </c>
      <c r="K108" s="275">
        <f ca="1">IF(A7taxstdlife="N/A","n/a",IF(J108=0,0,A7taxstdlife+I108-Input!$W$7))</f>
        <v>0</v>
      </c>
      <c r="L108" s="279"/>
      <c r="M108" s="308"/>
      <c r="N108" s="308"/>
      <c r="O108" s="268"/>
      <c r="P108" s="268"/>
      <c r="Q108" s="268"/>
      <c r="R108" s="268"/>
      <c r="S108" s="258"/>
      <c r="T108" s="258"/>
      <c r="U108" s="258"/>
      <c r="V108" s="258"/>
      <c r="W108" s="258"/>
      <c r="X108" s="258"/>
      <c r="Y108" s="258"/>
      <c r="Z108" s="258"/>
    </row>
    <row r="109" spans="1:26" hidden="1" outlineLevel="1">
      <c r="A109" s="271"/>
      <c r="B109" s="271"/>
      <c r="C109" s="668"/>
      <c r="D109" s="281">
        <f>D$19</f>
        <v>10</v>
      </c>
      <c r="E109" s="275">
        <f ca="1">OFFSET('Actual RAB roll forward'!H$18,0,D109-1)-SUM('Actual RAB roll forward'!H133:OFFSET('Actual RAB roll forward'!H133,0,Input!$W$7-1))</f>
        <v>0</v>
      </c>
      <c r="F109" s="275">
        <f ca="1">IF(A7stdlife="N/A","n/a",IF(E109=0,0,A7stdlife+D109-Input!$W$7))</f>
        <v>0</v>
      </c>
      <c r="G109" s="276"/>
      <c r="H109" s="668"/>
      <c r="I109" s="281">
        <v>10</v>
      </c>
      <c r="J109" s="275">
        <f ca="1">OFFSET('Tax value roll forward'!G$46,0,I109)-SUM('Tax value roll forward'!G168:OFFSET('Tax value roll forward'!G168,0,Input!$W$7))</f>
        <v>0</v>
      </c>
      <c r="K109" s="275">
        <f ca="1">IF(A7taxstdlife="N/A","n/a",IF(J109=0,0,A7taxstdlife+I109-Input!$W$7))</f>
        <v>0</v>
      </c>
      <c r="M109" s="308"/>
      <c r="N109" s="308"/>
      <c r="O109" s="268"/>
      <c r="P109" s="268"/>
      <c r="Q109" s="268"/>
      <c r="R109" s="268"/>
      <c r="S109" s="258"/>
      <c r="T109" s="258"/>
      <c r="U109" s="258"/>
      <c r="V109" s="258"/>
      <c r="W109" s="258"/>
      <c r="X109" s="258"/>
      <c r="Y109" s="258"/>
      <c r="Z109" s="258"/>
    </row>
    <row r="110" spans="1:26" collapsed="1">
      <c r="A110" s="271"/>
      <c r="B110" s="271"/>
      <c r="C110" s="291" t="str">
        <f>Asset7</f>
        <v>Equity Raising Costs</v>
      </c>
      <c r="D110" s="271"/>
      <c r="E110" s="275">
        <f ca="1">SUM(E98:E109)</f>
        <v>0</v>
      </c>
      <c r="F110" s="275">
        <f ca="1">IF(E110=0,0,SUMPRODUCT(E98:E109,F98:F109)/E110)</f>
        <v>0</v>
      </c>
      <c r="G110" s="276"/>
      <c r="H110" s="283"/>
      <c r="I110" s="275"/>
      <c r="J110" s="309">
        <f ca="1">SUM(J98:J109)</f>
        <v>0</v>
      </c>
      <c r="K110" s="309">
        <f ca="1">IF(J110=0,0,SUMPRODUCT(J98:J109,K98:K109)/J110)</f>
        <v>0</v>
      </c>
      <c r="L110" s="279"/>
      <c r="M110" s="308"/>
      <c r="N110" s="308"/>
      <c r="O110" s="268"/>
      <c r="P110" s="268"/>
      <c r="Q110" s="268"/>
      <c r="R110" s="268"/>
      <c r="S110" s="258"/>
      <c r="T110" s="258"/>
      <c r="U110" s="258"/>
      <c r="V110" s="258"/>
      <c r="W110" s="258"/>
      <c r="X110" s="258"/>
      <c r="Y110" s="258"/>
      <c r="Z110" s="258"/>
    </row>
    <row r="111" spans="1:26" hidden="1" outlineLevel="1">
      <c r="A111" s="271"/>
      <c r="B111" s="271"/>
      <c r="C111" s="291"/>
      <c r="D111" s="271"/>
      <c r="E111" s="275"/>
      <c r="F111" s="275"/>
      <c r="G111" s="276"/>
      <c r="H111" s="275"/>
      <c r="I111" s="275"/>
      <c r="J111" s="289"/>
      <c r="K111" s="275"/>
      <c r="L111" s="279"/>
      <c r="M111" s="308"/>
      <c r="N111" s="308"/>
      <c r="O111" s="268"/>
      <c r="P111" s="268"/>
      <c r="Q111" s="268"/>
      <c r="R111" s="268"/>
      <c r="S111" s="258"/>
      <c r="T111" s="258"/>
      <c r="U111" s="258"/>
      <c r="V111" s="258"/>
      <c r="W111" s="258"/>
      <c r="X111" s="258"/>
      <c r="Y111" s="258"/>
      <c r="Z111" s="258"/>
    </row>
    <row r="112" spans="1:26" hidden="1" outlineLevel="1">
      <c r="A112" s="271"/>
      <c r="B112" s="274" t="str">
        <f>Asset8</f>
        <v>Land</v>
      </c>
      <c r="C112" s="271"/>
      <c r="D112" s="271"/>
      <c r="E112" s="275"/>
      <c r="F112" s="275"/>
      <c r="G112" s="276"/>
      <c r="H112" s="275"/>
      <c r="I112" s="275"/>
      <c r="J112" s="289"/>
      <c r="K112" s="275"/>
      <c r="L112" s="279"/>
      <c r="M112" s="308"/>
      <c r="N112" s="308"/>
      <c r="O112" s="268"/>
      <c r="P112" s="268"/>
      <c r="Q112" s="268"/>
      <c r="R112" s="268"/>
      <c r="S112" s="258"/>
      <c r="T112" s="258"/>
      <c r="U112" s="258"/>
      <c r="V112" s="258"/>
      <c r="W112" s="258"/>
      <c r="X112" s="258"/>
      <c r="Y112" s="258"/>
      <c r="Z112" s="258"/>
    </row>
    <row r="113" spans="1:26" ht="12.75" hidden="1" customHeight="1" outlineLevel="1">
      <c r="A113" s="271"/>
      <c r="B113" s="271"/>
      <c r="C113" s="659" t="s">
        <v>28</v>
      </c>
      <c r="D113" s="660"/>
      <c r="E113" s="275">
        <f ca="1">A8value-SUM('Actual RAB roll forward'!H135:OFFSET('Actual RAB roll forward'!H135,0,Input!$W$7-1))</f>
        <v>0</v>
      </c>
      <c r="F113" s="275" t="str">
        <f>IF(A8remlife="N/A","n/a",IF(E113=0,0,A8remlife-Input!$W$7))</f>
        <v>n/a</v>
      </c>
      <c r="G113" s="276"/>
      <c r="H113" s="277" t="s">
        <v>67</v>
      </c>
      <c r="I113" s="278"/>
      <c r="J113" s="275">
        <f ca="1">A8taxvalue-SUM('Tax value roll forward'!G170:OFFSET('Tax value roll forward'!G170,0,Input!$W$7))</f>
        <v>0</v>
      </c>
      <c r="K113" s="275">
        <f ca="1">IF(A8taxremlife="N/A","n/a",IF(J113=0,0,A8taxremlife-Input!$W$7-1))</f>
        <v>0</v>
      </c>
      <c r="L113" s="279"/>
      <c r="M113" s="308"/>
      <c r="N113" s="308"/>
      <c r="O113" s="268"/>
      <c r="P113" s="268"/>
      <c r="Q113" s="268"/>
      <c r="R113" s="268"/>
      <c r="S113" s="258"/>
      <c r="T113" s="258"/>
      <c r="U113" s="258"/>
      <c r="V113" s="258"/>
      <c r="W113" s="258"/>
      <c r="X113" s="258"/>
      <c r="Y113" s="258"/>
      <c r="Z113" s="258"/>
    </row>
    <row r="114" spans="1:26" ht="12.75" hidden="1" customHeight="1" outlineLevel="1">
      <c r="A114" s="271"/>
      <c r="B114" s="271"/>
      <c r="C114" s="666" t="s">
        <v>84</v>
      </c>
      <c r="D114" s="320">
        <f>D$9</f>
        <v>0</v>
      </c>
      <c r="E114" s="275"/>
      <c r="F114" s="275"/>
      <c r="G114" s="276"/>
      <c r="H114" s="666" t="s">
        <v>84</v>
      </c>
      <c r="I114" s="320">
        <v>0</v>
      </c>
      <c r="J114" s="275">
        <f ca="1">OFFSET('Tax value roll forward'!G$47,0,I114)-SUM('Tax value roll forward'!G172:OFFSET('Tax value roll forward'!G172,0,Input!$W$7))</f>
        <v>0</v>
      </c>
      <c r="K114" s="275">
        <f ca="1">IF(A8taxstdlife="N/A","n/a",IF(J114=0,0,A8taxstdlife+I114-Input!$W$7))</f>
        <v>0</v>
      </c>
      <c r="L114" s="279"/>
      <c r="M114" s="308"/>
      <c r="N114" s="308"/>
      <c r="O114" s="268"/>
      <c r="P114" s="268"/>
      <c r="Q114" s="268"/>
      <c r="R114" s="268"/>
      <c r="S114" s="258"/>
      <c r="T114" s="258"/>
      <c r="U114" s="258"/>
      <c r="V114" s="258"/>
      <c r="W114" s="258"/>
      <c r="X114" s="258"/>
      <c r="Y114" s="258"/>
      <c r="Z114" s="258"/>
    </row>
    <row r="115" spans="1:26" ht="12.75" hidden="1" customHeight="1" outlineLevel="1">
      <c r="A115" s="271"/>
      <c r="B115" s="271"/>
      <c r="C115" s="667"/>
      <c r="D115" s="280">
        <f>D$10</f>
        <v>1</v>
      </c>
      <c r="E115" s="275">
        <f ca="1">OFFSET('Actual RAB roll forward'!H$19,0,D115-1)-SUM('Actual RAB roll forward'!H137:OFFSET('Actual RAB roll forward'!H137,0,Input!$W$7-1))</f>
        <v>0</v>
      </c>
      <c r="F115" s="275">
        <f ca="1">IF(A8stdlife="N/A","n/a",IF(E115=0,0,A8stdlife+D115-Input!$W$7))</f>
        <v>0</v>
      </c>
      <c r="G115" s="276"/>
      <c r="H115" s="667"/>
      <c r="I115" s="280">
        <v>1</v>
      </c>
      <c r="J115" s="275">
        <f ca="1">OFFSET('Tax value roll forward'!G$47,0,I115)-SUM('Tax value roll forward'!G173:OFFSET('Tax value roll forward'!G173,0,Input!$W$7))</f>
        <v>0</v>
      </c>
      <c r="K115" s="275">
        <f ca="1">IF(A8taxstdlife="N/A","n/a",IF(J115=0,0,A8taxstdlife+I115-Input!$W$7))</f>
        <v>0</v>
      </c>
      <c r="L115" s="279"/>
      <c r="M115" s="308"/>
      <c r="N115" s="308"/>
      <c r="O115" s="268"/>
      <c r="P115" s="268"/>
      <c r="Q115" s="268"/>
      <c r="R115" s="268"/>
      <c r="S115" s="258"/>
      <c r="T115" s="258"/>
      <c r="U115" s="258"/>
      <c r="V115" s="258"/>
      <c r="W115" s="258"/>
      <c r="X115" s="258"/>
      <c r="Y115" s="258"/>
      <c r="Z115" s="258"/>
    </row>
    <row r="116" spans="1:26" hidden="1" outlineLevel="1">
      <c r="A116" s="271"/>
      <c r="B116" s="271"/>
      <c r="C116" s="667"/>
      <c r="D116" s="280">
        <f>D$11</f>
        <v>2</v>
      </c>
      <c r="E116" s="275">
        <f ca="1">OFFSET('Actual RAB roll forward'!H$19,0,D116-1)-SUM('Actual RAB roll forward'!H138:OFFSET('Actual RAB roll forward'!H138,0,Input!$W$7-1))</f>
        <v>0</v>
      </c>
      <c r="F116" s="275">
        <f ca="1">IF(A8stdlife="N/A","n/a",IF(E116=0,0,A8stdlife+D116-Input!$W$7))</f>
        <v>0</v>
      </c>
      <c r="G116" s="276"/>
      <c r="H116" s="667"/>
      <c r="I116" s="280">
        <v>2</v>
      </c>
      <c r="J116" s="275">
        <f ca="1">OFFSET('Tax value roll forward'!G$47,0,I116)-SUM('Tax value roll forward'!G174:OFFSET('Tax value roll forward'!G174,0,Input!$W$7))</f>
        <v>0</v>
      </c>
      <c r="K116" s="275">
        <f ca="1">IF(A8taxstdlife="N/A","n/a",IF(J116=0,0,A8taxstdlife+I116-Input!$W$7))</f>
        <v>0</v>
      </c>
      <c r="L116" s="279"/>
      <c r="M116" s="308"/>
      <c r="N116" s="308"/>
      <c r="O116" s="268"/>
      <c r="P116" s="268"/>
      <c r="Q116" s="268"/>
      <c r="R116" s="268"/>
      <c r="S116" s="258"/>
      <c r="T116" s="258"/>
      <c r="U116" s="258"/>
      <c r="V116" s="258"/>
      <c r="W116" s="258"/>
      <c r="X116" s="258"/>
      <c r="Y116" s="258"/>
      <c r="Z116" s="258"/>
    </row>
    <row r="117" spans="1:26" hidden="1" outlineLevel="1">
      <c r="A117" s="271"/>
      <c r="B117" s="271"/>
      <c r="C117" s="667"/>
      <c r="D117" s="280">
        <f>D$12</f>
        <v>3</v>
      </c>
      <c r="E117" s="275">
        <f ca="1">OFFSET('Actual RAB roll forward'!H$19,0,D117-1)-SUM('Actual RAB roll forward'!H139:OFFSET('Actual RAB roll forward'!H139,0,Input!$W$7-1))</f>
        <v>0</v>
      </c>
      <c r="F117" s="275">
        <f ca="1">IF(A8stdlife="N/A","n/a",IF(E117=0,0,A8stdlife+D117-Input!$W$7))</f>
        <v>0</v>
      </c>
      <c r="G117" s="276"/>
      <c r="H117" s="667"/>
      <c r="I117" s="280">
        <v>3</v>
      </c>
      <c r="J117" s="275">
        <f ca="1">OFFSET('Tax value roll forward'!G$47,0,I117)-SUM('Tax value roll forward'!G175:OFFSET('Tax value roll forward'!G175,0,Input!$W$7))</f>
        <v>0</v>
      </c>
      <c r="K117" s="275">
        <f ca="1">IF(A8taxstdlife="N/A","n/a",IF(J117=0,0,A8taxstdlife+I117-Input!$W$7))</f>
        <v>0</v>
      </c>
      <c r="L117" s="279"/>
      <c r="M117" s="308"/>
      <c r="N117" s="308"/>
      <c r="O117" s="268"/>
      <c r="P117" s="268"/>
      <c r="Q117" s="268"/>
      <c r="R117" s="268"/>
      <c r="S117" s="258"/>
      <c r="T117" s="258"/>
      <c r="U117" s="258"/>
      <c r="V117" s="258"/>
      <c r="W117" s="258"/>
      <c r="X117" s="258"/>
      <c r="Y117" s="258"/>
      <c r="Z117" s="258"/>
    </row>
    <row r="118" spans="1:26" hidden="1" outlineLevel="1">
      <c r="A118" s="271"/>
      <c r="B118" s="271"/>
      <c r="C118" s="667"/>
      <c r="D118" s="280">
        <f>D$13</f>
        <v>4</v>
      </c>
      <c r="E118" s="275">
        <f ca="1">OFFSET('Actual RAB roll forward'!H$19,0,D118-1)-SUM('Actual RAB roll forward'!H140:OFFSET('Actual RAB roll forward'!H140,0,Input!$W$7-1))</f>
        <v>0</v>
      </c>
      <c r="F118" s="275">
        <f ca="1">IF(A8stdlife="N/A","n/a",IF(E118=0,0,A8stdlife+D118-Input!$W$7))</f>
        <v>0</v>
      </c>
      <c r="G118" s="276"/>
      <c r="H118" s="667"/>
      <c r="I118" s="280">
        <v>4</v>
      </c>
      <c r="J118" s="275">
        <f ca="1">OFFSET('Tax value roll forward'!G$47,0,I118)-SUM('Tax value roll forward'!G176:OFFSET('Tax value roll forward'!G176,0,Input!$W$7))</f>
        <v>0</v>
      </c>
      <c r="K118" s="275">
        <f ca="1">IF(A8taxstdlife="N/A","n/a",IF(J118=0,0,A8taxstdlife+I118-Input!$W$7))</f>
        <v>0</v>
      </c>
      <c r="L118" s="279"/>
      <c r="M118" s="308"/>
      <c r="N118" s="308"/>
      <c r="O118" s="268"/>
      <c r="P118" s="268"/>
      <c r="Q118" s="268"/>
      <c r="R118" s="268"/>
      <c r="S118" s="258"/>
      <c r="T118" s="258"/>
      <c r="U118" s="258"/>
      <c r="V118" s="258"/>
      <c r="W118" s="258"/>
      <c r="X118" s="258"/>
      <c r="Y118" s="258"/>
      <c r="Z118" s="258"/>
    </row>
    <row r="119" spans="1:26" hidden="1" outlineLevel="1">
      <c r="A119" s="271"/>
      <c r="B119" s="271"/>
      <c r="C119" s="667"/>
      <c r="D119" s="280">
        <f>D$14</f>
        <v>5</v>
      </c>
      <c r="E119" s="275">
        <f ca="1">OFFSET('Actual RAB roll forward'!H$19,0,D119-1)-SUM('Actual RAB roll forward'!H141:OFFSET('Actual RAB roll forward'!H141,0,Input!$W$7-1))</f>
        <v>0</v>
      </c>
      <c r="F119" s="275">
        <f ca="1">IF(A8stdlife="N/A","n/a",IF(E119=0,0,A8stdlife+D119-Input!$W$7))</f>
        <v>0</v>
      </c>
      <c r="G119" s="276"/>
      <c r="H119" s="667"/>
      <c r="I119" s="280">
        <v>5</v>
      </c>
      <c r="J119" s="275">
        <f ca="1">OFFSET('Tax value roll forward'!G$47,0,I119)-SUM('Tax value roll forward'!G177:OFFSET('Tax value roll forward'!G177,0,Input!$W$7))</f>
        <v>0</v>
      </c>
      <c r="K119" s="275">
        <f ca="1">IF(A8taxstdlife="N/A","n/a",IF(J119=0,0,A8taxstdlife+I119-Input!$W$7))</f>
        <v>0</v>
      </c>
      <c r="L119" s="279"/>
      <c r="M119" s="308"/>
      <c r="N119" s="308"/>
      <c r="O119" s="268"/>
      <c r="P119" s="268"/>
      <c r="Q119" s="268"/>
      <c r="R119" s="268"/>
      <c r="S119" s="258"/>
      <c r="T119" s="258"/>
      <c r="U119" s="258"/>
      <c r="V119" s="258"/>
      <c r="W119" s="258"/>
      <c r="X119" s="258"/>
      <c r="Y119" s="258"/>
      <c r="Z119" s="258"/>
    </row>
    <row r="120" spans="1:26" hidden="1" outlineLevel="1">
      <c r="A120" s="271"/>
      <c r="B120" s="271"/>
      <c r="C120" s="667"/>
      <c r="D120" s="280">
        <f>D$15</f>
        <v>6</v>
      </c>
      <c r="E120" s="275">
        <f ca="1">OFFSET('Actual RAB roll forward'!H$19,0,D120-1)-SUM('Actual RAB roll forward'!H142:OFFSET('Actual RAB roll forward'!H142,0,Input!$W$7-1))</f>
        <v>0</v>
      </c>
      <c r="F120" s="275">
        <f ca="1">IF(A8stdlife="N/A","n/a",IF(E120=0,0,A8stdlife+D120-Input!$W$7))</f>
        <v>0</v>
      </c>
      <c r="G120" s="276"/>
      <c r="H120" s="667"/>
      <c r="I120" s="280">
        <v>6</v>
      </c>
      <c r="J120" s="275">
        <f ca="1">OFFSET('Tax value roll forward'!G$47,0,I120)-SUM('Tax value roll forward'!G178:OFFSET('Tax value roll forward'!G178,0,Input!$W$7))</f>
        <v>0</v>
      </c>
      <c r="K120" s="275">
        <f ca="1">IF(A8taxstdlife="N/A","n/a",IF(J120=0,0,A8taxstdlife+I120-Input!$W$7))</f>
        <v>0</v>
      </c>
      <c r="L120" s="279"/>
      <c r="M120" s="308"/>
      <c r="N120" s="308"/>
      <c r="O120" s="268"/>
      <c r="P120" s="268"/>
      <c r="Q120" s="268"/>
      <c r="R120" s="268"/>
      <c r="S120" s="258"/>
      <c r="T120" s="258"/>
      <c r="U120" s="258"/>
      <c r="V120" s="258"/>
      <c r="W120" s="258"/>
      <c r="X120" s="258"/>
      <c r="Y120" s="258"/>
      <c r="Z120" s="258"/>
    </row>
    <row r="121" spans="1:26" hidden="1" outlineLevel="1">
      <c r="A121" s="271"/>
      <c r="B121" s="271"/>
      <c r="C121" s="667"/>
      <c r="D121" s="280">
        <f>D$16</f>
        <v>7</v>
      </c>
      <c r="E121" s="275">
        <f ca="1">OFFSET('Actual RAB roll forward'!H$19,0,D121-1)-SUM('Actual RAB roll forward'!H143:OFFSET('Actual RAB roll forward'!H143,0,Input!$W$7-1))</f>
        <v>0</v>
      </c>
      <c r="F121" s="275">
        <f ca="1">IF(A8stdlife="N/A","n/a",IF(E121=0,0,A8stdlife+D121-Input!$W$7))</f>
        <v>0</v>
      </c>
      <c r="G121" s="276"/>
      <c r="H121" s="667"/>
      <c r="I121" s="280">
        <v>7</v>
      </c>
      <c r="J121" s="275">
        <f ca="1">OFFSET('Tax value roll forward'!G$47,0,I121)-SUM('Tax value roll forward'!G179:OFFSET('Tax value roll forward'!G179,0,Input!$W$7))</f>
        <v>0</v>
      </c>
      <c r="K121" s="275">
        <f ca="1">IF(A8taxstdlife="N/A","n/a",IF(J121=0,0,A8taxstdlife+I121-Input!$W$7))</f>
        <v>0</v>
      </c>
      <c r="L121" s="279"/>
      <c r="M121" s="308"/>
      <c r="N121" s="308"/>
      <c r="O121" s="268"/>
      <c r="P121" s="268"/>
      <c r="Q121" s="268"/>
      <c r="R121" s="268"/>
      <c r="S121" s="258"/>
      <c r="T121" s="258"/>
      <c r="U121" s="258"/>
      <c r="V121" s="258"/>
      <c r="W121" s="258"/>
      <c r="X121" s="258"/>
      <c r="Y121" s="258"/>
      <c r="Z121" s="258"/>
    </row>
    <row r="122" spans="1:26" hidden="1" outlineLevel="1">
      <c r="A122" s="271"/>
      <c r="B122" s="271"/>
      <c r="C122" s="667"/>
      <c r="D122" s="280">
        <f>D$17</f>
        <v>8</v>
      </c>
      <c r="E122" s="275">
        <f ca="1">OFFSET('Actual RAB roll forward'!H$19,0,D122-1)-SUM('Actual RAB roll forward'!H144:OFFSET('Actual RAB roll forward'!H144,0,Input!$W$7-1))</f>
        <v>0</v>
      </c>
      <c r="F122" s="275">
        <f ca="1">IF(A8stdlife="N/A","n/a",IF(E122=0,0,A8stdlife+D122-Input!$W$7))</f>
        <v>0</v>
      </c>
      <c r="G122" s="276"/>
      <c r="H122" s="667"/>
      <c r="I122" s="280">
        <v>8</v>
      </c>
      <c r="J122" s="275">
        <f ca="1">OFFSET('Tax value roll forward'!G$47,0,I122)-SUM('Tax value roll forward'!G180:OFFSET('Tax value roll forward'!G180,0,Input!$W$7))</f>
        <v>0</v>
      </c>
      <c r="K122" s="275">
        <f ca="1">IF(A8taxstdlife="N/A","n/a",IF(J122=0,0,A8taxstdlife+I122-Input!$W$7))</f>
        <v>0</v>
      </c>
      <c r="L122" s="279"/>
      <c r="M122" s="308"/>
      <c r="N122" s="308"/>
      <c r="O122" s="268"/>
      <c r="P122" s="268"/>
      <c r="Q122" s="268"/>
      <c r="R122" s="268"/>
      <c r="S122" s="258"/>
      <c r="T122" s="258"/>
      <c r="U122" s="258"/>
      <c r="V122" s="258"/>
      <c r="W122" s="258"/>
      <c r="X122" s="258"/>
      <c r="Y122" s="258"/>
      <c r="Z122" s="258"/>
    </row>
    <row r="123" spans="1:26" hidden="1" outlineLevel="1">
      <c r="A123" s="271"/>
      <c r="B123" s="271"/>
      <c r="C123" s="667"/>
      <c r="D123" s="280">
        <f>D$18</f>
        <v>9</v>
      </c>
      <c r="E123" s="275">
        <f ca="1">OFFSET('Actual RAB roll forward'!H$19,0,D123-1)-SUM('Actual RAB roll forward'!H145:OFFSET('Actual RAB roll forward'!H145,0,Input!$W$7-1))</f>
        <v>0</v>
      </c>
      <c r="F123" s="275">
        <f ca="1">IF(A8stdlife="N/A","n/a",IF(E123=0,0,A8stdlife+D123-Input!$W$7))</f>
        <v>0</v>
      </c>
      <c r="G123" s="276"/>
      <c r="H123" s="667"/>
      <c r="I123" s="280">
        <v>9</v>
      </c>
      <c r="J123" s="275">
        <f ca="1">OFFSET('Tax value roll forward'!G$47,0,I123)-SUM('Tax value roll forward'!G181:OFFSET('Tax value roll forward'!G181,0,Input!$W$7))</f>
        <v>0</v>
      </c>
      <c r="K123" s="275">
        <f ca="1">IF(A8taxstdlife="N/A","n/a",IF(J123=0,0,A8taxstdlife+I123-Input!$W$7))</f>
        <v>0</v>
      </c>
      <c r="L123" s="279"/>
      <c r="M123" s="308"/>
      <c r="N123" s="308"/>
      <c r="O123" s="268"/>
      <c r="P123" s="268"/>
      <c r="Q123" s="268"/>
      <c r="R123" s="268"/>
      <c r="S123" s="258"/>
      <c r="T123" s="258"/>
      <c r="U123" s="258"/>
      <c r="V123" s="258"/>
      <c r="W123" s="258"/>
      <c r="X123" s="258"/>
      <c r="Y123" s="258"/>
      <c r="Z123" s="258"/>
    </row>
    <row r="124" spans="1:26" hidden="1" outlineLevel="1">
      <c r="A124" s="271"/>
      <c r="B124" s="271"/>
      <c r="C124" s="668"/>
      <c r="D124" s="281">
        <f>D$19</f>
        <v>10</v>
      </c>
      <c r="E124" s="275">
        <f ca="1">OFFSET('Actual RAB roll forward'!H$19,0,D124-1)-SUM('Actual RAB roll forward'!H146:OFFSET('Actual RAB roll forward'!H146,0,Input!$W$7-1))</f>
        <v>0</v>
      </c>
      <c r="F124" s="275">
        <f ca="1">IF(A8stdlife="N/A","n/a",IF(E124=0,0,A8stdlife+D124-Input!$W$7))</f>
        <v>0</v>
      </c>
      <c r="G124" s="276"/>
      <c r="H124" s="668"/>
      <c r="I124" s="281">
        <v>10</v>
      </c>
      <c r="J124" s="275">
        <f ca="1">OFFSET('Tax value roll forward'!G$47,0,I124)-SUM('Tax value roll forward'!G182:OFFSET('Tax value roll forward'!G182,0,Input!$W$7))</f>
        <v>0</v>
      </c>
      <c r="K124" s="275">
        <f ca="1">IF(A8taxstdlife="N/A","n/a",IF(J124=0,0,A8taxstdlife+I124-Input!$W$7))</f>
        <v>0</v>
      </c>
      <c r="M124" s="308"/>
      <c r="N124" s="308"/>
      <c r="O124" s="268"/>
      <c r="P124" s="268"/>
      <c r="Q124" s="268"/>
      <c r="R124" s="268"/>
      <c r="S124" s="258"/>
      <c r="T124" s="258"/>
      <c r="U124" s="258"/>
      <c r="V124" s="258"/>
      <c r="W124" s="258"/>
      <c r="X124" s="258"/>
      <c r="Y124" s="258"/>
      <c r="Z124" s="258"/>
    </row>
    <row r="125" spans="1:26" collapsed="1">
      <c r="A125" s="271"/>
      <c r="B125" s="271"/>
      <c r="C125" s="291" t="str">
        <f>Asset8</f>
        <v>Land</v>
      </c>
      <c r="D125" s="271"/>
      <c r="E125" s="275">
        <f ca="1">SUM(E113:E124)</f>
        <v>0</v>
      </c>
      <c r="F125" s="275">
        <f ca="1">IF(E125=0,0,SUMPRODUCT(E113:E124,F113:F124)/E125)</f>
        <v>0</v>
      </c>
      <c r="G125" s="276"/>
      <c r="H125" s="283"/>
      <c r="I125" s="275"/>
      <c r="J125" s="309">
        <f ca="1">SUM(J113:J124)</f>
        <v>0</v>
      </c>
      <c r="K125" s="309">
        <f ca="1">IF(J125=0,0,SUMPRODUCT(J113:J124,K113:K124)/J125)</f>
        <v>0</v>
      </c>
      <c r="L125" s="279"/>
      <c r="M125" s="308"/>
      <c r="N125" s="308"/>
      <c r="O125" s="268"/>
      <c r="P125" s="268"/>
      <c r="Q125" s="268"/>
      <c r="R125" s="268"/>
      <c r="S125" s="258"/>
      <c r="T125" s="258"/>
      <c r="U125" s="258"/>
      <c r="V125" s="258"/>
      <c r="W125" s="258"/>
      <c r="X125" s="258"/>
      <c r="Y125" s="258"/>
      <c r="Z125" s="258"/>
    </row>
    <row r="126" spans="1:26" hidden="1" outlineLevel="1">
      <c r="A126" s="271"/>
      <c r="B126" s="271"/>
      <c r="C126" s="291"/>
      <c r="D126" s="271"/>
      <c r="E126" s="275"/>
      <c r="F126" s="275"/>
      <c r="G126" s="276"/>
      <c r="H126" s="275"/>
      <c r="I126" s="275"/>
      <c r="J126" s="289"/>
      <c r="K126" s="275"/>
      <c r="L126" s="279"/>
      <c r="M126" s="308"/>
      <c r="N126" s="308"/>
      <c r="O126" s="268"/>
      <c r="P126" s="268"/>
      <c r="Q126" s="268"/>
      <c r="R126" s="268"/>
      <c r="S126" s="258"/>
      <c r="T126" s="258"/>
      <c r="U126" s="258"/>
      <c r="V126" s="258"/>
      <c r="W126" s="258"/>
      <c r="X126" s="258"/>
      <c r="Y126" s="258"/>
      <c r="Z126" s="258"/>
    </row>
    <row r="127" spans="1:26" hidden="1" outlineLevel="1">
      <c r="A127" s="271"/>
      <c r="B127" s="274">
        <f>Asset9</f>
        <v>0</v>
      </c>
      <c r="C127" s="271"/>
      <c r="D127" s="271"/>
      <c r="E127" s="279"/>
      <c r="F127" s="279"/>
      <c r="G127" s="276"/>
      <c r="H127" s="275"/>
      <c r="I127" s="275"/>
      <c r="J127" s="289"/>
      <c r="K127" s="275"/>
      <c r="L127" s="279"/>
      <c r="M127" s="308"/>
      <c r="N127" s="308"/>
      <c r="O127" s="268"/>
      <c r="P127" s="268"/>
      <c r="Q127" s="268"/>
      <c r="R127" s="268"/>
      <c r="S127" s="258"/>
      <c r="T127" s="258"/>
      <c r="U127" s="258"/>
      <c r="V127" s="258"/>
      <c r="W127" s="258"/>
      <c r="X127" s="258"/>
      <c r="Y127" s="258"/>
      <c r="Z127" s="258"/>
    </row>
    <row r="128" spans="1:26" ht="12.75" hidden="1" customHeight="1" outlineLevel="1">
      <c r="A128" s="271"/>
      <c r="B128" s="271"/>
      <c r="C128" s="659" t="s">
        <v>28</v>
      </c>
      <c r="D128" s="660"/>
      <c r="E128" s="275">
        <f ca="1">A9value-SUM('Actual RAB roll forward'!H148:OFFSET('Actual RAB roll forward'!H148,0,Input!$W$7-1))</f>
        <v>0</v>
      </c>
      <c r="F128" s="275">
        <f ca="1">IF(A9remlife="N/A","n/a",IF(E128=0,0,A9remlife-Input!$W$7))</f>
        <v>0</v>
      </c>
      <c r="G128" s="276"/>
      <c r="H128" s="277" t="s">
        <v>67</v>
      </c>
      <c r="I128" s="278"/>
      <c r="J128" s="275">
        <f ca="1">A9taxvalue-SUM('Tax value roll forward'!G184:OFFSET('Tax value roll forward'!G184,0,Input!$W$7))</f>
        <v>0</v>
      </c>
      <c r="K128" s="275">
        <f ca="1">IF(A9taxremlife="N/A","n/a",IF(J128=0,0,A9taxremlife-Input!$W$7-1))</f>
        <v>0</v>
      </c>
      <c r="L128" s="279"/>
      <c r="M128" s="308"/>
      <c r="N128" s="308"/>
      <c r="O128" s="268"/>
      <c r="P128" s="268"/>
      <c r="Q128" s="268"/>
      <c r="R128" s="268"/>
      <c r="S128" s="258"/>
      <c r="T128" s="258"/>
      <c r="U128" s="258"/>
      <c r="V128" s="258"/>
      <c r="W128" s="258"/>
      <c r="X128" s="258"/>
      <c r="Y128" s="258"/>
      <c r="Z128" s="258"/>
    </row>
    <row r="129" spans="1:26" ht="12.75" hidden="1" customHeight="1" outlineLevel="1">
      <c r="A129" s="271"/>
      <c r="B129" s="271"/>
      <c r="C129" s="666" t="s">
        <v>84</v>
      </c>
      <c r="D129" s="320">
        <f>D$9</f>
        <v>0</v>
      </c>
      <c r="E129" s="275"/>
      <c r="F129" s="275"/>
      <c r="G129" s="276"/>
      <c r="H129" s="666" t="s">
        <v>84</v>
      </c>
      <c r="I129" s="320">
        <v>0</v>
      </c>
      <c r="J129" s="275">
        <f ca="1">OFFSET('Tax value roll forward'!G$48,0,I129)-SUM('Tax value roll forward'!G186:OFFSET('Tax value roll forward'!G186,0,Input!$W$7))</f>
        <v>0</v>
      </c>
      <c r="K129" s="275">
        <f ca="1">IF(A9taxstdlife="N/A","n/a",IF(J129=0,0,A9taxstdlife+I129-Input!$W$7))</f>
        <v>0</v>
      </c>
      <c r="L129" s="279"/>
      <c r="M129" s="308"/>
      <c r="N129" s="308"/>
      <c r="O129" s="268"/>
      <c r="P129" s="268"/>
      <c r="Q129" s="268"/>
      <c r="R129" s="268"/>
      <c r="S129" s="258"/>
      <c r="T129" s="258"/>
      <c r="U129" s="258"/>
      <c r="V129" s="258"/>
      <c r="W129" s="258"/>
      <c r="X129" s="258"/>
      <c r="Y129" s="258"/>
      <c r="Z129" s="258"/>
    </row>
    <row r="130" spans="1:26" ht="12.75" hidden="1" customHeight="1" outlineLevel="1">
      <c r="A130" s="271"/>
      <c r="B130" s="271"/>
      <c r="C130" s="667"/>
      <c r="D130" s="280">
        <f>D$10</f>
        <v>1</v>
      </c>
      <c r="E130" s="275">
        <f ca="1">OFFSET('Actual RAB roll forward'!H$20,0,D130-1)-SUM('Actual RAB roll forward'!H150:OFFSET('Actual RAB roll forward'!H150,0,Input!$W$7-1))</f>
        <v>0</v>
      </c>
      <c r="F130" s="275">
        <f ca="1">IF(A9stdlife="N/A","n/a",IF(E130=0,0,A9stdlife+D130-Input!$W$7))</f>
        <v>0</v>
      </c>
      <c r="G130" s="276"/>
      <c r="H130" s="667"/>
      <c r="I130" s="280">
        <v>1</v>
      </c>
      <c r="J130" s="275">
        <f ca="1">OFFSET('Tax value roll forward'!G$48,0,I130)-SUM('Tax value roll forward'!G187:OFFSET('Tax value roll forward'!G187,0,Input!$W$7))</f>
        <v>0</v>
      </c>
      <c r="K130" s="275">
        <f ca="1">IF(A9taxstdlife="N/A","n/a",IF(J130=0,0,A9taxstdlife+I130-Input!$W$7))</f>
        <v>0</v>
      </c>
      <c r="L130" s="279"/>
      <c r="M130" s="308"/>
      <c r="N130" s="308"/>
      <c r="O130" s="268"/>
      <c r="P130" s="268"/>
      <c r="Q130" s="268"/>
      <c r="R130" s="268"/>
      <c r="S130" s="258"/>
      <c r="T130" s="258"/>
      <c r="U130" s="258"/>
      <c r="V130" s="258"/>
      <c r="W130" s="258"/>
      <c r="X130" s="258"/>
      <c r="Y130" s="258"/>
      <c r="Z130" s="258"/>
    </row>
    <row r="131" spans="1:26" hidden="1" outlineLevel="1">
      <c r="A131" s="271"/>
      <c r="B131" s="271"/>
      <c r="C131" s="667"/>
      <c r="D131" s="280">
        <f>D$11</f>
        <v>2</v>
      </c>
      <c r="E131" s="275">
        <f ca="1">OFFSET('Actual RAB roll forward'!H$20,0,D131-1)-SUM('Actual RAB roll forward'!H151:OFFSET('Actual RAB roll forward'!H151,0,Input!$W$7-1))</f>
        <v>0</v>
      </c>
      <c r="F131" s="275">
        <f ca="1">IF(A9stdlife="N/A","n/a",IF(E131=0,0,A9stdlife+D131-Input!$W$7))</f>
        <v>0</v>
      </c>
      <c r="G131" s="276"/>
      <c r="H131" s="667"/>
      <c r="I131" s="280">
        <v>2</v>
      </c>
      <c r="J131" s="275">
        <f ca="1">OFFSET('Tax value roll forward'!G$48,0,I131)-SUM('Tax value roll forward'!G188:OFFSET('Tax value roll forward'!G188,0,Input!$W$7))</f>
        <v>0</v>
      </c>
      <c r="K131" s="275">
        <f ca="1">IF(A9taxstdlife="N/A","n/a",IF(J131=0,0,A9taxstdlife+I131-Input!$W$7))</f>
        <v>0</v>
      </c>
      <c r="L131" s="279"/>
      <c r="M131" s="308"/>
      <c r="N131" s="308"/>
      <c r="O131" s="268"/>
      <c r="P131" s="268"/>
      <c r="Q131" s="268"/>
      <c r="R131" s="268"/>
      <c r="S131" s="258"/>
      <c r="T131" s="258"/>
      <c r="U131" s="258"/>
      <c r="V131" s="258"/>
      <c r="W131" s="258"/>
      <c r="X131" s="258"/>
      <c r="Y131" s="258"/>
      <c r="Z131" s="258"/>
    </row>
    <row r="132" spans="1:26" hidden="1" outlineLevel="1">
      <c r="A132" s="271"/>
      <c r="B132" s="271"/>
      <c r="C132" s="667"/>
      <c r="D132" s="280">
        <f>D$12</f>
        <v>3</v>
      </c>
      <c r="E132" s="275">
        <f ca="1">OFFSET('Actual RAB roll forward'!H$20,0,D132-1)-SUM('Actual RAB roll forward'!H152:OFFSET('Actual RAB roll forward'!H152,0,Input!$W$7-1))</f>
        <v>0</v>
      </c>
      <c r="F132" s="275">
        <f ca="1">IF(A9stdlife="N/A","n/a",IF(E132=0,0,A9stdlife+D132-Input!$W$7))</f>
        <v>0</v>
      </c>
      <c r="G132" s="276"/>
      <c r="H132" s="667"/>
      <c r="I132" s="280">
        <v>3</v>
      </c>
      <c r="J132" s="275">
        <f ca="1">OFFSET('Tax value roll forward'!G$48,0,I132)-SUM('Tax value roll forward'!G189:OFFSET('Tax value roll forward'!G189,0,Input!$W$7))</f>
        <v>0</v>
      </c>
      <c r="K132" s="275">
        <f ca="1">IF(A9taxstdlife="N/A","n/a",IF(J132=0,0,A9taxstdlife+I132-Input!$W$7))</f>
        <v>0</v>
      </c>
      <c r="L132" s="279"/>
      <c r="M132" s="308"/>
      <c r="N132" s="308"/>
      <c r="O132" s="268"/>
      <c r="P132" s="268"/>
      <c r="Q132" s="268"/>
      <c r="R132" s="268"/>
      <c r="S132" s="258"/>
      <c r="T132" s="258"/>
      <c r="U132" s="258"/>
      <c r="V132" s="258"/>
      <c r="W132" s="258"/>
      <c r="X132" s="258"/>
      <c r="Y132" s="258"/>
      <c r="Z132" s="258"/>
    </row>
    <row r="133" spans="1:26" hidden="1" outlineLevel="1">
      <c r="A133" s="271"/>
      <c r="B133" s="271"/>
      <c r="C133" s="667"/>
      <c r="D133" s="280">
        <f>D$13</f>
        <v>4</v>
      </c>
      <c r="E133" s="275">
        <f ca="1">OFFSET('Actual RAB roll forward'!H$20,0,D133-1)-SUM('Actual RAB roll forward'!H153:OFFSET('Actual RAB roll forward'!H153,0,Input!$W$7-1))</f>
        <v>0</v>
      </c>
      <c r="F133" s="275">
        <f ca="1">IF(A9stdlife="N/A","n/a",IF(E133=0,0,A9stdlife+D133-Input!$W$7))</f>
        <v>0</v>
      </c>
      <c r="G133" s="276"/>
      <c r="H133" s="667"/>
      <c r="I133" s="280">
        <v>4</v>
      </c>
      <c r="J133" s="275">
        <f ca="1">OFFSET('Tax value roll forward'!G$48,0,I133)-SUM('Tax value roll forward'!G190:OFFSET('Tax value roll forward'!G190,0,Input!$W$7))</f>
        <v>0</v>
      </c>
      <c r="K133" s="275">
        <f ca="1">IF(A9taxstdlife="N/A","n/a",IF(J133=0,0,A9taxstdlife+I133-Input!$W$7))</f>
        <v>0</v>
      </c>
      <c r="L133" s="279"/>
      <c r="M133" s="308"/>
      <c r="N133" s="308"/>
      <c r="O133" s="268"/>
      <c r="P133" s="268"/>
      <c r="Q133" s="268"/>
      <c r="R133" s="268"/>
      <c r="S133" s="258"/>
      <c r="T133" s="258"/>
      <c r="U133" s="258"/>
      <c r="V133" s="258"/>
      <c r="W133" s="258"/>
      <c r="X133" s="258"/>
      <c r="Y133" s="258"/>
      <c r="Z133" s="258"/>
    </row>
    <row r="134" spans="1:26" hidden="1" outlineLevel="1">
      <c r="A134" s="271"/>
      <c r="B134" s="271"/>
      <c r="C134" s="667"/>
      <c r="D134" s="280">
        <f>D$14</f>
        <v>5</v>
      </c>
      <c r="E134" s="275">
        <f ca="1">OFFSET('Actual RAB roll forward'!H$20,0,D134-1)-SUM('Actual RAB roll forward'!H154:OFFSET('Actual RAB roll forward'!H154,0,Input!$W$7-1))</f>
        <v>0</v>
      </c>
      <c r="F134" s="275">
        <f ca="1">IF(A9stdlife="N/A","n/a",IF(E134=0,0,A9stdlife+D134-Input!$W$7))</f>
        <v>0</v>
      </c>
      <c r="G134" s="276"/>
      <c r="H134" s="667"/>
      <c r="I134" s="280">
        <v>5</v>
      </c>
      <c r="J134" s="275">
        <f ca="1">OFFSET('Tax value roll forward'!G$48,0,I134)-SUM('Tax value roll forward'!G191:OFFSET('Tax value roll forward'!G191,0,Input!$W$7))</f>
        <v>0</v>
      </c>
      <c r="K134" s="275">
        <f ca="1">IF(A9taxstdlife="N/A","n/a",IF(J134=0,0,A9taxstdlife+I134-Input!$W$7))</f>
        <v>0</v>
      </c>
      <c r="L134" s="279"/>
      <c r="M134" s="308"/>
      <c r="N134" s="308"/>
      <c r="O134" s="268"/>
      <c r="P134" s="268"/>
      <c r="Q134" s="268"/>
      <c r="R134" s="268"/>
      <c r="S134" s="258"/>
      <c r="T134" s="258"/>
      <c r="U134" s="258"/>
      <c r="V134" s="258"/>
      <c r="W134" s="258"/>
      <c r="X134" s="258"/>
      <c r="Y134" s="258"/>
      <c r="Z134" s="258"/>
    </row>
    <row r="135" spans="1:26" hidden="1" outlineLevel="1">
      <c r="A135" s="271"/>
      <c r="B135" s="271"/>
      <c r="C135" s="667"/>
      <c r="D135" s="280">
        <f>D$15</f>
        <v>6</v>
      </c>
      <c r="E135" s="275">
        <f ca="1">OFFSET('Actual RAB roll forward'!H$20,0,D135-1)-SUM('Actual RAB roll forward'!H155:OFFSET('Actual RAB roll forward'!H155,0,Input!$W$7-1))</f>
        <v>0</v>
      </c>
      <c r="F135" s="275">
        <f ca="1">IF(A9stdlife="N/A","n/a",IF(E135=0,0,A9stdlife+D135-Input!$W$7))</f>
        <v>0</v>
      </c>
      <c r="G135" s="276"/>
      <c r="H135" s="667"/>
      <c r="I135" s="280">
        <v>6</v>
      </c>
      <c r="J135" s="275">
        <f ca="1">OFFSET('Tax value roll forward'!G$48,0,I135)-SUM('Tax value roll forward'!G192:OFFSET('Tax value roll forward'!G192,0,Input!$W$7))</f>
        <v>0</v>
      </c>
      <c r="K135" s="275">
        <f ca="1">IF(A9taxstdlife="N/A","n/a",IF(J135=0,0,A9taxstdlife+I135-Input!$W$7))</f>
        <v>0</v>
      </c>
      <c r="L135" s="279"/>
      <c r="M135" s="308"/>
      <c r="N135" s="308"/>
      <c r="O135" s="268"/>
      <c r="P135" s="268"/>
      <c r="Q135" s="268"/>
      <c r="R135" s="268"/>
      <c r="S135" s="258"/>
      <c r="T135" s="258"/>
      <c r="U135" s="258"/>
      <c r="V135" s="258"/>
      <c r="W135" s="258"/>
      <c r="X135" s="258"/>
      <c r="Y135" s="258"/>
      <c r="Z135" s="258"/>
    </row>
    <row r="136" spans="1:26" hidden="1" outlineLevel="1">
      <c r="A136" s="271"/>
      <c r="B136" s="271"/>
      <c r="C136" s="667"/>
      <c r="D136" s="280">
        <f>D$16</f>
        <v>7</v>
      </c>
      <c r="E136" s="275">
        <f ca="1">OFFSET('Actual RAB roll forward'!H$20,0,D136-1)-SUM('Actual RAB roll forward'!H156:OFFSET('Actual RAB roll forward'!H156,0,Input!$W$7-1))</f>
        <v>0</v>
      </c>
      <c r="F136" s="275">
        <f ca="1">IF(A9stdlife="N/A","n/a",IF(E136=0,0,A9stdlife+D136-Input!$W$7))</f>
        <v>0</v>
      </c>
      <c r="G136" s="276"/>
      <c r="H136" s="667"/>
      <c r="I136" s="280">
        <v>7</v>
      </c>
      <c r="J136" s="275">
        <f ca="1">OFFSET('Tax value roll forward'!G$48,0,I136)-SUM('Tax value roll forward'!G193:OFFSET('Tax value roll forward'!G193,0,Input!$W$7))</f>
        <v>0</v>
      </c>
      <c r="K136" s="275">
        <f ca="1">IF(A9taxstdlife="N/A","n/a",IF(J136=0,0,A9taxstdlife+I136-Input!$W$7))</f>
        <v>0</v>
      </c>
      <c r="L136" s="279"/>
      <c r="M136" s="308"/>
      <c r="N136" s="308"/>
      <c r="O136" s="268"/>
      <c r="P136" s="268"/>
      <c r="Q136" s="268"/>
      <c r="R136" s="268"/>
      <c r="S136" s="258"/>
      <c r="T136" s="258"/>
      <c r="U136" s="258"/>
      <c r="V136" s="258"/>
      <c r="W136" s="258"/>
      <c r="X136" s="258"/>
      <c r="Y136" s="258"/>
      <c r="Z136" s="258"/>
    </row>
    <row r="137" spans="1:26" hidden="1" outlineLevel="1">
      <c r="A137" s="271"/>
      <c r="B137" s="271"/>
      <c r="C137" s="667"/>
      <c r="D137" s="280">
        <f>D$17</f>
        <v>8</v>
      </c>
      <c r="E137" s="275">
        <f ca="1">OFFSET('Actual RAB roll forward'!H$20,0,D137-1)-SUM('Actual RAB roll forward'!H157:OFFSET('Actual RAB roll forward'!H157,0,Input!$W$7-1))</f>
        <v>0</v>
      </c>
      <c r="F137" s="275">
        <f ca="1">IF(A9stdlife="N/A","n/a",IF(E137=0,0,A9stdlife+D137-Input!$W$7))</f>
        <v>0</v>
      </c>
      <c r="G137" s="276"/>
      <c r="H137" s="667"/>
      <c r="I137" s="280">
        <v>8</v>
      </c>
      <c r="J137" s="275">
        <f ca="1">OFFSET('Tax value roll forward'!G$48,0,I137)-SUM('Tax value roll forward'!G194:OFFSET('Tax value roll forward'!G194,0,Input!$W$7))</f>
        <v>0</v>
      </c>
      <c r="K137" s="275">
        <f ca="1">IF(A9taxstdlife="N/A","n/a",IF(J137=0,0,A9taxstdlife+I137-Input!$W$7))</f>
        <v>0</v>
      </c>
      <c r="L137" s="279"/>
      <c r="M137" s="308"/>
      <c r="N137" s="308"/>
      <c r="O137" s="268"/>
      <c r="P137" s="268"/>
      <c r="Q137" s="268"/>
      <c r="R137" s="268"/>
      <c r="S137" s="258"/>
      <c r="T137" s="258"/>
      <c r="U137" s="258"/>
      <c r="V137" s="258"/>
      <c r="W137" s="258"/>
      <c r="X137" s="258"/>
      <c r="Y137" s="258"/>
      <c r="Z137" s="258"/>
    </row>
    <row r="138" spans="1:26" hidden="1" outlineLevel="1">
      <c r="A138" s="271"/>
      <c r="B138" s="271"/>
      <c r="C138" s="667"/>
      <c r="D138" s="280">
        <f>D$18</f>
        <v>9</v>
      </c>
      <c r="E138" s="275">
        <f ca="1">OFFSET('Actual RAB roll forward'!H$20,0,D138-1)-SUM('Actual RAB roll forward'!H158:OFFSET('Actual RAB roll forward'!H158,0,Input!$W$7-1))</f>
        <v>0</v>
      </c>
      <c r="F138" s="275">
        <f ca="1">IF(A9stdlife="N/A","n/a",IF(E138=0,0,A9stdlife+D138-Input!$W$7))</f>
        <v>0</v>
      </c>
      <c r="G138" s="276"/>
      <c r="H138" s="667"/>
      <c r="I138" s="280">
        <v>9</v>
      </c>
      <c r="J138" s="275">
        <f ca="1">OFFSET('Tax value roll forward'!G$48,0,I138)-SUM('Tax value roll forward'!G195:OFFSET('Tax value roll forward'!G195,0,Input!$W$7))</f>
        <v>0</v>
      </c>
      <c r="K138" s="275">
        <f ca="1">IF(A9taxstdlife="N/A","n/a",IF(J138=0,0,A9taxstdlife+I138-Input!$W$7))</f>
        <v>0</v>
      </c>
      <c r="L138" s="279"/>
      <c r="M138" s="308"/>
      <c r="N138" s="308"/>
      <c r="O138" s="268"/>
      <c r="P138" s="268"/>
      <c r="Q138" s="268"/>
      <c r="R138" s="268"/>
      <c r="S138" s="258"/>
      <c r="T138" s="258"/>
      <c r="U138" s="258"/>
      <c r="V138" s="258"/>
      <c r="W138" s="258"/>
      <c r="X138" s="258"/>
      <c r="Y138" s="258"/>
      <c r="Z138" s="258"/>
    </row>
    <row r="139" spans="1:26" hidden="1" outlineLevel="1">
      <c r="A139" s="271"/>
      <c r="B139" s="271"/>
      <c r="C139" s="668"/>
      <c r="D139" s="281">
        <f>D$19</f>
        <v>10</v>
      </c>
      <c r="E139" s="275">
        <f ca="1">OFFSET('Actual RAB roll forward'!H$20,0,D139-1)-SUM('Actual RAB roll forward'!H159:OFFSET('Actual RAB roll forward'!H159,0,Input!$W$7-1))</f>
        <v>0</v>
      </c>
      <c r="F139" s="275">
        <f ca="1">IF(A9stdlife="N/A","n/a",IF(E139=0,0,A9stdlife+D139-Input!$W$7))</f>
        <v>0</v>
      </c>
      <c r="G139" s="276"/>
      <c r="H139" s="668"/>
      <c r="I139" s="281">
        <v>10</v>
      </c>
      <c r="J139" s="275">
        <f ca="1">OFFSET('Tax value roll forward'!G$48,0,I139)-SUM('Tax value roll forward'!G196:OFFSET('Tax value roll forward'!G196,0,Input!$W$7))</f>
        <v>0</v>
      </c>
      <c r="K139" s="275">
        <f ca="1">IF(A9taxstdlife="N/A","n/a",IF(J139=0,0,A9taxstdlife+I139-Input!$W$7))</f>
        <v>0</v>
      </c>
      <c r="M139" s="308"/>
      <c r="N139" s="308"/>
      <c r="O139" s="268"/>
      <c r="P139" s="268"/>
      <c r="Q139" s="268"/>
      <c r="R139" s="268"/>
      <c r="S139" s="258"/>
      <c r="T139" s="258"/>
      <c r="U139" s="258"/>
      <c r="V139" s="258"/>
      <c r="W139" s="258"/>
      <c r="X139" s="258"/>
      <c r="Y139" s="258"/>
      <c r="Z139" s="258"/>
    </row>
    <row r="140" spans="1:26" collapsed="1">
      <c r="A140" s="271"/>
      <c r="B140" s="271"/>
      <c r="C140" s="291">
        <f>Asset9</f>
        <v>0</v>
      </c>
      <c r="D140" s="271"/>
      <c r="E140" s="275">
        <f ca="1">SUM(E128:E139)</f>
        <v>0</v>
      </c>
      <c r="F140" s="275">
        <f ca="1">IF(E140=0,0,SUMPRODUCT(E128:E139,F128:F139)/E140)</f>
        <v>0</v>
      </c>
      <c r="G140" s="276"/>
      <c r="H140" s="283"/>
      <c r="I140" s="275"/>
      <c r="J140" s="309">
        <f ca="1">SUM(J128:J139)</f>
        <v>0</v>
      </c>
      <c r="K140" s="309">
        <f ca="1">IF(J140=0,0,SUMPRODUCT(J128:J139,K128:K139)/J140)</f>
        <v>0</v>
      </c>
      <c r="L140" s="279"/>
      <c r="M140" s="310"/>
      <c r="N140" s="310"/>
      <c r="O140" s="271"/>
      <c r="P140" s="271"/>
      <c r="Q140" s="271"/>
      <c r="R140" s="271"/>
      <c r="S140" s="258"/>
      <c r="T140" s="258"/>
      <c r="U140" s="258"/>
      <c r="V140" s="258"/>
      <c r="W140" s="258"/>
      <c r="X140" s="258"/>
      <c r="Y140" s="258"/>
      <c r="Z140" s="258"/>
    </row>
    <row r="141" spans="1:26" hidden="1" outlineLevel="1">
      <c r="A141" s="271"/>
      <c r="B141" s="271"/>
      <c r="C141" s="291"/>
      <c r="D141" s="271"/>
      <c r="E141" s="275"/>
      <c r="F141" s="275"/>
      <c r="G141" s="276"/>
      <c r="H141" s="275"/>
      <c r="I141" s="275"/>
      <c r="J141" s="289"/>
      <c r="K141" s="275"/>
      <c r="L141" s="279"/>
      <c r="M141" s="310"/>
      <c r="N141" s="310"/>
      <c r="O141" s="271"/>
      <c r="P141" s="271"/>
      <c r="Q141" s="271"/>
      <c r="R141" s="271"/>
      <c r="S141" s="258"/>
      <c r="T141" s="258"/>
      <c r="U141" s="258"/>
      <c r="V141" s="258"/>
      <c r="W141" s="258"/>
      <c r="X141" s="258"/>
      <c r="Y141" s="258"/>
      <c r="Z141" s="258"/>
    </row>
    <row r="142" spans="1:26" hidden="1" outlineLevel="1">
      <c r="A142" s="271"/>
      <c r="B142" s="274">
        <f>Asset10</f>
        <v>0</v>
      </c>
      <c r="C142" s="271"/>
      <c r="D142" s="271"/>
      <c r="E142" s="292"/>
      <c r="F142" s="292"/>
      <c r="G142" s="276"/>
      <c r="H142" s="275"/>
      <c r="I142" s="275"/>
      <c r="J142" s="289"/>
      <c r="K142" s="275"/>
      <c r="L142" s="279"/>
      <c r="M142" s="310"/>
      <c r="N142" s="310"/>
      <c r="O142" s="271"/>
      <c r="P142" s="271"/>
      <c r="Q142" s="271"/>
      <c r="R142" s="271"/>
      <c r="S142" s="258"/>
      <c r="T142" s="258"/>
      <c r="U142" s="258"/>
      <c r="V142" s="258"/>
      <c r="W142" s="258"/>
      <c r="X142" s="258"/>
      <c r="Y142" s="258"/>
      <c r="Z142" s="258"/>
    </row>
    <row r="143" spans="1:26" ht="12.75" hidden="1" customHeight="1" outlineLevel="1">
      <c r="A143" s="271"/>
      <c r="B143" s="271"/>
      <c r="C143" s="659" t="s">
        <v>28</v>
      </c>
      <c r="D143" s="660"/>
      <c r="E143" s="275">
        <f ca="1">A10value-SUM('Actual RAB roll forward'!H161:OFFSET('Actual RAB roll forward'!H161,0,Input!$W$7-1))</f>
        <v>0</v>
      </c>
      <c r="F143" s="275">
        <f ca="1">IF(A10remlife="N/A","n/a",IF(E143=0,0,A10remlife-Input!$W$7))</f>
        <v>0</v>
      </c>
      <c r="G143" s="276"/>
      <c r="H143" s="277" t="s">
        <v>67</v>
      </c>
      <c r="I143" s="278"/>
      <c r="J143" s="275">
        <f ca="1">A10taxvalue-SUM('Tax value roll forward'!G198:OFFSET('Tax value roll forward'!G198,0,Input!$W$7))</f>
        <v>0</v>
      </c>
      <c r="K143" s="275">
        <f ca="1">IF(A10taxremlife="N/A","n/a",IF(J143=0,0,A10taxremlife-Input!$W$7-1))</f>
        <v>0</v>
      </c>
      <c r="L143" s="279"/>
      <c r="M143" s="310"/>
      <c r="N143" s="310"/>
      <c r="O143" s="271"/>
      <c r="P143" s="271"/>
      <c r="Q143" s="271"/>
      <c r="R143" s="271"/>
      <c r="S143" s="258"/>
      <c r="T143" s="258"/>
      <c r="U143" s="258"/>
      <c r="V143" s="258"/>
      <c r="W143" s="258"/>
      <c r="X143" s="258"/>
      <c r="Y143" s="258"/>
      <c r="Z143" s="258"/>
    </row>
    <row r="144" spans="1:26" ht="12.75" hidden="1" customHeight="1" outlineLevel="1">
      <c r="A144" s="271"/>
      <c r="B144" s="271"/>
      <c r="C144" s="666" t="s">
        <v>84</v>
      </c>
      <c r="D144" s="320">
        <f>D$9</f>
        <v>0</v>
      </c>
      <c r="E144" s="275"/>
      <c r="F144" s="275"/>
      <c r="G144" s="276"/>
      <c r="H144" s="666" t="s">
        <v>84</v>
      </c>
      <c r="I144" s="320">
        <v>0</v>
      </c>
      <c r="J144" s="275">
        <f ca="1">OFFSET('Tax value roll forward'!G$49,0,I144)-SUM('Tax value roll forward'!G200:OFFSET('Tax value roll forward'!G200,0,Input!$W$7))</f>
        <v>0</v>
      </c>
      <c r="K144" s="275">
        <f ca="1">IF(A10taxstdlife="N/A","n/a",IF(J144=0,0,A10taxstdlife+I144-Input!$W$7))</f>
        <v>0</v>
      </c>
      <c r="L144" s="279"/>
      <c r="M144" s="310"/>
      <c r="N144" s="310"/>
      <c r="O144" s="271"/>
      <c r="P144" s="271"/>
      <c r="Q144" s="271"/>
      <c r="R144" s="271"/>
      <c r="S144" s="258"/>
      <c r="T144" s="258"/>
      <c r="U144" s="258"/>
      <c r="V144" s="258"/>
      <c r="W144" s="258"/>
      <c r="X144" s="258"/>
      <c r="Y144" s="258"/>
      <c r="Z144" s="258"/>
    </row>
    <row r="145" spans="1:26" ht="12.75" hidden="1" customHeight="1" outlineLevel="1">
      <c r="A145" s="271"/>
      <c r="B145" s="271"/>
      <c r="C145" s="667"/>
      <c r="D145" s="280">
        <f>D$10</f>
        <v>1</v>
      </c>
      <c r="E145" s="275">
        <f ca="1">OFFSET('Actual RAB roll forward'!H$21,0,D145-1)-SUM('Actual RAB roll forward'!H163:OFFSET('Actual RAB roll forward'!H163,0,Input!$W$7-1))</f>
        <v>0</v>
      </c>
      <c r="F145" s="275">
        <f ca="1">IF(A10stdlife="N/A","n/a",IF(E145=0,0,A10stdlife+D145-Input!$W$7))</f>
        <v>0</v>
      </c>
      <c r="G145" s="276"/>
      <c r="H145" s="667"/>
      <c r="I145" s="280">
        <v>1</v>
      </c>
      <c r="J145" s="275">
        <f ca="1">OFFSET('Tax value roll forward'!G$49,0,I145)-SUM('Tax value roll forward'!G201:OFFSET('Tax value roll forward'!G201,0,Input!$W$7))</f>
        <v>0</v>
      </c>
      <c r="K145" s="275">
        <f ca="1">IF(A10taxstdlife="N/A","n/a",IF(J145=0,0,A10taxstdlife+I145-Input!$W$7))</f>
        <v>0</v>
      </c>
      <c r="L145" s="279"/>
      <c r="M145" s="310"/>
      <c r="N145" s="310"/>
      <c r="O145" s="271"/>
      <c r="P145" s="271"/>
      <c r="Q145" s="271"/>
      <c r="R145" s="271"/>
      <c r="S145" s="258"/>
      <c r="T145" s="258"/>
      <c r="U145" s="258"/>
      <c r="V145" s="258"/>
      <c r="W145" s="258"/>
      <c r="X145" s="258"/>
      <c r="Y145" s="258"/>
      <c r="Z145" s="258"/>
    </row>
    <row r="146" spans="1:26" hidden="1" outlineLevel="1">
      <c r="A146" s="271"/>
      <c r="B146" s="271"/>
      <c r="C146" s="667"/>
      <c r="D146" s="280">
        <f>D$11</f>
        <v>2</v>
      </c>
      <c r="E146" s="275">
        <f ca="1">OFFSET('Actual RAB roll forward'!H$21,0,D146-1)-SUM('Actual RAB roll forward'!H164:OFFSET('Actual RAB roll forward'!H164,0,Input!$W$7-1))</f>
        <v>0</v>
      </c>
      <c r="F146" s="275">
        <f ca="1">IF(A10stdlife="N/A","n/a",IF(E146=0,0,A10stdlife+D146-Input!$W$7))</f>
        <v>0</v>
      </c>
      <c r="G146" s="276"/>
      <c r="H146" s="667"/>
      <c r="I146" s="280">
        <v>2</v>
      </c>
      <c r="J146" s="275">
        <f ca="1">OFFSET('Tax value roll forward'!G$49,0,I146)-SUM('Tax value roll forward'!G202:OFFSET('Tax value roll forward'!G202,0,Input!$W$7))</f>
        <v>0</v>
      </c>
      <c r="K146" s="275">
        <f ca="1">IF(A10taxstdlife="N/A","n/a",IF(J146=0,0,A10taxstdlife+I146-Input!$W$7))</f>
        <v>0</v>
      </c>
      <c r="L146" s="279"/>
      <c r="M146" s="310"/>
      <c r="N146" s="310"/>
      <c r="O146" s="271"/>
      <c r="P146" s="271"/>
      <c r="Q146" s="271"/>
      <c r="R146" s="271"/>
      <c r="S146" s="258"/>
      <c r="T146" s="258"/>
      <c r="U146" s="258"/>
      <c r="V146" s="258"/>
      <c r="W146" s="258"/>
      <c r="X146" s="258"/>
      <c r="Y146" s="258"/>
      <c r="Z146" s="258"/>
    </row>
    <row r="147" spans="1:26" hidden="1" outlineLevel="1">
      <c r="A147" s="271"/>
      <c r="B147" s="271"/>
      <c r="C147" s="667"/>
      <c r="D147" s="280">
        <f>D$12</f>
        <v>3</v>
      </c>
      <c r="E147" s="275">
        <f ca="1">OFFSET('Actual RAB roll forward'!H$21,0,D147-1)-SUM('Actual RAB roll forward'!H165:OFFSET('Actual RAB roll forward'!H165,0,Input!$W$7-1))</f>
        <v>0</v>
      </c>
      <c r="F147" s="275">
        <f ca="1">IF(A10stdlife="N/A","n/a",IF(E147=0,0,A10stdlife+D147-Input!$W$7))</f>
        <v>0</v>
      </c>
      <c r="G147" s="276"/>
      <c r="H147" s="667"/>
      <c r="I147" s="280">
        <v>3</v>
      </c>
      <c r="J147" s="275">
        <f ca="1">OFFSET('Tax value roll forward'!G$49,0,I147)-SUM('Tax value roll forward'!G203:OFFSET('Tax value roll forward'!G203,0,Input!$W$7))</f>
        <v>0</v>
      </c>
      <c r="K147" s="275">
        <f ca="1">IF(A10taxstdlife="N/A","n/a",IF(J147=0,0,A10taxstdlife+I147-Input!$W$7))</f>
        <v>0</v>
      </c>
      <c r="L147" s="279"/>
      <c r="M147" s="310"/>
      <c r="N147" s="310"/>
      <c r="O147" s="271"/>
      <c r="P147" s="271"/>
      <c r="Q147" s="271"/>
      <c r="R147" s="271"/>
      <c r="S147" s="258"/>
      <c r="T147" s="258"/>
      <c r="U147" s="258"/>
      <c r="V147" s="258"/>
      <c r="W147" s="258"/>
      <c r="X147" s="258"/>
      <c r="Y147" s="258"/>
      <c r="Z147" s="258"/>
    </row>
    <row r="148" spans="1:26" hidden="1" outlineLevel="1">
      <c r="A148" s="271"/>
      <c r="B148" s="271"/>
      <c r="C148" s="667"/>
      <c r="D148" s="280">
        <f>D$13</f>
        <v>4</v>
      </c>
      <c r="E148" s="275">
        <f ca="1">OFFSET('Actual RAB roll forward'!H$21,0,D148-1)-SUM('Actual RAB roll forward'!H166:OFFSET('Actual RAB roll forward'!H166,0,Input!$W$7-1))</f>
        <v>0</v>
      </c>
      <c r="F148" s="275">
        <f ca="1">IF(A10stdlife="N/A","n/a",IF(E148=0,0,A10stdlife+D148-Input!$W$7))</f>
        <v>0</v>
      </c>
      <c r="G148" s="276"/>
      <c r="H148" s="667"/>
      <c r="I148" s="280">
        <v>4</v>
      </c>
      <c r="J148" s="275">
        <f ca="1">OFFSET('Tax value roll forward'!G$49,0,I148)-SUM('Tax value roll forward'!G204:OFFSET('Tax value roll forward'!G204,0,Input!$W$7))</f>
        <v>0</v>
      </c>
      <c r="K148" s="275">
        <f ca="1">IF(A10taxstdlife="N/A","n/a",IF(J148=0,0,A10taxstdlife+I148-Input!$W$7))</f>
        <v>0</v>
      </c>
      <c r="L148" s="279"/>
      <c r="M148" s="310"/>
      <c r="N148" s="310"/>
      <c r="O148" s="271"/>
      <c r="P148" s="271"/>
      <c r="Q148" s="271"/>
      <c r="R148" s="271"/>
      <c r="S148" s="258"/>
      <c r="T148" s="258"/>
      <c r="U148" s="258"/>
      <c r="V148" s="258"/>
      <c r="W148" s="258"/>
      <c r="X148" s="258"/>
      <c r="Y148" s="258"/>
      <c r="Z148" s="258"/>
    </row>
    <row r="149" spans="1:26" hidden="1" outlineLevel="1">
      <c r="A149" s="271"/>
      <c r="B149" s="271"/>
      <c r="C149" s="667"/>
      <c r="D149" s="280">
        <f>D$14</f>
        <v>5</v>
      </c>
      <c r="E149" s="275">
        <f ca="1">OFFSET('Actual RAB roll forward'!H$21,0,D149-1)-SUM('Actual RAB roll forward'!H167:OFFSET('Actual RAB roll forward'!H167,0,Input!$W$7-1))</f>
        <v>0</v>
      </c>
      <c r="F149" s="275">
        <f ca="1">IF(A10stdlife="N/A","n/a",IF(E149=0,0,A10stdlife+D149-Input!$W$7))</f>
        <v>0</v>
      </c>
      <c r="G149" s="276"/>
      <c r="H149" s="667"/>
      <c r="I149" s="280">
        <v>5</v>
      </c>
      <c r="J149" s="275">
        <f ca="1">OFFSET('Tax value roll forward'!G$49,0,I149)-SUM('Tax value roll forward'!G205:OFFSET('Tax value roll forward'!G205,0,Input!$W$7))</f>
        <v>0</v>
      </c>
      <c r="K149" s="275">
        <f ca="1">IF(A10taxstdlife="N/A","n/a",IF(J149=0,0,A10taxstdlife+I149-Input!$W$7))</f>
        <v>0</v>
      </c>
      <c r="L149" s="279"/>
      <c r="M149" s="310"/>
      <c r="N149" s="310"/>
      <c r="O149" s="271"/>
      <c r="P149" s="271"/>
      <c r="Q149" s="271"/>
      <c r="R149" s="271"/>
      <c r="S149" s="258"/>
      <c r="T149" s="258"/>
      <c r="U149" s="258"/>
      <c r="V149" s="258"/>
      <c r="W149" s="258"/>
      <c r="X149" s="258"/>
      <c r="Y149" s="258"/>
      <c r="Z149" s="258"/>
    </row>
    <row r="150" spans="1:26" hidden="1" outlineLevel="1">
      <c r="A150" s="271"/>
      <c r="B150" s="271"/>
      <c r="C150" s="667"/>
      <c r="D150" s="280">
        <f>D$15</f>
        <v>6</v>
      </c>
      <c r="E150" s="275">
        <f ca="1">OFFSET('Actual RAB roll forward'!H$21,0,D150-1)-SUM('Actual RAB roll forward'!H168:OFFSET('Actual RAB roll forward'!H168,0,Input!$W$7-1))</f>
        <v>0</v>
      </c>
      <c r="F150" s="275">
        <f ca="1">IF(A10stdlife="N/A","n/a",IF(E150=0,0,A10stdlife+D150-Input!$W$7))</f>
        <v>0</v>
      </c>
      <c r="G150" s="276"/>
      <c r="H150" s="667"/>
      <c r="I150" s="280">
        <v>6</v>
      </c>
      <c r="J150" s="275">
        <f ca="1">OFFSET('Tax value roll forward'!G$49,0,I150)-SUM('Tax value roll forward'!G206:OFFSET('Tax value roll forward'!G206,0,Input!$W$7))</f>
        <v>0</v>
      </c>
      <c r="K150" s="275">
        <f ca="1">IF(A10taxstdlife="N/A","n/a",IF(J150=0,0,A10taxstdlife+I150-Input!$W$7))</f>
        <v>0</v>
      </c>
      <c r="L150" s="279"/>
      <c r="M150" s="310"/>
      <c r="N150" s="310"/>
      <c r="O150" s="271"/>
      <c r="P150" s="271"/>
      <c r="Q150" s="271"/>
      <c r="R150" s="271"/>
      <c r="S150" s="258"/>
      <c r="T150" s="258"/>
      <c r="U150" s="258"/>
      <c r="V150" s="258"/>
      <c r="W150" s="258"/>
      <c r="X150" s="258"/>
      <c r="Y150" s="258"/>
      <c r="Z150" s="258"/>
    </row>
    <row r="151" spans="1:26" hidden="1" outlineLevel="1">
      <c r="A151" s="271"/>
      <c r="B151" s="271"/>
      <c r="C151" s="667"/>
      <c r="D151" s="280">
        <f>D$16</f>
        <v>7</v>
      </c>
      <c r="E151" s="275">
        <f ca="1">OFFSET('Actual RAB roll forward'!H$21,0,D151-1)-SUM('Actual RAB roll forward'!H169:OFFSET('Actual RAB roll forward'!H169,0,Input!$W$7-1))</f>
        <v>0</v>
      </c>
      <c r="F151" s="275">
        <f ca="1">IF(A10stdlife="N/A","n/a",IF(E151=0,0,A10stdlife+D151-Input!$W$7))</f>
        <v>0</v>
      </c>
      <c r="G151" s="276"/>
      <c r="H151" s="667"/>
      <c r="I151" s="280">
        <v>7</v>
      </c>
      <c r="J151" s="275">
        <f ca="1">OFFSET('Tax value roll forward'!G$49,0,I151)-SUM('Tax value roll forward'!G207:OFFSET('Tax value roll forward'!G207,0,Input!$W$7))</f>
        <v>0</v>
      </c>
      <c r="K151" s="275">
        <f ca="1">IF(A10taxstdlife="N/A","n/a",IF(J151=0,0,A10taxstdlife+I151-Input!$W$7))</f>
        <v>0</v>
      </c>
      <c r="L151" s="279"/>
      <c r="M151" s="310"/>
      <c r="N151" s="310"/>
      <c r="O151" s="271"/>
      <c r="P151" s="271"/>
      <c r="Q151" s="271"/>
      <c r="R151" s="271"/>
      <c r="S151" s="258"/>
      <c r="T151" s="258"/>
      <c r="U151" s="258"/>
      <c r="V151" s="258"/>
      <c r="W151" s="258"/>
      <c r="X151" s="258"/>
      <c r="Y151" s="258"/>
      <c r="Z151" s="258"/>
    </row>
    <row r="152" spans="1:26" hidden="1" outlineLevel="1">
      <c r="A152" s="271"/>
      <c r="B152" s="271"/>
      <c r="C152" s="667"/>
      <c r="D152" s="280">
        <f>D$17</f>
        <v>8</v>
      </c>
      <c r="E152" s="275">
        <f ca="1">OFFSET('Actual RAB roll forward'!H$21,0,D152-1)-SUM('Actual RAB roll forward'!H170:OFFSET('Actual RAB roll forward'!H170,0,Input!$W$7-1))</f>
        <v>0</v>
      </c>
      <c r="F152" s="275">
        <f ca="1">IF(A10stdlife="N/A","n/a",IF(E152=0,0,A10stdlife+D152-Input!$W$7))</f>
        <v>0</v>
      </c>
      <c r="G152" s="276"/>
      <c r="H152" s="667"/>
      <c r="I152" s="280">
        <v>8</v>
      </c>
      <c r="J152" s="275">
        <f ca="1">OFFSET('Tax value roll forward'!G$49,0,I152)-SUM('Tax value roll forward'!G208:OFFSET('Tax value roll forward'!G208,0,Input!$W$7))</f>
        <v>0</v>
      </c>
      <c r="K152" s="275">
        <f ca="1">IF(A10taxstdlife="N/A","n/a",IF(J152=0,0,A10taxstdlife+I152-Input!$W$7))</f>
        <v>0</v>
      </c>
      <c r="L152" s="279"/>
      <c r="M152" s="310"/>
      <c r="N152" s="310"/>
      <c r="O152" s="271"/>
      <c r="P152" s="271"/>
      <c r="Q152" s="271"/>
      <c r="R152" s="271"/>
      <c r="S152" s="258"/>
      <c r="T152" s="258"/>
      <c r="U152" s="258"/>
      <c r="V152" s="258"/>
      <c r="W152" s="258"/>
      <c r="X152" s="258"/>
      <c r="Y152" s="258"/>
      <c r="Z152" s="258"/>
    </row>
    <row r="153" spans="1:26" hidden="1" outlineLevel="1">
      <c r="A153" s="271"/>
      <c r="B153" s="271"/>
      <c r="C153" s="667"/>
      <c r="D153" s="280">
        <f>D$18</f>
        <v>9</v>
      </c>
      <c r="E153" s="275">
        <f ca="1">OFFSET('Actual RAB roll forward'!H$21,0,D153-1)-SUM('Actual RAB roll forward'!H171:OFFSET('Actual RAB roll forward'!H171,0,Input!$W$7-1))</f>
        <v>0</v>
      </c>
      <c r="F153" s="275">
        <f ca="1">IF(A10stdlife="N/A","n/a",IF(E153=0,0,A10stdlife+D153-Input!$W$7))</f>
        <v>0</v>
      </c>
      <c r="G153" s="276"/>
      <c r="H153" s="667"/>
      <c r="I153" s="280">
        <v>9</v>
      </c>
      <c r="J153" s="275">
        <f ca="1">OFFSET('Tax value roll forward'!G$49,0,I153)-SUM('Tax value roll forward'!G209:OFFSET('Tax value roll forward'!G209,0,Input!$W$7))</f>
        <v>0</v>
      </c>
      <c r="K153" s="275">
        <f ca="1">IF(A10taxstdlife="N/A","n/a",IF(J153=0,0,A10taxstdlife+I153-Input!$W$7))</f>
        <v>0</v>
      </c>
      <c r="L153" s="279"/>
      <c r="M153" s="310"/>
      <c r="N153" s="310"/>
      <c r="O153" s="271"/>
      <c r="P153" s="271"/>
      <c r="Q153" s="271"/>
      <c r="R153" s="271"/>
      <c r="S153" s="258"/>
      <c r="T153" s="258"/>
      <c r="U153" s="258"/>
      <c r="V153" s="258"/>
      <c r="W153" s="258"/>
      <c r="X153" s="258"/>
      <c r="Y153" s="258"/>
      <c r="Z153" s="258"/>
    </row>
    <row r="154" spans="1:26" hidden="1" outlineLevel="1">
      <c r="A154" s="271"/>
      <c r="B154" s="271"/>
      <c r="C154" s="668"/>
      <c r="D154" s="281">
        <f>D$19</f>
        <v>10</v>
      </c>
      <c r="E154" s="275">
        <f ca="1">OFFSET('Actual RAB roll forward'!H$21,0,D154-1)-SUM('Actual RAB roll forward'!H172:OFFSET('Actual RAB roll forward'!H172,0,Input!$W$7-1))</f>
        <v>0</v>
      </c>
      <c r="F154" s="275">
        <f ca="1">IF(A10stdlife="N/A","n/a",IF(E154=0,0,A10stdlife+D154-Input!$W$7))</f>
        <v>0</v>
      </c>
      <c r="G154" s="276"/>
      <c r="H154" s="668"/>
      <c r="I154" s="281">
        <v>10</v>
      </c>
      <c r="J154" s="275">
        <f ca="1">OFFSET('Tax value roll forward'!G$49,0,I154)-SUM('Tax value roll forward'!G210:OFFSET('Tax value roll forward'!G210,0,Input!$W$7))</f>
        <v>0</v>
      </c>
      <c r="K154" s="275">
        <f ca="1">IF(A10taxstdlife="N/A","n/a",IF(J154=0,0,A10taxstdlife+I154-Input!$W$7))</f>
        <v>0</v>
      </c>
      <c r="M154" s="310"/>
      <c r="N154" s="310"/>
      <c r="O154" s="271"/>
      <c r="P154" s="271"/>
      <c r="Q154" s="271"/>
      <c r="R154" s="271"/>
      <c r="S154" s="258"/>
      <c r="T154" s="258"/>
      <c r="U154" s="258"/>
      <c r="V154" s="258"/>
      <c r="W154" s="258"/>
      <c r="X154" s="258"/>
      <c r="Y154" s="258"/>
      <c r="Z154" s="258"/>
    </row>
    <row r="155" spans="1:26" collapsed="1">
      <c r="A155" s="271"/>
      <c r="B155" s="271"/>
      <c r="C155" s="291">
        <f>Asset10</f>
        <v>0</v>
      </c>
      <c r="D155" s="271"/>
      <c r="E155" s="275">
        <f ca="1">SUM(E143:E154)</f>
        <v>0</v>
      </c>
      <c r="F155" s="275">
        <f ca="1">IF(E155=0,0,SUMPRODUCT(E143:E154,F143:F154)/E155)</f>
        <v>0</v>
      </c>
      <c r="G155" s="276"/>
      <c r="H155" s="283"/>
      <c r="I155" s="275"/>
      <c r="J155" s="309">
        <f ca="1">SUM(J143:J154)</f>
        <v>0</v>
      </c>
      <c r="K155" s="309">
        <f ca="1">IF(J155=0,0,SUMPRODUCT(J143:J154,K143:K154)/J155)</f>
        <v>0</v>
      </c>
      <c r="L155" s="279"/>
      <c r="M155" s="310"/>
      <c r="N155" s="310"/>
      <c r="O155" s="271"/>
      <c r="P155" s="271"/>
      <c r="Q155" s="271"/>
      <c r="R155" s="271"/>
      <c r="S155" s="258"/>
      <c r="T155" s="258"/>
      <c r="U155" s="258"/>
      <c r="V155" s="258"/>
      <c r="W155" s="258"/>
      <c r="X155" s="258"/>
      <c r="Y155" s="258"/>
      <c r="Z155" s="258"/>
    </row>
    <row r="156" spans="1:26" hidden="1" outlineLevel="1">
      <c r="A156" s="271"/>
      <c r="B156" s="271"/>
      <c r="C156" s="291"/>
      <c r="D156" s="271"/>
      <c r="E156" s="275"/>
      <c r="F156" s="275"/>
      <c r="G156" s="276"/>
      <c r="H156" s="275"/>
      <c r="I156" s="275"/>
      <c r="J156" s="289"/>
      <c r="K156" s="275"/>
      <c r="L156" s="279"/>
      <c r="M156" s="310"/>
      <c r="N156" s="310"/>
      <c r="O156" s="271"/>
      <c r="P156" s="271"/>
      <c r="Q156" s="271"/>
      <c r="R156" s="271"/>
      <c r="S156" s="258"/>
      <c r="T156" s="258"/>
      <c r="U156" s="258"/>
      <c r="V156" s="258"/>
      <c r="W156" s="258"/>
      <c r="X156" s="258"/>
      <c r="Y156" s="258"/>
      <c r="Z156" s="258"/>
    </row>
    <row r="157" spans="1:26" hidden="1" outlineLevel="1">
      <c r="A157" s="271"/>
      <c r="B157" s="274">
        <f>Asset11</f>
        <v>0</v>
      </c>
      <c r="C157" s="271"/>
      <c r="D157" s="271"/>
      <c r="E157" s="292"/>
      <c r="F157" s="292"/>
      <c r="G157" s="276"/>
      <c r="H157" s="275"/>
      <c r="I157" s="275"/>
      <c r="J157" s="289"/>
      <c r="K157" s="275"/>
      <c r="L157" s="279"/>
      <c r="M157" s="310"/>
      <c r="N157" s="310"/>
      <c r="O157" s="271"/>
      <c r="P157" s="271"/>
      <c r="Q157" s="271"/>
      <c r="R157" s="271"/>
      <c r="S157" s="258"/>
      <c r="T157" s="258"/>
      <c r="U157" s="258"/>
      <c r="V157" s="258"/>
      <c r="W157" s="258"/>
      <c r="X157" s="258"/>
      <c r="Y157" s="258"/>
      <c r="Z157" s="258"/>
    </row>
    <row r="158" spans="1:26" ht="12.75" hidden="1" customHeight="1" outlineLevel="1">
      <c r="A158" s="271"/>
      <c r="B158" s="271"/>
      <c r="C158" s="659" t="s">
        <v>28</v>
      </c>
      <c r="D158" s="660"/>
      <c r="E158" s="275">
        <f ca="1">A11value-SUM('Actual RAB roll forward'!H174:OFFSET('Actual RAB roll forward'!H174,0,Input!$W$7-1))</f>
        <v>0</v>
      </c>
      <c r="F158" s="275">
        <f ca="1">IF(A11remlife="N/A","n/a",IF(E158=0,0,A11remlife-Input!$W$7))</f>
        <v>0</v>
      </c>
      <c r="G158" s="276"/>
      <c r="H158" s="277" t="s">
        <v>67</v>
      </c>
      <c r="I158" s="278"/>
      <c r="J158" s="275">
        <f ca="1">A11taxvalue-SUM('Tax value roll forward'!G212:OFFSET('Tax value roll forward'!G212,0,Input!$W$7))</f>
        <v>0</v>
      </c>
      <c r="K158" s="275">
        <f ca="1">IF(A11taxremlife="N/A","n/a",IF(J158=0,0,A11taxremlife-Input!$W$7-1))</f>
        <v>0</v>
      </c>
      <c r="L158" s="279"/>
      <c r="M158" s="310"/>
      <c r="N158" s="310"/>
      <c r="O158" s="271"/>
      <c r="P158" s="271"/>
      <c r="Q158" s="271"/>
      <c r="R158" s="271"/>
      <c r="S158" s="258"/>
      <c r="T158" s="258"/>
      <c r="U158" s="258"/>
      <c r="V158" s="258"/>
      <c r="W158" s="258"/>
      <c r="X158" s="258"/>
      <c r="Y158" s="258"/>
      <c r="Z158" s="258"/>
    </row>
    <row r="159" spans="1:26" ht="12.75" hidden="1" customHeight="1" outlineLevel="1">
      <c r="A159" s="271"/>
      <c r="B159" s="271"/>
      <c r="C159" s="666" t="s">
        <v>84</v>
      </c>
      <c r="D159" s="320">
        <f>D$9</f>
        <v>0</v>
      </c>
      <c r="E159" s="275"/>
      <c r="F159" s="275"/>
      <c r="G159" s="276"/>
      <c r="H159" s="666" t="s">
        <v>84</v>
      </c>
      <c r="I159" s="320">
        <v>0</v>
      </c>
      <c r="J159" s="275">
        <f ca="1">OFFSET('Tax value roll forward'!G$50,0,I159)-SUM('Tax value roll forward'!G214:OFFSET('Tax value roll forward'!G214,0,Input!$W$7))</f>
        <v>0</v>
      </c>
      <c r="K159" s="275">
        <f ca="1">IF(A11taxstdlife="N/A","n/a",IF(J159=0,0,A11taxstdlife+I159-Input!$W$7))</f>
        <v>0</v>
      </c>
      <c r="L159" s="279"/>
      <c r="M159" s="310"/>
      <c r="N159" s="310"/>
      <c r="O159" s="271"/>
      <c r="P159" s="271"/>
      <c r="Q159" s="271"/>
      <c r="R159" s="271"/>
      <c r="S159" s="258"/>
      <c r="T159" s="258"/>
      <c r="U159" s="258"/>
      <c r="V159" s="258"/>
      <c r="W159" s="258"/>
      <c r="X159" s="258"/>
      <c r="Y159" s="258"/>
      <c r="Z159" s="258"/>
    </row>
    <row r="160" spans="1:26" ht="12.75" hidden="1" customHeight="1" outlineLevel="1">
      <c r="A160" s="271"/>
      <c r="B160" s="271"/>
      <c r="C160" s="667"/>
      <c r="D160" s="280">
        <f>D$10</f>
        <v>1</v>
      </c>
      <c r="E160" s="275">
        <f ca="1">OFFSET('Actual RAB roll forward'!H$22,0,D160-1)-SUM('Actual RAB roll forward'!H176:OFFSET('Actual RAB roll forward'!H176,0,Input!$W$7-1))</f>
        <v>0</v>
      </c>
      <c r="F160" s="275">
        <f ca="1">IF(A11stdlife="N/A","n/a",IF(E160=0,0,A11stdlife+D160-Input!$W$7))</f>
        <v>0</v>
      </c>
      <c r="G160" s="276"/>
      <c r="H160" s="667"/>
      <c r="I160" s="280">
        <v>1</v>
      </c>
      <c r="J160" s="275">
        <f ca="1">OFFSET('Tax value roll forward'!G$50,0,I160)-SUM('Tax value roll forward'!G215:OFFSET('Tax value roll forward'!G215,0,Input!$W$7))</f>
        <v>0</v>
      </c>
      <c r="K160" s="275">
        <f ca="1">IF(A11taxstdlife="N/A","n/a",IF(J160=0,0,A11taxstdlife+I160-Input!$W$7))</f>
        <v>0</v>
      </c>
      <c r="L160" s="279"/>
      <c r="M160" s="310"/>
      <c r="N160" s="310"/>
      <c r="O160" s="271"/>
      <c r="P160" s="271"/>
      <c r="Q160" s="271"/>
      <c r="R160" s="271"/>
      <c r="S160" s="258"/>
      <c r="T160" s="258"/>
      <c r="U160" s="258"/>
      <c r="V160" s="258"/>
      <c r="W160" s="258"/>
      <c r="X160" s="258"/>
      <c r="Y160" s="258"/>
      <c r="Z160" s="258"/>
    </row>
    <row r="161" spans="1:26" hidden="1" outlineLevel="1">
      <c r="A161" s="271"/>
      <c r="B161" s="271"/>
      <c r="C161" s="667"/>
      <c r="D161" s="280">
        <f>D$11</f>
        <v>2</v>
      </c>
      <c r="E161" s="275">
        <f ca="1">OFFSET('Actual RAB roll forward'!H$22,0,D161-1)-SUM('Actual RAB roll forward'!H177:OFFSET('Actual RAB roll forward'!H177,0,Input!$W$7-1))</f>
        <v>0</v>
      </c>
      <c r="F161" s="275">
        <f ca="1">IF(A11stdlife="N/A","n/a",IF(E161=0,0,A11stdlife+D161-Input!$W$7))</f>
        <v>0</v>
      </c>
      <c r="G161" s="276"/>
      <c r="H161" s="667"/>
      <c r="I161" s="280">
        <v>2</v>
      </c>
      <c r="J161" s="275">
        <f ca="1">OFFSET('Tax value roll forward'!G$50,0,I161)-SUM('Tax value roll forward'!G216:OFFSET('Tax value roll forward'!G216,0,Input!$W$7))</f>
        <v>0</v>
      </c>
      <c r="K161" s="275">
        <f ca="1">IF(A11taxstdlife="N/A","n/a",IF(J161=0,0,A11taxstdlife+I161-Input!$W$7))</f>
        <v>0</v>
      </c>
      <c r="L161" s="279"/>
      <c r="M161" s="310"/>
      <c r="N161" s="310"/>
      <c r="O161" s="271"/>
      <c r="P161" s="271"/>
      <c r="Q161" s="271"/>
      <c r="R161" s="271"/>
      <c r="S161" s="258"/>
      <c r="T161" s="258"/>
      <c r="U161" s="258"/>
      <c r="V161" s="258"/>
      <c r="W161" s="258"/>
      <c r="X161" s="258"/>
      <c r="Y161" s="258"/>
      <c r="Z161" s="258"/>
    </row>
    <row r="162" spans="1:26" hidden="1" outlineLevel="1">
      <c r="A162" s="271"/>
      <c r="B162" s="271"/>
      <c r="C162" s="667"/>
      <c r="D162" s="280">
        <f>D$12</f>
        <v>3</v>
      </c>
      <c r="E162" s="275">
        <f ca="1">OFFSET('Actual RAB roll forward'!H$22,0,D162-1)-SUM('Actual RAB roll forward'!H178:OFFSET('Actual RAB roll forward'!H178,0,Input!$W$7-1))</f>
        <v>0</v>
      </c>
      <c r="F162" s="275">
        <f ca="1">IF(A11stdlife="N/A","n/a",IF(E162=0,0,A11stdlife+D162-Input!$W$7))</f>
        <v>0</v>
      </c>
      <c r="G162" s="276"/>
      <c r="H162" s="667"/>
      <c r="I162" s="280">
        <v>3</v>
      </c>
      <c r="J162" s="275">
        <f ca="1">OFFSET('Tax value roll forward'!G$50,0,I162)-SUM('Tax value roll forward'!G217:OFFSET('Tax value roll forward'!G217,0,Input!$W$7))</f>
        <v>0</v>
      </c>
      <c r="K162" s="275">
        <f ca="1">IF(A11taxstdlife="N/A","n/a",IF(J162=0,0,A11taxstdlife+I162-Input!$W$7))</f>
        <v>0</v>
      </c>
      <c r="L162" s="279"/>
      <c r="M162" s="310"/>
      <c r="N162" s="310"/>
      <c r="O162" s="271"/>
      <c r="P162" s="271"/>
      <c r="Q162" s="271"/>
      <c r="R162" s="271"/>
      <c r="S162" s="258"/>
      <c r="T162" s="258"/>
      <c r="U162" s="258"/>
      <c r="V162" s="258"/>
      <c r="W162" s="258"/>
      <c r="X162" s="258"/>
      <c r="Y162" s="258"/>
      <c r="Z162" s="258"/>
    </row>
    <row r="163" spans="1:26" hidden="1" outlineLevel="1">
      <c r="A163" s="271"/>
      <c r="B163" s="271"/>
      <c r="C163" s="667"/>
      <c r="D163" s="280">
        <f>D$13</f>
        <v>4</v>
      </c>
      <c r="E163" s="275">
        <f ca="1">OFFSET('Actual RAB roll forward'!H$22,0,D163-1)-SUM('Actual RAB roll forward'!H179:OFFSET('Actual RAB roll forward'!H179,0,Input!$W$7-1))</f>
        <v>0</v>
      </c>
      <c r="F163" s="275">
        <f ca="1">IF(A11stdlife="N/A","n/a",IF(E163=0,0,A11stdlife+D163-Input!$W$7))</f>
        <v>0</v>
      </c>
      <c r="G163" s="276"/>
      <c r="H163" s="667"/>
      <c r="I163" s="280">
        <v>4</v>
      </c>
      <c r="J163" s="275">
        <f ca="1">OFFSET('Tax value roll forward'!G$50,0,I163)-SUM('Tax value roll forward'!G218:OFFSET('Tax value roll forward'!G218,0,Input!$W$7))</f>
        <v>0</v>
      </c>
      <c r="K163" s="275">
        <f ca="1">IF(A11taxstdlife="N/A","n/a",IF(J163=0,0,A11taxstdlife+I163-Input!$W$7))</f>
        <v>0</v>
      </c>
      <c r="L163" s="279"/>
      <c r="M163" s="310"/>
      <c r="N163" s="310"/>
      <c r="O163" s="271"/>
      <c r="P163" s="271"/>
      <c r="Q163" s="271"/>
      <c r="R163" s="271"/>
      <c r="S163" s="258"/>
      <c r="T163" s="258"/>
      <c r="U163" s="258"/>
      <c r="V163" s="258"/>
      <c r="W163" s="258"/>
      <c r="X163" s="258"/>
      <c r="Y163" s="258"/>
      <c r="Z163" s="258"/>
    </row>
    <row r="164" spans="1:26" hidden="1" outlineLevel="1">
      <c r="A164" s="271"/>
      <c r="B164" s="271"/>
      <c r="C164" s="667"/>
      <c r="D164" s="280">
        <f>D$14</f>
        <v>5</v>
      </c>
      <c r="E164" s="275">
        <f ca="1">OFFSET('Actual RAB roll forward'!H$22,0,D164-1)-SUM('Actual RAB roll forward'!H180:OFFSET('Actual RAB roll forward'!H180,0,Input!$W$7-1))</f>
        <v>0</v>
      </c>
      <c r="F164" s="275">
        <f ca="1">IF(A11stdlife="N/A","n/a",IF(E164=0,0,A11stdlife+D164-Input!$W$7))</f>
        <v>0</v>
      </c>
      <c r="G164" s="276"/>
      <c r="H164" s="667"/>
      <c r="I164" s="280">
        <v>5</v>
      </c>
      <c r="J164" s="275">
        <f ca="1">OFFSET('Tax value roll forward'!G$50,0,I164)-SUM('Tax value roll forward'!G219:OFFSET('Tax value roll forward'!G219,0,Input!$W$7))</f>
        <v>0</v>
      </c>
      <c r="K164" s="275">
        <f ca="1">IF(A11taxstdlife="N/A","n/a",IF(J164=0,0,A11taxstdlife+I164-Input!$W$7))</f>
        <v>0</v>
      </c>
      <c r="L164" s="279"/>
      <c r="M164" s="310"/>
      <c r="N164" s="310"/>
      <c r="O164" s="271"/>
      <c r="P164" s="271"/>
      <c r="Q164" s="271"/>
      <c r="R164" s="271"/>
      <c r="S164" s="258"/>
      <c r="T164" s="258"/>
      <c r="U164" s="258"/>
      <c r="V164" s="258"/>
      <c r="W164" s="258"/>
      <c r="X164" s="258"/>
      <c r="Y164" s="258"/>
      <c r="Z164" s="258"/>
    </row>
    <row r="165" spans="1:26" hidden="1" outlineLevel="1">
      <c r="A165" s="271"/>
      <c r="B165" s="271"/>
      <c r="C165" s="667"/>
      <c r="D165" s="280">
        <f>D$15</f>
        <v>6</v>
      </c>
      <c r="E165" s="275">
        <f ca="1">OFFSET('Actual RAB roll forward'!H$22,0,D165-1)-SUM('Actual RAB roll forward'!H181:OFFSET('Actual RAB roll forward'!H181,0,Input!$W$7-1))</f>
        <v>0</v>
      </c>
      <c r="F165" s="275">
        <f ca="1">IF(A11stdlife="N/A","n/a",IF(E165=0,0,A11stdlife+D165-Input!$W$7))</f>
        <v>0</v>
      </c>
      <c r="G165" s="276"/>
      <c r="H165" s="667"/>
      <c r="I165" s="280">
        <v>6</v>
      </c>
      <c r="J165" s="275">
        <f ca="1">OFFSET('Tax value roll forward'!G$50,0,I165)-SUM('Tax value roll forward'!G220:OFFSET('Tax value roll forward'!G220,0,Input!$W$7))</f>
        <v>0</v>
      </c>
      <c r="K165" s="275">
        <f ca="1">IF(A11taxstdlife="N/A","n/a",IF(J165=0,0,A11taxstdlife+I165-Input!$W$7))</f>
        <v>0</v>
      </c>
      <c r="L165" s="279"/>
      <c r="M165" s="310"/>
      <c r="N165" s="310"/>
      <c r="O165" s="271"/>
      <c r="P165" s="271"/>
      <c r="Q165" s="271"/>
      <c r="R165" s="271"/>
      <c r="S165" s="258"/>
      <c r="T165" s="258"/>
      <c r="U165" s="258"/>
      <c r="V165" s="258"/>
      <c r="W165" s="258"/>
      <c r="X165" s="258"/>
      <c r="Y165" s="258"/>
      <c r="Z165" s="258"/>
    </row>
    <row r="166" spans="1:26" hidden="1" outlineLevel="1">
      <c r="A166" s="271"/>
      <c r="B166" s="271"/>
      <c r="C166" s="667"/>
      <c r="D166" s="280">
        <f>D$16</f>
        <v>7</v>
      </c>
      <c r="E166" s="275">
        <f ca="1">OFFSET('Actual RAB roll forward'!H$22,0,D166-1)-SUM('Actual RAB roll forward'!H182:OFFSET('Actual RAB roll forward'!H182,0,Input!$W$7-1))</f>
        <v>0</v>
      </c>
      <c r="F166" s="275">
        <f ca="1">IF(A11stdlife="N/A","n/a",IF(E166=0,0,A11stdlife+D166-Input!$W$7))</f>
        <v>0</v>
      </c>
      <c r="G166" s="276"/>
      <c r="H166" s="667"/>
      <c r="I166" s="280">
        <v>7</v>
      </c>
      <c r="J166" s="275">
        <f ca="1">OFFSET('Tax value roll forward'!G$50,0,I166)-SUM('Tax value roll forward'!G221:OFFSET('Tax value roll forward'!G221,0,Input!$W$7))</f>
        <v>0</v>
      </c>
      <c r="K166" s="275">
        <f ca="1">IF(A11taxstdlife="N/A","n/a",IF(J166=0,0,A11taxstdlife+I166-Input!$W$7))</f>
        <v>0</v>
      </c>
      <c r="L166" s="279"/>
      <c r="M166" s="310"/>
      <c r="N166" s="310"/>
      <c r="O166" s="271"/>
      <c r="P166" s="271"/>
      <c r="Q166" s="271"/>
      <c r="R166" s="271"/>
      <c r="S166" s="258"/>
      <c r="T166" s="258"/>
      <c r="U166" s="258"/>
      <c r="V166" s="258"/>
      <c r="W166" s="258"/>
      <c r="X166" s="258"/>
      <c r="Y166" s="258"/>
      <c r="Z166" s="258"/>
    </row>
    <row r="167" spans="1:26" hidden="1" outlineLevel="1">
      <c r="A167" s="271"/>
      <c r="B167" s="271"/>
      <c r="C167" s="667"/>
      <c r="D167" s="280">
        <f>D$17</f>
        <v>8</v>
      </c>
      <c r="E167" s="275">
        <f ca="1">OFFSET('Actual RAB roll forward'!H$22,0,D167-1)-SUM('Actual RAB roll forward'!H183:OFFSET('Actual RAB roll forward'!H183,0,Input!$W$7-1))</f>
        <v>0</v>
      </c>
      <c r="F167" s="275">
        <f ca="1">IF(A11stdlife="N/A","n/a",IF(E167=0,0,A11stdlife+D167-Input!$W$7))</f>
        <v>0</v>
      </c>
      <c r="G167" s="276"/>
      <c r="H167" s="667"/>
      <c r="I167" s="280">
        <v>8</v>
      </c>
      <c r="J167" s="275">
        <f ca="1">OFFSET('Tax value roll forward'!G$50,0,I167)-SUM('Tax value roll forward'!G222:OFFSET('Tax value roll forward'!G222,0,Input!$W$7))</f>
        <v>0</v>
      </c>
      <c r="K167" s="275">
        <f ca="1">IF(A11taxstdlife="N/A","n/a",IF(J167=0,0,A11taxstdlife+I167-Input!$W$7))</f>
        <v>0</v>
      </c>
      <c r="L167" s="279"/>
      <c r="M167" s="310"/>
      <c r="N167" s="310"/>
      <c r="O167" s="271"/>
      <c r="P167" s="271"/>
      <c r="Q167" s="271"/>
      <c r="R167" s="271"/>
      <c r="S167" s="258"/>
      <c r="T167" s="258"/>
      <c r="U167" s="258"/>
      <c r="V167" s="258"/>
      <c r="W167" s="258"/>
      <c r="X167" s="258"/>
      <c r="Y167" s="258"/>
      <c r="Z167" s="258"/>
    </row>
    <row r="168" spans="1:26" hidden="1" outlineLevel="1">
      <c r="A168" s="271"/>
      <c r="B168" s="271"/>
      <c r="C168" s="667"/>
      <c r="D168" s="280">
        <f>D$18</f>
        <v>9</v>
      </c>
      <c r="E168" s="275">
        <f ca="1">OFFSET('Actual RAB roll forward'!H$22,0,D168-1)-SUM('Actual RAB roll forward'!H184:OFFSET('Actual RAB roll forward'!H184,0,Input!$W$7-1))</f>
        <v>0</v>
      </c>
      <c r="F168" s="275">
        <f ca="1">IF(A11stdlife="N/A","n/a",IF(E168=0,0,A11stdlife+D168-Input!$W$7))</f>
        <v>0</v>
      </c>
      <c r="G168" s="276"/>
      <c r="H168" s="667"/>
      <c r="I168" s="280">
        <v>9</v>
      </c>
      <c r="J168" s="275">
        <f ca="1">OFFSET('Tax value roll forward'!G$50,0,I168)-SUM('Tax value roll forward'!G223:OFFSET('Tax value roll forward'!G223,0,Input!$W$7))</f>
        <v>0</v>
      </c>
      <c r="K168" s="275">
        <f ca="1">IF(A11taxstdlife="N/A","n/a",IF(J168=0,0,A11taxstdlife+I168-Input!$W$7))</f>
        <v>0</v>
      </c>
      <c r="L168" s="279"/>
      <c r="M168" s="310"/>
      <c r="N168" s="310"/>
      <c r="O168" s="271"/>
      <c r="P168" s="271"/>
      <c r="Q168" s="271"/>
      <c r="R168" s="271"/>
      <c r="S168" s="258"/>
      <c r="T168" s="258"/>
      <c r="U168" s="258"/>
      <c r="V168" s="258"/>
      <c r="W168" s="258"/>
      <c r="X168" s="258"/>
      <c r="Y168" s="258"/>
      <c r="Z168" s="258"/>
    </row>
    <row r="169" spans="1:26" hidden="1" outlineLevel="1">
      <c r="A169" s="271"/>
      <c r="B169" s="271"/>
      <c r="C169" s="668"/>
      <c r="D169" s="281">
        <f>D$19</f>
        <v>10</v>
      </c>
      <c r="E169" s="275">
        <f ca="1">OFFSET('Actual RAB roll forward'!H$22,0,D169-1)-SUM('Actual RAB roll forward'!H185:OFFSET('Actual RAB roll forward'!H185,0,Input!$W$7-1))</f>
        <v>0</v>
      </c>
      <c r="F169" s="275">
        <f ca="1">IF(A11stdlife="N/A","n/a",IF(E169=0,0,A11stdlife+D169-Input!$W$7))</f>
        <v>0</v>
      </c>
      <c r="G169" s="276"/>
      <c r="H169" s="668"/>
      <c r="I169" s="281">
        <v>10</v>
      </c>
      <c r="J169" s="275">
        <f ca="1">OFFSET('Tax value roll forward'!G$50,0,I169)-SUM('Tax value roll forward'!G224:OFFSET('Tax value roll forward'!G224,0,Input!$W$7))</f>
        <v>0</v>
      </c>
      <c r="K169" s="275">
        <f ca="1">IF(A11taxstdlife="N/A","n/a",IF(J169=0,0,A11taxstdlife+I169-Input!$W$7))</f>
        <v>0</v>
      </c>
      <c r="M169" s="310"/>
      <c r="N169" s="310"/>
      <c r="O169" s="271"/>
      <c r="P169" s="271"/>
      <c r="Q169" s="271"/>
      <c r="R169" s="271"/>
      <c r="S169" s="258"/>
      <c r="T169" s="258"/>
      <c r="U169" s="258"/>
      <c r="V169" s="258"/>
      <c r="W169" s="258"/>
      <c r="X169" s="258"/>
      <c r="Y169" s="258"/>
      <c r="Z169" s="258"/>
    </row>
    <row r="170" spans="1:26" collapsed="1">
      <c r="A170" s="271"/>
      <c r="B170" s="271"/>
      <c r="C170" s="291">
        <f>Asset11</f>
        <v>0</v>
      </c>
      <c r="D170" s="271"/>
      <c r="E170" s="275">
        <f ca="1">SUM(E158:E169)</f>
        <v>0</v>
      </c>
      <c r="F170" s="275">
        <f ca="1">IF(E170=0,0,SUMPRODUCT(E158:E169,F158:F169)/E170)</f>
        <v>0</v>
      </c>
      <c r="G170" s="276"/>
      <c r="H170" s="283"/>
      <c r="I170" s="275"/>
      <c r="J170" s="309">
        <f ca="1">SUM(J158:J169)</f>
        <v>0</v>
      </c>
      <c r="K170" s="309">
        <f ca="1">IF(J170=0,0,SUMPRODUCT(J158:J169,K158:K169)/J170)</f>
        <v>0</v>
      </c>
      <c r="L170" s="279"/>
      <c r="M170" s="310"/>
      <c r="N170" s="310"/>
      <c r="O170" s="271"/>
      <c r="P170" s="271"/>
      <c r="Q170" s="271"/>
      <c r="R170" s="271"/>
      <c r="S170" s="258"/>
      <c r="T170" s="258"/>
      <c r="U170" s="258"/>
      <c r="V170" s="258"/>
      <c r="W170" s="258"/>
      <c r="X170" s="258"/>
      <c r="Y170" s="258"/>
      <c r="Z170" s="258"/>
    </row>
    <row r="171" spans="1:26" hidden="1" outlineLevel="1">
      <c r="A171" s="271"/>
      <c r="B171" s="271"/>
      <c r="C171" s="291"/>
      <c r="D171" s="271"/>
      <c r="E171" s="275"/>
      <c r="F171" s="275"/>
      <c r="G171" s="276"/>
      <c r="H171" s="275"/>
      <c r="I171" s="275"/>
      <c r="J171" s="289"/>
      <c r="K171" s="275"/>
      <c r="L171" s="279"/>
      <c r="M171" s="310"/>
      <c r="N171" s="310"/>
      <c r="O171" s="271"/>
      <c r="P171" s="271"/>
      <c r="Q171" s="271"/>
      <c r="R171" s="271"/>
      <c r="S171" s="258"/>
      <c r="T171" s="258"/>
      <c r="U171" s="258"/>
      <c r="V171" s="258"/>
      <c r="W171" s="258"/>
      <c r="X171" s="258"/>
      <c r="Y171" s="258"/>
      <c r="Z171" s="258"/>
    </row>
    <row r="172" spans="1:26" hidden="1" outlineLevel="1">
      <c r="A172" s="271"/>
      <c r="B172" s="274">
        <f>Asset12</f>
        <v>0</v>
      </c>
      <c r="C172" s="271"/>
      <c r="D172" s="271"/>
      <c r="E172" s="292"/>
      <c r="F172" s="292"/>
      <c r="G172" s="276"/>
      <c r="H172" s="275"/>
      <c r="I172" s="275"/>
      <c r="J172" s="289"/>
      <c r="K172" s="275"/>
      <c r="L172" s="279"/>
      <c r="M172" s="310"/>
      <c r="N172" s="310"/>
      <c r="O172" s="271"/>
      <c r="P172" s="271"/>
      <c r="Q172" s="271"/>
      <c r="R172" s="271"/>
      <c r="S172" s="258"/>
      <c r="T172" s="258"/>
      <c r="U172" s="258"/>
      <c r="V172" s="258"/>
      <c r="W172" s="258"/>
      <c r="X172" s="258"/>
      <c r="Y172" s="258"/>
      <c r="Z172" s="258"/>
    </row>
    <row r="173" spans="1:26" ht="12.75" hidden="1" customHeight="1" outlineLevel="1">
      <c r="A173" s="271"/>
      <c r="B173" s="271"/>
      <c r="C173" s="659" t="s">
        <v>28</v>
      </c>
      <c r="D173" s="660"/>
      <c r="E173" s="275">
        <f ca="1">A12value-SUM('Actual RAB roll forward'!H187:OFFSET('Actual RAB roll forward'!H187,0,Input!$W$7-1))</f>
        <v>0</v>
      </c>
      <c r="F173" s="275">
        <f ca="1">IF(A12remlife="N/A","n/a",IF(E173=0,0,A12remlife-Input!$W$7))</f>
        <v>0</v>
      </c>
      <c r="G173" s="276"/>
      <c r="H173" s="277" t="s">
        <v>67</v>
      </c>
      <c r="I173" s="278"/>
      <c r="J173" s="275">
        <f ca="1">A12taxvalue-SUM('Tax value roll forward'!G226:OFFSET('Tax value roll forward'!G226,0,Input!$W$7))</f>
        <v>0</v>
      </c>
      <c r="K173" s="275">
        <f ca="1">IF(A12taxremlife="N/A","n/a",IF(J173=0,0,A12taxremlife-Input!$W$7-1))</f>
        <v>0</v>
      </c>
      <c r="L173" s="279"/>
      <c r="M173" s="310"/>
      <c r="N173" s="310"/>
      <c r="O173" s="271"/>
      <c r="P173" s="271"/>
      <c r="Q173" s="271"/>
      <c r="R173" s="271"/>
      <c r="S173" s="258"/>
      <c r="T173" s="258"/>
      <c r="U173" s="258"/>
      <c r="V173" s="258"/>
      <c r="W173" s="258"/>
      <c r="X173" s="258"/>
      <c r="Y173" s="258"/>
      <c r="Z173" s="258"/>
    </row>
    <row r="174" spans="1:26" ht="12.75" hidden="1" customHeight="1" outlineLevel="1">
      <c r="A174" s="271"/>
      <c r="B174" s="271"/>
      <c r="C174" s="666" t="s">
        <v>84</v>
      </c>
      <c r="D174" s="320">
        <f>D$9</f>
        <v>0</v>
      </c>
      <c r="E174" s="275"/>
      <c r="F174" s="275"/>
      <c r="G174" s="276"/>
      <c r="H174" s="666" t="s">
        <v>84</v>
      </c>
      <c r="I174" s="320">
        <v>0</v>
      </c>
      <c r="J174" s="275">
        <f ca="1">OFFSET('Tax value roll forward'!G$51,0,I174)-SUM('Tax value roll forward'!G228:OFFSET('Tax value roll forward'!G228,0,Input!$W$7))</f>
        <v>0</v>
      </c>
      <c r="K174" s="275">
        <f ca="1">IF(A12taxstdlife="N/A","n/a",IF(J174=0,0,A12taxstdlife+I174-Input!$W$7))</f>
        <v>0</v>
      </c>
      <c r="L174" s="279"/>
      <c r="M174" s="310"/>
      <c r="N174" s="310"/>
      <c r="O174" s="271"/>
      <c r="P174" s="271"/>
      <c r="Q174" s="271"/>
      <c r="R174" s="271"/>
      <c r="S174" s="258"/>
      <c r="T174" s="258"/>
      <c r="U174" s="258"/>
      <c r="V174" s="258"/>
      <c r="W174" s="258"/>
      <c r="X174" s="258"/>
      <c r="Y174" s="258"/>
      <c r="Z174" s="258"/>
    </row>
    <row r="175" spans="1:26" ht="12.75" hidden="1" customHeight="1" outlineLevel="1">
      <c r="A175" s="271"/>
      <c r="B175" s="271"/>
      <c r="C175" s="667"/>
      <c r="D175" s="280">
        <f>D$10</f>
        <v>1</v>
      </c>
      <c r="E175" s="275">
        <f ca="1">OFFSET('Actual RAB roll forward'!H$23,0,D175-1)-SUM('Actual RAB roll forward'!H189:OFFSET('Actual RAB roll forward'!H189,0,Input!$W$7-1))</f>
        <v>0</v>
      </c>
      <c r="F175" s="275">
        <f ca="1">IF(A12stdlife="N/A","n/a",IF(E175=0,0,A12stdlife+D175-Input!$W$7))</f>
        <v>0</v>
      </c>
      <c r="G175" s="276"/>
      <c r="H175" s="667"/>
      <c r="I175" s="280">
        <v>1</v>
      </c>
      <c r="J175" s="275">
        <f ca="1">OFFSET('Tax value roll forward'!G$51,0,I175)-SUM('Tax value roll forward'!G229:OFFSET('Tax value roll forward'!G229,0,Input!$W$7))</f>
        <v>0</v>
      </c>
      <c r="K175" s="275">
        <f ca="1">IF(A12taxstdlife="N/A","n/a",IF(J175=0,0,A12taxstdlife+I175-Input!$W$7))</f>
        <v>0</v>
      </c>
      <c r="L175" s="279"/>
      <c r="M175" s="310"/>
      <c r="N175" s="310"/>
      <c r="O175" s="271"/>
      <c r="P175" s="271"/>
      <c r="Q175" s="271"/>
      <c r="R175" s="271"/>
      <c r="S175" s="258"/>
      <c r="T175" s="258"/>
      <c r="U175" s="258"/>
      <c r="V175" s="258"/>
      <c r="W175" s="258"/>
      <c r="X175" s="258"/>
      <c r="Y175" s="258"/>
      <c r="Z175" s="258"/>
    </row>
    <row r="176" spans="1:26" hidden="1" outlineLevel="1">
      <c r="A176" s="271"/>
      <c r="B176" s="271"/>
      <c r="C176" s="667"/>
      <c r="D176" s="280">
        <f>D$11</f>
        <v>2</v>
      </c>
      <c r="E176" s="275">
        <f ca="1">OFFSET('Actual RAB roll forward'!H$23,0,D176-1)-SUM('Actual RAB roll forward'!H190:OFFSET('Actual RAB roll forward'!H190,0,Input!$W$7-1))</f>
        <v>0</v>
      </c>
      <c r="F176" s="275">
        <f ca="1">IF(A12stdlife="N/A","n/a",IF(E176=0,0,A12stdlife+D176-Input!$W$7))</f>
        <v>0</v>
      </c>
      <c r="G176" s="276"/>
      <c r="H176" s="667"/>
      <c r="I176" s="280">
        <v>2</v>
      </c>
      <c r="J176" s="275">
        <f ca="1">OFFSET('Tax value roll forward'!G$51,0,I176)-SUM('Tax value roll forward'!G230:OFFSET('Tax value roll forward'!G230,0,Input!$W$7))</f>
        <v>0</v>
      </c>
      <c r="K176" s="275">
        <f ca="1">IF(A12taxstdlife="N/A","n/a",IF(J176=0,0,A12taxstdlife+I176-Input!$W$7))</f>
        <v>0</v>
      </c>
      <c r="L176" s="279"/>
      <c r="M176" s="310"/>
      <c r="N176" s="310"/>
      <c r="O176" s="271"/>
      <c r="P176" s="271"/>
      <c r="Q176" s="271"/>
      <c r="R176" s="271"/>
      <c r="S176" s="258"/>
      <c r="T176" s="258"/>
      <c r="U176" s="258"/>
      <c r="V176" s="258"/>
      <c r="W176" s="258"/>
      <c r="X176" s="258"/>
      <c r="Y176" s="258"/>
      <c r="Z176" s="258"/>
    </row>
    <row r="177" spans="1:26" hidden="1" outlineLevel="1">
      <c r="A177" s="271"/>
      <c r="B177" s="271"/>
      <c r="C177" s="667"/>
      <c r="D177" s="280">
        <f>D$12</f>
        <v>3</v>
      </c>
      <c r="E177" s="275">
        <f ca="1">OFFSET('Actual RAB roll forward'!H$23,0,D177-1)-SUM('Actual RAB roll forward'!H191:OFFSET('Actual RAB roll forward'!H191,0,Input!$W$7-1))</f>
        <v>0</v>
      </c>
      <c r="F177" s="275">
        <f ca="1">IF(A12stdlife="N/A","n/a",IF(E177=0,0,A12stdlife+D177-Input!$W$7))</f>
        <v>0</v>
      </c>
      <c r="G177" s="276"/>
      <c r="H177" s="667"/>
      <c r="I177" s="280">
        <v>3</v>
      </c>
      <c r="J177" s="275">
        <f ca="1">OFFSET('Tax value roll forward'!G$51,0,I177)-SUM('Tax value roll forward'!G231:OFFSET('Tax value roll forward'!G231,0,Input!$W$7))</f>
        <v>0</v>
      </c>
      <c r="K177" s="275">
        <f ca="1">IF(A12taxstdlife="N/A","n/a",IF(J177=0,0,A12taxstdlife+I177-Input!$W$7))</f>
        <v>0</v>
      </c>
      <c r="L177" s="279"/>
      <c r="M177" s="310"/>
      <c r="N177" s="310"/>
      <c r="O177" s="271"/>
      <c r="P177" s="271"/>
      <c r="Q177" s="271"/>
      <c r="R177" s="271"/>
      <c r="S177" s="258"/>
      <c r="T177" s="258"/>
      <c r="U177" s="258"/>
      <c r="V177" s="258"/>
      <c r="W177" s="258"/>
      <c r="X177" s="258"/>
      <c r="Y177" s="258"/>
      <c r="Z177" s="258"/>
    </row>
    <row r="178" spans="1:26" hidden="1" outlineLevel="1">
      <c r="A178" s="271"/>
      <c r="B178" s="271"/>
      <c r="C178" s="667"/>
      <c r="D178" s="280">
        <f>D$13</f>
        <v>4</v>
      </c>
      <c r="E178" s="275">
        <f ca="1">OFFSET('Actual RAB roll forward'!H$23,0,D178-1)-SUM('Actual RAB roll forward'!H192:OFFSET('Actual RAB roll forward'!H192,0,Input!$W$7-1))</f>
        <v>0</v>
      </c>
      <c r="F178" s="275">
        <f ca="1">IF(A12stdlife="N/A","n/a",IF(E178=0,0,A12stdlife+D178-Input!$W$7))</f>
        <v>0</v>
      </c>
      <c r="G178" s="276"/>
      <c r="H178" s="667"/>
      <c r="I178" s="280">
        <v>4</v>
      </c>
      <c r="J178" s="275">
        <f ca="1">OFFSET('Tax value roll forward'!G$51,0,I178)-SUM('Tax value roll forward'!G232:OFFSET('Tax value roll forward'!G232,0,Input!$W$7))</f>
        <v>0</v>
      </c>
      <c r="K178" s="275">
        <f ca="1">IF(A12taxstdlife="N/A","n/a",IF(J178=0,0,A12taxstdlife+I178-Input!$W$7))</f>
        <v>0</v>
      </c>
      <c r="L178" s="279"/>
      <c r="M178" s="310"/>
      <c r="N178" s="310"/>
      <c r="O178" s="271"/>
      <c r="P178" s="271"/>
      <c r="Q178" s="271"/>
      <c r="R178" s="271"/>
      <c r="S178" s="258"/>
      <c r="T178" s="258"/>
      <c r="U178" s="258"/>
      <c r="V178" s="258"/>
      <c r="W178" s="258"/>
      <c r="X178" s="258"/>
      <c r="Y178" s="258"/>
      <c r="Z178" s="258"/>
    </row>
    <row r="179" spans="1:26" hidden="1" outlineLevel="1">
      <c r="A179" s="271"/>
      <c r="B179" s="271"/>
      <c r="C179" s="667"/>
      <c r="D179" s="280">
        <f>D$14</f>
        <v>5</v>
      </c>
      <c r="E179" s="275">
        <f ca="1">OFFSET('Actual RAB roll forward'!H$23,0,D179-1)-SUM('Actual RAB roll forward'!H193:OFFSET('Actual RAB roll forward'!H193,0,Input!$W$7-1))</f>
        <v>0</v>
      </c>
      <c r="F179" s="275">
        <f ca="1">IF(A12stdlife="N/A","n/a",IF(E179=0,0,A12stdlife+D179-Input!$W$7))</f>
        <v>0</v>
      </c>
      <c r="G179" s="276"/>
      <c r="H179" s="667"/>
      <c r="I179" s="280">
        <v>5</v>
      </c>
      <c r="J179" s="275">
        <f ca="1">OFFSET('Tax value roll forward'!G$51,0,I179)-SUM('Tax value roll forward'!G233:OFFSET('Tax value roll forward'!G233,0,Input!$W$7))</f>
        <v>0</v>
      </c>
      <c r="K179" s="275">
        <f ca="1">IF(A12taxstdlife="N/A","n/a",IF(J179=0,0,A12taxstdlife+I179-Input!$W$7))</f>
        <v>0</v>
      </c>
      <c r="L179" s="279"/>
      <c r="M179" s="310"/>
      <c r="N179" s="310"/>
      <c r="O179" s="271"/>
      <c r="P179" s="271"/>
      <c r="Q179" s="271"/>
      <c r="R179" s="271"/>
      <c r="S179" s="258"/>
      <c r="T179" s="258"/>
      <c r="U179" s="258"/>
      <c r="V179" s="258"/>
      <c r="W179" s="258"/>
      <c r="X179" s="258"/>
      <c r="Y179" s="258"/>
      <c r="Z179" s="258"/>
    </row>
    <row r="180" spans="1:26" hidden="1" outlineLevel="1">
      <c r="A180" s="271"/>
      <c r="B180" s="271"/>
      <c r="C180" s="667"/>
      <c r="D180" s="280">
        <f>D$15</f>
        <v>6</v>
      </c>
      <c r="E180" s="275">
        <f ca="1">OFFSET('Actual RAB roll forward'!H$23,0,D180-1)-SUM('Actual RAB roll forward'!H194:OFFSET('Actual RAB roll forward'!H194,0,Input!$W$7-1))</f>
        <v>0</v>
      </c>
      <c r="F180" s="275">
        <f ca="1">IF(A12stdlife="N/A","n/a",IF(E180=0,0,A12stdlife+D180-Input!$W$7))</f>
        <v>0</v>
      </c>
      <c r="G180" s="276"/>
      <c r="H180" s="667"/>
      <c r="I180" s="280">
        <v>6</v>
      </c>
      <c r="J180" s="275">
        <f ca="1">OFFSET('Tax value roll forward'!G$51,0,I180)-SUM('Tax value roll forward'!G234:OFFSET('Tax value roll forward'!G234,0,Input!$W$7))</f>
        <v>0</v>
      </c>
      <c r="K180" s="275">
        <f ca="1">IF(A12taxstdlife="N/A","n/a",IF(J180=0,0,A12taxstdlife+I180-Input!$W$7))</f>
        <v>0</v>
      </c>
      <c r="L180" s="279"/>
      <c r="M180" s="310"/>
      <c r="N180" s="310"/>
      <c r="O180" s="271"/>
      <c r="P180" s="271"/>
      <c r="Q180" s="271"/>
      <c r="R180" s="271"/>
      <c r="S180" s="258"/>
      <c r="T180" s="258"/>
      <c r="U180" s="258"/>
      <c r="V180" s="258"/>
      <c r="W180" s="258"/>
      <c r="X180" s="258"/>
      <c r="Y180" s="258"/>
      <c r="Z180" s="258"/>
    </row>
    <row r="181" spans="1:26" hidden="1" outlineLevel="1">
      <c r="A181" s="271"/>
      <c r="B181" s="271"/>
      <c r="C181" s="667"/>
      <c r="D181" s="280">
        <f>D$16</f>
        <v>7</v>
      </c>
      <c r="E181" s="275">
        <f ca="1">OFFSET('Actual RAB roll forward'!H$23,0,D181-1)-SUM('Actual RAB roll forward'!H195:OFFSET('Actual RAB roll forward'!H195,0,Input!$W$7-1))</f>
        <v>0</v>
      </c>
      <c r="F181" s="275">
        <f ca="1">IF(A12stdlife="N/A","n/a",IF(E181=0,0,A12stdlife+D181-Input!$W$7))</f>
        <v>0</v>
      </c>
      <c r="G181" s="276"/>
      <c r="H181" s="667"/>
      <c r="I181" s="280">
        <v>7</v>
      </c>
      <c r="J181" s="275">
        <f ca="1">OFFSET('Tax value roll forward'!G$51,0,I181)-SUM('Tax value roll forward'!G235:OFFSET('Tax value roll forward'!G235,0,Input!$W$7))</f>
        <v>0</v>
      </c>
      <c r="K181" s="275">
        <f ca="1">IF(A12taxstdlife="N/A","n/a",IF(J181=0,0,A12taxstdlife+I181-Input!$W$7))</f>
        <v>0</v>
      </c>
      <c r="L181" s="279"/>
      <c r="M181" s="310"/>
      <c r="N181" s="310"/>
      <c r="O181" s="271"/>
      <c r="P181" s="271"/>
      <c r="Q181" s="271"/>
      <c r="R181" s="271"/>
      <c r="S181" s="258"/>
      <c r="T181" s="258"/>
      <c r="U181" s="258"/>
      <c r="V181" s="258"/>
      <c r="W181" s="258"/>
      <c r="X181" s="258"/>
      <c r="Y181" s="258"/>
      <c r="Z181" s="258"/>
    </row>
    <row r="182" spans="1:26" hidden="1" outlineLevel="1">
      <c r="A182" s="271"/>
      <c r="B182" s="271"/>
      <c r="C182" s="667"/>
      <c r="D182" s="280">
        <f>D$17</f>
        <v>8</v>
      </c>
      <c r="E182" s="275">
        <f ca="1">OFFSET('Actual RAB roll forward'!H$23,0,D182-1)-SUM('Actual RAB roll forward'!H196:OFFSET('Actual RAB roll forward'!H196,0,Input!$W$7-1))</f>
        <v>0</v>
      </c>
      <c r="F182" s="275">
        <f ca="1">IF(A12stdlife="N/A","n/a",IF(E182=0,0,A12stdlife+D182-Input!$W$7))</f>
        <v>0</v>
      </c>
      <c r="G182" s="276"/>
      <c r="H182" s="667"/>
      <c r="I182" s="280">
        <v>8</v>
      </c>
      <c r="J182" s="275">
        <f ca="1">OFFSET('Tax value roll forward'!G$51,0,I182)-SUM('Tax value roll forward'!G236:OFFSET('Tax value roll forward'!G236,0,Input!$W$7))</f>
        <v>0</v>
      </c>
      <c r="K182" s="275">
        <f ca="1">IF(A12taxstdlife="N/A","n/a",IF(J182=0,0,A12taxstdlife+I182-Input!$W$7))</f>
        <v>0</v>
      </c>
      <c r="L182" s="279"/>
      <c r="M182" s="310"/>
      <c r="N182" s="310"/>
      <c r="O182" s="271"/>
      <c r="P182" s="271"/>
      <c r="Q182" s="271"/>
      <c r="R182" s="271"/>
      <c r="S182" s="258"/>
      <c r="T182" s="258"/>
      <c r="U182" s="258"/>
      <c r="V182" s="258"/>
      <c r="W182" s="258"/>
      <c r="X182" s="258"/>
      <c r="Y182" s="258"/>
      <c r="Z182" s="258"/>
    </row>
    <row r="183" spans="1:26" hidden="1" outlineLevel="1">
      <c r="A183" s="271"/>
      <c r="B183" s="271"/>
      <c r="C183" s="667"/>
      <c r="D183" s="280">
        <f>D$18</f>
        <v>9</v>
      </c>
      <c r="E183" s="275">
        <f ca="1">OFFSET('Actual RAB roll forward'!H$23,0,D183-1)-SUM('Actual RAB roll forward'!H197:OFFSET('Actual RAB roll forward'!H197,0,Input!$W$7-1))</f>
        <v>0</v>
      </c>
      <c r="F183" s="275">
        <f ca="1">IF(A12stdlife="N/A","n/a",IF(E183=0,0,A12stdlife+D183-Input!$W$7))</f>
        <v>0</v>
      </c>
      <c r="G183" s="276"/>
      <c r="H183" s="667"/>
      <c r="I183" s="280">
        <v>9</v>
      </c>
      <c r="J183" s="275">
        <f ca="1">OFFSET('Tax value roll forward'!G$51,0,I183)-SUM('Tax value roll forward'!G237:OFFSET('Tax value roll forward'!G237,0,Input!$W$7))</f>
        <v>0</v>
      </c>
      <c r="K183" s="275">
        <f ca="1">IF(A12taxstdlife="N/A","n/a",IF(J183=0,0,A12taxstdlife+I183-Input!$W$7))</f>
        <v>0</v>
      </c>
      <c r="L183" s="279"/>
      <c r="M183" s="310"/>
      <c r="N183" s="310"/>
      <c r="O183" s="271"/>
      <c r="P183" s="271"/>
      <c r="Q183" s="271"/>
      <c r="R183" s="271"/>
      <c r="S183" s="258"/>
      <c r="T183" s="258"/>
      <c r="U183" s="258"/>
      <c r="V183" s="258"/>
      <c r="W183" s="258"/>
      <c r="X183" s="258"/>
      <c r="Y183" s="258"/>
      <c r="Z183" s="258"/>
    </row>
    <row r="184" spans="1:26" hidden="1" outlineLevel="1">
      <c r="A184" s="271"/>
      <c r="B184" s="271"/>
      <c r="C184" s="668"/>
      <c r="D184" s="281">
        <f>D$19</f>
        <v>10</v>
      </c>
      <c r="E184" s="275">
        <f ca="1">OFFSET('Actual RAB roll forward'!H$23,0,D184-1)-SUM('Actual RAB roll forward'!H198:OFFSET('Actual RAB roll forward'!H198,0,Input!$W$7-1))</f>
        <v>0</v>
      </c>
      <c r="F184" s="275">
        <f ca="1">IF(A12stdlife="N/A","n/a",IF(E184=0,0,A12stdlife+D184-Input!$W$7))</f>
        <v>0</v>
      </c>
      <c r="G184" s="276"/>
      <c r="H184" s="668"/>
      <c r="I184" s="281">
        <v>10</v>
      </c>
      <c r="J184" s="275">
        <f ca="1">OFFSET('Tax value roll forward'!G$51,0,I184)-SUM('Tax value roll forward'!G238:OFFSET('Tax value roll forward'!G238,0,Input!$W$7))</f>
        <v>0</v>
      </c>
      <c r="K184" s="275">
        <f ca="1">IF(A12taxstdlife="N/A","n/a",IF(J184=0,0,A12taxstdlife+I184-Input!$W$7))</f>
        <v>0</v>
      </c>
      <c r="M184" s="310"/>
      <c r="N184" s="310"/>
      <c r="O184" s="271"/>
      <c r="P184" s="271"/>
      <c r="Q184" s="271"/>
      <c r="R184" s="271"/>
      <c r="S184" s="258"/>
      <c r="T184" s="258"/>
      <c r="U184" s="258"/>
      <c r="V184" s="258"/>
      <c r="W184" s="258"/>
      <c r="X184" s="258"/>
      <c r="Y184" s="258"/>
      <c r="Z184" s="258"/>
    </row>
    <row r="185" spans="1:26" collapsed="1">
      <c r="A185" s="271"/>
      <c r="B185" s="271"/>
      <c r="C185" s="291">
        <f>Asset12</f>
        <v>0</v>
      </c>
      <c r="D185" s="271"/>
      <c r="E185" s="275">
        <f ca="1">SUM(E173:E184)</f>
        <v>0</v>
      </c>
      <c r="F185" s="275">
        <f ca="1">IF(E185=0,0,SUMPRODUCT(E173:E184,F173:F184)/E185)</f>
        <v>0</v>
      </c>
      <c r="G185" s="276"/>
      <c r="H185" s="283"/>
      <c r="I185" s="275"/>
      <c r="J185" s="309">
        <f ca="1">SUM(J173:J184)</f>
        <v>0</v>
      </c>
      <c r="K185" s="309">
        <f ca="1">IF(J185=0,0,SUMPRODUCT(J173:J184,K173:K184)/J185)</f>
        <v>0</v>
      </c>
      <c r="L185" s="279"/>
      <c r="M185" s="310"/>
      <c r="N185" s="310"/>
      <c r="O185" s="271"/>
      <c r="P185" s="271"/>
      <c r="Q185" s="271"/>
      <c r="R185" s="271"/>
      <c r="S185" s="258"/>
      <c r="T185" s="258"/>
      <c r="U185" s="258"/>
      <c r="V185" s="258"/>
      <c r="W185" s="258"/>
      <c r="X185" s="258"/>
      <c r="Y185" s="258"/>
      <c r="Z185" s="258"/>
    </row>
    <row r="186" spans="1:26" hidden="1" outlineLevel="1">
      <c r="A186" s="271"/>
      <c r="B186" s="271"/>
      <c r="C186" s="291"/>
      <c r="D186" s="271"/>
      <c r="E186" s="275"/>
      <c r="F186" s="275"/>
      <c r="G186" s="276"/>
      <c r="H186" s="275"/>
      <c r="I186" s="275"/>
      <c r="J186" s="289"/>
      <c r="K186" s="275"/>
      <c r="L186" s="279"/>
      <c r="M186" s="310"/>
      <c r="N186" s="310"/>
      <c r="O186" s="271"/>
      <c r="P186" s="271"/>
      <c r="Q186" s="271"/>
      <c r="R186" s="271"/>
      <c r="S186" s="258"/>
      <c r="T186" s="258"/>
      <c r="U186" s="258"/>
      <c r="V186" s="258"/>
      <c r="W186" s="258"/>
      <c r="X186" s="258"/>
      <c r="Y186" s="258"/>
      <c r="Z186" s="258"/>
    </row>
    <row r="187" spans="1:26" hidden="1" outlineLevel="1">
      <c r="A187" s="271"/>
      <c r="B187" s="274">
        <f>Asset13</f>
        <v>0</v>
      </c>
      <c r="C187" s="271"/>
      <c r="D187" s="271"/>
      <c r="E187" s="292"/>
      <c r="F187" s="292"/>
      <c r="G187" s="276"/>
      <c r="H187" s="275"/>
      <c r="I187" s="275"/>
      <c r="J187" s="289"/>
      <c r="K187" s="275"/>
      <c r="L187" s="279"/>
      <c r="M187" s="310"/>
      <c r="N187" s="310"/>
      <c r="O187" s="271"/>
      <c r="P187" s="271"/>
      <c r="Q187" s="271"/>
      <c r="R187" s="271"/>
      <c r="S187" s="258"/>
      <c r="T187" s="258"/>
      <c r="U187" s="258"/>
      <c r="V187" s="258"/>
      <c r="W187" s="258"/>
      <c r="X187" s="258"/>
      <c r="Y187" s="258"/>
      <c r="Z187" s="258"/>
    </row>
    <row r="188" spans="1:26" ht="12.75" hidden="1" customHeight="1" outlineLevel="1">
      <c r="A188" s="271"/>
      <c r="B188" s="271"/>
      <c r="C188" s="659" t="s">
        <v>28</v>
      </c>
      <c r="D188" s="660"/>
      <c r="E188" s="275">
        <f ca="1">A13value-SUM('Actual RAB roll forward'!H200:OFFSET('Actual RAB roll forward'!H200,0,Input!$W$7-1))</f>
        <v>0</v>
      </c>
      <c r="F188" s="275">
        <f ca="1">IF(A13remlife="N/A","n/a",IF(E188=0,0,A13remlife-Input!$W$7))</f>
        <v>0</v>
      </c>
      <c r="G188" s="276"/>
      <c r="H188" s="277" t="s">
        <v>67</v>
      </c>
      <c r="I188" s="278"/>
      <c r="J188" s="275">
        <f ca="1">A13taxvalue-SUM('Tax value roll forward'!G240:OFFSET('Tax value roll forward'!G240,0,Input!$W$7))</f>
        <v>0</v>
      </c>
      <c r="K188" s="275">
        <f ca="1">IF(A13taxremlife="N/A","n/a",IF(J188=0,0,A13taxremlife-Input!$W$7-1))</f>
        <v>0</v>
      </c>
      <c r="L188" s="279"/>
      <c r="M188" s="310"/>
      <c r="N188" s="310"/>
      <c r="O188" s="271"/>
      <c r="P188" s="271"/>
      <c r="Q188" s="271"/>
      <c r="R188" s="271"/>
      <c r="S188" s="258"/>
      <c r="T188" s="258"/>
      <c r="U188" s="258"/>
      <c r="V188" s="258"/>
      <c r="W188" s="258"/>
      <c r="X188" s="258"/>
      <c r="Y188" s="258"/>
      <c r="Z188" s="258"/>
    </row>
    <row r="189" spans="1:26" ht="12.75" hidden="1" customHeight="1" outlineLevel="1">
      <c r="A189" s="271"/>
      <c r="B189" s="271"/>
      <c r="C189" s="666" t="s">
        <v>84</v>
      </c>
      <c r="D189" s="320">
        <f>D$9</f>
        <v>0</v>
      </c>
      <c r="E189" s="275"/>
      <c r="F189" s="275"/>
      <c r="G189" s="276"/>
      <c r="H189" s="666" t="s">
        <v>84</v>
      </c>
      <c r="I189" s="320">
        <v>0</v>
      </c>
      <c r="J189" s="275">
        <f ca="1">OFFSET('Tax value roll forward'!G$52,0,I189)-SUM('Tax value roll forward'!G242:OFFSET('Tax value roll forward'!G242,0,Input!$W$7))</f>
        <v>0</v>
      </c>
      <c r="K189" s="275">
        <f ca="1">IF(A13taxstdlife="N/A","n/a",IF(J189=0,0,A13taxstdlife+I189-Input!$W$7))</f>
        <v>0</v>
      </c>
      <c r="L189" s="279"/>
      <c r="M189" s="310"/>
      <c r="N189" s="310"/>
      <c r="O189" s="271"/>
      <c r="P189" s="271"/>
      <c r="Q189" s="271"/>
      <c r="R189" s="271"/>
      <c r="S189" s="258"/>
      <c r="T189" s="258"/>
      <c r="U189" s="258"/>
      <c r="V189" s="258"/>
      <c r="W189" s="258"/>
      <c r="X189" s="258"/>
      <c r="Y189" s="258"/>
      <c r="Z189" s="258"/>
    </row>
    <row r="190" spans="1:26" ht="12.75" hidden="1" customHeight="1" outlineLevel="1">
      <c r="A190" s="271"/>
      <c r="B190" s="271"/>
      <c r="C190" s="667"/>
      <c r="D190" s="280">
        <f>D$10</f>
        <v>1</v>
      </c>
      <c r="E190" s="275">
        <f ca="1">OFFSET('Actual RAB roll forward'!H$24,0,D190-1)-SUM('Actual RAB roll forward'!H202:OFFSET('Actual RAB roll forward'!H202,0,Input!$W$7-1))</f>
        <v>0</v>
      </c>
      <c r="F190" s="275">
        <f ca="1">IF(A13stdlife="N/A","n/a",IF(E190=0,0,A13stdlife+D190-Input!$W$7))</f>
        <v>0</v>
      </c>
      <c r="G190" s="276"/>
      <c r="H190" s="667"/>
      <c r="I190" s="280">
        <v>1</v>
      </c>
      <c r="J190" s="275">
        <f ca="1">OFFSET('Tax value roll forward'!G$52,0,I190)-SUM('Tax value roll forward'!G243:OFFSET('Tax value roll forward'!G243,0,Input!$W$7))</f>
        <v>0</v>
      </c>
      <c r="K190" s="275">
        <f ca="1">IF(A13taxstdlife="N/A","n/a",IF(J190=0,0,A13taxstdlife+I190-Input!$W$7))</f>
        <v>0</v>
      </c>
      <c r="L190" s="279"/>
      <c r="M190" s="310"/>
      <c r="N190" s="310"/>
      <c r="O190" s="271"/>
      <c r="P190" s="271"/>
      <c r="Q190" s="271"/>
      <c r="R190" s="271"/>
      <c r="S190" s="258"/>
      <c r="T190" s="258"/>
      <c r="U190" s="258"/>
      <c r="V190" s="258"/>
      <c r="W190" s="258"/>
      <c r="X190" s="258"/>
      <c r="Y190" s="258"/>
      <c r="Z190" s="258"/>
    </row>
    <row r="191" spans="1:26" hidden="1" outlineLevel="1">
      <c r="A191" s="271"/>
      <c r="B191" s="271"/>
      <c r="C191" s="667"/>
      <c r="D191" s="280">
        <f>D$11</f>
        <v>2</v>
      </c>
      <c r="E191" s="275">
        <f ca="1">OFFSET('Actual RAB roll forward'!H$24,0,D191-1)-SUM('Actual RAB roll forward'!H203:OFFSET('Actual RAB roll forward'!H203,0,Input!$W$7-1))</f>
        <v>0</v>
      </c>
      <c r="F191" s="275">
        <f ca="1">IF(A13stdlife="N/A","n/a",IF(E191=0,0,A13stdlife+D191-Input!$W$7))</f>
        <v>0</v>
      </c>
      <c r="G191" s="276"/>
      <c r="H191" s="667"/>
      <c r="I191" s="280">
        <v>2</v>
      </c>
      <c r="J191" s="275">
        <f ca="1">OFFSET('Tax value roll forward'!G$52,0,I191)-SUM('Tax value roll forward'!G244:OFFSET('Tax value roll forward'!G244,0,Input!$W$7))</f>
        <v>0</v>
      </c>
      <c r="K191" s="275">
        <f ca="1">IF(A13taxstdlife="N/A","n/a",IF(J191=0,0,A13taxstdlife+I191-Input!$W$7))</f>
        <v>0</v>
      </c>
      <c r="L191" s="279"/>
      <c r="M191" s="310"/>
      <c r="N191" s="310"/>
      <c r="O191" s="271"/>
      <c r="P191" s="271"/>
      <c r="Q191" s="271"/>
      <c r="R191" s="271"/>
      <c r="S191" s="258"/>
      <c r="T191" s="258"/>
      <c r="U191" s="258"/>
      <c r="V191" s="258"/>
      <c r="W191" s="258"/>
      <c r="X191" s="258"/>
      <c r="Y191" s="258"/>
      <c r="Z191" s="258"/>
    </row>
    <row r="192" spans="1:26" hidden="1" outlineLevel="1">
      <c r="A192" s="271"/>
      <c r="B192" s="271"/>
      <c r="C192" s="667"/>
      <c r="D192" s="280">
        <f>D$12</f>
        <v>3</v>
      </c>
      <c r="E192" s="275">
        <f ca="1">OFFSET('Actual RAB roll forward'!H$24,0,D192-1)-SUM('Actual RAB roll forward'!H204:OFFSET('Actual RAB roll forward'!H204,0,Input!$W$7-1))</f>
        <v>0</v>
      </c>
      <c r="F192" s="275">
        <f ca="1">IF(A13stdlife="N/A","n/a",IF(E192=0,0,A13stdlife+D192-Input!$W$7))</f>
        <v>0</v>
      </c>
      <c r="G192" s="276"/>
      <c r="H192" s="667"/>
      <c r="I192" s="280">
        <v>3</v>
      </c>
      <c r="J192" s="275">
        <f ca="1">OFFSET('Tax value roll forward'!G$52,0,I192)-SUM('Tax value roll forward'!G245:OFFSET('Tax value roll forward'!G245,0,Input!$W$7))</f>
        <v>0</v>
      </c>
      <c r="K192" s="275">
        <f ca="1">IF(A13taxstdlife="N/A","n/a",IF(J192=0,0,A13taxstdlife+I192-Input!$W$7))</f>
        <v>0</v>
      </c>
      <c r="L192" s="279"/>
      <c r="M192" s="310"/>
      <c r="N192" s="310"/>
      <c r="O192" s="271"/>
      <c r="P192" s="271"/>
      <c r="Q192" s="271"/>
      <c r="R192" s="271"/>
      <c r="S192" s="258"/>
      <c r="T192" s="258"/>
      <c r="U192" s="258"/>
      <c r="V192" s="258"/>
      <c r="W192" s="258"/>
      <c r="X192" s="258"/>
      <c r="Y192" s="258"/>
      <c r="Z192" s="258"/>
    </row>
    <row r="193" spans="1:26" hidden="1" outlineLevel="1">
      <c r="A193" s="271"/>
      <c r="B193" s="271"/>
      <c r="C193" s="667"/>
      <c r="D193" s="280">
        <f>D$13</f>
        <v>4</v>
      </c>
      <c r="E193" s="275">
        <f ca="1">OFFSET('Actual RAB roll forward'!H$24,0,D193-1)-SUM('Actual RAB roll forward'!H205:OFFSET('Actual RAB roll forward'!H205,0,Input!$W$7-1))</f>
        <v>0</v>
      </c>
      <c r="F193" s="275">
        <f ca="1">IF(A13stdlife="N/A","n/a",IF(E193=0,0,A13stdlife+D193-Input!$W$7))</f>
        <v>0</v>
      </c>
      <c r="G193" s="276"/>
      <c r="H193" s="667"/>
      <c r="I193" s="280">
        <v>4</v>
      </c>
      <c r="J193" s="275">
        <f ca="1">OFFSET('Tax value roll forward'!G$52,0,I193)-SUM('Tax value roll forward'!G246:OFFSET('Tax value roll forward'!G246,0,Input!$W$7))</f>
        <v>0</v>
      </c>
      <c r="K193" s="275">
        <f ca="1">IF(A13taxstdlife="N/A","n/a",IF(J193=0,0,A13taxstdlife+I193-Input!$W$7))</f>
        <v>0</v>
      </c>
      <c r="L193" s="279"/>
      <c r="M193" s="310"/>
      <c r="N193" s="310"/>
      <c r="O193" s="271"/>
      <c r="P193" s="271"/>
      <c r="Q193" s="271"/>
      <c r="R193" s="271"/>
      <c r="S193" s="258"/>
      <c r="T193" s="258"/>
      <c r="U193" s="258"/>
      <c r="V193" s="258"/>
      <c r="W193" s="258"/>
      <c r="X193" s="258"/>
      <c r="Y193" s="258"/>
      <c r="Z193" s="258"/>
    </row>
    <row r="194" spans="1:26" hidden="1" outlineLevel="1">
      <c r="A194" s="271"/>
      <c r="B194" s="271"/>
      <c r="C194" s="667"/>
      <c r="D194" s="280">
        <f>D$14</f>
        <v>5</v>
      </c>
      <c r="E194" s="275">
        <f ca="1">OFFSET('Actual RAB roll forward'!H$24,0,D194-1)-SUM('Actual RAB roll forward'!H206:OFFSET('Actual RAB roll forward'!H206,0,Input!$W$7-1))</f>
        <v>0</v>
      </c>
      <c r="F194" s="275">
        <f ca="1">IF(A13stdlife="N/A","n/a",IF(E194=0,0,A13stdlife+D194-Input!$W$7))</f>
        <v>0</v>
      </c>
      <c r="G194" s="276"/>
      <c r="H194" s="667"/>
      <c r="I194" s="280">
        <v>5</v>
      </c>
      <c r="J194" s="275">
        <f ca="1">OFFSET('Tax value roll forward'!G$52,0,I194)-SUM('Tax value roll forward'!G247:OFFSET('Tax value roll forward'!G247,0,Input!$W$7))</f>
        <v>0</v>
      </c>
      <c r="K194" s="275">
        <f ca="1">IF(A13taxstdlife="N/A","n/a",IF(J194=0,0,A13taxstdlife+I194-Input!$W$7))</f>
        <v>0</v>
      </c>
      <c r="L194" s="279"/>
      <c r="M194" s="310"/>
      <c r="N194" s="310"/>
      <c r="O194" s="271"/>
      <c r="P194" s="271"/>
      <c r="Q194" s="271"/>
      <c r="R194" s="271"/>
      <c r="S194" s="258"/>
      <c r="T194" s="258"/>
      <c r="U194" s="258"/>
      <c r="V194" s="258"/>
      <c r="W194" s="258"/>
      <c r="X194" s="258"/>
      <c r="Y194" s="258"/>
      <c r="Z194" s="258"/>
    </row>
    <row r="195" spans="1:26" hidden="1" outlineLevel="1">
      <c r="A195" s="271"/>
      <c r="B195" s="271"/>
      <c r="C195" s="667"/>
      <c r="D195" s="280">
        <f>D$15</f>
        <v>6</v>
      </c>
      <c r="E195" s="275">
        <f ca="1">OFFSET('Actual RAB roll forward'!H$24,0,D195-1)-SUM('Actual RAB roll forward'!H207:OFFSET('Actual RAB roll forward'!H207,0,Input!$W$7-1))</f>
        <v>0</v>
      </c>
      <c r="F195" s="275">
        <f ca="1">IF(A13stdlife="N/A","n/a",IF(E195=0,0,A13stdlife+D195-Input!$W$7))</f>
        <v>0</v>
      </c>
      <c r="G195" s="276"/>
      <c r="H195" s="667"/>
      <c r="I195" s="280">
        <v>6</v>
      </c>
      <c r="J195" s="275">
        <f ca="1">OFFSET('Tax value roll forward'!G$52,0,I195)-SUM('Tax value roll forward'!G248:OFFSET('Tax value roll forward'!G248,0,Input!$W$7))</f>
        <v>0</v>
      </c>
      <c r="K195" s="275">
        <f ca="1">IF(A13taxstdlife="N/A","n/a",IF(J195=0,0,A13taxstdlife+I195-Input!$W$7))</f>
        <v>0</v>
      </c>
      <c r="L195" s="279"/>
      <c r="M195" s="310"/>
      <c r="N195" s="310"/>
      <c r="O195" s="271"/>
      <c r="P195" s="271"/>
      <c r="Q195" s="271"/>
      <c r="R195" s="271"/>
      <c r="S195" s="258"/>
      <c r="T195" s="258"/>
      <c r="U195" s="258"/>
      <c r="V195" s="258"/>
      <c r="W195" s="258"/>
      <c r="X195" s="258"/>
      <c r="Y195" s="258"/>
      <c r="Z195" s="258"/>
    </row>
    <row r="196" spans="1:26" hidden="1" outlineLevel="1">
      <c r="A196" s="271"/>
      <c r="B196" s="271"/>
      <c r="C196" s="667"/>
      <c r="D196" s="280">
        <f>D$16</f>
        <v>7</v>
      </c>
      <c r="E196" s="275">
        <f ca="1">OFFSET('Actual RAB roll forward'!H$24,0,D196-1)-SUM('Actual RAB roll forward'!H208:OFFSET('Actual RAB roll forward'!H208,0,Input!$W$7-1))</f>
        <v>0</v>
      </c>
      <c r="F196" s="275">
        <f ca="1">IF(A13stdlife="N/A","n/a",IF(E196=0,0,A13stdlife+D196-Input!$W$7))</f>
        <v>0</v>
      </c>
      <c r="G196" s="276"/>
      <c r="H196" s="667"/>
      <c r="I196" s="280">
        <v>7</v>
      </c>
      <c r="J196" s="275">
        <f ca="1">OFFSET('Tax value roll forward'!G$52,0,I196)-SUM('Tax value roll forward'!G249:OFFSET('Tax value roll forward'!G249,0,Input!$W$7))</f>
        <v>0</v>
      </c>
      <c r="K196" s="275">
        <f ca="1">IF(A13taxstdlife="N/A","n/a",IF(J196=0,0,A13taxstdlife+I196-Input!$W$7))</f>
        <v>0</v>
      </c>
      <c r="L196" s="279"/>
      <c r="M196" s="310"/>
      <c r="N196" s="310"/>
      <c r="O196" s="271"/>
      <c r="P196" s="271"/>
      <c r="Q196" s="271"/>
      <c r="R196" s="271"/>
      <c r="S196" s="258"/>
      <c r="T196" s="258"/>
      <c r="U196" s="258"/>
      <c r="V196" s="258"/>
      <c r="W196" s="258"/>
      <c r="X196" s="258"/>
      <c r="Y196" s="258"/>
      <c r="Z196" s="258"/>
    </row>
    <row r="197" spans="1:26" hidden="1" outlineLevel="1">
      <c r="A197" s="271"/>
      <c r="B197" s="271"/>
      <c r="C197" s="667"/>
      <c r="D197" s="280">
        <f>D$17</f>
        <v>8</v>
      </c>
      <c r="E197" s="275">
        <f ca="1">OFFSET('Actual RAB roll forward'!H$24,0,D197-1)-SUM('Actual RAB roll forward'!H209:OFFSET('Actual RAB roll forward'!H209,0,Input!$W$7-1))</f>
        <v>0</v>
      </c>
      <c r="F197" s="275">
        <f ca="1">IF(A13stdlife="N/A","n/a",IF(E197=0,0,A13stdlife+D197-Input!$W$7))</f>
        <v>0</v>
      </c>
      <c r="G197" s="276"/>
      <c r="H197" s="667"/>
      <c r="I197" s="280">
        <v>8</v>
      </c>
      <c r="J197" s="275">
        <f ca="1">OFFSET('Tax value roll forward'!G$52,0,I197)-SUM('Tax value roll forward'!G250:OFFSET('Tax value roll forward'!G250,0,Input!$W$7))</f>
        <v>0</v>
      </c>
      <c r="K197" s="275">
        <f ca="1">IF(A13taxstdlife="N/A","n/a",IF(J197=0,0,A13taxstdlife+I197-Input!$W$7))</f>
        <v>0</v>
      </c>
      <c r="L197" s="279"/>
      <c r="M197" s="310"/>
      <c r="N197" s="310"/>
      <c r="O197" s="271"/>
      <c r="P197" s="271"/>
      <c r="Q197" s="271"/>
      <c r="R197" s="271"/>
      <c r="S197" s="258"/>
      <c r="T197" s="258"/>
      <c r="U197" s="258"/>
      <c r="V197" s="258"/>
      <c r="W197" s="258"/>
      <c r="X197" s="258"/>
      <c r="Y197" s="258"/>
      <c r="Z197" s="258"/>
    </row>
    <row r="198" spans="1:26" hidden="1" outlineLevel="1">
      <c r="A198" s="271"/>
      <c r="B198" s="271"/>
      <c r="C198" s="667"/>
      <c r="D198" s="280">
        <f>D$18</f>
        <v>9</v>
      </c>
      <c r="E198" s="275">
        <f ca="1">OFFSET('Actual RAB roll forward'!H$24,0,D198-1)-SUM('Actual RAB roll forward'!H210:OFFSET('Actual RAB roll forward'!H210,0,Input!$W$7-1))</f>
        <v>0</v>
      </c>
      <c r="F198" s="275">
        <f ca="1">IF(A13stdlife="N/A","n/a",IF(E198=0,0,A13stdlife+D198-Input!$W$7))</f>
        <v>0</v>
      </c>
      <c r="G198" s="276"/>
      <c r="H198" s="667"/>
      <c r="I198" s="280">
        <v>9</v>
      </c>
      <c r="J198" s="275">
        <f ca="1">OFFSET('Tax value roll forward'!G$52,0,I198)-SUM('Tax value roll forward'!G251:OFFSET('Tax value roll forward'!G251,0,Input!$W$7))</f>
        <v>0</v>
      </c>
      <c r="K198" s="275">
        <f ca="1">IF(A13taxstdlife="N/A","n/a",IF(J198=0,0,A13taxstdlife+I198-Input!$W$7))</f>
        <v>0</v>
      </c>
      <c r="L198" s="279"/>
      <c r="M198" s="310"/>
      <c r="N198" s="310"/>
      <c r="O198" s="271"/>
      <c r="P198" s="271"/>
      <c r="Q198" s="271"/>
      <c r="R198" s="271"/>
      <c r="S198" s="258"/>
      <c r="T198" s="258"/>
      <c r="U198" s="258"/>
      <c r="V198" s="258"/>
      <c r="W198" s="258"/>
      <c r="X198" s="258"/>
      <c r="Y198" s="258"/>
      <c r="Z198" s="258"/>
    </row>
    <row r="199" spans="1:26" hidden="1" outlineLevel="1">
      <c r="A199" s="271"/>
      <c r="B199" s="271"/>
      <c r="C199" s="668"/>
      <c r="D199" s="281">
        <f>D$19</f>
        <v>10</v>
      </c>
      <c r="E199" s="275">
        <f ca="1">OFFSET('Actual RAB roll forward'!H$24,0,D199-1)-SUM('Actual RAB roll forward'!H211:OFFSET('Actual RAB roll forward'!H211,0,Input!$W$7-1))</f>
        <v>0</v>
      </c>
      <c r="F199" s="275">
        <f ca="1">IF(A13stdlife="N/A","n/a",IF(E199=0,0,A13stdlife+D199-Input!$W$7))</f>
        <v>0</v>
      </c>
      <c r="G199" s="276"/>
      <c r="H199" s="668"/>
      <c r="I199" s="281">
        <v>10</v>
      </c>
      <c r="J199" s="275">
        <f ca="1">OFFSET('Tax value roll forward'!G$52,0,I199)-SUM('Tax value roll forward'!G252:OFFSET('Tax value roll forward'!G252,0,Input!$W$7))</f>
        <v>0</v>
      </c>
      <c r="K199" s="275">
        <f ca="1">IF(A13taxstdlife="N/A","n/a",IF(J199=0,0,A13taxstdlife+I199-Input!$W$7))</f>
        <v>0</v>
      </c>
      <c r="M199" s="310"/>
      <c r="N199" s="310"/>
      <c r="O199" s="271"/>
      <c r="P199" s="271"/>
      <c r="Q199" s="271"/>
      <c r="R199" s="271"/>
      <c r="S199" s="258"/>
      <c r="T199" s="258"/>
      <c r="U199" s="258"/>
      <c r="V199" s="258"/>
      <c r="W199" s="258"/>
      <c r="X199" s="258"/>
      <c r="Y199" s="258"/>
      <c r="Z199" s="258"/>
    </row>
    <row r="200" spans="1:26" collapsed="1">
      <c r="A200" s="271"/>
      <c r="B200" s="271"/>
      <c r="C200" s="291">
        <f>Asset13</f>
        <v>0</v>
      </c>
      <c r="D200" s="271"/>
      <c r="E200" s="275">
        <f ca="1">SUM(E188:E199)</f>
        <v>0</v>
      </c>
      <c r="F200" s="275">
        <f ca="1">IF(E200=0,0,SUMPRODUCT(E188:E199,F188:F199)/E200)</f>
        <v>0</v>
      </c>
      <c r="G200" s="276"/>
      <c r="H200" s="283"/>
      <c r="I200" s="275"/>
      <c r="J200" s="309">
        <f ca="1">SUM(J188:J199)</f>
        <v>0</v>
      </c>
      <c r="K200" s="309">
        <f ca="1">IF(J200=0,0,SUMPRODUCT(J188:J199,K188:K199)/J200)</f>
        <v>0</v>
      </c>
      <c r="L200" s="279"/>
      <c r="M200" s="310"/>
      <c r="N200" s="310"/>
      <c r="O200" s="271"/>
      <c r="P200" s="271"/>
      <c r="Q200" s="271"/>
      <c r="R200" s="271"/>
      <c r="S200" s="258"/>
      <c r="T200" s="258"/>
      <c r="U200" s="258"/>
      <c r="V200" s="258"/>
      <c r="W200" s="258"/>
      <c r="X200" s="258"/>
      <c r="Y200" s="258"/>
      <c r="Z200" s="258"/>
    </row>
    <row r="201" spans="1:26" hidden="1" outlineLevel="1">
      <c r="A201" s="271"/>
      <c r="B201" s="271"/>
      <c r="C201" s="291"/>
      <c r="D201" s="271"/>
      <c r="E201" s="275"/>
      <c r="F201" s="275"/>
      <c r="G201" s="276"/>
      <c r="H201" s="275"/>
      <c r="I201" s="275"/>
      <c r="J201" s="289"/>
      <c r="K201" s="275"/>
      <c r="L201" s="279"/>
      <c r="M201" s="310"/>
      <c r="N201" s="310"/>
      <c r="O201" s="271"/>
      <c r="P201" s="271"/>
      <c r="Q201" s="271"/>
      <c r="R201" s="271"/>
      <c r="S201" s="258"/>
      <c r="T201" s="258"/>
      <c r="U201" s="258"/>
      <c r="V201" s="258"/>
      <c r="W201" s="258"/>
      <c r="X201" s="258"/>
      <c r="Y201" s="258"/>
      <c r="Z201" s="258"/>
    </row>
    <row r="202" spans="1:26" hidden="1" outlineLevel="1">
      <c r="A202" s="271"/>
      <c r="B202" s="274">
        <f>Asset14</f>
        <v>0</v>
      </c>
      <c r="C202" s="271"/>
      <c r="D202" s="271"/>
      <c r="E202" s="292"/>
      <c r="F202" s="292"/>
      <c r="G202" s="276"/>
      <c r="H202" s="275"/>
      <c r="I202" s="275"/>
      <c r="J202" s="289"/>
      <c r="K202" s="275"/>
      <c r="L202" s="279"/>
      <c r="M202" s="310"/>
      <c r="N202" s="310"/>
      <c r="O202" s="271"/>
      <c r="P202" s="271"/>
      <c r="Q202" s="271"/>
      <c r="R202" s="271"/>
      <c r="S202" s="258"/>
      <c r="T202" s="258"/>
      <c r="U202" s="258"/>
      <c r="V202" s="258"/>
      <c r="W202" s="258"/>
      <c r="X202" s="258"/>
      <c r="Y202" s="258"/>
      <c r="Z202" s="258"/>
    </row>
    <row r="203" spans="1:26" ht="12.75" hidden="1" customHeight="1" outlineLevel="1">
      <c r="A203" s="271"/>
      <c r="B203" s="271"/>
      <c r="C203" s="659" t="s">
        <v>28</v>
      </c>
      <c r="D203" s="660"/>
      <c r="E203" s="275">
        <f ca="1">A14value-SUM('Actual RAB roll forward'!H213:OFFSET('Actual RAB roll forward'!H213,0,Input!$W$7-1))</f>
        <v>0</v>
      </c>
      <c r="F203" s="275">
        <f ca="1">IF(A14remlife="N/A","n/a",IF(E203=0,0,A14remlife-Input!$W$7))</f>
        <v>0</v>
      </c>
      <c r="G203" s="276"/>
      <c r="H203" s="277" t="s">
        <v>67</v>
      </c>
      <c r="I203" s="278"/>
      <c r="J203" s="275">
        <f ca="1">A14taxvalue-SUM('Tax value roll forward'!G254:OFFSET('Tax value roll forward'!G254,0,Input!$W$7))</f>
        <v>0</v>
      </c>
      <c r="K203" s="275">
        <f ca="1">IF(A14taxremlife="N/A","n/a",IF(J203=0,0,A14taxremlife-Input!$W$7-1))</f>
        <v>0</v>
      </c>
      <c r="L203" s="279"/>
      <c r="M203" s="310"/>
      <c r="N203" s="310"/>
      <c r="O203" s="271"/>
      <c r="P203" s="271"/>
      <c r="Q203" s="271"/>
      <c r="R203" s="271"/>
      <c r="S203" s="258"/>
      <c r="T203" s="258"/>
      <c r="U203" s="258"/>
      <c r="V203" s="258"/>
      <c r="W203" s="258"/>
      <c r="X203" s="258"/>
      <c r="Y203" s="258"/>
      <c r="Z203" s="258"/>
    </row>
    <row r="204" spans="1:26" ht="12.75" hidden="1" customHeight="1" outlineLevel="1">
      <c r="A204" s="271"/>
      <c r="B204" s="271"/>
      <c r="C204" s="666" t="s">
        <v>84</v>
      </c>
      <c r="D204" s="320">
        <f>D$9</f>
        <v>0</v>
      </c>
      <c r="E204" s="275"/>
      <c r="F204" s="275"/>
      <c r="G204" s="276"/>
      <c r="H204" s="666" t="s">
        <v>84</v>
      </c>
      <c r="I204" s="320">
        <v>0</v>
      </c>
      <c r="J204" s="275">
        <f ca="1">OFFSET('Tax value roll forward'!G$53,0,I204)-SUM('Tax value roll forward'!G256:OFFSET('Tax value roll forward'!G256,0,Input!$W$7))</f>
        <v>0</v>
      </c>
      <c r="K204" s="275">
        <f ca="1">IF(A14taxstdlife="N/A","n/a",IF(J204=0,0,A14taxstdlife+I204-Input!$W$7))</f>
        <v>0</v>
      </c>
      <c r="L204" s="279"/>
      <c r="M204" s="310"/>
      <c r="N204" s="310"/>
      <c r="O204" s="271"/>
      <c r="P204" s="271"/>
      <c r="Q204" s="271"/>
      <c r="R204" s="271"/>
      <c r="S204" s="258"/>
      <c r="T204" s="258"/>
      <c r="U204" s="258"/>
      <c r="V204" s="258"/>
      <c r="W204" s="258"/>
      <c r="X204" s="258"/>
      <c r="Y204" s="258"/>
      <c r="Z204" s="258"/>
    </row>
    <row r="205" spans="1:26" ht="12.75" hidden="1" customHeight="1" outlineLevel="1">
      <c r="A205" s="271"/>
      <c r="B205" s="271"/>
      <c r="C205" s="667"/>
      <c r="D205" s="280">
        <f>D$10</f>
        <v>1</v>
      </c>
      <c r="E205" s="275">
        <f ca="1">OFFSET('Actual RAB roll forward'!H$25,0,D205-1)-SUM('Actual RAB roll forward'!H215:OFFSET('Actual RAB roll forward'!H215,0,Input!$W$7-1))</f>
        <v>0</v>
      </c>
      <c r="F205" s="275">
        <f ca="1">IF(A14stdlife="N/A","n/a",IF(E205=0,0,A14stdlife+D205-Input!$W$7))</f>
        <v>0</v>
      </c>
      <c r="G205" s="276"/>
      <c r="H205" s="667"/>
      <c r="I205" s="280">
        <v>1</v>
      </c>
      <c r="J205" s="275">
        <f ca="1">OFFSET('Tax value roll forward'!G$53,0,I205)-SUM('Tax value roll forward'!G257:OFFSET('Tax value roll forward'!G257,0,Input!$W$7))</f>
        <v>0</v>
      </c>
      <c r="K205" s="275">
        <f ca="1">IF(A14taxstdlife="N/A","n/a",IF(J205=0,0,A14taxstdlife+I205-Input!$W$7))</f>
        <v>0</v>
      </c>
      <c r="L205" s="279"/>
      <c r="M205" s="310"/>
      <c r="N205" s="310"/>
      <c r="O205" s="271"/>
      <c r="P205" s="271"/>
      <c r="Q205" s="271"/>
      <c r="R205" s="271"/>
      <c r="S205" s="258"/>
      <c r="T205" s="258"/>
      <c r="U205" s="258"/>
      <c r="V205" s="258"/>
      <c r="W205" s="258"/>
      <c r="X205" s="258"/>
      <c r="Y205" s="258"/>
      <c r="Z205" s="258"/>
    </row>
    <row r="206" spans="1:26" hidden="1" outlineLevel="1">
      <c r="A206" s="271"/>
      <c r="B206" s="271"/>
      <c r="C206" s="667"/>
      <c r="D206" s="280">
        <f>D$11</f>
        <v>2</v>
      </c>
      <c r="E206" s="275">
        <f ca="1">OFFSET('Actual RAB roll forward'!H$25,0,D206-1)-SUM('Actual RAB roll forward'!H216:OFFSET('Actual RAB roll forward'!H216,0,Input!$W$7-1))</f>
        <v>0</v>
      </c>
      <c r="F206" s="275">
        <f ca="1">IF(A14stdlife="N/A","n/a",IF(E206=0,0,A14stdlife+D206-Input!$W$7))</f>
        <v>0</v>
      </c>
      <c r="G206" s="276"/>
      <c r="H206" s="667"/>
      <c r="I206" s="280">
        <v>2</v>
      </c>
      <c r="J206" s="275">
        <f ca="1">OFFSET('Tax value roll forward'!G$53,0,I206)-SUM('Tax value roll forward'!G258:OFFSET('Tax value roll forward'!G258,0,Input!$W$7))</f>
        <v>0</v>
      </c>
      <c r="K206" s="275">
        <f ca="1">IF(A14taxstdlife="N/A","n/a",IF(J206=0,0,A14taxstdlife+I206-Input!$W$7))</f>
        <v>0</v>
      </c>
      <c r="L206" s="279"/>
      <c r="M206" s="310"/>
      <c r="N206" s="310"/>
      <c r="O206" s="271"/>
      <c r="P206" s="271"/>
      <c r="Q206" s="271"/>
      <c r="R206" s="271"/>
      <c r="S206" s="258"/>
      <c r="T206" s="258"/>
      <c r="U206" s="258"/>
      <c r="V206" s="258"/>
      <c r="W206" s="258"/>
      <c r="X206" s="258"/>
      <c r="Y206" s="258"/>
      <c r="Z206" s="258"/>
    </row>
    <row r="207" spans="1:26" hidden="1" outlineLevel="1">
      <c r="A207" s="271"/>
      <c r="B207" s="271"/>
      <c r="C207" s="667"/>
      <c r="D207" s="280">
        <f>D$12</f>
        <v>3</v>
      </c>
      <c r="E207" s="275">
        <f ca="1">OFFSET('Actual RAB roll forward'!H$25,0,D207-1)-SUM('Actual RAB roll forward'!H217:OFFSET('Actual RAB roll forward'!H217,0,Input!$W$7-1))</f>
        <v>0</v>
      </c>
      <c r="F207" s="275">
        <f ca="1">IF(A14stdlife="N/A","n/a",IF(E207=0,0,A14stdlife+D207-Input!$W$7))</f>
        <v>0</v>
      </c>
      <c r="G207" s="276"/>
      <c r="H207" s="667"/>
      <c r="I207" s="280">
        <v>3</v>
      </c>
      <c r="J207" s="275">
        <f ca="1">OFFSET('Tax value roll forward'!G$53,0,I207)-SUM('Tax value roll forward'!G259:OFFSET('Tax value roll forward'!G259,0,Input!$W$7))</f>
        <v>0</v>
      </c>
      <c r="K207" s="275">
        <f ca="1">IF(A14taxstdlife="N/A","n/a",IF(J207=0,0,A14taxstdlife+I207-Input!$W$7))</f>
        <v>0</v>
      </c>
      <c r="L207" s="279"/>
      <c r="M207" s="310"/>
      <c r="N207" s="310"/>
      <c r="O207" s="271"/>
      <c r="P207" s="271"/>
      <c r="Q207" s="271"/>
      <c r="R207" s="271"/>
      <c r="S207" s="258"/>
      <c r="T207" s="258"/>
      <c r="U207" s="258"/>
      <c r="V207" s="258"/>
      <c r="W207" s="258"/>
      <c r="X207" s="258"/>
      <c r="Y207" s="258"/>
      <c r="Z207" s="258"/>
    </row>
    <row r="208" spans="1:26" hidden="1" outlineLevel="1">
      <c r="A208" s="271"/>
      <c r="B208" s="271"/>
      <c r="C208" s="667"/>
      <c r="D208" s="280">
        <f>D$13</f>
        <v>4</v>
      </c>
      <c r="E208" s="275">
        <f ca="1">OFFSET('Actual RAB roll forward'!H$25,0,D208-1)-SUM('Actual RAB roll forward'!H218:OFFSET('Actual RAB roll forward'!H218,0,Input!$W$7-1))</f>
        <v>0</v>
      </c>
      <c r="F208" s="275">
        <f ca="1">IF(A14stdlife="N/A","n/a",IF(E208=0,0,A14stdlife+D208-Input!$W$7))</f>
        <v>0</v>
      </c>
      <c r="G208" s="276"/>
      <c r="H208" s="667"/>
      <c r="I208" s="280">
        <v>4</v>
      </c>
      <c r="J208" s="275">
        <f ca="1">OFFSET('Tax value roll forward'!G$53,0,I208)-SUM('Tax value roll forward'!G260:OFFSET('Tax value roll forward'!G260,0,Input!$W$7))</f>
        <v>0</v>
      </c>
      <c r="K208" s="275">
        <f ca="1">IF(A14taxstdlife="N/A","n/a",IF(J208=0,0,A14taxstdlife+I208-Input!$W$7))</f>
        <v>0</v>
      </c>
      <c r="L208" s="279"/>
      <c r="M208" s="310"/>
      <c r="N208" s="310"/>
      <c r="O208" s="271"/>
      <c r="P208" s="271"/>
      <c r="Q208" s="271"/>
      <c r="R208" s="271"/>
      <c r="S208" s="258"/>
      <c r="T208" s="258"/>
      <c r="U208" s="258"/>
      <c r="V208" s="258"/>
      <c r="W208" s="258"/>
      <c r="X208" s="258"/>
      <c r="Y208" s="258"/>
      <c r="Z208" s="258"/>
    </row>
    <row r="209" spans="1:26" hidden="1" outlineLevel="1">
      <c r="A209" s="271"/>
      <c r="B209" s="271"/>
      <c r="C209" s="667"/>
      <c r="D209" s="280">
        <f>D$14</f>
        <v>5</v>
      </c>
      <c r="E209" s="275">
        <f ca="1">OFFSET('Actual RAB roll forward'!H$25,0,D209-1)-SUM('Actual RAB roll forward'!H219:OFFSET('Actual RAB roll forward'!H219,0,Input!$W$7-1))</f>
        <v>0</v>
      </c>
      <c r="F209" s="275">
        <f ca="1">IF(A14stdlife="N/A","n/a",IF(E209=0,0,A14stdlife+D209-Input!$W$7))</f>
        <v>0</v>
      </c>
      <c r="G209" s="276"/>
      <c r="H209" s="667"/>
      <c r="I209" s="280">
        <v>5</v>
      </c>
      <c r="J209" s="275">
        <f ca="1">OFFSET('Tax value roll forward'!G$53,0,I209)-SUM('Tax value roll forward'!G261:OFFSET('Tax value roll forward'!G261,0,Input!$W$7))</f>
        <v>0</v>
      </c>
      <c r="K209" s="275">
        <f ca="1">IF(A14taxstdlife="N/A","n/a",IF(J209=0,0,A14taxstdlife+I209-Input!$W$7))</f>
        <v>0</v>
      </c>
      <c r="L209" s="279"/>
      <c r="M209" s="310"/>
      <c r="N209" s="310"/>
      <c r="O209" s="271"/>
      <c r="P209" s="271"/>
      <c r="Q209" s="271"/>
      <c r="R209" s="271"/>
      <c r="S209" s="258"/>
      <c r="T209" s="258"/>
      <c r="U209" s="258"/>
      <c r="V209" s="258"/>
      <c r="W209" s="258"/>
      <c r="X209" s="258"/>
      <c r="Y209" s="258"/>
      <c r="Z209" s="258"/>
    </row>
    <row r="210" spans="1:26" hidden="1" outlineLevel="1">
      <c r="A210" s="271"/>
      <c r="B210" s="271"/>
      <c r="C210" s="667"/>
      <c r="D210" s="280">
        <f>D$15</f>
        <v>6</v>
      </c>
      <c r="E210" s="275">
        <f ca="1">OFFSET('Actual RAB roll forward'!H$25,0,D210-1)-SUM('Actual RAB roll forward'!H220:OFFSET('Actual RAB roll forward'!H220,0,Input!$W$7-1))</f>
        <v>0</v>
      </c>
      <c r="F210" s="275">
        <f ca="1">IF(A14stdlife="N/A","n/a",IF(E210=0,0,A14stdlife+D210-Input!$W$7))</f>
        <v>0</v>
      </c>
      <c r="G210" s="276"/>
      <c r="H210" s="667"/>
      <c r="I210" s="280">
        <v>6</v>
      </c>
      <c r="J210" s="275">
        <f ca="1">OFFSET('Tax value roll forward'!G$53,0,I210)-SUM('Tax value roll forward'!G262:OFFSET('Tax value roll forward'!G262,0,Input!$W$7))</f>
        <v>0</v>
      </c>
      <c r="K210" s="275">
        <f ca="1">IF(A14taxstdlife="N/A","n/a",IF(J210=0,0,A14taxstdlife+I210-Input!$W$7))</f>
        <v>0</v>
      </c>
      <c r="L210" s="279"/>
      <c r="M210" s="310"/>
      <c r="N210" s="310"/>
      <c r="O210" s="271"/>
      <c r="P210" s="271"/>
      <c r="Q210" s="271"/>
      <c r="R210" s="271"/>
      <c r="S210" s="258"/>
      <c r="T210" s="258"/>
      <c r="U210" s="258"/>
      <c r="V210" s="258"/>
      <c r="W210" s="258"/>
      <c r="X210" s="258"/>
      <c r="Y210" s="258"/>
      <c r="Z210" s="258"/>
    </row>
    <row r="211" spans="1:26" hidden="1" outlineLevel="1">
      <c r="A211" s="271"/>
      <c r="B211" s="271"/>
      <c r="C211" s="667"/>
      <c r="D211" s="280">
        <f>D$16</f>
        <v>7</v>
      </c>
      <c r="E211" s="275">
        <f ca="1">OFFSET('Actual RAB roll forward'!H$25,0,D211-1)-SUM('Actual RAB roll forward'!H221:OFFSET('Actual RAB roll forward'!H221,0,Input!$W$7-1))</f>
        <v>0</v>
      </c>
      <c r="F211" s="275">
        <f ca="1">IF(A14stdlife="N/A","n/a",IF(E211=0,0,A14stdlife+D211-Input!$W$7))</f>
        <v>0</v>
      </c>
      <c r="G211" s="276"/>
      <c r="H211" s="667"/>
      <c r="I211" s="280">
        <v>7</v>
      </c>
      <c r="J211" s="275">
        <f ca="1">OFFSET('Tax value roll forward'!G$53,0,I211)-SUM('Tax value roll forward'!G263:OFFSET('Tax value roll forward'!G263,0,Input!$W$7))</f>
        <v>0</v>
      </c>
      <c r="K211" s="275">
        <f ca="1">IF(A14taxstdlife="N/A","n/a",IF(J211=0,0,A14taxstdlife+I211-Input!$W$7))</f>
        <v>0</v>
      </c>
      <c r="L211" s="279"/>
      <c r="M211" s="310"/>
      <c r="N211" s="310"/>
      <c r="O211" s="271"/>
      <c r="P211" s="271"/>
      <c r="Q211" s="271"/>
      <c r="R211" s="271"/>
      <c r="S211" s="258"/>
      <c r="T211" s="258"/>
      <c r="U211" s="258"/>
      <c r="V211" s="258"/>
      <c r="W211" s="258"/>
      <c r="X211" s="258"/>
      <c r="Y211" s="258"/>
      <c r="Z211" s="258"/>
    </row>
    <row r="212" spans="1:26" hidden="1" outlineLevel="1">
      <c r="A212" s="271"/>
      <c r="B212" s="271"/>
      <c r="C212" s="667"/>
      <c r="D212" s="280">
        <f>D$17</f>
        <v>8</v>
      </c>
      <c r="E212" s="275">
        <f ca="1">OFFSET('Actual RAB roll forward'!H$25,0,D212-1)-SUM('Actual RAB roll forward'!H222:OFFSET('Actual RAB roll forward'!H222,0,Input!$W$7-1))</f>
        <v>0</v>
      </c>
      <c r="F212" s="275">
        <f ca="1">IF(A14stdlife="N/A","n/a",IF(E212=0,0,A14stdlife+D212-Input!$W$7))</f>
        <v>0</v>
      </c>
      <c r="G212" s="276"/>
      <c r="H212" s="667"/>
      <c r="I212" s="280">
        <v>8</v>
      </c>
      <c r="J212" s="275">
        <f ca="1">OFFSET('Tax value roll forward'!G$53,0,I212)-SUM('Tax value roll forward'!G264:OFFSET('Tax value roll forward'!G264,0,Input!$W$7))</f>
        <v>0</v>
      </c>
      <c r="K212" s="275">
        <f ca="1">IF(A14taxstdlife="N/A","n/a",IF(J212=0,0,A14taxstdlife+I212-Input!$W$7))</f>
        <v>0</v>
      </c>
      <c r="L212" s="279"/>
      <c r="M212" s="310"/>
      <c r="N212" s="310"/>
      <c r="O212" s="271"/>
      <c r="P212" s="271"/>
      <c r="Q212" s="271"/>
      <c r="R212" s="271"/>
      <c r="S212" s="258"/>
      <c r="T212" s="258"/>
      <c r="U212" s="258"/>
      <c r="V212" s="258"/>
      <c r="W212" s="258"/>
      <c r="X212" s="258"/>
      <c r="Y212" s="258"/>
      <c r="Z212" s="258"/>
    </row>
    <row r="213" spans="1:26" hidden="1" outlineLevel="1">
      <c r="A213" s="271"/>
      <c r="B213" s="271"/>
      <c r="C213" s="667"/>
      <c r="D213" s="280">
        <f>D$18</f>
        <v>9</v>
      </c>
      <c r="E213" s="275">
        <f ca="1">OFFSET('Actual RAB roll forward'!H$25,0,D213-1)-SUM('Actual RAB roll forward'!H223:OFFSET('Actual RAB roll forward'!H223,0,Input!$W$7-1))</f>
        <v>0</v>
      </c>
      <c r="F213" s="275">
        <f ca="1">IF(A14stdlife="N/A","n/a",IF(E213=0,0,A14stdlife+D213-Input!$W$7))</f>
        <v>0</v>
      </c>
      <c r="G213" s="276"/>
      <c r="H213" s="667"/>
      <c r="I213" s="280">
        <v>9</v>
      </c>
      <c r="J213" s="275">
        <f ca="1">OFFSET('Tax value roll forward'!G$53,0,I213)-SUM('Tax value roll forward'!G265:OFFSET('Tax value roll forward'!G265,0,Input!$W$7))</f>
        <v>0</v>
      </c>
      <c r="K213" s="275">
        <f ca="1">IF(A14taxstdlife="N/A","n/a",IF(J213=0,0,A14taxstdlife+I213-Input!$W$7))</f>
        <v>0</v>
      </c>
      <c r="L213" s="279"/>
      <c r="M213" s="310"/>
      <c r="N213" s="310"/>
      <c r="O213" s="271"/>
      <c r="P213" s="271"/>
      <c r="Q213" s="271"/>
      <c r="R213" s="271"/>
      <c r="S213" s="258"/>
      <c r="T213" s="258"/>
      <c r="U213" s="258"/>
      <c r="V213" s="258"/>
      <c r="W213" s="258"/>
      <c r="X213" s="258"/>
      <c r="Y213" s="258"/>
      <c r="Z213" s="258"/>
    </row>
    <row r="214" spans="1:26" hidden="1" outlineLevel="1">
      <c r="A214" s="271"/>
      <c r="B214" s="271"/>
      <c r="C214" s="668"/>
      <c r="D214" s="281">
        <f>D$19</f>
        <v>10</v>
      </c>
      <c r="E214" s="275">
        <f ca="1">OFFSET('Actual RAB roll forward'!H$25,0,D214-1)-SUM('Actual RAB roll forward'!H224:OFFSET('Actual RAB roll forward'!H224,0,Input!$W$7-1))</f>
        <v>0</v>
      </c>
      <c r="F214" s="275">
        <f ca="1">IF(A14stdlife="N/A","n/a",IF(E214=0,0,A14stdlife+D214-Input!$W$7))</f>
        <v>0</v>
      </c>
      <c r="G214" s="276"/>
      <c r="H214" s="668"/>
      <c r="I214" s="281">
        <v>10</v>
      </c>
      <c r="J214" s="275">
        <f ca="1">OFFSET('Tax value roll forward'!G$53,0,I214)-SUM('Tax value roll forward'!G266:OFFSET('Tax value roll forward'!G266,0,Input!$W$7))</f>
        <v>0</v>
      </c>
      <c r="K214" s="275">
        <f ca="1">IF(A14taxstdlife="N/A","n/a",IF(J214=0,0,A14taxstdlife+I214-Input!$W$7))</f>
        <v>0</v>
      </c>
      <c r="M214" s="310"/>
      <c r="N214" s="310"/>
      <c r="O214" s="271"/>
      <c r="P214" s="271"/>
      <c r="Q214" s="271"/>
      <c r="R214" s="271"/>
      <c r="S214" s="258"/>
      <c r="T214" s="258"/>
      <c r="U214" s="258"/>
      <c r="V214" s="258"/>
      <c r="W214" s="258"/>
      <c r="X214" s="258"/>
      <c r="Y214" s="258"/>
      <c r="Z214" s="258"/>
    </row>
    <row r="215" spans="1:26" collapsed="1">
      <c r="A215" s="271"/>
      <c r="B215" s="271"/>
      <c r="C215" s="291">
        <f>Asset14</f>
        <v>0</v>
      </c>
      <c r="D215" s="271"/>
      <c r="E215" s="275">
        <f ca="1">SUM(E203:E214)</f>
        <v>0</v>
      </c>
      <c r="F215" s="275">
        <f ca="1">IF(E215=0,0,SUMPRODUCT(E203:E214,F203:F214)/E215)</f>
        <v>0</v>
      </c>
      <c r="G215" s="276"/>
      <c r="H215" s="283"/>
      <c r="I215" s="275"/>
      <c r="J215" s="309">
        <f ca="1">SUM(J203:J214)</f>
        <v>0</v>
      </c>
      <c r="K215" s="309">
        <f ca="1">IF(J215=0,0,SUMPRODUCT(J203:J214,K203:K214)/J215)</f>
        <v>0</v>
      </c>
      <c r="L215" s="279"/>
      <c r="M215" s="310"/>
      <c r="N215" s="310"/>
      <c r="O215" s="271"/>
      <c r="P215" s="271"/>
      <c r="Q215" s="271"/>
      <c r="R215" s="271"/>
      <c r="S215" s="258"/>
      <c r="T215" s="258"/>
      <c r="U215" s="258"/>
      <c r="V215" s="258"/>
      <c r="W215" s="258"/>
      <c r="X215" s="258"/>
      <c r="Y215" s="258"/>
      <c r="Z215" s="258"/>
    </row>
    <row r="216" spans="1:26" hidden="1" outlineLevel="1">
      <c r="A216" s="271"/>
      <c r="B216" s="271"/>
      <c r="C216" s="291"/>
      <c r="D216" s="271"/>
      <c r="E216" s="275"/>
      <c r="F216" s="275"/>
      <c r="G216" s="276"/>
      <c r="H216" s="275"/>
      <c r="I216" s="275"/>
      <c r="J216" s="289"/>
      <c r="K216" s="275"/>
      <c r="L216" s="279"/>
      <c r="M216" s="310"/>
      <c r="N216" s="310"/>
      <c r="O216" s="271"/>
      <c r="P216" s="271"/>
      <c r="Q216" s="271"/>
      <c r="R216" s="271"/>
      <c r="S216" s="258"/>
      <c r="T216" s="258"/>
      <c r="U216" s="258"/>
      <c r="V216" s="258"/>
      <c r="W216" s="258"/>
      <c r="X216" s="258"/>
      <c r="Y216" s="258"/>
      <c r="Z216" s="258"/>
    </row>
    <row r="217" spans="1:26" hidden="1" outlineLevel="1">
      <c r="A217" s="271"/>
      <c r="B217" s="274">
        <f>Asset15</f>
        <v>0</v>
      </c>
      <c r="C217" s="271"/>
      <c r="D217" s="271"/>
      <c r="E217" s="292"/>
      <c r="F217" s="292"/>
      <c r="G217" s="276"/>
      <c r="H217" s="275"/>
      <c r="I217" s="275"/>
      <c r="J217" s="289"/>
      <c r="K217" s="275"/>
      <c r="L217" s="279"/>
      <c r="M217" s="310"/>
      <c r="N217" s="310"/>
      <c r="O217" s="271"/>
      <c r="P217" s="271"/>
      <c r="Q217" s="271"/>
      <c r="R217" s="271"/>
      <c r="S217" s="258"/>
      <c r="T217" s="258"/>
      <c r="U217" s="258"/>
      <c r="V217" s="258"/>
      <c r="W217" s="258"/>
      <c r="X217" s="258"/>
      <c r="Y217" s="258"/>
      <c r="Z217" s="258"/>
    </row>
    <row r="218" spans="1:26" ht="12.75" hidden="1" customHeight="1" outlineLevel="1">
      <c r="A218" s="271"/>
      <c r="B218" s="271"/>
      <c r="C218" s="659" t="s">
        <v>28</v>
      </c>
      <c r="D218" s="660"/>
      <c r="E218" s="275">
        <f ca="1">A15value-SUM('Actual RAB roll forward'!H226:OFFSET('Actual RAB roll forward'!H226,0,Input!$W$7-1))</f>
        <v>0</v>
      </c>
      <c r="F218" s="275">
        <f ca="1">IF(A15remlife="N/A","n/a",IF(E218=0,0,A15remlife-Input!$W$7))</f>
        <v>0</v>
      </c>
      <c r="G218" s="276"/>
      <c r="H218" s="277" t="s">
        <v>67</v>
      </c>
      <c r="I218" s="278"/>
      <c r="J218" s="275">
        <f ca="1">A15taxvalue-SUM('Tax value roll forward'!G268:OFFSET('Tax value roll forward'!G268,0,Input!$W$7))</f>
        <v>0</v>
      </c>
      <c r="K218" s="275">
        <f ca="1">IF(A15taxremlife="N/A","n/a",IF(J218=0,0,A15taxremlife-Input!$W$7-1))</f>
        <v>0</v>
      </c>
      <c r="L218" s="279"/>
      <c r="M218" s="310"/>
      <c r="N218" s="310"/>
      <c r="O218" s="271"/>
      <c r="P218" s="271"/>
      <c r="Q218" s="271"/>
      <c r="R218" s="271"/>
      <c r="S218" s="258"/>
      <c r="T218" s="258"/>
      <c r="U218" s="258"/>
      <c r="V218" s="258"/>
      <c r="W218" s="258"/>
      <c r="X218" s="258"/>
      <c r="Y218" s="258"/>
      <c r="Z218" s="258"/>
    </row>
    <row r="219" spans="1:26" ht="12.75" hidden="1" customHeight="1" outlineLevel="1">
      <c r="A219" s="271"/>
      <c r="B219" s="271"/>
      <c r="C219" s="666" t="s">
        <v>84</v>
      </c>
      <c r="D219" s="320">
        <f>D$9</f>
        <v>0</v>
      </c>
      <c r="E219" s="275"/>
      <c r="F219" s="275"/>
      <c r="G219" s="276"/>
      <c r="H219" s="666" t="s">
        <v>84</v>
      </c>
      <c r="I219" s="320">
        <v>0</v>
      </c>
      <c r="J219" s="275">
        <f ca="1">OFFSET('Tax value roll forward'!G$54,0,I219)-SUM('Tax value roll forward'!G270:OFFSET('Tax value roll forward'!G270,0,Input!$W$7))</f>
        <v>0</v>
      </c>
      <c r="K219" s="275">
        <f ca="1">IF(A15taxstdlife="N/A","n/a",IF(J219=0,0,A15taxstdlife+I219-Input!$W$7))</f>
        <v>0</v>
      </c>
      <c r="L219" s="279"/>
      <c r="M219" s="310"/>
      <c r="N219" s="310"/>
      <c r="O219" s="271"/>
      <c r="P219" s="271"/>
      <c r="Q219" s="271"/>
      <c r="R219" s="271"/>
      <c r="S219" s="258"/>
      <c r="T219" s="258"/>
      <c r="U219" s="258"/>
      <c r="V219" s="258"/>
      <c r="W219" s="258"/>
      <c r="X219" s="258"/>
      <c r="Y219" s="258"/>
      <c r="Z219" s="258"/>
    </row>
    <row r="220" spans="1:26" ht="12.75" hidden="1" customHeight="1" outlineLevel="1">
      <c r="A220" s="271"/>
      <c r="B220" s="271"/>
      <c r="C220" s="667"/>
      <c r="D220" s="280">
        <f>D$10</f>
        <v>1</v>
      </c>
      <c r="E220" s="275">
        <f ca="1">OFFSET('Actual RAB roll forward'!H$26,0,D220-1)-SUM('Actual RAB roll forward'!H228:OFFSET('Actual RAB roll forward'!H228,0,Input!$W$7-1))</f>
        <v>0</v>
      </c>
      <c r="F220" s="275">
        <f ca="1">IF(A15stdlife="N/A","n/a",IF(E220=0,0,A15stdlife+D220-Input!$W$7))</f>
        <v>0</v>
      </c>
      <c r="G220" s="276"/>
      <c r="H220" s="667"/>
      <c r="I220" s="280">
        <v>1</v>
      </c>
      <c r="J220" s="275">
        <f ca="1">OFFSET('Tax value roll forward'!G$54,0,I220)-SUM('Tax value roll forward'!G271:OFFSET('Tax value roll forward'!G271,0,Input!$W$7))</f>
        <v>0</v>
      </c>
      <c r="K220" s="275">
        <f ca="1">IF(A15taxstdlife="N/A","n/a",IF(J220=0,0,A15taxstdlife+I220-Input!$W$7))</f>
        <v>0</v>
      </c>
      <c r="L220" s="279"/>
      <c r="M220" s="310"/>
      <c r="N220" s="310"/>
      <c r="O220" s="271"/>
      <c r="P220" s="271"/>
      <c r="Q220" s="271"/>
      <c r="R220" s="271"/>
      <c r="S220" s="258"/>
      <c r="T220" s="258"/>
      <c r="U220" s="258"/>
      <c r="V220" s="258"/>
      <c r="W220" s="258"/>
      <c r="X220" s="258"/>
      <c r="Y220" s="258"/>
      <c r="Z220" s="258"/>
    </row>
    <row r="221" spans="1:26" hidden="1" outlineLevel="1">
      <c r="A221" s="271"/>
      <c r="B221" s="271"/>
      <c r="C221" s="667"/>
      <c r="D221" s="280">
        <f>D$11</f>
        <v>2</v>
      </c>
      <c r="E221" s="275">
        <f ca="1">OFFSET('Actual RAB roll forward'!H$26,0,D221-1)-SUM('Actual RAB roll forward'!H229:OFFSET('Actual RAB roll forward'!H229,0,Input!$W$7-1))</f>
        <v>0</v>
      </c>
      <c r="F221" s="275">
        <f ca="1">IF(A15stdlife="N/A","n/a",IF(E221=0,0,A15stdlife+D221-Input!$W$7))</f>
        <v>0</v>
      </c>
      <c r="G221" s="276"/>
      <c r="H221" s="667"/>
      <c r="I221" s="280">
        <v>2</v>
      </c>
      <c r="J221" s="275">
        <f ca="1">OFFSET('Tax value roll forward'!G$54,0,I221)-SUM('Tax value roll forward'!G272:OFFSET('Tax value roll forward'!G272,0,Input!$W$7))</f>
        <v>0</v>
      </c>
      <c r="K221" s="275">
        <f ca="1">IF(A15taxstdlife="N/A","n/a",IF(J221=0,0,A15taxstdlife+I221-Input!$W$7))</f>
        <v>0</v>
      </c>
      <c r="L221" s="279"/>
      <c r="M221" s="310"/>
      <c r="N221" s="310"/>
      <c r="O221" s="271"/>
      <c r="P221" s="271"/>
      <c r="Q221" s="271"/>
      <c r="R221" s="271"/>
      <c r="S221" s="258"/>
      <c r="T221" s="258"/>
      <c r="U221" s="258"/>
      <c r="V221" s="258"/>
      <c r="W221" s="258"/>
      <c r="X221" s="258"/>
      <c r="Y221" s="258"/>
      <c r="Z221" s="258"/>
    </row>
    <row r="222" spans="1:26" hidden="1" outlineLevel="1">
      <c r="A222" s="271"/>
      <c r="B222" s="271"/>
      <c r="C222" s="667"/>
      <c r="D222" s="280">
        <f>D$12</f>
        <v>3</v>
      </c>
      <c r="E222" s="275">
        <f ca="1">OFFSET('Actual RAB roll forward'!H$26,0,D222-1)-SUM('Actual RAB roll forward'!H230:OFFSET('Actual RAB roll forward'!H230,0,Input!$W$7-1))</f>
        <v>0</v>
      </c>
      <c r="F222" s="275">
        <f ca="1">IF(A15stdlife="N/A","n/a",IF(E222=0,0,A15stdlife+D222-Input!$W$7))</f>
        <v>0</v>
      </c>
      <c r="G222" s="276"/>
      <c r="H222" s="667"/>
      <c r="I222" s="280">
        <v>3</v>
      </c>
      <c r="J222" s="275">
        <f ca="1">OFFSET('Tax value roll forward'!G$54,0,I222)-SUM('Tax value roll forward'!G273:OFFSET('Tax value roll forward'!G273,0,Input!$W$7))</f>
        <v>0</v>
      </c>
      <c r="K222" s="275">
        <f ca="1">IF(A15taxstdlife="N/A","n/a",IF(J222=0,0,A15taxstdlife+I222-Input!$W$7))</f>
        <v>0</v>
      </c>
      <c r="L222" s="279"/>
      <c r="M222" s="310"/>
      <c r="N222" s="310"/>
      <c r="O222" s="271"/>
      <c r="P222" s="271"/>
      <c r="Q222" s="271"/>
      <c r="R222" s="271"/>
      <c r="S222" s="258"/>
      <c r="T222" s="258"/>
      <c r="U222" s="258"/>
      <c r="V222" s="258"/>
      <c r="W222" s="258"/>
      <c r="X222" s="258"/>
      <c r="Y222" s="258"/>
      <c r="Z222" s="258"/>
    </row>
    <row r="223" spans="1:26" hidden="1" outlineLevel="1">
      <c r="A223" s="271"/>
      <c r="B223" s="271"/>
      <c r="C223" s="667"/>
      <c r="D223" s="280">
        <f>D$13</f>
        <v>4</v>
      </c>
      <c r="E223" s="275">
        <f ca="1">OFFSET('Actual RAB roll forward'!H$26,0,D223-1)-SUM('Actual RAB roll forward'!H231:OFFSET('Actual RAB roll forward'!H231,0,Input!$W$7-1))</f>
        <v>0</v>
      </c>
      <c r="F223" s="275">
        <f ca="1">IF(A15stdlife="N/A","n/a",IF(E223=0,0,A15stdlife+D223-Input!$W$7))</f>
        <v>0</v>
      </c>
      <c r="G223" s="276"/>
      <c r="H223" s="667"/>
      <c r="I223" s="280">
        <v>4</v>
      </c>
      <c r="J223" s="275">
        <f ca="1">OFFSET('Tax value roll forward'!G$54,0,I223)-SUM('Tax value roll forward'!G274:OFFSET('Tax value roll forward'!G274,0,Input!$W$7))</f>
        <v>0</v>
      </c>
      <c r="K223" s="275">
        <f ca="1">IF(A15taxstdlife="N/A","n/a",IF(J223=0,0,A15taxstdlife+I223-Input!$W$7))</f>
        <v>0</v>
      </c>
      <c r="L223" s="279"/>
      <c r="M223" s="310"/>
      <c r="N223" s="310"/>
      <c r="O223" s="271"/>
      <c r="P223" s="271"/>
      <c r="Q223" s="271"/>
      <c r="R223" s="271"/>
      <c r="S223" s="258"/>
      <c r="T223" s="258"/>
      <c r="U223" s="258"/>
      <c r="V223" s="258"/>
      <c r="W223" s="258"/>
      <c r="X223" s="258"/>
      <c r="Y223" s="258"/>
      <c r="Z223" s="258"/>
    </row>
    <row r="224" spans="1:26" hidden="1" outlineLevel="1">
      <c r="A224" s="271"/>
      <c r="B224" s="271"/>
      <c r="C224" s="667"/>
      <c r="D224" s="280">
        <f>D$14</f>
        <v>5</v>
      </c>
      <c r="E224" s="275">
        <f ca="1">OFFSET('Actual RAB roll forward'!H$26,0,D224-1)-SUM('Actual RAB roll forward'!H232:OFFSET('Actual RAB roll forward'!H232,0,Input!$W$7-1))</f>
        <v>0</v>
      </c>
      <c r="F224" s="275">
        <f ca="1">IF(A15stdlife="N/A","n/a",IF(E224=0,0,A15stdlife+D224-Input!$W$7))</f>
        <v>0</v>
      </c>
      <c r="G224" s="276"/>
      <c r="H224" s="667"/>
      <c r="I224" s="280">
        <v>5</v>
      </c>
      <c r="J224" s="275">
        <f ca="1">OFFSET('Tax value roll forward'!G$54,0,I224)-SUM('Tax value roll forward'!G275:OFFSET('Tax value roll forward'!G275,0,Input!$W$7))</f>
        <v>0</v>
      </c>
      <c r="K224" s="275">
        <f ca="1">IF(A15taxstdlife="N/A","n/a",IF(J224=0,0,A15taxstdlife+I224-Input!$W$7))</f>
        <v>0</v>
      </c>
      <c r="L224" s="279"/>
      <c r="M224" s="310"/>
      <c r="N224" s="310"/>
      <c r="O224" s="271"/>
      <c r="P224" s="271"/>
      <c r="Q224" s="271"/>
      <c r="R224" s="271"/>
      <c r="S224" s="258"/>
      <c r="T224" s="258"/>
      <c r="U224" s="258"/>
      <c r="V224" s="258"/>
      <c r="W224" s="258"/>
      <c r="X224" s="258"/>
      <c r="Y224" s="258"/>
      <c r="Z224" s="258"/>
    </row>
    <row r="225" spans="1:26" hidden="1" outlineLevel="1">
      <c r="A225" s="271"/>
      <c r="B225" s="271"/>
      <c r="C225" s="667"/>
      <c r="D225" s="280">
        <f>D$15</f>
        <v>6</v>
      </c>
      <c r="E225" s="275">
        <f ca="1">OFFSET('Actual RAB roll forward'!H$26,0,D225-1)-SUM('Actual RAB roll forward'!H233:OFFSET('Actual RAB roll forward'!H233,0,Input!$W$7-1))</f>
        <v>0</v>
      </c>
      <c r="F225" s="275">
        <f ca="1">IF(A15stdlife="N/A","n/a",IF(E225=0,0,A15stdlife+D225-Input!$W$7))</f>
        <v>0</v>
      </c>
      <c r="G225" s="276"/>
      <c r="H225" s="667"/>
      <c r="I225" s="280">
        <v>6</v>
      </c>
      <c r="J225" s="275">
        <f ca="1">OFFSET('Tax value roll forward'!G$54,0,I225)-SUM('Tax value roll forward'!G276:OFFSET('Tax value roll forward'!G276,0,Input!$W$7))</f>
        <v>0</v>
      </c>
      <c r="K225" s="275">
        <f ca="1">IF(A15taxstdlife="N/A","n/a",IF(J225=0,0,A15taxstdlife+I225-Input!$W$7))</f>
        <v>0</v>
      </c>
      <c r="L225" s="279"/>
      <c r="M225" s="310"/>
      <c r="N225" s="310"/>
      <c r="O225" s="271"/>
      <c r="P225" s="271"/>
      <c r="Q225" s="271"/>
      <c r="R225" s="271"/>
      <c r="S225" s="258"/>
      <c r="T225" s="258"/>
      <c r="U225" s="258"/>
      <c r="V225" s="258"/>
      <c r="W225" s="258"/>
      <c r="X225" s="258"/>
      <c r="Y225" s="258"/>
      <c r="Z225" s="258"/>
    </row>
    <row r="226" spans="1:26" hidden="1" outlineLevel="1">
      <c r="A226" s="271"/>
      <c r="B226" s="271"/>
      <c r="C226" s="667"/>
      <c r="D226" s="280">
        <f>D$16</f>
        <v>7</v>
      </c>
      <c r="E226" s="275">
        <f ca="1">OFFSET('Actual RAB roll forward'!H$26,0,D226-1)-SUM('Actual RAB roll forward'!H234:OFFSET('Actual RAB roll forward'!H234,0,Input!$W$7-1))</f>
        <v>0</v>
      </c>
      <c r="F226" s="275">
        <f ca="1">IF(A15stdlife="N/A","n/a",IF(E226=0,0,A15stdlife+D226-Input!$W$7))</f>
        <v>0</v>
      </c>
      <c r="G226" s="276"/>
      <c r="H226" s="667"/>
      <c r="I226" s="280">
        <v>7</v>
      </c>
      <c r="J226" s="275">
        <f ca="1">OFFSET('Tax value roll forward'!G$54,0,I226)-SUM('Tax value roll forward'!G277:OFFSET('Tax value roll forward'!G277,0,Input!$W$7))</f>
        <v>0</v>
      </c>
      <c r="K226" s="275">
        <f ca="1">IF(A15taxstdlife="N/A","n/a",IF(J226=0,0,A15taxstdlife+I226-Input!$W$7))</f>
        <v>0</v>
      </c>
      <c r="L226" s="279"/>
      <c r="M226" s="310"/>
      <c r="N226" s="310"/>
      <c r="O226" s="271"/>
      <c r="P226" s="271"/>
      <c r="Q226" s="271"/>
      <c r="R226" s="271"/>
      <c r="S226" s="258"/>
      <c r="T226" s="258"/>
      <c r="U226" s="258"/>
      <c r="V226" s="258"/>
      <c r="W226" s="258"/>
      <c r="X226" s="258"/>
      <c r="Y226" s="258"/>
      <c r="Z226" s="258"/>
    </row>
    <row r="227" spans="1:26" hidden="1" outlineLevel="1">
      <c r="A227" s="271"/>
      <c r="B227" s="271"/>
      <c r="C227" s="667"/>
      <c r="D227" s="280">
        <f>D$17</f>
        <v>8</v>
      </c>
      <c r="E227" s="275">
        <f ca="1">OFFSET('Actual RAB roll forward'!H$26,0,D227-1)-SUM('Actual RAB roll forward'!H235:OFFSET('Actual RAB roll forward'!H235,0,Input!$W$7-1))</f>
        <v>0</v>
      </c>
      <c r="F227" s="275">
        <f ca="1">IF(A15stdlife="N/A","n/a",IF(E227=0,0,A15stdlife+D227-Input!$W$7))</f>
        <v>0</v>
      </c>
      <c r="G227" s="276"/>
      <c r="H227" s="667"/>
      <c r="I227" s="280">
        <v>8</v>
      </c>
      <c r="J227" s="275">
        <f ca="1">OFFSET('Tax value roll forward'!G$54,0,I227)-SUM('Tax value roll forward'!G278:OFFSET('Tax value roll forward'!G278,0,Input!$W$7))</f>
        <v>0</v>
      </c>
      <c r="K227" s="275">
        <f ca="1">IF(A15taxstdlife="N/A","n/a",IF(J227=0,0,A15taxstdlife+I227-Input!$W$7))</f>
        <v>0</v>
      </c>
      <c r="L227" s="279"/>
      <c r="M227" s="310"/>
      <c r="N227" s="310"/>
      <c r="O227" s="271"/>
      <c r="P227" s="271"/>
      <c r="Q227" s="271"/>
      <c r="R227" s="271"/>
      <c r="S227" s="258"/>
      <c r="T227" s="258"/>
      <c r="U227" s="258"/>
      <c r="V227" s="258"/>
      <c r="W227" s="258"/>
      <c r="X227" s="258"/>
      <c r="Y227" s="258"/>
      <c r="Z227" s="258"/>
    </row>
    <row r="228" spans="1:26" hidden="1" outlineLevel="1">
      <c r="A228" s="271"/>
      <c r="B228" s="271"/>
      <c r="C228" s="667"/>
      <c r="D228" s="280">
        <f>D$18</f>
        <v>9</v>
      </c>
      <c r="E228" s="275">
        <f ca="1">OFFSET('Actual RAB roll forward'!H$26,0,D228-1)-SUM('Actual RAB roll forward'!H236:OFFSET('Actual RAB roll forward'!H236,0,Input!$W$7-1))</f>
        <v>0</v>
      </c>
      <c r="F228" s="275">
        <f ca="1">IF(A15stdlife="N/A","n/a",IF(E228=0,0,A15stdlife+D228-Input!$W$7))</f>
        <v>0</v>
      </c>
      <c r="G228" s="276"/>
      <c r="H228" s="667"/>
      <c r="I228" s="280">
        <v>9</v>
      </c>
      <c r="J228" s="275">
        <f ca="1">OFFSET('Tax value roll forward'!G$54,0,I228)-SUM('Tax value roll forward'!G279:OFFSET('Tax value roll forward'!G279,0,Input!$W$7))</f>
        <v>0</v>
      </c>
      <c r="K228" s="275">
        <f ca="1">IF(A15taxstdlife="N/A","n/a",IF(J228=0,0,A15taxstdlife+I228-Input!$W$7))</f>
        <v>0</v>
      </c>
      <c r="L228" s="279"/>
      <c r="M228" s="310"/>
      <c r="N228" s="310"/>
      <c r="O228" s="271"/>
      <c r="P228" s="271"/>
      <c r="Q228" s="271"/>
      <c r="R228" s="271"/>
      <c r="S228" s="258"/>
      <c r="T228" s="258"/>
      <c r="U228" s="258"/>
      <c r="V228" s="258"/>
      <c r="W228" s="258"/>
      <c r="X228" s="258"/>
      <c r="Y228" s="258"/>
      <c r="Z228" s="258"/>
    </row>
    <row r="229" spans="1:26" hidden="1" outlineLevel="1">
      <c r="A229" s="271"/>
      <c r="B229" s="271"/>
      <c r="C229" s="668"/>
      <c r="D229" s="281">
        <f>D$19</f>
        <v>10</v>
      </c>
      <c r="E229" s="275">
        <f ca="1">OFFSET('Actual RAB roll forward'!H$26,0,D229-1)-SUM('Actual RAB roll forward'!H237:OFFSET('Actual RAB roll forward'!H237,0,Input!$W$7-1))</f>
        <v>0</v>
      </c>
      <c r="F229" s="275">
        <f ca="1">IF(A15stdlife="N/A","n/a",IF(E229=0,0,A15stdlife+D229-Input!$W$7))</f>
        <v>0</v>
      </c>
      <c r="G229" s="276"/>
      <c r="H229" s="668"/>
      <c r="I229" s="281">
        <v>10</v>
      </c>
      <c r="J229" s="275">
        <f ca="1">OFFSET('Tax value roll forward'!G$54,0,I229)-SUM('Tax value roll forward'!G280:OFFSET('Tax value roll forward'!G280,0,Input!$W$7))</f>
        <v>0</v>
      </c>
      <c r="K229" s="275">
        <f ca="1">IF(A15taxstdlife="N/A","n/a",IF(J229=0,0,A15taxstdlife+I229-Input!$W$7))</f>
        <v>0</v>
      </c>
      <c r="M229" s="310"/>
      <c r="N229" s="310"/>
      <c r="O229" s="271"/>
      <c r="P229" s="271"/>
      <c r="Q229" s="271"/>
      <c r="R229" s="271"/>
      <c r="S229" s="258"/>
      <c r="T229" s="258"/>
      <c r="U229" s="258"/>
      <c r="V229" s="258"/>
      <c r="W229" s="258"/>
      <c r="X229" s="258"/>
      <c r="Y229" s="258"/>
      <c r="Z229" s="258"/>
    </row>
    <row r="230" spans="1:26" collapsed="1">
      <c r="A230" s="271"/>
      <c r="B230" s="271"/>
      <c r="C230" s="291">
        <f>Asset15</f>
        <v>0</v>
      </c>
      <c r="D230" s="271"/>
      <c r="E230" s="275">
        <f ca="1">SUM(E218:E229)</f>
        <v>0</v>
      </c>
      <c r="F230" s="275">
        <f ca="1">IF(E230=0,0,SUMPRODUCT(E218:E229,F218:F229)/E230)</f>
        <v>0</v>
      </c>
      <c r="G230" s="276"/>
      <c r="H230" s="283"/>
      <c r="I230" s="275"/>
      <c r="J230" s="309">
        <f ca="1">SUM(J218:J229)</f>
        <v>0</v>
      </c>
      <c r="K230" s="309">
        <f ca="1">IF(J230=0,0,SUMPRODUCT(J218:J229,K218:K229)/J230)</f>
        <v>0</v>
      </c>
      <c r="L230" s="279"/>
      <c r="M230" s="310"/>
      <c r="N230" s="310"/>
      <c r="O230" s="271"/>
      <c r="P230" s="271"/>
      <c r="Q230" s="271"/>
      <c r="R230" s="271"/>
      <c r="S230" s="258"/>
      <c r="T230" s="258"/>
      <c r="U230" s="258"/>
      <c r="V230" s="258"/>
      <c r="W230" s="258"/>
      <c r="X230" s="258"/>
      <c r="Y230" s="258"/>
      <c r="Z230" s="258"/>
    </row>
    <row r="231" spans="1:26" hidden="1" outlineLevel="1">
      <c r="A231" s="271"/>
      <c r="B231" s="271"/>
      <c r="C231" s="291"/>
      <c r="D231" s="271"/>
      <c r="E231" s="275"/>
      <c r="F231" s="275"/>
      <c r="G231" s="276"/>
      <c r="H231" s="275"/>
      <c r="I231" s="275"/>
      <c r="J231" s="289"/>
      <c r="K231" s="275"/>
      <c r="L231" s="279"/>
      <c r="M231" s="310"/>
      <c r="N231" s="310"/>
      <c r="O231" s="271"/>
      <c r="P231" s="271"/>
      <c r="Q231" s="271"/>
      <c r="R231" s="271"/>
      <c r="S231" s="258"/>
      <c r="T231" s="258"/>
      <c r="U231" s="258"/>
      <c r="V231" s="258"/>
      <c r="W231" s="258"/>
      <c r="X231" s="258"/>
      <c r="Y231" s="258"/>
      <c r="Z231" s="258"/>
    </row>
    <row r="232" spans="1:26" hidden="1" outlineLevel="1">
      <c r="A232" s="271"/>
      <c r="B232" s="274">
        <f>Asset16</f>
        <v>0</v>
      </c>
      <c r="C232" s="271"/>
      <c r="D232" s="271"/>
      <c r="E232" s="292"/>
      <c r="F232" s="292"/>
      <c r="G232" s="276"/>
      <c r="H232" s="275"/>
      <c r="I232" s="275"/>
      <c r="J232" s="289"/>
      <c r="K232" s="275"/>
      <c r="L232" s="279"/>
      <c r="M232" s="310"/>
      <c r="N232" s="310"/>
      <c r="O232" s="271"/>
      <c r="P232" s="271"/>
      <c r="Q232" s="271"/>
      <c r="R232" s="271"/>
      <c r="S232" s="258"/>
      <c r="T232" s="258"/>
      <c r="U232" s="258"/>
      <c r="V232" s="258"/>
      <c r="W232" s="258"/>
      <c r="X232" s="258"/>
      <c r="Y232" s="258"/>
      <c r="Z232" s="258"/>
    </row>
    <row r="233" spans="1:26" ht="12.75" hidden="1" customHeight="1" outlineLevel="1">
      <c r="A233" s="271"/>
      <c r="B233" s="292"/>
      <c r="C233" s="659" t="s">
        <v>28</v>
      </c>
      <c r="D233" s="660"/>
      <c r="E233" s="275">
        <f ca="1">A16value-SUM('Actual RAB roll forward'!H239:OFFSET('Actual RAB roll forward'!H239,0,Input!$W$7-1))</f>
        <v>0</v>
      </c>
      <c r="F233" s="275">
        <f ca="1">IF(A16remlife="N/A","n/a",IF(E233=0,0,A16remlife-Input!$W$7))</f>
        <v>0</v>
      </c>
      <c r="G233" s="276"/>
      <c r="H233" s="277" t="s">
        <v>67</v>
      </c>
      <c r="I233" s="278"/>
      <c r="J233" s="275">
        <f ca="1">A16taxvalue-SUM('Tax value roll forward'!G282:OFFSET('Tax value roll forward'!G282,0,Input!$W$7))</f>
        <v>0</v>
      </c>
      <c r="K233" s="275">
        <f ca="1">IF(A16taxremlife="N/A","n/a",IF(J233=0,0,A16taxremlife-Input!$W$7-1))</f>
        <v>0</v>
      </c>
      <c r="L233" s="279"/>
      <c r="M233" s="310"/>
      <c r="N233" s="310"/>
      <c r="O233" s="271"/>
      <c r="P233" s="271"/>
      <c r="Q233" s="271"/>
      <c r="R233" s="271"/>
      <c r="S233" s="258"/>
      <c r="T233" s="258"/>
      <c r="U233" s="258"/>
      <c r="V233" s="258"/>
      <c r="W233" s="258"/>
      <c r="X233" s="258"/>
      <c r="Y233" s="258"/>
      <c r="Z233" s="258"/>
    </row>
    <row r="234" spans="1:26" ht="12.75" hidden="1" customHeight="1" outlineLevel="1">
      <c r="A234" s="271"/>
      <c r="B234" s="292"/>
      <c r="C234" s="666" t="s">
        <v>84</v>
      </c>
      <c r="D234" s="320">
        <f>D$9</f>
        <v>0</v>
      </c>
      <c r="E234" s="275"/>
      <c r="F234" s="275"/>
      <c r="G234" s="276"/>
      <c r="H234" s="666" t="s">
        <v>84</v>
      </c>
      <c r="I234" s="320">
        <v>0</v>
      </c>
      <c r="J234" s="275">
        <f ca="1">OFFSET('Tax value roll forward'!G$55,0,I234)-SUM('Tax value roll forward'!G284:OFFSET('Tax value roll forward'!G284,0,Input!$W$7))</f>
        <v>0</v>
      </c>
      <c r="K234" s="275">
        <f ca="1">IF(A16taxstdlife="N/A","n/a",IF(J234=0,0,A16taxstdlife+I234-Input!$W$7))</f>
        <v>0</v>
      </c>
      <c r="L234" s="279"/>
      <c r="M234" s="310"/>
      <c r="N234" s="310"/>
      <c r="O234" s="271"/>
      <c r="P234" s="271"/>
      <c r="Q234" s="271"/>
      <c r="R234" s="271"/>
      <c r="S234" s="258"/>
      <c r="T234" s="258"/>
      <c r="U234" s="258"/>
      <c r="V234" s="258"/>
      <c r="W234" s="258"/>
      <c r="X234" s="258"/>
      <c r="Y234" s="258"/>
      <c r="Z234" s="258"/>
    </row>
    <row r="235" spans="1:26" ht="12.75" hidden="1" customHeight="1" outlineLevel="1">
      <c r="A235" s="271"/>
      <c r="B235" s="271"/>
      <c r="C235" s="667"/>
      <c r="D235" s="280">
        <f>D$10</f>
        <v>1</v>
      </c>
      <c r="E235" s="275">
        <f ca="1">OFFSET('Actual RAB roll forward'!H$27,0,D235-1)-SUM('Actual RAB roll forward'!H241:OFFSET('Actual RAB roll forward'!H241,0,Input!$W$7-1))</f>
        <v>0</v>
      </c>
      <c r="F235" s="275">
        <f ca="1">IF(A16stdlife="N/A","n/a",IF(E235=0,0,A16stdlife+D235-Input!$W$7))</f>
        <v>0</v>
      </c>
      <c r="G235" s="276"/>
      <c r="H235" s="667"/>
      <c r="I235" s="280">
        <v>1</v>
      </c>
      <c r="J235" s="275">
        <f ca="1">OFFSET('Tax value roll forward'!G$55,0,I235)-SUM('Tax value roll forward'!G285:OFFSET('Tax value roll forward'!G285,0,Input!$W$7))</f>
        <v>0</v>
      </c>
      <c r="K235" s="275">
        <f ca="1">IF(A16taxstdlife="N/A","n/a",IF(J235=0,0,A16taxstdlife+I235-Input!$W$7))</f>
        <v>0</v>
      </c>
      <c r="L235" s="279"/>
      <c r="M235" s="310"/>
      <c r="N235" s="310"/>
      <c r="O235" s="271"/>
      <c r="P235" s="271"/>
      <c r="Q235" s="271"/>
      <c r="R235" s="271"/>
      <c r="S235" s="258"/>
      <c r="T235" s="258"/>
      <c r="U235" s="258"/>
      <c r="V235" s="258"/>
      <c r="W235" s="258"/>
      <c r="X235" s="258"/>
      <c r="Y235" s="258"/>
      <c r="Z235" s="258"/>
    </row>
    <row r="236" spans="1:26" hidden="1" outlineLevel="1">
      <c r="A236" s="271"/>
      <c r="B236" s="271"/>
      <c r="C236" s="667"/>
      <c r="D236" s="280">
        <f>D$11</f>
        <v>2</v>
      </c>
      <c r="E236" s="275">
        <f ca="1">OFFSET('Actual RAB roll forward'!H$27,0,D236-1)-SUM('Actual RAB roll forward'!H242:OFFSET('Actual RAB roll forward'!H242,0,Input!$W$7-1))</f>
        <v>0</v>
      </c>
      <c r="F236" s="275">
        <f ca="1">IF(A16stdlife="N/A","n/a",IF(E236=0,0,A16stdlife+D236-Input!$W$7))</f>
        <v>0</v>
      </c>
      <c r="G236" s="276"/>
      <c r="H236" s="667"/>
      <c r="I236" s="280">
        <v>2</v>
      </c>
      <c r="J236" s="275">
        <f ca="1">OFFSET('Tax value roll forward'!G$55,0,I236)-SUM('Tax value roll forward'!G286:OFFSET('Tax value roll forward'!G286,0,Input!$W$7))</f>
        <v>0</v>
      </c>
      <c r="K236" s="275">
        <f ca="1">IF(A16taxstdlife="N/A","n/a",IF(J236=0,0,A16taxstdlife+I236-Input!$W$7))</f>
        <v>0</v>
      </c>
      <c r="L236" s="279"/>
      <c r="M236" s="310"/>
      <c r="N236" s="310"/>
      <c r="O236" s="271"/>
      <c r="P236" s="271"/>
      <c r="Q236" s="271"/>
      <c r="R236" s="271"/>
      <c r="S236" s="258"/>
      <c r="T236" s="258"/>
      <c r="U236" s="258"/>
      <c r="V236" s="258"/>
      <c r="W236" s="258"/>
      <c r="X236" s="258"/>
      <c r="Y236" s="258"/>
      <c r="Z236" s="258"/>
    </row>
    <row r="237" spans="1:26" hidden="1" outlineLevel="1">
      <c r="A237" s="271"/>
      <c r="B237" s="271"/>
      <c r="C237" s="667"/>
      <c r="D237" s="280">
        <f>D$12</f>
        <v>3</v>
      </c>
      <c r="E237" s="275">
        <f ca="1">OFFSET('Actual RAB roll forward'!H$27,0,D237-1)-SUM('Actual RAB roll forward'!H243:OFFSET('Actual RAB roll forward'!H243,0,Input!$W$7-1))</f>
        <v>0</v>
      </c>
      <c r="F237" s="275">
        <f ca="1">IF(A16stdlife="N/A","n/a",IF(E237=0,0,A16stdlife+D237-Input!$W$7))</f>
        <v>0</v>
      </c>
      <c r="G237" s="276"/>
      <c r="H237" s="667"/>
      <c r="I237" s="280">
        <v>3</v>
      </c>
      <c r="J237" s="275">
        <f ca="1">OFFSET('Tax value roll forward'!G$55,0,I237)-SUM('Tax value roll forward'!G287:OFFSET('Tax value roll forward'!G287,0,Input!$W$7))</f>
        <v>0</v>
      </c>
      <c r="K237" s="275">
        <f ca="1">IF(A16taxstdlife="N/A","n/a",IF(J237=0,0,A16taxstdlife+I237-Input!$W$7))</f>
        <v>0</v>
      </c>
      <c r="L237" s="279"/>
      <c r="M237" s="310"/>
      <c r="N237" s="310"/>
      <c r="O237" s="271"/>
      <c r="P237" s="271"/>
      <c r="Q237" s="271"/>
      <c r="R237" s="271"/>
      <c r="S237" s="258"/>
      <c r="T237" s="258"/>
      <c r="U237" s="258"/>
      <c r="V237" s="258"/>
      <c r="W237" s="258"/>
      <c r="X237" s="258"/>
      <c r="Y237" s="258"/>
      <c r="Z237" s="258"/>
    </row>
    <row r="238" spans="1:26" hidden="1" outlineLevel="1">
      <c r="A238" s="271"/>
      <c r="B238" s="271"/>
      <c r="C238" s="667"/>
      <c r="D238" s="280">
        <f>D$13</f>
        <v>4</v>
      </c>
      <c r="E238" s="275">
        <f ca="1">OFFSET('Actual RAB roll forward'!H$27,0,D238-1)-SUM('Actual RAB roll forward'!H244:OFFSET('Actual RAB roll forward'!H244,0,Input!$W$7-1))</f>
        <v>0</v>
      </c>
      <c r="F238" s="275">
        <f ca="1">IF(A16stdlife="N/A","n/a",IF(E238=0,0,A16stdlife+D238-Input!$W$7))</f>
        <v>0</v>
      </c>
      <c r="G238" s="276"/>
      <c r="H238" s="667"/>
      <c r="I238" s="280">
        <v>4</v>
      </c>
      <c r="J238" s="275">
        <f ca="1">OFFSET('Tax value roll forward'!G$55,0,I238)-SUM('Tax value roll forward'!G288:OFFSET('Tax value roll forward'!G288,0,Input!$W$7))</f>
        <v>0</v>
      </c>
      <c r="K238" s="275">
        <f ca="1">IF(A16taxstdlife="N/A","n/a",IF(J238=0,0,A16taxstdlife+I238-Input!$W$7))</f>
        <v>0</v>
      </c>
      <c r="L238" s="279"/>
      <c r="M238" s="310"/>
      <c r="N238" s="310"/>
      <c r="O238" s="271"/>
      <c r="P238" s="271"/>
      <c r="Q238" s="271"/>
      <c r="R238" s="271"/>
      <c r="S238" s="258"/>
      <c r="T238" s="258"/>
      <c r="U238" s="258"/>
      <c r="V238" s="258"/>
      <c r="W238" s="258"/>
      <c r="X238" s="258"/>
      <c r="Y238" s="258"/>
      <c r="Z238" s="258"/>
    </row>
    <row r="239" spans="1:26" hidden="1" outlineLevel="1">
      <c r="A239" s="271"/>
      <c r="B239" s="271"/>
      <c r="C239" s="667"/>
      <c r="D239" s="280">
        <f>D$14</f>
        <v>5</v>
      </c>
      <c r="E239" s="275">
        <f ca="1">OFFSET('Actual RAB roll forward'!H$27,0,D239-1)-SUM('Actual RAB roll forward'!H245:OFFSET('Actual RAB roll forward'!H245,0,Input!$W$7-1))</f>
        <v>0</v>
      </c>
      <c r="F239" s="275">
        <f ca="1">IF(A16stdlife="N/A","n/a",IF(E239=0,0,A16stdlife+D239-Input!$W$7))</f>
        <v>0</v>
      </c>
      <c r="G239" s="276"/>
      <c r="H239" s="667"/>
      <c r="I239" s="280">
        <v>5</v>
      </c>
      <c r="J239" s="275">
        <f ca="1">OFFSET('Tax value roll forward'!G$55,0,I239)-SUM('Tax value roll forward'!G289:OFFSET('Tax value roll forward'!G289,0,Input!$W$7))</f>
        <v>0</v>
      </c>
      <c r="K239" s="275">
        <f ca="1">IF(A16taxstdlife="N/A","n/a",IF(J239=0,0,A16taxstdlife+I239-Input!$W$7))</f>
        <v>0</v>
      </c>
      <c r="L239" s="279"/>
      <c r="M239" s="310"/>
      <c r="N239" s="310"/>
      <c r="O239" s="271"/>
      <c r="P239" s="271"/>
      <c r="Q239" s="271"/>
      <c r="R239" s="271"/>
      <c r="S239" s="258"/>
      <c r="T239" s="258"/>
      <c r="U239" s="258"/>
      <c r="V239" s="258"/>
      <c r="W239" s="258"/>
      <c r="X239" s="258"/>
      <c r="Y239" s="258"/>
      <c r="Z239" s="258"/>
    </row>
    <row r="240" spans="1:26" hidden="1" outlineLevel="1">
      <c r="A240" s="271"/>
      <c r="B240" s="271"/>
      <c r="C240" s="667"/>
      <c r="D240" s="280">
        <f>D$15</f>
        <v>6</v>
      </c>
      <c r="E240" s="275">
        <f ca="1">OFFSET('Actual RAB roll forward'!H$27,0,D240-1)-SUM('Actual RAB roll forward'!H246:OFFSET('Actual RAB roll forward'!H246,0,Input!$W$7-1))</f>
        <v>0</v>
      </c>
      <c r="F240" s="275">
        <f ca="1">IF(A16stdlife="N/A","n/a",IF(E240=0,0,A16stdlife+D240-Input!$W$7))</f>
        <v>0</v>
      </c>
      <c r="G240" s="276"/>
      <c r="H240" s="667"/>
      <c r="I240" s="280">
        <v>6</v>
      </c>
      <c r="J240" s="275">
        <f ca="1">OFFSET('Tax value roll forward'!G$55,0,I240)-SUM('Tax value roll forward'!G290:OFFSET('Tax value roll forward'!G290,0,Input!$W$7))</f>
        <v>0</v>
      </c>
      <c r="K240" s="275">
        <f ca="1">IF(A16taxstdlife="N/A","n/a",IF(J240=0,0,A16taxstdlife+I240-Input!$W$7))</f>
        <v>0</v>
      </c>
      <c r="L240" s="279"/>
      <c r="M240" s="310"/>
      <c r="N240" s="310"/>
      <c r="O240" s="271"/>
      <c r="P240" s="271"/>
      <c r="Q240" s="271"/>
      <c r="R240" s="271"/>
      <c r="S240" s="258"/>
      <c r="T240" s="258"/>
      <c r="U240" s="258"/>
      <c r="V240" s="258"/>
      <c r="W240" s="258"/>
      <c r="X240" s="258"/>
      <c r="Y240" s="258"/>
      <c r="Z240" s="258"/>
    </row>
    <row r="241" spans="1:26" hidden="1" outlineLevel="1">
      <c r="A241" s="271"/>
      <c r="B241" s="271"/>
      <c r="C241" s="667"/>
      <c r="D241" s="280">
        <f>D$16</f>
        <v>7</v>
      </c>
      <c r="E241" s="275">
        <f ca="1">OFFSET('Actual RAB roll forward'!H$27,0,D241-1)-SUM('Actual RAB roll forward'!H247:OFFSET('Actual RAB roll forward'!H247,0,Input!$W$7-1))</f>
        <v>0</v>
      </c>
      <c r="F241" s="275">
        <f ca="1">IF(A16stdlife="N/A","n/a",IF(E241=0,0,A16stdlife+D241-Input!$W$7))</f>
        <v>0</v>
      </c>
      <c r="G241" s="276"/>
      <c r="H241" s="667"/>
      <c r="I241" s="280">
        <v>7</v>
      </c>
      <c r="J241" s="275">
        <f ca="1">OFFSET('Tax value roll forward'!G$55,0,I241)-SUM('Tax value roll forward'!G291:OFFSET('Tax value roll forward'!G291,0,Input!$W$7))</f>
        <v>0</v>
      </c>
      <c r="K241" s="275">
        <f ca="1">IF(A16taxstdlife="N/A","n/a",IF(J241=0,0,A16taxstdlife+I241-Input!$W$7))</f>
        <v>0</v>
      </c>
      <c r="L241" s="279"/>
      <c r="M241" s="310"/>
      <c r="N241" s="310"/>
      <c r="O241" s="271"/>
      <c r="P241" s="271"/>
      <c r="Q241" s="271"/>
      <c r="R241" s="271"/>
      <c r="S241" s="258"/>
      <c r="T241" s="258"/>
      <c r="U241" s="258"/>
      <c r="V241" s="258"/>
      <c r="W241" s="258"/>
      <c r="X241" s="258"/>
      <c r="Y241" s="258"/>
      <c r="Z241" s="258"/>
    </row>
    <row r="242" spans="1:26" hidden="1" outlineLevel="1">
      <c r="A242" s="271"/>
      <c r="B242" s="271"/>
      <c r="C242" s="667"/>
      <c r="D242" s="280">
        <f>D$17</f>
        <v>8</v>
      </c>
      <c r="E242" s="275">
        <f ca="1">OFFSET('Actual RAB roll forward'!H$27,0,D242-1)-SUM('Actual RAB roll forward'!H248:OFFSET('Actual RAB roll forward'!H248,0,Input!$W$7-1))</f>
        <v>0</v>
      </c>
      <c r="F242" s="275">
        <f ca="1">IF(A16stdlife="N/A","n/a",IF(E242=0,0,A16stdlife+D242-Input!$W$7))</f>
        <v>0</v>
      </c>
      <c r="G242" s="276"/>
      <c r="H242" s="667"/>
      <c r="I242" s="280">
        <v>8</v>
      </c>
      <c r="J242" s="275">
        <f ca="1">OFFSET('Tax value roll forward'!G$55,0,I242)-SUM('Tax value roll forward'!G292:OFFSET('Tax value roll forward'!G292,0,Input!$W$7))</f>
        <v>0</v>
      </c>
      <c r="K242" s="275">
        <f ca="1">IF(A16taxstdlife="N/A","n/a",IF(J242=0,0,A16taxstdlife+I242-Input!$W$7))</f>
        <v>0</v>
      </c>
      <c r="L242" s="279"/>
      <c r="M242" s="310"/>
      <c r="N242" s="310"/>
      <c r="O242" s="271"/>
      <c r="P242" s="271"/>
      <c r="Q242" s="271"/>
      <c r="R242" s="271"/>
      <c r="S242" s="258"/>
      <c r="T242" s="258"/>
      <c r="U242" s="258"/>
      <c r="V242" s="258"/>
      <c r="W242" s="258"/>
      <c r="X242" s="258"/>
      <c r="Y242" s="258"/>
      <c r="Z242" s="258"/>
    </row>
    <row r="243" spans="1:26" hidden="1" outlineLevel="1">
      <c r="A243" s="271"/>
      <c r="B243" s="271"/>
      <c r="C243" s="667"/>
      <c r="D243" s="280">
        <f>D$18</f>
        <v>9</v>
      </c>
      <c r="E243" s="275">
        <f ca="1">OFFSET('Actual RAB roll forward'!H$27,0,D243-1)-SUM('Actual RAB roll forward'!H249:OFFSET('Actual RAB roll forward'!H249,0,Input!$W$7-1))</f>
        <v>0</v>
      </c>
      <c r="F243" s="275">
        <f ca="1">IF(A16stdlife="N/A","n/a",IF(E243=0,0,A16stdlife+D243-Input!$W$7))</f>
        <v>0</v>
      </c>
      <c r="G243" s="276"/>
      <c r="H243" s="667"/>
      <c r="I243" s="280">
        <v>9</v>
      </c>
      <c r="J243" s="275">
        <f ca="1">OFFSET('Tax value roll forward'!G$55,0,I243)-SUM('Tax value roll forward'!G293:OFFSET('Tax value roll forward'!G293,0,Input!$W$7))</f>
        <v>0</v>
      </c>
      <c r="K243" s="275">
        <f ca="1">IF(A16taxstdlife="N/A","n/a",IF(J243=0,0,A16taxstdlife+I243-Input!$W$7))</f>
        <v>0</v>
      </c>
      <c r="L243" s="279"/>
      <c r="M243" s="310"/>
      <c r="N243" s="310"/>
      <c r="O243" s="271"/>
      <c r="P243" s="271"/>
      <c r="Q243" s="271"/>
      <c r="R243" s="271"/>
      <c r="S243" s="258"/>
      <c r="T243" s="258"/>
      <c r="U243" s="258"/>
      <c r="V243" s="258"/>
      <c r="W243" s="258"/>
      <c r="X243" s="258"/>
      <c r="Y243" s="258"/>
      <c r="Z243" s="258"/>
    </row>
    <row r="244" spans="1:26" hidden="1" outlineLevel="1">
      <c r="A244" s="271"/>
      <c r="B244" s="271"/>
      <c r="C244" s="668"/>
      <c r="D244" s="281">
        <f>D$19</f>
        <v>10</v>
      </c>
      <c r="E244" s="275">
        <f ca="1">OFFSET('Actual RAB roll forward'!H$27,0,D244-1)-SUM('Actual RAB roll forward'!H250:OFFSET('Actual RAB roll forward'!H250,0,Input!$W$7-1))</f>
        <v>0</v>
      </c>
      <c r="F244" s="275">
        <f ca="1">IF(A16stdlife="N/A","n/a",IF(E244=0,0,A16stdlife+D244-Input!$W$7))</f>
        <v>0</v>
      </c>
      <c r="G244" s="276"/>
      <c r="H244" s="668"/>
      <c r="I244" s="281">
        <v>10</v>
      </c>
      <c r="J244" s="275">
        <f ca="1">OFFSET('Tax value roll forward'!G$55,0,I244)-SUM('Tax value roll forward'!G294:OFFSET('Tax value roll forward'!G294,0,Input!$W$7))</f>
        <v>0</v>
      </c>
      <c r="K244" s="275">
        <f ca="1">IF(A16taxstdlife="N/A","n/a",IF(J244=0,0,A16taxstdlife+I244-Input!$W$7))</f>
        <v>0</v>
      </c>
      <c r="M244" s="310"/>
      <c r="N244" s="310"/>
      <c r="O244" s="271"/>
      <c r="P244" s="271"/>
      <c r="Q244" s="271"/>
      <c r="R244" s="271"/>
      <c r="S244" s="258"/>
      <c r="T244" s="258"/>
      <c r="U244" s="258"/>
      <c r="V244" s="258"/>
      <c r="W244" s="258"/>
      <c r="X244" s="258"/>
      <c r="Y244" s="258"/>
      <c r="Z244" s="258"/>
    </row>
    <row r="245" spans="1:26" collapsed="1">
      <c r="A245" s="271"/>
      <c r="B245" s="271"/>
      <c r="C245" s="291">
        <f>Asset16</f>
        <v>0</v>
      </c>
      <c r="D245" s="271"/>
      <c r="E245" s="275">
        <f ca="1">SUM(E233:E244)</f>
        <v>0</v>
      </c>
      <c r="F245" s="275">
        <f ca="1">IF(E245=0,0,SUMPRODUCT(E233:E244,F233:F244)/E245)</f>
        <v>0</v>
      </c>
      <c r="G245" s="276"/>
      <c r="H245" s="283"/>
      <c r="I245" s="275"/>
      <c r="J245" s="309">
        <f ca="1">SUM(J233:J244)</f>
        <v>0</v>
      </c>
      <c r="K245" s="309">
        <f ca="1">IF(J245=0,0,SUMPRODUCT(J233:J244,K233:K244)/J245)</f>
        <v>0</v>
      </c>
      <c r="L245" s="279"/>
      <c r="M245" s="310"/>
      <c r="N245" s="310"/>
      <c r="O245" s="271"/>
      <c r="P245" s="271"/>
      <c r="Q245" s="271"/>
      <c r="R245" s="271"/>
      <c r="S245" s="258"/>
      <c r="T245" s="258"/>
      <c r="U245" s="258"/>
      <c r="V245" s="258"/>
      <c r="W245" s="258"/>
      <c r="X245" s="258"/>
      <c r="Y245" s="258"/>
      <c r="Z245" s="258"/>
    </row>
    <row r="246" spans="1:26" hidden="1" outlineLevel="1">
      <c r="A246" s="271"/>
      <c r="B246" s="271"/>
      <c r="C246" s="291"/>
      <c r="D246" s="271"/>
      <c r="E246" s="275"/>
      <c r="F246" s="275"/>
      <c r="G246" s="276"/>
      <c r="H246" s="275"/>
      <c r="I246" s="275"/>
      <c r="J246" s="289"/>
      <c r="K246" s="275"/>
      <c r="L246" s="279"/>
      <c r="M246" s="310"/>
      <c r="N246" s="310"/>
      <c r="O246" s="271"/>
      <c r="P246" s="271"/>
      <c r="Q246" s="271"/>
      <c r="R246" s="271"/>
      <c r="S246" s="258"/>
      <c r="T246" s="258"/>
      <c r="U246" s="258"/>
      <c r="V246" s="258"/>
      <c r="W246" s="258"/>
      <c r="X246" s="258"/>
      <c r="Y246" s="258"/>
      <c r="Z246" s="258"/>
    </row>
    <row r="247" spans="1:26" hidden="1" outlineLevel="1">
      <c r="A247" s="271"/>
      <c r="B247" s="274">
        <f>Asset17</f>
        <v>0</v>
      </c>
      <c r="C247" s="271"/>
      <c r="D247" s="271"/>
      <c r="E247" s="292"/>
      <c r="F247" s="292"/>
      <c r="G247" s="276"/>
      <c r="H247" s="275"/>
      <c r="I247" s="275"/>
      <c r="J247" s="289"/>
      <c r="K247" s="275"/>
      <c r="L247" s="279"/>
      <c r="M247" s="310"/>
      <c r="N247" s="310"/>
      <c r="O247" s="271"/>
      <c r="P247" s="271"/>
      <c r="Q247" s="271"/>
      <c r="R247" s="271"/>
      <c r="S247" s="258"/>
      <c r="T247" s="258"/>
      <c r="U247" s="258"/>
      <c r="V247" s="258"/>
      <c r="W247" s="258"/>
      <c r="X247" s="258"/>
      <c r="Y247" s="258"/>
      <c r="Z247" s="258"/>
    </row>
    <row r="248" spans="1:26" ht="12.75" hidden="1" customHeight="1" outlineLevel="1">
      <c r="A248" s="271"/>
      <c r="B248" s="271"/>
      <c r="C248" s="659" t="s">
        <v>28</v>
      </c>
      <c r="D248" s="660"/>
      <c r="E248" s="275">
        <f ca="1">A17value-SUM('Actual RAB roll forward'!H252:OFFSET('Actual RAB roll forward'!H252,0,Input!$W$7-1))</f>
        <v>0</v>
      </c>
      <c r="F248" s="275">
        <f ca="1">IF(A17remlife="N/A","n/a",IF(E248=0,0,A17remlife-Input!$W$7))</f>
        <v>0</v>
      </c>
      <c r="G248" s="276"/>
      <c r="H248" s="277" t="s">
        <v>67</v>
      </c>
      <c r="I248" s="278"/>
      <c r="J248" s="275">
        <f ca="1">A17taxvalue-SUM('Tax value roll forward'!G296:OFFSET('Tax value roll forward'!G296,0,Input!$W$7))</f>
        <v>0</v>
      </c>
      <c r="K248" s="275">
        <f ca="1">IF(A17taxremlife="N/A","n/a",IF(J248=0,0,A17taxremlife-Input!$W$7-1))</f>
        <v>0</v>
      </c>
      <c r="L248" s="279"/>
      <c r="M248" s="310"/>
      <c r="N248" s="310"/>
      <c r="O248" s="271"/>
      <c r="P248" s="271"/>
      <c r="Q248" s="271"/>
      <c r="R248" s="271"/>
      <c r="S248" s="258"/>
      <c r="T248" s="258"/>
      <c r="U248" s="258"/>
      <c r="V248" s="258"/>
      <c r="W248" s="258"/>
      <c r="X248" s="258"/>
      <c r="Y248" s="258"/>
      <c r="Z248" s="258"/>
    </row>
    <row r="249" spans="1:26" ht="12.75" hidden="1" customHeight="1" outlineLevel="1">
      <c r="A249" s="271"/>
      <c r="B249" s="271"/>
      <c r="C249" s="666" t="s">
        <v>84</v>
      </c>
      <c r="D249" s="320">
        <f>D$9</f>
        <v>0</v>
      </c>
      <c r="E249" s="275"/>
      <c r="F249" s="275"/>
      <c r="G249" s="276"/>
      <c r="H249" s="666" t="s">
        <v>84</v>
      </c>
      <c r="I249" s="320">
        <v>0</v>
      </c>
      <c r="J249" s="275">
        <f ca="1">OFFSET('Tax value roll forward'!G$56,0,I249)-SUM('Tax value roll forward'!G298:OFFSET('Tax value roll forward'!G298,0,Input!$W$7))</f>
        <v>0</v>
      </c>
      <c r="K249" s="275">
        <f ca="1">IF(A17taxstdlife="N/A","n/a",IF(J249=0,0,A17taxstdlife+I249-Input!$W$7))</f>
        <v>0</v>
      </c>
      <c r="L249" s="279"/>
      <c r="M249" s="310"/>
      <c r="N249" s="310"/>
      <c r="O249" s="271"/>
      <c r="P249" s="271"/>
      <c r="Q249" s="271"/>
      <c r="R249" s="271"/>
      <c r="S249" s="258"/>
      <c r="T249" s="258"/>
      <c r="U249" s="258"/>
      <c r="V249" s="258"/>
      <c r="W249" s="258"/>
      <c r="X249" s="258"/>
      <c r="Y249" s="258"/>
      <c r="Z249" s="258"/>
    </row>
    <row r="250" spans="1:26" ht="12.75" hidden="1" customHeight="1" outlineLevel="1">
      <c r="A250" s="271"/>
      <c r="B250" s="271"/>
      <c r="C250" s="667"/>
      <c r="D250" s="280">
        <f>D$10</f>
        <v>1</v>
      </c>
      <c r="E250" s="275">
        <f ca="1">OFFSET('Actual RAB roll forward'!H$28,0,D250-1)-SUM('Actual RAB roll forward'!H254:OFFSET('Actual RAB roll forward'!H254,0,Input!$W$7-1))</f>
        <v>0</v>
      </c>
      <c r="F250" s="275">
        <f ca="1">IF(A17stdlife="N/A","n/a",IF(E250=0,0,A17stdlife+D250-Input!$W$7))</f>
        <v>0</v>
      </c>
      <c r="G250" s="276"/>
      <c r="H250" s="667"/>
      <c r="I250" s="280">
        <v>1</v>
      </c>
      <c r="J250" s="275">
        <f ca="1">OFFSET('Tax value roll forward'!G$56,0,I250)-SUM('Tax value roll forward'!G299:OFFSET('Tax value roll forward'!G299,0,Input!$W$7))</f>
        <v>0</v>
      </c>
      <c r="K250" s="275">
        <f ca="1">IF(A17taxstdlife="N/A","n/a",IF(J250=0,0,A17taxstdlife+I250-Input!$W$7))</f>
        <v>0</v>
      </c>
      <c r="L250" s="279"/>
      <c r="M250" s="310"/>
      <c r="N250" s="310"/>
      <c r="O250" s="271"/>
      <c r="P250" s="271"/>
      <c r="Q250" s="271"/>
      <c r="R250" s="271"/>
      <c r="S250" s="258"/>
      <c r="T250" s="258"/>
      <c r="U250" s="258"/>
      <c r="V250" s="258"/>
      <c r="W250" s="258"/>
      <c r="X250" s="258"/>
      <c r="Y250" s="258"/>
      <c r="Z250" s="258"/>
    </row>
    <row r="251" spans="1:26" hidden="1" outlineLevel="1">
      <c r="A251" s="271"/>
      <c r="B251" s="271"/>
      <c r="C251" s="667"/>
      <c r="D251" s="280">
        <f>D$11</f>
        <v>2</v>
      </c>
      <c r="E251" s="275">
        <f ca="1">OFFSET('Actual RAB roll forward'!H$28,0,D251-1)-SUM('Actual RAB roll forward'!H255:OFFSET('Actual RAB roll forward'!H255,0,Input!$W$7-1))</f>
        <v>0</v>
      </c>
      <c r="F251" s="275">
        <f ca="1">IF(A17stdlife="N/A","n/a",IF(E251=0,0,A17stdlife+D251-Input!$W$7))</f>
        <v>0</v>
      </c>
      <c r="G251" s="276"/>
      <c r="H251" s="667"/>
      <c r="I251" s="280">
        <v>2</v>
      </c>
      <c r="J251" s="275">
        <f ca="1">OFFSET('Tax value roll forward'!G$56,0,I251)-SUM('Tax value roll forward'!G300:OFFSET('Tax value roll forward'!G300,0,Input!$W$7))</f>
        <v>0</v>
      </c>
      <c r="K251" s="275">
        <f ca="1">IF(A17taxstdlife="N/A","n/a",IF(J251=0,0,A17taxstdlife+I251-Input!$W$7))</f>
        <v>0</v>
      </c>
      <c r="L251" s="279"/>
      <c r="M251" s="310"/>
      <c r="N251" s="310"/>
      <c r="O251" s="271"/>
      <c r="P251" s="271"/>
      <c r="Q251" s="271"/>
      <c r="R251" s="271"/>
      <c r="S251" s="258"/>
      <c r="T251" s="258"/>
      <c r="U251" s="258"/>
      <c r="V251" s="258"/>
      <c r="W251" s="258"/>
      <c r="X251" s="258"/>
      <c r="Y251" s="258"/>
      <c r="Z251" s="258"/>
    </row>
    <row r="252" spans="1:26" hidden="1" outlineLevel="1">
      <c r="A252" s="271"/>
      <c r="B252" s="271"/>
      <c r="C252" s="667"/>
      <c r="D252" s="280">
        <f>D$12</f>
        <v>3</v>
      </c>
      <c r="E252" s="275">
        <f ca="1">OFFSET('Actual RAB roll forward'!H$28,0,D252-1)-SUM('Actual RAB roll forward'!H256:OFFSET('Actual RAB roll forward'!H256,0,Input!$W$7-1))</f>
        <v>0</v>
      </c>
      <c r="F252" s="275">
        <f ca="1">IF(A17stdlife="N/A","n/a",IF(E252=0,0,A17stdlife+D252-Input!$W$7))</f>
        <v>0</v>
      </c>
      <c r="G252" s="276"/>
      <c r="H252" s="667"/>
      <c r="I252" s="280">
        <v>3</v>
      </c>
      <c r="J252" s="275">
        <f ca="1">OFFSET('Tax value roll forward'!G$56,0,I252)-SUM('Tax value roll forward'!G301:OFFSET('Tax value roll forward'!G301,0,Input!$W$7))</f>
        <v>0</v>
      </c>
      <c r="K252" s="275">
        <f ca="1">IF(A17taxstdlife="N/A","n/a",IF(J252=0,0,A17taxstdlife+I252-Input!$W$7))</f>
        <v>0</v>
      </c>
      <c r="L252" s="279"/>
      <c r="M252" s="310"/>
      <c r="N252" s="310"/>
      <c r="O252" s="271"/>
      <c r="P252" s="271"/>
      <c r="Q252" s="271"/>
      <c r="R252" s="271"/>
      <c r="S252" s="258"/>
      <c r="T252" s="258"/>
      <c r="U252" s="258"/>
      <c r="V252" s="258"/>
      <c r="W252" s="258"/>
      <c r="X252" s="258"/>
      <c r="Y252" s="258"/>
      <c r="Z252" s="258"/>
    </row>
    <row r="253" spans="1:26" hidden="1" outlineLevel="1">
      <c r="A253" s="271"/>
      <c r="B253" s="271"/>
      <c r="C253" s="667"/>
      <c r="D253" s="280">
        <f>D$13</f>
        <v>4</v>
      </c>
      <c r="E253" s="275">
        <f ca="1">OFFSET('Actual RAB roll forward'!H$28,0,D253-1)-SUM('Actual RAB roll forward'!H257:OFFSET('Actual RAB roll forward'!H257,0,Input!$W$7-1))</f>
        <v>0</v>
      </c>
      <c r="F253" s="275">
        <f ca="1">IF(A17stdlife="N/A","n/a",IF(E253=0,0,A17stdlife+D253-Input!$W$7))</f>
        <v>0</v>
      </c>
      <c r="G253" s="276"/>
      <c r="H253" s="667"/>
      <c r="I253" s="280">
        <v>4</v>
      </c>
      <c r="J253" s="275">
        <f ca="1">OFFSET('Tax value roll forward'!G$56,0,I253)-SUM('Tax value roll forward'!G302:OFFSET('Tax value roll forward'!G302,0,Input!$W$7))</f>
        <v>0</v>
      </c>
      <c r="K253" s="275">
        <f ca="1">IF(A17taxstdlife="N/A","n/a",IF(J253=0,0,A17taxstdlife+I253-Input!$W$7))</f>
        <v>0</v>
      </c>
      <c r="L253" s="279"/>
      <c r="M253" s="310"/>
      <c r="N253" s="310"/>
      <c r="O253" s="271"/>
      <c r="P253" s="271"/>
      <c r="Q253" s="271"/>
      <c r="R253" s="271"/>
      <c r="S253" s="258"/>
      <c r="T253" s="258"/>
      <c r="U253" s="258"/>
      <c r="V253" s="258"/>
      <c r="W253" s="258"/>
      <c r="X253" s="258"/>
      <c r="Y253" s="258"/>
      <c r="Z253" s="258"/>
    </row>
    <row r="254" spans="1:26" hidden="1" outlineLevel="1">
      <c r="A254" s="271"/>
      <c r="B254" s="271"/>
      <c r="C254" s="667"/>
      <c r="D254" s="280">
        <f>D$14</f>
        <v>5</v>
      </c>
      <c r="E254" s="275">
        <f ca="1">OFFSET('Actual RAB roll forward'!H$28,0,D254-1)-SUM('Actual RAB roll forward'!H258:OFFSET('Actual RAB roll forward'!H258,0,Input!$W$7-1))</f>
        <v>0</v>
      </c>
      <c r="F254" s="275">
        <f ca="1">IF(A17stdlife="N/A","n/a",IF(E254=0,0,A17stdlife+D254-Input!$W$7))</f>
        <v>0</v>
      </c>
      <c r="G254" s="276"/>
      <c r="H254" s="667"/>
      <c r="I254" s="280">
        <v>5</v>
      </c>
      <c r="J254" s="275">
        <f ca="1">OFFSET('Tax value roll forward'!G$56,0,I254)-SUM('Tax value roll forward'!G303:OFFSET('Tax value roll forward'!G303,0,Input!$W$7))</f>
        <v>0</v>
      </c>
      <c r="K254" s="275">
        <f ca="1">IF(A17taxstdlife="N/A","n/a",IF(J254=0,0,A17taxstdlife+I254-Input!$W$7))</f>
        <v>0</v>
      </c>
      <c r="L254" s="279"/>
      <c r="M254" s="310"/>
      <c r="N254" s="310"/>
      <c r="O254" s="271"/>
      <c r="P254" s="271"/>
      <c r="Q254" s="271"/>
      <c r="R254" s="271"/>
      <c r="S254" s="258"/>
      <c r="T254" s="258"/>
      <c r="U254" s="258"/>
      <c r="V254" s="258"/>
      <c r="W254" s="258"/>
      <c r="X254" s="258"/>
      <c r="Y254" s="258"/>
      <c r="Z254" s="258"/>
    </row>
    <row r="255" spans="1:26" hidden="1" outlineLevel="1">
      <c r="A255" s="271"/>
      <c r="B255" s="271"/>
      <c r="C255" s="667"/>
      <c r="D255" s="280">
        <f>D$15</f>
        <v>6</v>
      </c>
      <c r="E255" s="275">
        <f ca="1">OFFSET('Actual RAB roll forward'!H$28,0,D255-1)-SUM('Actual RAB roll forward'!H259:OFFSET('Actual RAB roll forward'!H259,0,Input!$W$7-1))</f>
        <v>0</v>
      </c>
      <c r="F255" s="275">
        <f ca="1">IF(A17stdlife="N/A","n/a",IF(E255=0,0,A17stdlife+D255-Input!$W$7))</f>
        <v>0</v>
      </c>
      <c r="G255" s="276"/>
      <c r="H255" s="667"/>
      <c r="I255" s="280">
        <v>6</v>
      </c>
      <c r="J255" s="275">
        <f ca="1">OFFSET('Tax value roll forward'!G$56,0,I255)-SUM('Tax value roll forward'!G304:OFFSET('Tax value roll forward'!G304,0,Input!$W$7))</f>
        <v>0</v>
      </c>
      <c r="K255" s="275">
        <f ca="1">IF(A17taxstdlife="N/A","n/a",IF(J255=0,0,A17taxstdlife+I255-Input!$W$7))</f>
        <v>0</v>
      </c>
      <c r="L255" s="279"/>
      <c r="M255" s="310"/>
      <c r="N255" s="310"/>
      <c r="O255" s="271"/>
      <c r="P255" s="271"/>
      <c r="Q255" s="271"/>
      <c r="R255" s="271"/>
      <c r="S255" s="258"/>
      <c r="T255" s="258"/>
      <c r="U255" s="258"/>
      <c r="V255" s="258"/>
      <c r="W255" s="258"/>
      <c r="X255" s="258"/>
      <c r="Y255" s="258"/>
      <c r="Z255" s="258"/>
    </row>
    <row r="256" spans="1:26" hidden="1" outlineLevel="1">
      <c r="A256" s="271"/>
      <c r="B256" s="271"/>
      <c r="C256" s="667"/>
      <c r="D256" s="280">
        <f>D$16</f>
        <v>7</v>
      </c>
      <c r="E256" s="275">
        <f ca="1">OFFSET('Actual RAB roll forward'!H$28,0,D256-1)-SUM('Actual RAB roll forward'!H260:OFFSET('Actual RAB roll forward'!H260,0,Input!$W$7-1))</f>
        <v>0</v>
      </c>
      <c r="F256" s="275">
        <f ca="1">IF(A17stdlife="N/A","n/a",IF(E256=0,0,A17stdlife+D256-Input!$W$7))</f>
        <v>0</v>
      </c>
      <c r="G256" s="276"/>
      <c r="H256" s="667"/>
      <c r="I256" s="280">
        <v>7</v>
      </c>
      <c r="J256" s="275">
        <f ca="1">OFFSET('Tax value roll forward'!G$56,0,I256)-SUM('Tax value roll forward'!G305:OFFSET('Tax value roll forward'!G305,0,Input!$W$7))</f>
        <v>0</v>
      </c>
      <c r="K256" s="275">
        <f ca="1">IF(A17taxstdlife="N/A","n/a",IF(J256=0,0,A17taxstdlife+I256-Input!$W$7))</f>
        <v>0</v>
      </c>
      <c r="L256" s="279"/>
      <c r="M256" s="310"/>
      <c r="N256" s="310"/>
      <c r="O256" s="271"/>
      <c r="P256" s="271"/>
      <c r="Q256" s="271"/>
      <c r="R256" s="271"/>
      <c r="S256" s="258"/>
      <c r="T256" s="258"/>
      <c r="U256" s="258"/>
      <c r="V256" s="258"/>
      <c r="W256" s="258"/>
      <c r="X256" s="258"/>
      <c r="Y256" s="258"/>
      <c r="Z256" s="258"/>
    </row>
    <row r="257" spans="1:26" hidden="1" outlineLevel="1">
      <c r="A257" s="271"/>
      <c r="B257" s="271"/>
      <c r="C257" s="667"/>
      <c r="D257" s="280">
        <f>D$17</f>
        <v>8</v>
      </c>
      <c r="E257" s="275">
        <f ca="1">OFFSET('Actual RAB roll forward'!H$28,0,D257-1)-SUM('Actual RAB roll forward'!H261:OFFSET('Actual RAB roll forward'!H261,0,Input!$W$7-1))</f>
        <v>0</v>
      </c>
      <c r="F257" s="275">
        <f ca="1">IF(A17stdlife="N/A","n/a",IF(E257=0,0,A17stdlife+D257-Input!$W$7))</f>
        <v>0</v>
      </c>
      <c r="G257" s="276"/>
      <c r="H257" s="667"/>
      <c r="I257" s="280">
        <v>8</v>
      </c>
      <c r="J257" s="275">
        <f ca="1">OFFSET('Tax value roll forward'!G$56,0,I257)-SUM('Tax value roll forward'!G306:OFFSET('Tax value roll forward'!G306,0,Input!$W$7))</f>
        <v>0</v>
      </c>
      <c r="K257" s="275">
        <f ca="1">IF(A17taxstdlife="N/A","n/a",IF(J257=0,0,A17taxstdlife+I257-Input!$W$7))</f>
        <v>0</v>
      </c>
      <c r="L257" s="279"/>
      <c r="M257" s="310"/>
      <c r="N257" s="310"/>
      <c r="O257" s="271"/>
      <c r="P257" s="271"/>
      <c r="Q257" s="271"/>
      <c r="R257" s="271"/>
      <c r="S257" s="258"/>
      <c r="T257" s="258"/>
      <c r="U257" s="258"/>
      <c r="V257" s="258"/>
      <c r="W257" s="258"/>
      <c r="X257" s="258"/>
      <c r="Y257" s="258"/>
      <c r="Z257" s="258"/>
    </row>
    <row r="258" spans="1:26" hidden="1" outlineLevel="1">
      <c r="A258" s="271"/>
      <c r="B258" s="271"/>
      <c r="C258" s="667"/>
      <c r="D258" s="280">
        <f>D$18</f>
        <v>9</v>
      </c>
      <c r="E258" s="275">
        <f ca="1">OFFSET('Actual RAB roll forward'!H$28,0,D258-1)-SUM('Actual RAB roll forward'!H262:OFFSET('Actual RAB roll forward'!H262,0,Input!$W$7-1))</f>
        <v>0</v>
      </c>
      <c r="F258" s="275">
        <f ca="1">IF(A17stdlife="N/A","n/a",IF(E258=0,0,A17stdlife+D258-Input!$W$7))</f>
        <v>0</v>
      </c>
      <c r="G258" s="276"/>
      <c r="H258" s="667"/>
      <c r="I258" s="280">
        <v>9</v>
      </c>
      <c r="J258" s="275">
        <f ca="1">OFFSET('Tax value roll forward'!G$56,0,I258)-SUM('Tax value roll forward'!G307:OFFSET('Tax value roll forward'!G307,0,Input!$W$7))</f>
        <v>0</v>
      </c>
      <c r="K258" s="275">
        <f ca="1">IF(A17taxstdlife="N/A","n/a",IF(J258=0,0,A17taxstdlife+I258-Input!$W$7))</f>
        <v>0</v>
      </c>
      <c r="L258" s="279"/>
      <c r="M258" s="310"/>
      <c r="N258" s="310"/>
      <c r="O258" s="271"/>
      <c r="P258" s="271"/>
      <c r="Q258" s="271"/>
      <c r="R258" s="271"/>
      <c r="S258" s="258"/>
      <c r="T258" s="258"/>
      <c r="U258" s="258"/>
      <c r="V258" s="258"/>
      <c r="W258" s="258"/>
      <c r="X258" s="258"/>
      <c r="Y258" s="258"/>
      <c r="Z258" s="258"/>
    </row>
    <row r="259" spans="1:26" hidden="1" outlineLevel="1">
      <c r="A259" s="271"/>
      <c r="B259" s="271"/>
      <c r="C259" s="668"/>
      <c r="D259" s="281">
        <f>D$19</f>
        <v>10</v>
      </c>
      <c r="E259" s="275">
        <f ca="1">OFFSET('Actual RAB roll forward'!H$28,0,D259-1)-SUM('Actual RAB roll forward'!H263:OFFSET('Actual RAB roll forward'!H263,0,Input!$W$7-1))</f>
        <v>0</v>
      </c>
      <c r="F259" s="275">
        <f ca="1">IF(A17stdlife="N/A","n/a",IF(E259=0,0,A17stdlife+D259-Input!$W$7))</f>
        <v>0</v>
      </c>
      <c r="G259" s="276"/>
      <c r="H259" s="668"/>
      <c r="I259" s="281">
        <v>10</v>
      </c>
      <c r="J259" s="275">
        <f ca="1">OFFSET('Tax value roll forward'!G$56,0,I259)-SUM('Tax value roll forward'!G308:OFFSET('Tax value roll forward'!G308,0,Input!$W$7))</f>
        <v>0</v>
      </c>
      <c r="K259" s="275">
        <f ca="1">IF(A17taxstdlife="N/A","n/a",IF(J259=0,0,A17taxstdlife+I259-Input!$W$7))</f>
        <v>0</v>
      </c>
      <c r="M259" s="310"/>
      <c r="N259" s="310"/>
      <c r="O259" s="271"/>
      <c r="P259" s="271"/>
      <c r="Q259" s="271"/>
      <c r="R259" s="271"/>
      <c r="S259" s="258"/>
      <c r="T259" s="258"/>
      <c r="U259" s="258"/>
      <c r="V259" s="258"/>
      <c r="W259" s="258"/>
      <c r="X259" s="258"/>
      <c r="Y259" s="258"/>
      <c r="Z259" s="258"/>
    </row>
    <row r="260" spans="1:26" collapsed="1">
      <c r="A260" s="271"/>
      <c r="B260" s="271"/>
      <c r="C260" s="291">
        <f>Asset17</f>
        <v>0</v>
      </c>
      <c r="D260" s="271"/>
      <c r="E260" s="275">
        <f ca="1">SUM(E248:E259)</f>
        <v>0</v>
      </c>
      <c r="F260" s="275">
        <f ca="1">IF(E260=0,0,SUMPRODUCT(E248:E259,F248:F259)/E260)</f>
        <v>0</v>
      </c>
      <c r="G260" s="276"/>
      <c r="H260" s="283"/>
      <c r="I260" s="275"/>
      <c r="J260" s="309">
        <f ca="1">SUM(J248:J259)</f>
        <v>0</v>
      </c>
      <c r="K260" s="309">
        <f ca="1">IF(J260=0,0,SUMPRODUCT(J248:J259,K248:K259)/J260)</f>
        <v>0</v>
      </c>
      <c r="L260" s="279"/>
      <c r="M260" s="310"/>
      <c r="N260" s="310"/>
      <c r="O260" s="271"/>
      <c r="P260" s="271"/>
      <c r="Q260" s="271"/>
      <c r="R260" s="271"/>
      <c r="S260" s="258"/>
      <c r="T260" s="258"/>
      <c r="U260" s="258"/>
      <c r="V260" s="258"/>
      <c r="W260" s="258"/>
      <c r="X260" s="258"/>
      <c r="Y260" s="258"/>
      <c r="Z260" s="258"/>
    </row>
    <row r="261" spans="1:26" hidden="1" outlineLevel="1">
      <c r="A261" s="271"/>
      <c r="B261" s="271"/>
      <c r="C261" s="291"/>
      <c r="D261" s="271"/>
      <c r="E261" s="275"/>
      <c r="F261" s="275"/>
      <c r="G261" s="276"/>
      <c r="H261" s="275"/>
      <c r="I261" s="275"/>
      <c r="J261" s="289"/>
      <c r="K261" s="275"/>
      <c r="L261" s="279"/>
      <c r="M261" s="310"/>
      <c r="N261" s="310"/>
      <c r="O261" s="271"/>
      <c r="P261" s="271"/>
      <c r="Q261" s="271"/>
      <c r="R261" s="271"/>
      <c r="S261" s="258"/>
      <c r="T261" s="258"/>
      <c r="U261" s="258"/>
      <c r="V261" s="258"/>
      <c r="W261" s="258"/>
      <c r="X261" s="258"/>
      <c r="Y261" s="258"/>
      <c r="Z261" s="258"/>
    </row>
    <row r="262" spans="1:26" hidden="1" outlineLevel="1">
      <c r="A262" s="271"/>
      <c r="B262" s="274">
        <f>Asset18</f>
        <v>0</v>
      </c>
      <c r="C262" s="271"/>
      <c r="D262" s="271"/>
      <c r="E262" s="292"/>
      <c r="F262" s="292"/>
      <c r="G262" s="276"/>
      <c r="H262" s="275"/>
      <c r="I262" s="275"/>
      <c r="J262" s="289"/>
      <c r="K262" s="275"/>
      <c r="L262" s="279"/>
      <c r="M262" s="310"/>
      <c r="N262" s="310"/>
      <c r="O262" s="271"/>
      <c r="P262" s="271"/>
      <c r="Q262" s="271"/>
      <c r="R262" s="271"/>
      <c r="S262" s="258"/>
      <c r="T262" s="258"/>
      <c r="U262" s="258"/>
      <c r="V262" s="258"/>
      <c r="W262" s="258"/>
      <c r="X262" s="258"/>
      <c r="Y262" s="258"/>
      <c r="Z262" s="258"/>
    </row>
    <row r="263" spans="1:26" ht="12.75" hidden="1" customHeight="1" outlineLevel="1">
      <c r="A263" s="271"/>
      <c r="B263" s="271"/>
      <c r="C263" s="659" t="s">
        <v>28</v>
      </c>
      <c r="D263" s="660"/>
      <c r="E263" s="275">
        <f ca="1">A18value-SUM('Actual RAB roll forward'!H265:OFFSET('Actual RAB roll forward'!H265,0,Input!$W$7-1))</f>
        <v>0</v>
      </c>
      <c r="F263" s="275">
        <f ca="1">IF(A18remlife="N/A","n/a",IF(E263=0,0,A18remlife-Input!$W$7))</f>
        <v>0</v>
      </c>
      <c r="G263" s="276"/>
      <c r="H263" s="277" t="s">
        <v>67</v>
      </c>
      <c r="I263" s="278"/>
      <c r="J263" s="275">
        <f ca="1">A18taxvalue-SUM('Tax value roll forward'!G310:OFFSET('Tax value roll forward'!G310,0,Input!$W$7))</f>
        <v>0</v>
      </c>
      <c r="K263" s="275">
        <f ca="1">IF(A18taxremlife="N/A","n/a",IF(J263=0,0,A18taxremlife-Input!$W$7-1))</f>
        <v>0</v>
      </c>
      <c r="L263" s="279"/>
      <c r="M263" s="310"/>
      <c r="N263" s="310"/>
      <c r="O263" s="271"/>
      <c r="P263" s="271"/>
      <c r="Q263" s="271"/>
      <c r="R263" s="271"/>
      <c r="S263" s="258"/>
      <c r="T263" s="258"/>
      <c r="U263" s="258"/>
      <c r="V263" s="258"/>
      <c r="W263" s="258"/>
      <c r="X263" s="258"/>
      <c r="Y263" s="258"/>
      <c r="Z263" s="258"/>
    </row>
    <row r="264" spans="1:26" ht="12.75" hidden="1" customHeight="1" outlineLevel="1">
      <c r="A264" s="271"/>
      <c r="B264" s="271"/>
      <c r="C264" s="666" t="s">
        <v>84</v>
      </c>
      <c r="D264" s="320">
        <f>D$9</f>
        <v>0</v>
      </c>
      <c r="E264" s="275"/>
      <c r="F264" s="275"/>
      <c r="G264" s="276"/>
      <c r="H264" s="666" t="s">
        <v>84</v>
      </c>
      <c r="I264" s="320">
        <v>0</v>
      </c>
      <c r="J264" s="275">
        <f ca="1">OFFSET('Tax value roll forward'!G$57,0,I264)-SUM('Tax value roll forward'!G312:OFFSET('Tax value roll forward'!G312,0,Input!$W$7))</f>
        <v>0</v>
      </c>
      <c r="K264" s="275">
        <f ca="1">IF(A18taxstdlife="N/A","n/a",IF(J264=0,0,A18taxstdlife+I264-Input!$W$7))</f>
        <v>0</v>
      </c>
      <c r="L264" s="279"/>
      <c r="M264" s="310"/>
      <c r="N264" s="310"/>
      <c r="O264" s="271"/>
      <c r="P264" s="271"/>
      <c r="Q264" s="271"/>
      <c r="R264" s="271"/>
      <c r="S264" s="258"/>
      <c r="T264" s="258"/>
      <c r="U264" s="258"/>
      <c r="V264" s="258"/>
      <c r="W264" s="258"/>
      <c r="X264" s="258"/>
      <c r="Y264" s="258"/>
      <c r="Z264" s="258"/>
    </row>
    <row r="265" spans="1:26" ht="12.75" hidden="1" customHeight="1" outlineLevel="1">
      <c r="A265" s="271"/>
      <c r="B265" s="271"/>
      <c r="C265" s="667"/>
      <c r="D265" s="280">
        <f>D$10</f>
        <v>1</v>
      </c>
      <c r="E265" s="275">
        <f ca="1">OFFSET('Actual RAB roll forward'!H$29,0,D265-1)-SUM('Actual RAB roll forward'!H267:OFFSET('Actual RAB roll forward'!H267,0,Input!$W$7-1))</f>
        <v>0</v>
      </c>
      <c r="F265" s="275">
        <f ca="1">IF(A18stdlife="N/A","n/a",IF(E265=0,0,A18stdlife+D265-Input!$W$7))</f>
        <v>0</v>
      </c>
      <c r="G265" s="276"/>
      <c r="H265" s="667"/>
      <c r="I265" s="280">
        <v>1</v>
      </c>
      <c r="J265" s="275">
        <f ca="1">OFFSET('Tax value roll forward'!G$57,0,I265)-SUM('Tax value roll forward'!G313:OFFSET('Tax value roll forward'!G313,0,Input!$W$7))</f>
        <v>0</v>
      </c>
      <c r="K265" s="275">
        <f ca="1">IF(A18taxstdlife="N/A","n/a",IF(J265=0,0,A18taxstdlife+I265-Input!$W$7))</f>
        <v>0</v>
      </c>
      <c r="L265" s="279"/>
      <c r="M265" s="310"/>
      <c r="N265" s="310"/>
      <c r="O265" s="271"/>
      <c r="P265" s="271"/>
      <c r="Q265" s="271"/>
      <c r="R265" s="271"/>
      <c r="S265" s="258"/>
      <c r="T265" s="258"/>
      <c r="U265" s="258"/>
      <c r="V265" s="258"/>
      <c r="W265" s="258"/>
      <c r="X265" s="258"/>
      <c r="Y265" s="258"/>
      <c r="Z265" s="258"/>
    </row>
    <row r="266" spans="1:26" hidden="1" outlineLevel="1">
      <c r="A266" s="271"/>
      <c r="B266" s="271"/>
      <c r="C266" s="667"/>
      <c r="D266" s="280">
        <f>D$11</f>
        <v>2</v>
      </c>
      <c r="E266" s="275">
        <f ca="1">OFFSET('Actual RAB roll forward'!H$29,0,D266-1)-SUM('Actual RAB roll forward'!H268:OFFSET('Actual RAB roll forward'!H268,0,Input!$W$7-1))</f>
        <v>0</v>
      </c>
      <c r="F266" s="275">
        <f ca="1">IF(A18stdlife="N/A","n/a",IF(E266=0,0,A18stdlife+D266-Input!$W$7))</f>
        <v>0</v>
      </c>
      <c r="G266" s="276"/>
      <c r="H266" s="667"/>
      <c r="I266" s="280">
        <v>2</v>
      </c>
      <c r="J266" s="275">
        <f ca="1">OFFSET('Tax value roll forward'!G$57,0,I266)-SUM('Tax value roll forward'!G314:OFFSET('Tax value roll forward'!G314,0,Input!$W$7))</f>
        <v>0</v>
      </c>
      <c r="K266" s="275">
        <f ca="1">IF(A18taxstdlife="N/A","n/a",IF(J266=0,0,A18taxstdlife+I266-Input!$W$7))</f>
        <v>0</v>
      </c>
      <c r="L266" s="279"/>
      <c r="M266" s="310"/>
      <c r="N266" s="310"/>
      <c r="O266" s="271"/>
      <c r="P266" s="271"/>
      <c r="Q266" s="271"/>
      <c r="R266" s="271"/>
      <c r="S266" s="258"/>
      <c r="T266" s="258"/>
      <c r="U266" s="258"/>
      <c r="V266" s="258"/>
      <c r="W266" s="258"/>
      <c r="X266" s="258"/>
      <c r="Y266" s="258"/>
      <c r="Z266" s="258"/>
    </row>
    <row r="267" spans="1:26" hidden="1" outlineLevel="1">
      <c r="A267" s="271"/>
      <c r="B267" s="271"/>
      <c r="C267" s="667"/>
      <c r="D267" s="280">
        <f>D$12</f>
        <v>3</v>
      </c>
      <c r="E267" s="275">
        <f ca="1">OFFSET('Actual RAB roll forward'!H$29,0,D267-1)-SUM('Actual RAB roll forward'!H269:OFFSET('Actual RAB roll forward'!H269,0,Input!$W$7-1))</f>
        <v>0</v>
      </c>
      <c r="F267" s="275">
        <f ca="1">IF(A18stdlife="N/A","n/a",IF(E267=0,0,A18stdlife+D267-Input!$W$7))</f>
        <v>0</v>
      </c>
      <c r="G267" s="276"/>
      <c r="H267" s="667"/>
      <c r="I267" s="280">
        <v>3</v>
      </c>
      <c r="J267" s="275">
        <f ca="1">OFFSET('Tax value roll forward'!G$57,0,I267)-SUM('Tax value roll forward'!G315:OFFSET('Tax value roll forward'!G315,0,Input!$W$7))</f>
        <v>0</v>
      </c>
      <c r="K267" s="275">
        <f ca="1">IF(A18taxstdlife="N/A","n/a",IF(J267=0,0,A18taxstdlife+I267-Input!$W$7))</f>
        <v>0</v>
      </c>
      <c r="L267" s="279"/>
      <c r="M267" s="310"/>
      <c r="N267" s="310"/>
      <c r="O267" s="271"/>
      <c r="P267" s="271"/>
      <c r="Q267" s="271"/>
      <c r="R267" s="271"/>
      <c r="S267" s="258"/>
      <c r="T267" s="258"/>
      <c r="U267" s="258"/>
      <c r="V267" s="258"/>
      <c r="W267" s="258"/>
      <c r="X267" s="258"/>
      <c r="Y267" s="258"/>
      <c r="Z267" s="258"/>
    </row>
    <row r="268" spans="1:26" hidden="1" outlineLevel="1">
      <c r="A268" s="271"/>
      <c r="B268" s="271"/>
      <c r="C268" s="667"/>
      <c r="D268" s="280">
        <f>D$13</f>
        <v>4</v>
      </c>
      <c r="E268" s="275">
        <f ca="1">OFFSET('Actual RAB roll forward'!H$29,0,D268-1)-SUM('Actual RAB roll forward'!H270:OFFSET('Actual RAB roll forward'!H270,0,Input!$W$7-1))</f>
        <v>0</v>
      </c>
      <c r="F268" s="275">
        <f ca="1">IF(A18stdlife="N/A","n/a",IF(E268=0,0,A18stdlife+D268-Input!$W$7))</f>
        <v>0</v>
      </c>
      <c r="G268" s="276"/>
      <c r="H268" s="667"/>
      <c r="I268" s="280">
        <v>4</v>
      </c>
      <c r="J268" s="275">
        <f ca="1">OFFSET('Tax value roll forward'!G$57,0,I268)-SUM('Tax value roll forward'!G316:OFFSET('Tax value roll forward'!G316,0,Input!$W$7))</f>
        <v>0</v>
      </c>
      <c r="K268" s="275">
        <f ca="1">IF(A18taxstdlife="N/A","n/a",IF(J268=0,0,A18taxstdlife+I268-Input!$W$7))</f>
        <v>0</v>
      </c>
      <c r="L268" s="279"/>
      <c r="M268" s="310"/>
      <c r="N268" s="310"/>
      <c r="O268" s="271"/>
      <c r="P268" s="271"/>
      <c r="Q268" s="271"/>
      <c r="R268" s="271"/>
      <c r="S268" s="258"/>
      <c r="T268" s="258"/>
      <c r="U268" s="258"/>
      <c r="V268" s="258"/>
      <c r="W268" s="258"/>
      <c r="X268" s="258"/>
      <c r="Y268" s="258"/>
      <c r="Z268" s="258"/>
    </row>
    <row r="269" spans="1:26" hidden="1" outlineLevel="1">
      <c r="A269" s="271"/>
      <c r="B269" s="271"/>
      <c r="C269" s="667"/>
      <c r="D269" s="280">
        <f>D$14</f>
        <v>5</v>
      </c>
      <c r="E269" s="275">
        <f ca="1">OFFSET('Actual RAB roll forward'!H$29,0,D269-1)-SUM('Actual RAB roll forward'!H271:OFFSET('Actual RAB roll forward'!H271,0,Input!$W$7-1))</f>
        <v>0</v>
      </c>
      <c r="F269" s="275">
        <f ca="1">IF(A18stdlife="N/A","n/a",IF(E269=0,0,A18stdlife+D269-Input!$W$7))</f>
        <v>0</v>
      </c>
      <c r="G269" s="276"/>
      <c r="H269" s="667"/>
      <c r="I269" s="280">
        <v>5</v>
      </c>
      <c r="J269" s="275">
        <f ca="1">OFFSET('Tax value roll forward'!G$57,0,I269)-SUM('Tax value roll forward'!G317:OFFSET('Tax value roll forward'!G317,0,Input!$W$7))</f>
        <v>0</v>
      </c>
      <c r="K269" s="275">
        <f ca="1">IF(A18taxstdlife="N/A","n/a",IF(J269=0,0,A18taxstdlife+I269-Input!$W$7))</f>
        <v>0</v>
      </c>
      <c r="L269" s="279"/>
      <c r="M269" s="310"/>
      <c r="N269" s="310"/>
      <c r="O269" s="271"/>
      <c r="P269" s="271"/>
      <c r="Q269" s="271"/>
      <c r="R269" s="271"/>
      <c r="S269" s="258"/>
      <c r="T269" s="258"/>
      <c r="U269" s="258"/>
      <c r="V269" s="258"/>
      <c r="W269" s="258"/>
      <c r="X269" s="258"/>
      <c r="Y269" s="258"/>
      <c r="Z269" s="258"/>
    </row>
    <row r="270" spans="1:26" hidden="1" outlineLevel="1">
      <c r="A270" s="271"/>
      <c r="B270" s="271"/>
      <c r="C270" s="667"/>
      <c r="D270" s="280">
        <f>D$15</f>
        <v>6</v>
      </c>
      <c r="E270" s="275">
        <f ca="1">OFFSET('Actual RAB roll forward'!H$29,0,D270-1)-SUM('Actual RAB roll forward'!H272:OFFSET('Actual RAB roll forward'!H272,0,Input!$W$7-1))</f>
        <v>0</v>
      </c>
      <c r="F270" s="275">
        <f ca="1">IF(A18stdlife="N/A","n/a",IF(E270=0,0,A18stdlife+D270-Input!$W$7))</f>
        <v>0</v>
      </c>
      <c r="G270" s="276"/>
      <c r="H270" s="667"/>
      <c r="I270" s="280">
        <v>6</v>
      </c>
      <c r="J270" s="275">
        <f ca="1">OFFSET('Tax value roll forward'!G$57,0,I270)-SUM('Tax value roll forward'!G318:OFFSET('Tax value roll forward'!G318,0,Input!$W$7))</f>
        <v>0</v>
      </c>
      <c r="K270" s="275">
        <f ca="1">IF(A18taxstdlife="N/A","n/a",IF(J270=0,0,A18taxstdlife+I270-Input!$W$7))</f>
        <v>0</v>
      </c>
      <c r="L270" s="279"/>
      <c r="M270" s="310"/>
      <c r="N270" s="310"/>
      <c r="O270" s="271"/>
      <c r="P270" s="271"/>
      <c r="Q270" s="271"/>
      <c r="R270" s="271"/>
      <c r="S270" s="258"/>
      <c r="T270" s="258"/>
      <c r="U270" s="258"/>
      <c r="V270" s="258"/>
      <c r="W270" s="258"/>
      <c r="X270" s="258"/>
      <c r="Y270" s="258"/>
      <c r="Z270" s="258"/>
    </row>
    <row r="271" spans="1:26" hidden="1" outlineLevel="1">
      <c r="A271" s="271"/>
      <c r="B271" s="271"/>
      <c r="C271" s="667"/>
      <c r="D271" s="280">
        <f>D$16</f>
        <v>7</v>
      </c>
      <c r="E271" s="275">
        <f ca="1">OFFSET('Actual RAB roll forward'!H$29,0,D271-1)-SUM('Actual RAB roll forward'!H273:OFFSET('Actual RAB roll forward'!H273,0,Input!$W$7-1))</f>
        <v>0</v>
      </c>
      <c r="F271" s="275">
        <f ca="1">IF(A18stdlife="N/A","n/a",IF(E271=0,0,A18stdlife+D271-Input!$W$7))</f>
        <v>0</v>
      </c>
      <c r="G271" s="276"/>
      <c r="H271" s="667"/>
      <c r="I271" s="280">
        <v>7</v>
      </c>
      <c r="J271" s="275">
        <f ca="1">OFFSET('Tax value roll forward'!G$57,0,I271)-SUM('Tax value roll forward'!G319:OFFSET('Tax value roll forward'!G319,0,Input!$W$7))</f>
        <v>0</v>
      </c>
      <c r="K271" s="275">
        <f ca="1">IF(A18taxstdlife="N/A","n/a",IF(J271=0,0,A18taxstdlife+I271-Input!$W$7))</f>
        <v>0</v>
      </c>
      <c r="L271" s="279"/>
      <c r="M271" s="310"/>
      <c r="N271" s="310"/>
      <c r="O271" s="271"/>
      <c r="P271" s="271"/>
      <c r="Q271" s="271"/>
      <c r="R271" s="271"/>
      <c r="S271" s="258"/>
      <c r="T271" s="258"/>
      <c r="U271" s="258"/>
      <c r="V271" s="258"/>
      <c r="W271" s="258"/>
      <c r="X271" s="258"/>
      <c r="Y271" s="258"/>
      <c r="Z271" s="258"/>
    </row>
    <row r="272" spans="1:26" hidden="1" outlineLevel="1">
      <c r="A272" s="271"/>
      <c r="B272" s="271"/>
      <c r="C272" s="667"/>
      <c r="D272" s="280">
        <f>D$17</f>
        <v>8</v>
      </c>
      <c r="E272" s="275">
        <f ca="1">OFFSET('Actual RAB roll forward'!H$29,0,D272-1)-SUM('Actual RAB roll forward'!H274:OFFSET('Actual RAB roll forward'!H274,0,Input!$W$7-1))</f>
        <v>0</v>
      </c>
      <c r="F272" s="275">
        <f ca="1">IF(A18stdlife="N/A","n/a",IF(E272=0,0,A18stdlife+D272-Input!$W$7))</f>
        <v>0</v>
      </c>
      <c r="G272" s="276"/>
      <c r="H272" s="667"/>
      <c r="I272" s="280">
        <v>8</v>
      </c>
      <c r="J272" s="275">
        <f ca="1">OFFSET('Tax value roll forward'!G$57,0,I272)-SUM('Tax value roll forward'!G320:OFFSET('Tax value roll forward'!G320,0,Input!$W$7))</f>
        <v>0</v>
      </c>
      <c r="K272" s="275">
        <f ca="1">IF(A18taxstdlife="N/A","n/a",IF(J272=0,0,A18taxstdlife+I272-Input!$W$7))</f>
        <v>0</v>
      </c>
      <c r="L272" s="279"/>
      <c r="M272" s="310"/>
      <c r="N272" s="310"/>
      <c r="O272" s="271"/>
      <c r="P272" s="271"/>
      <c r="Q272" s="271"/>
      <c r="R272" s="271"/>
      <c r="S272" s="258"/>
      <c r="T272" s="258"/>
      <c r="U272" s="258"/>
      <c r="V272" s="258"/>
      <c r="W272" s="258"/>
      <c r="X272" s="258"/>
      <c r="Y272" s="258"/>
      <c r="Z272" s="258"/>
    </row>
    <row r="273" spans="1:26" hidden="1" outlineLevel="1">
      <c r="A273" s="271"/>
      <c r="B273" s="271"/>
      <c r="C273" s="667"/>
      <c r="D273" s="280">
        <f>D$18</f>
        <v>9</v>
      </c>
      <c r="E273" s="275">
        <f ca="1">OFFSET('Actual RAB roll forward'!H$29,0,D273-1)-SUM('Actual RAB roll forward'!H275:OFFSET('Actual RAB roll forward'!H275,0,Input!$W$7-1))</f>
        <v>0</v>
      </c>
      <c r="F273" s="275">
        <f ca="1">IF(A18stdlife="N/A","n/a",IF(E273=0,0,A18stdlife+D273-Input!$W$7))</f>
        <v>0</v>
      </c>
      <c r="G273" s="276"/>
      <c r="H273" s="667"/>
      <c r="I273" s="280">
        <v>9</v>
      </c>
      <c r="J273" s="275">
        <f ca="1">OFFSET('Tax value roll forward'!G$57,0,I273)-SUM('Tax value roll forward'!G321:OFFSET('Tax value roll forward'!G321,0,Input!$W$7))</f>
        <v>0</v>
      </c>
      <c r="K273" s="275">
        <f ca="1">IF(A18taxstdlife="N/A","n/a",IF(J273=0,0,A18taxstdlife+I273-Input!$W$7))</f>
        <v>0</v>
      </c>
      <c r="L273" s="279"/>
      <c r="M273" s="310"/>
      <c r="N273" s="310"/>
      <c r="O273" s="271"/>
      <c r="P273" s="271"/>
      <c r="Q273" s="271"/>
      <c r="R273" s="271"/>
      <c r="S273" s="258"/>
      <c r="T273" s="258"/>
      <c r="U273" s="258"/>
      <c r="V273" s="258"/>
      <c r="W273" s="258"/>
      <c r="X273" s="258"/>
      <c r="Y273" s="258"/>
      <c r="Z273" s="258"/>
    </row>
    <row r="274" spans="1:26" hidden="1" outlineLevel="1">
      <c r="A274" s="271"/>
      <c r="B274" s="271"/>
      <c r="C274" s="668"/>
      <c r="D274" s="281">
        <f>D$19</f>
        <v>10</v>
      </c>
      <c r="E274" s="275">
        <f ca="1">OFFSET('Actual RAB roll forward'!H$29,0,D274-1)-SUM('Actual RAB roll forward'!H276:OFFSET('Actual RAB roll forward'!H276,0,Input!$W$7-1))</f>
        <v>0</v>
      </c>
      <c r="F274" s="275">
        <f ca="1">IF(A18stdlife="N/A","n/a",IF(E274=0,0,A18stdlife+D274-Input!$W$7))</f>
        <v>0</v>
      </c>
      <c r="G274" s="276"/>
      <c r="H274" s="668"/>
      <c r="I274" s="281">
        <v>10</v>
      </c>
      <c r="J274" s="275">
        <f ca="1">OFFSET('Tax value roll forward'!G$57,0,I274)-SUM('Tax value roll forward'!G322:OFFSET('Tax value roll forward'!G322,0,Input!$W$7))</f>
        <v>0</v>
      </c>
      <c r="K274" s="275">
        <f ca="1">IF(A18taxstdlife="N/A","n/a",IF(J274=0,0,A18taxstdlife+I274-Input!$W$7))</f>
        <v>0</v>
      </c>
      <c r="M274" s="310"/>
      <c r="N274" s="310"/>
      <c r="O274" s="271"/>
      <c r="P274" s="271"/>
      <c r="Q274" s="271"/>
      <c r="R274" s="271"/>
      <c r="S274" s="258"/>
      <c r="T274" s="258"/>
      <c r="U274" s="258"/>
      <c r="V274" s="258"/>
      <c r="W274" s="258"/>
      <c r="X274" s="258"/>
      <c r="Y274" s="258"/>
      <c r="Z274" s="258"/>
    </row>
    <row r="275" spans="1:26" collapsed="1">
      <c r="A275" s="271"/>
      <c r="B275" s="271"/>
      <c r="C275" s="291">
        <f>Asset18</f>
        <v>0</v>
      </c>
      <c r="D275" s="271"/>
      <c r="E275" s="275">
        <f ca="1">SUM(E263:E274)</f>
        <v>0</v>
      </c>
      <c r="F275" s="275">
        <f ca="1">IF(E275=0,0,SUMPRODUCT(E263:E274,F263:F274)/E275)</f>
        <v>0</v>
      </c>
      <c r="G275" s="276"/>
      <c r="H275" s="283"/>
      <c r="I275" s="275"/>
      <c r="J275" s="309">
        <f ca="1">SUM(J263:J274)</f>
        <v>0</v>
      </c>
      <c r="K275" s="309">
        <f ca="1">IF(J275=0,0,SUMPRODUCT(J263:J274,K263:K274)/J275)</f>
        <v>0</v>
      </c>
      <c r="L275" s="279"/>
      <c r="M275" s="310"/>
      <c r="N275" s="310"/>
      <c r="O275" s="271"/>
      <c r="P275" s="271"/>
      <c r="Q275" s="271"/>
      <c r="R275" s="271"/>
      <c r="S275" s="258"/>
      <c r="T275" s="258"/>
      <c r="U275" s="258"/>
      <c r="V275" s="258"/>
      <c r="W275" s="258"/>
      <c r="X275" s="258"/>
      <c r="Y275" s="258"/>
      <c r="Z275" s="258"/>
    </row>
    <row r="276" spans="1:26" hidden="1" outlineLevel="1">
      <c r="A276" s="271"/>
      <c r="B276" s="271"/>
      <c r="C276" s="291"/>
      <c r="D276" s="271"/>
      <c r="E276" s="275"/>
      <c r="F276" s="275"/>
      <c r="G276" s="276"/>
      <c r="H276" s="275"/>
      <c r="I276" s="275"/>
      <c r="J276" s="289"/>
      <c r="K276" s="275"/>
      <c r="L276" s="279"/>
      <c r="M276" s="310"/>
      <c r="N276" s="310"/>
      <c r="O276" s="271"/>
      <c r="P276" s="271"/>
      <c r="Q276" s="271"/>
      <c r="R276" s="271"/>
      <c r="S276" s="258"/>
      <c r="T276" s="258"/>
      <c r="U276" s="258"/>
      <c r="V276" s="258"/>
      <c r="W276" s="258"/>
      <c r="X276" s="258"/>
      <c r="Y276" s="258"/>
      <c r="Z276" s="258"/>
    </row>
    <row r="277" spans="1:26" hidden="1" outlineLevel="1">
      <c r="A277" s="271"/>
      <c r="B277" s="274">
        <f>Asset19</f>
        <v>0</v>
      </c>
      <c r="C277" s="271"/>
      <c r="D277" s="271"/>
      <c r="E277" s="292"/>
      <c r="F277" s="292"/>
      <c r="G277" s="276"/>
      <c r="H277" s="275"/>
      <c r="I277" s="275"/>
      <c r="J277" s="289"/>
      <c r="K277" s="275"/>
      <c r="L277" s="279"/>
      <c r="M277" s="310"/>
      <c r="N277" s="310"/>
      <c r="O277" s="271"/>
      <c r="P277" s="271"/>
      <c r="Q277" s="271"/>
      <c r="R277" s="271"/>
      <c r="S277" s="258"/>
      <c r="T277" s="258"/>
      <c r="U277" s="258"/>
      <c r="V277" s="258"/>
      <c r="W277" s="258"/>
      <c r="X277" s="258"/>
      <c r="Y277" s="258"/>
      <c r="Z277" s="258"/>
    </row>
    <row r="278" spans="1:26" ht="12.75" hidden="1" customHeight="1" outlineLevel="1">
      <c r="A278" s="271"/>
      <c r="B278" s="271"/>
      <c r="C278" s="659" t="s">
        <v>28</v>
      </c>
      <c r="D278" s="660"/>
      <c r="E278" s="275">
        <f ca="1">A19value-SUM('Actual RAB roll forward'!H278:OFFSET('Actual RAB roll forward'!H278,0,Input!$W$7-1))</f>
        <v>0</v>
      </c>
      <c r="F278" s="275">
        <f ca="1">IF(A19remlife="N/A","n/a",IF(E278=0,0,A19remlife-Input!$W$7))</f>
        <v>0</v>
      </c>
      <c r="G278" s="276"/>
      <c r="H278" s="277" t="s">
        <v>67</v>
      </c>
      <c r="I278" s="278"/>
      <c r="J278" s="275">
        <f ca="1">A19taxvalue-SUM('Tax value roll forward'!G324:OFFSET('Tax value roll forward'!G324,0,Input!$W$7))</f>
        <v>0</v>
      </c>
      <c r="K278" s="275">
        <f ca="1">IF(A19taxremlife="N/A","n/a",IF(J278=0,0,A19taxremlife-Input!$W$7-1))</f>
        <v>0</v>
      </c>
      <c r="L278" s="279"/>
      <c r="M278" s="310"/>
      <c r="N278" s="310"/>
      <c r="O278" s="271"/>
      <c r="P278" s="271"/>
      <c r="Q278" s="271"/>
      <c r="R278" s="271"/>
      <c r="S278" s="258"/>
      <c r="T278" s="258"/>
      <c r="U278" s="258"/>
      <c r="V278" s="258"/>
      <c r="W278" s="258"/>
      <c r="X278" s="258"/>
      <c r="Y278" s="258"/>
      <c r="Z278" s="258"/>
    </row>
    <row r="279" spans="1:26" ht="12.75" hidden="1" customHeight="1" outlineLevel="1">
      <c r="A279" s="271"/>
      <c r="B279" s="271"/>
      <c r="C279" s="666" t="s">
        <v>84</v>
      </c>
      <c r="D279" s="320">
        <f>D$9</f>
        <v>0</v>
      </c>
      <c r="E279" s="275"/>
      <c r="F279" s="275"/>
      <c r="G279" s="276"/>
      <c r="H279" s="666" t="s">
        <v>84</v>
      </c>
      <c r="I279" s="320">
        <v>0</v>
      </c>
      <c r="J279" s="275">
        <f ca="1">OFFSET('Tax value roll forward'!G$58,0,I279)-SUM('Tax value roll forward'!G326:OFFSET('Tax value roll forward'!G326,0,Input!$W$7))</f>
        <v>0</v>
      </c>
      <c r="K279" s="275">
        <f ca="1">IF(A19taxstdlife="N/A","n/a",IF(J279=0,0,A19taxstdlife+I279-Input!$W$7))</f>
        <v>0</v>
      </c>
      <c r="L279" s="279"/>
      <c r="M279" s="310"/>
      <c r="N279" s="310"/>
      <c r="O279" s="271"/>
      <c r="P279" s="271"/>
      <c r="Q279" s="271"/>
      <c r="R279" s="271"/>
      <c r="S279" s="258"/>
      <c r="T279" s="258"/>
      <c r="U279" s="258"/>
      <c r="V279" s="258"/>
      <c r="W279" s="258"/>
      <c r="X279" s="258"/>
      <c r="Y279" s="258"/>
      <c r="Z279" s="258"/>
    </row>
    <row r="280" spans="1:26" ht="12.75" hidden="1" customHeight="1" outlineLevel="1">
      <c r="A280" s="271"/>
      <c r="B280" s="271"/>
      <c r="C280" s="667"/>
      <c r="D280" s="280">
        <f>D$10</f>
        <v>1</v>
      </c>
      <c r="E280" s="275">
        <f ca="1">OFFSET('Actual RAB roll forward'!H$30,0,D280-1)-SUM('Actual RAB roll forward'!H280:OFFSET('Actual RAB roll forward'!H280,0,Input!$W$7-1))</f>
        <v>0</v>
      </c>
      <c r="F280" s="275">
        <f ca="1">IF(A19stdlife="N/A","n/a",IF(E280=0,0,A19stdlife+D280-Input!$W$7))</f>
        <v>0</v>
      </c>
      <c r="G280" s="276"/>
      <c r="H280" s="667"/>
      <c r="I280" s="280">
        <v>1</v>
      </c>
      <c r="J280" s="275">
        <f ca="1">OFFSET('Tax value roll forward'!G$58,0,I280)-SUM('Tax value roll forward'!G327:OFFSET('Tax value roll forward'!G327,0,Input!$W$7))</f>
        <v>0</v>
      </c>
      <c r="K280" s="275">
        <f ca="1">IF(A19taxstdlife="N/A","n/a",IF(J280=0,0,A19taxstdlife+I280-Input!$W$7))</f>
        <v>0</v>
      </c>
      <c r="L280" s="279"/>
      <c r="M280" s="310"/>
      <c r="N280" s="310"/>
      <c r="O280" s="271"/>
      <c r="P280" s="271"/>
      <c r="Q280" s="271"/>
      <c r="R280" s="271"/>
      <c r="S280" s="258"/>
      <c r="T280" s="258"/>
      <c r="U280" s="258"/>
      <c r="V280" s="258"/>
      <c r="W280" s="258"/>
      <c r="X280" s="258"/>
      <c r="Y280" s="258"/>
      <c r="Z280" s="258"/>
    </row>
    <row r="281" spans="1:26" hidden="1" outlineLevel="1">
      <c r="A281" s="271"/>
      <c r="B281" s="271"/>
      <c r="C281" s="667"/>
      <c r="D281" s="280">
        <f>D$11</f>
        <v>2</v>
      </c>
      <c r="E281" s="275">
        <f ca="1">OFFSET('Actual RAB roll forward'!H$30,0,D281-1)-SUM('Actual RAB roll forward'!H281:OFFSET('Actual RAB roll forward'!H281,0,Input!$W$7-1))</f>
        <v>0</v>
      </c>
      <c r="F281" s="275">
        <f ca="1">IF(A19stdlife="N/A","n/a",IF(E281=0,0,A19stdlife+D281-Input!$W$7))</f>
        <v>0</v>
      </c>
      <c r="G281" s="276"/>
      <c r="H281" s="667"/>
      <c r="I281" s="280">
        <v>2</v>
      </c>
      <c r="J281" s="275">
        <f ca="1">OFFSET('Tax value roll forward'!G$58,0,I281)-SUM('Tax value roll forward'!G328:OFFSET('Tax value roll forward'!G328,0,Input!$W$7))</f>
        <v>0</v>
      </c>
      <c r="K281" s="275">
        <f ca="1">IF(A19taxstdlife="N/A","n/a",IF(J281=0,0,A19taxstdlife+I281-Input!$W$7))</f>
        <v>0</v>
      </c>
      <c r="L281" s="279"/>
      <c r="M281" s="310"/>
      <c r="N281" s="310"/>
      <c r="O281" s="271"/>
      <c r="P281" s="271"/>
      <c r="Q281" s="271"/>
      <c r="R281" s="271"/>
      <c r="S281" s="258"/>
      <c r="T281" s="258"/>
      <c r="U281" s="258"/>
      <c r="V281" s="258"/>
      <c r="W281" s="258"/>
      <c r="X281" s="258"/>
      <c r="Y281" s="258"/>
      <c r="Z281" s="258"/>
    </row>
    <row r="282" spans="1:26" hidden="1" outlineLevel="1">
      <c r="A282" s="271"/>
      <c r="B282" s="271"/>
      <c r="C282" s="667"/>
      <c r="D282" s="280">
        <f>D$12</f>
        <v>3</v>
      </c>
      <c r="E282" s="275">
        <f ca="1">OFFSET('Actual RAB roll forward'!H$30,0,D282-1)-SUM('Actual RAB roll forward'!H282:OFFSET('Actual RAB roll forward'!H282,0,Input!$W$7-1))</f>
        <v>0</v>
      </c>
      <c r="F282" s="275">
        <f ca="1">IF(A19stdlife="N/A","n/a",IF(E282=0,0,A19stdlife+D282-Input!$W$7))</f>
        <v>0</v>
      </c>
      <c r="G282" s="276"/>
      <c r="H282" s="667"/>
      <c r="I282" s="280">
        <v>3</v>
      </c>
      <c r="J282" s="275">
        <f ca="1">OFFSET('Tax value roll forward'!G$58,0,I282)-SUM('Tax value roll forward'!G329:OFFSET('Tax value roll forward'!G329,0,Input!$W$7))</f>
        <v>0</v>
      </c>
      <c r="K282" s="275">
        <f ca="1">IF(A19taxstdlife="N/A","n/a",IF(J282=0,0,A19taxstdlife+I282-Input!$W$7))</f>
        <v>0</v>
      </c>
      <c r="L282" s="279"/>
      <c r="M282" s="310"/>
      <c r="N282" s="310"/>
      <c r="O282" s="271"/>
      <c r="P282" s="271"/>
      <c r="Q282" s="271"/>
      <c r="R282" s="271"/>
      <c r="S282" s="258"/>
      <c r="T282" s="258"/>
      <c r="U282" s="258"/>
      <c r="V282" s="258"/>
      <c r="W282" s="258"/>
      <c r="X282" s="258"/>
      <c r="Y282" s="258"/>
      <c r="Z282" s="258"/>
    </row>
    <row r="283" spans="1:26" hidden="1" outlineLevel="1">
      <c r="A283" s="271"/>
      <c r="B283" s="271"/>
      <c r="C283" s="667"/>
      <c r="D283" s="280">
        <f>D$13</f>
        <v>4</v>
      </c>
      <c r="E283" s="275">
        <f ca="1">OFFSET('Actual RAB roll forward'!H$30,0,D283-1)-SUM('Actual RAB roll forward'!H283:OFFSET('Actual RAB roll forward'!H283,0,Input!$W$7-1))</f>
        <v>0</v>
      </c>
      <c r="F283" s="275">
        <f ca="1">IF(A19stdlife="N/A","n/a",IF(E283=0,0,A19stdlife+D283-Input!$W$7))</f>
        <v>0</v>
      </c>
      <c r="G283" s="276"/>
      <c r="H283" s="667"/>
      <c r="I283" s="280">
        <v>4</v>
      </c>
      <c r="J283" s="275">
        <f ca="1">OFFSET('Tax value roll forward'!G$58,0,I283)-SUM('Tax value roll forward'!G330:OFFSET('Tax value roll forward'!G330,0,Input!$W$7))</f>
        <v>0</v>
      </c>
      <c r="K283" s="275">
        <f ca="1">IF(A19taxstdlife="N/A","n/a",IF(J283=0,0,A19taxstdlife+I283-Input!$W$7))</f>
        <v>0</v>
      </c>
      <c r="L283" s="279"/>
      <c r="M283" s="310"/>
      <c r="N283" s="310"/>
      <c r="O283" s="271"/>
      <c r="P283" s="271"/>
      <c r="Q283" s="271"/>
      <c r="R283" s="271"/>
      <c r="S283" s="258"/>
      <c r="T283" s="258"/>
      <c r="U283" s="258"/>
      <c r="V283" s="258"/>
      <c r="W283" s="258"/>
      <c r="X283" s="258"/>
      <c r="Y283" s="258"/>
      <c r="Z283" s="258"/>
    </row>
    <row r="284" spans="1:26" hidden="1" outlineLevel="1">
      <c r="A284" s="271"/>
      <c r="B284" s="271"/>
      <c r="C284" s="667"/>
      <c r="D284" s="280">
        <f>D$14</f>
        <v>5</v>
      </c>
      <c r="E284" s="275">
        <f ca="1">OFFSET('Actual RAB roll forward'!H$30,0,D284-1)-SUM('Actual RAB roll forward'!H284:OFFSET('Actual RAB roll forward'!H284,0,Input!$W$7-1))</f>
        <v>0</v>
      </c>
      <c r="F284" s="275">
        <f ca="1">IF(A19stdlife="N/A","n/a",IF(E284=0,0,A19stdlife+D284-Input!$W$7))</f>
        <v>0</v>
      </c>
      <c r="G284" s="276"/>
      <c r="H284" s="667"/>
      <c r="I284" s="280">
        <v>5</v>
      </c>
      <c r="J284" s="275">
        <f ca="1">OFFSET('Tax value roll forward'!G$58,0,I284)-SUM('Tax value roll forward'!G331:OFFSET('Tax value roll forward'!G331,0,Input!$W$7))</f>
        <v>0</v>
      </c>
      <c r="K284" s="275">
        <f ca="1">IF(A19taxstdlife="N/A","n/a",IF(J284=0,0,A19taxstdlife+I284-Input!$W$7))</f>
        <v>0</v>
      </c>
      <c r="L284" s="279"/>
      <c r="M284" s="310"/>
      <c r="N284" s="310"/>
      <c r="O284" s="271"/>
      <c r="P284" s="271"/>
      <c r="Q284" s="271"/>
      <c r="R284" s="271"/>
      <c r="S284" s="258"/>
      <c r="T284" s="258"/>
      <c r="U284" s="258"/>
      <c r="V284" s="258"/>
      <c r="W284" s="258"/>
      <c r="X284" s="258"/>
      <c r="Y284" s="258"/>
      <c r="Z284" s="258"/>
    </row>
    <row r="285" spans="1:26" hidden="1" outlineLevel="1">
      <c r="A285" s="271"/>
      <c r="B285" s="271"/>
      <c r="C285" s="667"/>
      <c r="D285" s="280">
        <f>D$15</f>
        <v>6</v>
      </c>
      <c r="E285" s="275">
        <f ca="1">OFFSET('Actual RAB roll forward'!H$30,0,D285-1)-SUM('Actual RAB roll forward'!H285:OFFSET('Actual RAB roll forward'!H285,0,Input!$W$7-1))</f>
        <v>0</v>
      </c>
      <c r="F285" s="275">
        <f ca="1">IF(A19stdlife="N/A","n/a",IF(E285=0,0,A19stdlife+D285-Input!$W$7))</f>
        <v>0</v>
      </c>
      <c r="G285" s="276"/>
      <c r="H285" s="667"/>
      <c r="I285" s="280">
        <v>6</v>
      </c>
      <c r="J285" s="275">
        <f ca="1">OFFSET('Tax value roll forward'!G$58,0,I285)-SUM('Tax value roll forward'!G332:OFFSET('Tax value roll forward'!G332,0,Input!$W$7))</f>
        <v>0</v>
      </c>
      <c r="K285" s="275">
        <f ca="1">IF(A19taxstdlife="N/A","n/a",IF(J285=0,0,A19taxstdlife+I285-Input!$W$7))</f>
        <v>0</v>
      </c>
      <c r="L285" s="279"/>
      <c r="M285" s="310"/>
      <c r="N285" s="310"/>
      <c r="O285" s="271"/>
      <c r="P285" s="271"/>
      <c r="Q285" s="271"/>
      <c r="R285" s="271"/>
      <c r="S285" s="258"/>
      <c r="T285" s="258"/>
      <c r="U285" s="258"/>
      <c r="V285" s="258"/>
      <c r="W285" s="258"/>
      <c r="X285" s="258"/>
      <c r="Y285" s="258"/>
      <c r="Z285" s="258"/>
    </row>
    <row r="286" spans="1:26" hidden="1" outlineLevel="1">
      <c r="A286" s="271"/>
      <c r="B286" s="271"/>
      <c r="C286" s="667"/>
      <c r="D286" s="280">
        <f>D$16</f>
        <v>7</v>
      </c>
      <c r="E286" s="275">
        <f ca="1">OFFSET('Actual RAB roll forward'!H$30,0,D286-1)-SUM('Actual RAB roll forward'!H286:OFFSET('Actual RAB roll forward'!H286,0,Input!$W$7-1))</f>
        <v>0</v>
      </c>
      <c r="F286" s="275">
        <f ca="1">IF(A19stdlife="N/A","n/a",IF(E286=0,0,A19stdlife+D286-Input!$W$7))</f>
        <v>0</v>
      </c>
      <c r="G286" s="276"/>
      <c r="H286" s="667"/>
      <c r="I286" s="280">
        <v>7</v>
      </c>
      <c r="J286" s="275">
        <f ca="1">OFFSET('Tax value roll forward'!G$58,0,I286)-SUM('Tax value roll forward'!G333:OFFSET('Tax value roll forward'!G333,0,Input!$W$7))</f>
        <v>0</v>
      </c>
      <c r="K286" s="275">
        <f ca="1">IF(A19taxstdlife="N/A","n/a",IF(J286=0,0,A19taxstdlife+I286-Input!$W$7))</f>
        <v>0</v>
      </c>
      <c r="L286" s="279"/>
      <c r="M286" s="310"/>
      <c r="N286" s="310"/>
      <c r="O286" s="271"/>
      <c r="P286" s="271"/>
      <c r="Q286" s="271"/>
      <c r="R286" s="271"/>
      <c r="S286" s="258"/>
      <c r="T286" s="258"/>
      <c r="U286" s="258"/>
      <c r="V286" s="258"/>
      <c r="W286" s="258"/>
      <c r="X286" s="258"/>
      <c r="Y286" s="258"/>
      <c r="Z286" s="258"/>
    </row>
    <row r="287" spans="1:26" hidden="1" outlineLevel="1">
      <c r="A287" s="271"/>
      <c r="B287" s="271"/>
      <c r="C287" s="667"/>
      <c r="D287" s="280">
        <f>D$17</f>
        <v>8</v>
      </c>
      <c r="E287" s="275">
        <f ca="1">OFFSET('Actual RAB roll forward'!H$30,0,D287-1)-SUM('Actual RAB roll forward'!H287:OFFSET('Actual RAB roll forward'!H287,0,Input!$W$7-1))</f>
        <v>0</v>
      </c>
      <c r="F287" s="275">
        <f ca="1">IF(A19stdlife="N/A","n/a",IF(E287=0,0,A19stdlife+D287-Input!$W$7))</f>
        <v>0</v>
      </c>
      <c r="G287" s="276"/>
      <c r="H287" s="667"/>
      <c r="I287" s="280">
        <v>8</v>
      </c>
      <c r="J287" s="275">
        <f ca="1">OFFSET('Tax value roll forward'!G$58,0,I287)-SUM('Tax value roll forward'!G334:OFFSET('Tax value roll forward'!G334,0,Input!$W$7))</f>
        <v>0</v>
      </c>
      <c r="K287" s="275">
        <f ca="1">IF(A19taxstdlife="N/A","n/a",IF(J287=0,0,A19taxstdlife+I287-Input!$W$7))</f>
        <v>0</v>
      </c>
      <c r="L287" s="279"/>
      <c r="M287" s="310"/>
      <c r="N287" s="310"/>
      <c r="O287" s="271"/>
      <c r="P287" s="271"/>
      <c r="Q287" s="271"/>
      <c r="R287" s="271"/>
      <c r="S287" s="258"/>
      <c r="T287" s="258"/>
      <c r="U287" s="258"/>
      <c r="V287" s="258"/>
      <c r="W287" s="258"/>
      <c r="X287" s="258"/>
      <c r="Y287" s="258"/>
      <c r="Z287" s="258"/>
    </row>
    <row r="288" spans="1:26" hidden="1" outlineLevel="1">
      <c r="A288" s="271"/>
      <c r="B288" s="271"/>
      <c r="C288" s="667"/>
      <c r="D288" s="280">
        <f>D$18</f>
        <v>9</v>
      </c>
      <c r="E288" s="275">
        <f ca="1">OFFSET('Actual RAB roll forward'!H$30,0,D288-1)-SUM('Actual RAB roll forward'!H288:OFFSET('Actual RAB roll forward'!H288,0,Input!$W$7-1))</f>
        <v>0</v>
      </c>
      <c r="F288" s="275">
        <f ca="1">IF(A19stdlife="N/A","n/a",IF(E288=0,0,A19stdlife+D288-Input!$W$7))</f>
        <v>0</v>
      </c>
      <c r="G288" s="276"/>
      <c r="H288" s="667"/>
      <c r="I288" s="280">
        <v>9</v>
      </c>
      <c r="J288" s="275">
        <f ca="1">OFFSET('Tax value roll forward'!G$58,0,I288)-SUM('Tax value roll forward'!G335:OFFSET('Tax value roll forward'!G335,0,Input!$W$7))</f>
        <v>0</v>
      </c>
      <c r="K288" s="275">
        <f ca="1">IF(A19taxstdlife="N/A","n/a",IF(J288=0,0,A19taxstdlife+I288-Input!$W$7))</f>
        <v>0</v>
      </c>
      <c r="L288" s="279"/>
      <c r="M288" s="310"/>
      <c r="N288" s="310"/>
      <c r="O288" s="271"/>
      <c r="P288" s="271"/>
      <c r="Q288" s="271"/>
      <c r="R288" s="271"/>
      <c r="S288" s="258"/>
      <c r="T288" s="258"/>
      <c r="U288" s="258"/>
      <c r="V288" s="258"/>
      <c r="W288" s="258"/>
      <c r="X288" s="258"/>
      <c r="Y288" s="258"/>
      <c r="Z288" s="258"/>
    </row>
    <row r="289" spans="1:26" hidden="1" outlineLevel="1">
      <c r="A289" s="271"/>
      <c r="B289" s="271"/>
      <c r="C289" s="668"/>
      <c r="D289" s="281">
        <f>D$19</f>
        <v>10</v>
      </c>
      <c r="E289" s="275">
        <f ca="1">OFFSET('Actual RAB roll forward'!H$30,0,D289-1)-SUM('Actual RAB roll forward'!H289:OFFSET('Actual RAB roll forward'!H289,0,Input!$W$7-1))</f>
        <v>0</v>
      </c>
      <c r="F289" s="275">
        <f ca="1">IF(A19stdlife="N/A","n/a",IF(E289=0,0,A19stdlife+D289-Input!$W$7))</f>
        <v>0</v>
      </c>
      <c r="G289" s="276"/>
      <c r="H289" s="668"/>
      <c r="I289" s="281">
        <v>10</v>
      </c>
      <c r="J289" s="275">
        <f ca="1">OFFSET('Tax value roll forward'!G$58,0,I289)-SUM('Tax value roll forward'!G336:OFFSET('Tax value roll forward'!G336,0,Input!$W$7))</f>
        <v>0</v>
      </c>
      <c r="K289" s="275">
        <f ca="1">IF(A19taxstdlife="N/A","n/a",IF(J289=0,0,A19taxstdlife+I289-Input!$W$7))</f>
        <v>0</v>
      </c>
      <c r="M289" s="310"/>
      <c r="N289" s="310"/>
      <c r="O289" s="271"/>
      <c r="P289" s="271"/>
      <c r="Q289" s="271"/>
      <c r="R289" s="271"/>
      <c r="S289" s="258"/>
      <c r="T289" s="258"/>
      <c r="U289" s="258"/>
      <c r="V289" s="258"/>
      <c r="W289" s="258"/>
      <c r="X289" s="258"/>
      <c r="Y289" s="258"/>
      <c r="Z289" s="258"/>
    </row>
    <row r="290" spans="1:26" collapsed="1">
      <c r="A290" s="271"/>
      <c r="B290" s="271"/>
      <c r="C290" s="291">
        <f>Asset19</f>
        <v>0</v>
      </c>
      <c r="D290" s="271"/>
      <c r="E290" s="275">
        <f ca="1">SUM(E278:E289)</f>
        <v>0</v>
      </c>
      <c r="F290" s="275">
        <f ca="1">IF(E290=0,0,SUMPRODUCT(E278:E289,F278:F289)/E290)</f>
        <v>0</v>
      </c>
      <c r="G290" s="276"/>
      <c r="H290" s="283"/>
      <c r="I290" s="275"/>
      <c r="J290" s="309">
        <f ca="1">SUM(J278:J289)</f>
        <v>0</v>
      </c>
      <c r="K290" s="309">
        <f ca="1">IF(J290=0,0,SUMPRODUCT(J278:J289,K278:K289)/J290)</f>
        <v>0</v>
      </c>
      <c r="L290" s="279"/>
      <c r="M290" s="310"/>
      <c r="N290" s="310"/>
      <c r="O290" s="271"/>
      <c r="P290" s="271"/>
      <c r="Q290" s="271"/>
      <c r="R290" s="271"/>
      <c r="S290" s="258"/>
      <c r="T290" s="258"/>
      <c r="U290" s="258"/>
      <c r="V290" s="258"/>
      <c r="W290" s="258"/>
      <c r="X290" s="258"/>
      <c r="Y290" s="258"/>
      <c r="Z290" s="258"/>
    </row>
    <row r="291" spans="1:26" hidden="1" outlineLevel="1">
      <c r="A291" s="271"/>
      <c r="B291" s="271"/>
      <c r="C291" s="291"/>
      <c r="D291" s="271"/>
      <c r="E291" s="275"/>
      <c r="F291" s="275"/>
      <c r="G291" s="276"/>
      <c r="H291" s="275"/>
      <c r="I291" s="275"/>
      <c r="J291" s="289"/>
      <c r="K291" s="275"/>
      <c r="L291" s="279"/>
      <c r="M291" s="310"/>
      <c r="N291" s="310"/>
      <c r="O291" s="271"/>
      <c r="P291" s="271"/>
      <c r="Q291" s="271"/>
      <c r="R291" s="271"/>
      <c r="S291" s="258"/>
      <c r="T291" s="258"/>
      <c r="U291" s="258"/>
      <c r="V291" s="258"/>
      <c r="W291" s="258"/>
      <c r="X291" s="258"/>
      <c r="Y291" s="258"/>
      <c r="Z291" s="258"/>
    </row>
    <row r="292" spans="1:26" hidden="1" outlineLevel="1">
      <c r="A292" s="271"/>
      <c r="B292" s="274">
        <f>Asset20</f>
        <v>0</v>
      </c>
      <c r="C292" s="271"/>
      <c r="D292" s="271"/>
      <c r="E292" s="292"/>
      <c r="F292" s="292"/>
      <c r="G292" s="276"/>
      <c r="H292" s="275"/>
      <c r="I292" s="275"/>
      <c r="J292" s="289"/>
      <c r="K292" s="275"/>
      <c r="L292" s="279"/>
      <c r="M292" s="310"/>
      <c r="N292" s="310"/>
      <c r="O292" s="271"/>
      <c r="P292" s="271"/>
      <c r="Q292" s="271"/>
      <c r="R292" s="271"/>
      <c r="S292" s="258"/>
      <c r="T292" s="258"/>
      <c r="U292" s="258"/>
      <c r="V292" s="258"/>
      <c r="W292" s="258"/>
      <c r="X292" s="258"/>
      <c r="Y292" s="258"/>
      <c r="Z292" s="258"/>
    </row>
    <row r="293" spans="1:26" ht="12.75" hidden="1" customHeight="1" outlineLevel="1">
      <c r="A293" s="271"/>
      <c r="B293" s="271"/>
      <c r="C293" s="659" t="s">
        <v>28</v>
      </c>
      <c r="D293" s="660"/>
      <c r="E293" s="275">
        <f ca="1">A20value-SUM('Actual RAB roll forward'!H291:OFFSET('Actual RAB roll forward'!H291,0,Input!$W$7-1))</f>
        <v>0</v>
      </c>
      <c r="F293" s="275">
        <f ca="1">IF(A20remlife="N/A","n/a",IF(E293=0,0,A20remlife-Input!$W$7))</f>
        <v>0</v>
      </c>
      <c r="G293" s="276"/>
      <c r="H293" s="277" t="s">
        <v>67</v>
      </c>
      <c r="I293" s="278"/>
      <c r="J293" s="275">
        <f ca="1">A20taxvalue-SUM('Tax value roll forward'!G338:OFFSET('Tax value roll forward'!G338,0,Input!$W$7))</f>
        <v>0</v>
      </c>
      <c r="K293" s="275">
        <f ca="1">IF(A20taxremlife="N/A","n/a",IF(J293=0,0,A20taxremlife-Input!$W$7-1))</f>
        <v>0</v>
      </c>
      <c r="L293" s="279"/>
      <c r="M293" s="310"/>
      <c r="N293" s="310"/>
      <c r="O293" s="271"/>
      <c r="P293" s="271"/>
      <c r="Q293" s="271"/>
      <c r="R293" s="271"/>
      <c r="S293" s="258"/>
      <c r="T293" s="258"/>
      <c r="U293" s="258"/>
      <c r="V293" s="258"/>
      <c r="W293" s="258"/>
      <c r="X293" s="258"/>
      <c r="Y293" s="258"/>
      <c r="Z293" s="258"/>
    </row>
    <row r="294" spans="1:26" ht="12.75" hidden="1" customHeight="1" outlineLevel="1">
      <c r="A294" s="271"/>
      <c r="B294" s="271"/>
      <c r="C294" s="666" t="s">
        <v>84</v>
      </c>
      <c r="D294" s="320">
        <f>D$9</f>
        <v>0</v>
      </c>
      <c r="E294" s="275"/>
      <c r="F294" s="275"/>
      <c r="G294" s="276"/>
      <c r="H294" s="666" t="s">
        <v>84</v>
      </c>
      <c r="I294" s="320">
        <v>0</v>
      </c>
      <c r="J294" s="275">
        <f ca="1">OFFSET('Tax value roll forward'!G$59,0,I294)-SUM('Tax value roll forward'!G340:OFFSET('Tax value roll forward'!G340,0,Input!$W$7))</f>
        <v>0</v>
      </c>
      <c r="K294" s="275">
        <f ca="1">IF(A20taxstdlife="N/A","n/a",IF(J294=0,0,A20taxstdlife+I294-Input!$W$7))</f>
        <v>0</v>
      </c>
      <c r="L294" s="279"/>
      <c r="M294" s="310"/>
      <c r="N294" s="310"/>
      <c r="O294" s="271"/>
      <c r="P294" s="271"/>
      <c r="Q294" s="271"/>
      <c r="R294" s="271"/>
      <c r="S294" s="258"/>
      <c r="T294" s="258"/>
      <c r="U294" s="258"/>
      <c r="V294" s="258"/>
      <c r="W294" s="258"/>
      <c r="X294" s="258"/>
      <c r="Y294" s="258"/>
      <c r="Z294" s="258"/>
    </row>
    <row r="295" spans="1:26" ht="12.75" hidden="1" customHeight="1" outlineLevel="1">
      <c r="A295" s="271"/>
      <c r="B295" s="271"/>
      <c r="C295" s="667"/>
      <c r="D295" s="280">
        <f>D$10</f>
        <v>1</v>
      </c>
      <c r="E295" s="275">
        <f ca="1">OFFSET('Actual RAB roll forward'!H$31,0,D295-1)-SUM('Actual RAB roll forward'!H293:OFFSET('Actual RAB roll forward'!H293,0,Input!$W$7-1))</f>
        <v>0</v>
      </c>
      <c r="F295" s="275">
        <f ca="1">IF(A20stdlife="N/A","n/a",IF(E295=0,0,A20stdlife+D295-Input!$W$7))</f>
        <v>0</v>
      </c>
      <c r="G295" s="276"/>
      <c r="H295" s="667"/>
      <c r="I295" s="280">
        <v>1</v>
      </c>
      <c r="J295" s="275">
        <f ca="1">OFFSET('Tax value roll forward'!G$59,0,I295)-SUM('Tax value roll forward'!G341:OFFSET('Tax value roll forward'!G341,0,Input!$W$7))</f>
        <v>0</v>
      </c>
      <c r="K295" s="275">
        <f ca="1">IF(A20taxstdlife="N/A","n/a",IF(J295=0,0,A20taxstdlife+I295-Input!$W$7))</f>
        <v>0</v>
      </c>
      <c r="L295" s="279"/>
      <c r="M295" s="310"/>
      <c r="N295" s="310"/>
      <c r="O295" s="271"/>
      <c r="P295" s="271"/>
      <c r="Q295" s="271"/>
      <c r="R295" s="271"/>
      <c r="S295" s="258"/>
      <c r="T295" s="258"/>
      <c r="U295" s="258"/>
      <c r="V295" s="258"/>
      <c r="W295" s="258"/>
      <c r="X295" s="258"/>
      <c r="Y295" s="258"/>
      <c r="Z295" s="258"/>
    </row>
    <row r="296" spans="1:26" hidden="1" outlineLevel="1">
      <c r="A296" s="271"/>
      <c r="B296" s="271"/>
      <c r="C296" s="667"/>
      <c r="D296" s="280">
        <f>D$11</f>
        <v>2</v>
      </c>
      <c r="E296" s="275">
        <f ca="1">OFFSET('Actual RAB roll forward'!H$31,0,D296-1)-SUM('Actual RAB roll forward'!H294:OFFSET('Actual RAB roll forward'!H294,0,Input!$W$7-1))</f>
        <v>0</v>
      </c>
      <c r="F296" s="275">
        <f ca="1">IF(A20stdlife="N/A","n/a",IF(E296=0,0,A20stdlife+D296-Input!$W$7))</f>
        <v>0</v>
      </c>
      <c r="G296" s="276"/>
      <c r="H296" s="667"/>
      <c r="I296" s="280">
        <v>2</v>
      </c>
      <c r="J296" s="275">
        <f ca="1">OFFSET('Tax value roll forward'!G$59,0,I296)-SUM('Tax value roll forward'!G342:OFFSET('Tax value roll forward'!G342,0,Input!$W$7))</f>
        <v>0</v>
      </c>
      <c r="K296" s="275">
        <f ca="1">IF(A20taxstdlife="N/A","n/a",IF(J296=0,0,A20taxstdlife+I296-Input!$W$7))</f>
        <v>0</v>
      </c>
      <c r="L296" s="279"/>
      <c r="M296" s="310"/>
      <c r="N296" s="310"/>
      <c r="O296" s="271"/>
      <c r="P296" s="271"/>
      <c r="Q296" s="271"/>
      <c r="R296" s="271"/>
      <c r="S296" s="258"/>
      <c r="T296" s="258"/>
      <c r="U296" s="258"/>
      <c r="V296" s="258"/>
      <c r="W296" s="258"/>
      <c r="X296" s="258"/>
      <c r="Y296" s="258"/>
      <c r="Z296" s="258"/>
    </row>
    <row r="297" spans="1:26" hidden="1" outlineLevel="1">
      <c r="A297" s="271"/>
      <c r="B297" s="271"/>
      <c r="C297" s="667"/>
      <c r="D297" s="280">
        <f>D$12</f>
        <v>3</v>
      </c>
      <c r="E297" s="275">
        <f ca="1">OFFSET('Actual RAB roll forward'!H$31,0,D297-1)-SUM('Actual RAB roll forward'!H295:OFFSET('Actual RAB roll forward'!H295,0,Input!$W$7-1))</f>
        <v>0</v>
      </c>
      <c r="F297" s="275">
        <f ca="1">IF(A20stdlife="N/A","n/a",IF(E297=0,0,A20stdlife+D297-Input!$W$7))</f>
        <v>0</v>
      </c>
      <c r="G297" s="276"/>
      <c r="H297" s="667"/>
      <c r="I297" s="280">
        <v>3</v>
      </c>
      <c r="J297" s="275">
        <f ca="1">OFFSET('Tax value roll forward'!G$59,0,I297)-SUM('Tax value roll forward'!G343:OFFSET('Tax value roll forward'!G343,0,Input!$W$7))</f>
        <v>0</v>
      </c>
      <c r="K297" s="275">
        <f ca="1">IF(A20taxstdlife="N/A","n/a",IF(J297=0,0,A20taxstdlife+I297-Input!$W$7))</f>
        <v>0</v>
      </c>
      <c r="L297" s="279"/>
      <c r="M297" s="310"/>
      <c r="N297" s="310"/>
      <c r="O297" s="271"/>
      <c r="P297" s="271"/>
      <c r="Q297" s="271"/>
      <c r="R297" s="271"/>
      <c r="S297" s="258"/>
      <c r="T297" s="258"/>
      <c r="U297" s="258"/>
      <c r="V297" s="258"/>
      <c r="W297" s="258"/>
      <c r="X297" s="258"/>
      <c r="Y297" s="258"/>
      <c r="Z297" s="258"/>
    </row>
    <row r="298" spans="1:26" hidden="1" outlineLevel="1">
      <c r="A298" s="271"/>
      <c r="B298" s="271"/>
      <c r="C298" s="667"/>
      <c r="D298" s="280">
        <f>D$13</f>
        <v>4</v>
      </c>
      <c r="E298" s="275">
        <f ca="1">OFFSET('Actual RAB roll forward'!H$31,0,D298-1)-SUM('Actual RAB roll forward'!H296:OFFSET('Actual RAB roll forward'!H296,0,Input!$W$7-1))</f>
        <v>0</v>
      </c>
      <c r="F298" s="275">
        <f ca="1">IF(A20stdlife="N/A","n/a",IF(E298=0,0,A20stdlife+D298-Input!$W$7))</f>
        <v>0</v>
      </c>
      <c r="G298" s="276"/>
      <c r="H298" s="667"/>
      <c r="I298" s="280">
        <v>4</v>
      </c>
      <c r="J298" s="275">
        <f ca="1">OFFSET('Tax value roll forward'!G$59,0,I298)-SUM('Tax value roll forward'!G344:OFFSET('Tax value roll forward'!G344,0,Input!$W$7))</f>
        <v>0</v>
      </c>
      <c r="K298" s="275">
        <f ca="1">IF(A20taxstdlife="N/A","n/a",IF(J298=0,0,A20taxstdlife+I298-Input!$W$7))</f>
        <v>0</v>
      </c>
      <c r="L298" s="279"/>
      <c r="M298" s="310"/>
      <c r="N298" s="310"/>
      <c r="O298" s="271"/>
      <c r="P298" s="271"/>
      <c r="Q298" s="271"/>
      <c r="R298" s="271"/>
      <c r="S298" s="258"/>
      <c r="T298" s="258"/>
      <c r="U298" s="258"/>
      <c r="V298" s="258"/>
      <c r="W298" s="258"/>
      <c r="X298" s="258"/>
      <c r="Y298" s="258"/>
      <c r="Z298" s="258"/>
    </row>
    <row r="299" spans="1:26" hidden="1" outlineLevel="1">
      <c r="A299" s="271"/>
      <c r="B299" s="271"/>
      <c r="C299" s="667"/>
      <c r="D299" s="280">
        <f>D$14</f>
        <v>5</v>
      </c>
      <c r="E299" s="275">
        <f ca="1">OFFSET('Actual RAB roll forward'!H$31,0,D299-1)-SUM('Actual RAB roll forward'!H297:OFFSET('Actual RAB roll forward'!H297,0,Input!$W$7-1))</f>
        <v>0</v>
      </c>
      <c r="F299" s="275">
        <f ca="1">IF(A20stdlife="N/A","n/a",IF(E299=0,0,A20stdlife+D299-Input!$W$7))</f>
        <v>0</v>
      </c>
      <c r="G299" s="276"/>
      <c r="H299" s="667"/>
      <c r="I299" s="280">
        <v>5</v>
      </c>
      <c r="J299" s="275">
        <f ca="1">OFFSET('Tax value roll forward'!G$59,0,I299)-SUM('Tax value roll forward'!G345:OFFSET('Tax value roll forward'!G345,0,Input!$W$7))</f>
        <v>0</v>
      </c>
      <c r="K299" s="275">
        <f ca="1">IF(A20taxstdlife="N/A","n/a",IF(J299=0,0,A20taxstdlife+I299-Input!$W$7))</f>
        <v>0</v>
      </c>
      <c r="L299" s="279"/>
      <c r="M299" s="310"/>
      <c r="N299" s="310"/>
      <c r="O299" s="271"/>
      <c r="P299" s="271"/>
      <c r="Q299" s="271"/>
      <c r="R299" s="271"/>
      <c r="S299" s="258"/>
      <c r="T299" s="258"/>
      <c r="U299" s="258"/>
      <c r="V299" s="258"/>
      <c r="W299" s="258"/>
      <c r="X299" s="258"/>
      <c r="Y299" s="258"/>
      <c r="Z299" s="258"/>
    </row>
    <row r="300" spans="1:26" hidden="1" outlineLevel="1">
      <c r="A300" s="271"/>
      <c r="B300" s="271"/>
      <c r="C300" s="667"/>
      <c r="D300" s="280">
        <f>D$15</f>
        <v>6</v>
      </c>
      <c r="E300" s="275">
        <f ca="1">OFFSET('Actual RAB roll forward'!H$31,0,D300-1)-SUM('Actual RAB roll forward'!H298:OFFSET('Actual RAB roll forward'!H298,0,Input!$W$7-1))</f>
        <v>0</v>
      </c>
      <c r="F300" s="275">
        <f ca="1">IF(A20stdlife="N/A","n/a",IF(E300=0,0,A20stdlife+D300-Input!$W$7))</f>
        <v>0</v>
      </c>
      <c r="G300" s="276"/>
      <c r="H300" s="667"/>
      <c r="I300" s="280">
        <v>6</v>
      </c>
      <c r="J300" s="275">
        <f ca="1">OFFSET('Tax value roll forward'!G$59,0,I300)-SUM('Tax value roll forward'!G346:OFFSET('Tax value roll forward'!G346,0,Input!$W$7))</f>
        <v>0</v>
      </c>
      <c r="K300" s="275">
        <f ca="1">IF(A20taxstdlife="N/A","n/a",IF(J300=0,0,A20taxstdlife+I300-Input!$W$7))</f>
        <v>0</v>
      </c>
      <c r="L300" s="279"/>
      <c r="M300" s="310"/>
      <c r="N300" s="310"/>
      <c r="O300" s="271"/>
      <c r="P300" s="271"/>
      <c r="Q300" s="271"/>
      <c r="R300" s="271"/>
      <c r="S300" s="258"/>
      <c r="T300" s="258"/>
      <c r="U300" s="258"/>
      <c r="V300" s="258"/>
      <c r="W300" s="258"/>
      <c r="X300" s="258"/>
      <c r="Y300" s="258"/>
      <c r="Z300" s="258"/>
    </row>
    <row r="301" spans="1:26" hidden="1" outlineLevel="1">
      <c r="A301" s="271"/>
      <c r="B301" s="271"/>
      <c r="C301" s="667"/>
      <c r="D301" s="280">
        <f>D$16</f>
        <v>7</v>
      </c>
      <c r="E301" s="275">
        <f ca="1">OFFSET('Actual RAB roll forward'!H$31,0,D301-1)-SUM('Actual RAB roll forward'!H299:OFFSET('Actual RAB roll forward'!H299,0,Input!$W$7-1))</f>
        <v>0</v>
      </c>
      <c r="F301" s="275">
        <f ca="1">IF(A20stdlife="N/A","n/a",IF(E301=0,0,A20stdlife+D301-Input!$W$7))</f>
        <v>0</v>
      </c>
      <c r="G301" s="276"/>
      <c r="H301" s="667"/>
      <c r="I301" s="280">
        <v>7</v>
      </c>
      <c r="J301" s="275">
        <f ca="1">OFFSET('Tax value roll forward'!G$59,0,I301)-SUM('Tax value roll forward'!G347:OFFSET('Tax value roll forward'!G347,0,Input!$W$7))</f>
        <v>0</v>
      </c>
      <c r="K301" s="275">
        <f ca="1">IF(A20taxstdlife="N/A","n/a",IF(J301=0,0,A20taxstdlife+I301-Input!$W$7))</f>
        <v>0</v>
      </c>
      <c r="L301" s="279"/>
      <c r="M301" s="310"/>
      <c r="N301" s="310"/>
      <c r="O301" s="271"/>
      <c r="P301" s="271"/>
      <c r="Q301" s="271"/>
      <c r="R301" s="271"/>
      <c r="S301" s="258"/>
      <c r="T301" s="258"/>
      <c r="U301" s="258"/>
      <c r="V301" s="258"/>
      <c r="W301" s="258"/>
      <c r="X301" s="258"/>
      <c r="Y301" s="258"/>
      <c r="Z301" s="258"/>
    </row>
    <row r="302" spans="1:26" hidden="1" outlineLevel="1">
      <c r="A302" s="271"/>
      <c r="B302" s="271"/>
      <c r="C302" s="667"/>
      <c r="D302" s="280">
        <f>D$17</f>
        <v>8</v>
      </c>
      <c r="E302" s="275">
        <f ca="1">OFFSET('Actual RAB roll forward'!H$31,0,D302-1)-SUM('Actual RAB roll forward'!H300:OFFSET('Actual RAB roll forward'!H300,0,Input!$W$7-1))</f>
        <v>0</v>
      </c>
      <c r="F302" s="275">
        <f ca="1">IF(A20stdlife="N/A","n/a",IF(E302=0,0,A20stdlife+D302-Input!$W$7))</f>
        <v>0</v>
      </c>
      <c r="G302" s="276"/>
      <c r="H302" s="667"/>
      <c r="I302" s="280">
        <v>8</v>
      </c>
      <c r="J302" s="275">
        <f ca="1">OFFSET('Tax value roll forward'!G$59,0,I302)-SUM('Tax value roll forward'!G348:OFFSET('Tax value roll forward'!G348,0,Input!$W$7))</f>
        <v>0</v>
      </c>
      <c r="K302" s="275">
        <f ca="1">IF(A20taxstdlife="N/A","n/a",IF(J302=0,0,A20taxstdlife+I302-Input!$W$7))</f>
        <v>0</v>
      </c>
      <c r="L302" s="279"/>
      <c r="M302" s="310"/>
      <c r="N302" s="310"/>
      <c r="O302" s="271"/>
      <c r="P302" s="271"/>
      <c r="Q302" s="271"/>
      <c r="R302" s="271"/>
      <c r="S302" s="258"/>
      <c r="T302" s="258"/>
      <c r="U302" s="258"/>
      <c r="V302" s="258"/>
      <c r="W302" s="258"/>
      <c r="X302" s="258"/>
      <c r="Y302" s="258"/>
      <c r="Z302" s="258"/>
    </row>
    <row r="303" spans="1:26" hidden="1" outlineLevel="1">
      <c r="A303" s="271"/>
      <c r="B303" s="271"/>
      <c r="C303" s="667"/>
      <c r="D303" s="280">
        <f>D$18</f>
        <v>9</v>
      </c>
      <c r="E303" s="275">
        <f ca="1">OFFSET('Actual RAB roll forward'!H$31,0,D303-1)-SUM('Actual RAB roll forward'!H301:OFFSET('Actual RAB roll forward'!H301,0,Input!$W$7-1))</f>
        <v>0</v>
      </c>
      <c r="F303" s="275">
        <f ca="1">IF(A20stdlife="N/A","n/a",IF(E303=0,0,A20stdlife+D303-Input!$W$7))</f>
        <v>0</v>
      </c>
      <c r="G303" s="276"/>
      <c r="H303" s="667"/>
      <c r="I303" s="280">
        <v>9</v>
      </c>
      <c r="J303" s="275">
        <f ca="1">OFFSET('Tax value roll forward'!G$59,0,I303)-SUM('Tax value roll forward'!G349:OFFSET('Tax value roll forward'!G349,0,Input!$W$7))</f>
        <v>0</v>
      </c>
      <c r="K303" s="275">
        <f ca="1">IF(A20taxstdlife="N/A","n/a",IF(J303=0,0,A20taxstdlife+I303-Input!$W$7))</f>
        <v>0</v>
      </c>
      <c r="L303" s="279"/>
      <c r="M303" s="310"/>
      <c r="N303" s="310"/>
      <c r="O303" s="271"/>
      <c r="P303" s="271"/>
      <c r="Q303" s="271"/>
      <c r="R303" s="271"/>
      <c r="S303" s="258"/>
      <c r="T303" s="258"/>
      <c r="U303" s="258"/>
      <c r="V303" s="258"/>
      <c r="W303" s="258"/>
      <c r="X303" s="258"/>
      <c r="Y303" s="258"/>
      <c r="Z303" s="258"/>
    </row>
    <row r="304" spans="1:26" hidden="1" outlineLevel="1">
      <c r="A304" s="271"/>
      <c r="B304" s="271"/>
      <c r="C304" s="668"/>
      <c r="D304" s="281">
        <f>D$19</f>
        <v>10</v>
      </c>
      <c r="E304" s="275">
        <f ca="1">OFFSET('Actual RAB roll forward'!H$31,0,D304-1)-SUM('Actual RAB roll forward'!H302:OFFSET('Actual RAB roll forward'!H302,0,Input!$W$7-1))</f>
        <v>0</v>
      </c>
      <c r="F304" s="275">
        <f ca="1">IF(A20stdlife="N/A","n/a",IF(E304=0,0,A20stdlife+D304-Input!$W$7))</f>
        <v>0</v>
      </c>
      <c r="G304" s="276"/>
      <c r="H304" s="668"/>
      <c r="I304" s="281">
        <v>10</v>
      </c>
      <c r="J304" s="275">
        <f ca="1">OFFSET('Tax value roll forward'!G$59,0,I304)-SUM('Tax value roll forward'!G350:OFFSET('Tax value roll forward'!G350,0,Input!$W$7))</f>
        <v>0</v>
      </c>
      <c r="K304" s="275">
        <f ca="1">IF(A20taxstdlife="N/A","n/a",IF(J304=0,0,A20taxstdlife+I304-Input!$W$7))</f>
        <v>0</v>
      </c>
      <c r="M304" s="310"/>
      <c r="N304" s="310"/>
      <c r="O304" s="271"/>
      <c r="P304" s="271"/>
      <c r="Q304" s="271"/>
      <c r="R304" s="271"/>
      <c r="S304" s="258"/>
      <c r="T304" s="258"/>
      <c r="U304" s="258"/>
      <c r="V304" s="258"/>
      <c r="W304" s="258"/>
      <c r="X304" s="258"/>
      <c r="Y304" s="258"/>
      <c r="Z304" s="258"/>
    </row>
    <row r="305" spans="1:26" collapsed="1">
      <c r="A305" s="271"/>
      <c r="C305" s="291">
        <f>Asset20</f>
        <v>0</v>
      </c>
      <c r="D305" s="271"/>
      <c r="E305" s="275">
        <f ca="1">SUM(E293:E304)</f>
        <v>0</v>
      </c>
      <c r="F305" s="275">
        <f ca="1">IF(E305=0,0,SUMPRODUCT(E293:E304,F293:F304)/E305)</f>
        <v>0</v>
      </c>
      <c r="G305" s="276"/>
      <c r="H305" s="283"/>
      <c r="I305" s="275"/>
      <c r="J305" s="309">
        <f ca="1">SUM(J293:J304)</f>
        <v>0</v>
      </c>
      <c r="K305" s="309">
        <f ca="1">IF(J305=0,0,SUMPRODUCT(J293:J304,K293:K304)/J305)</f>
        <v>0</v>
      </c>
      <c r="L305" s="279"/>
      <c r="M305" s="310"/>
      <c r="N305" s="310"/>
      <c r="O305" s="271"/>
      <c r="P305" s="271"/>
      <c r="Q305" s="271"/>
      <c r="R305" s="271"/>
      <c r="S305" s="258"/>
      <c r="T305" s="258"/>
      <c r="U305" s="258"/>
      <c r="V305" s="258"/>
      <c r="W305" s="258"/>
      <c r="X305" s="258"/>
      <c r="Y305" s="258"/>
      <c r="Z305" s="258"/>
    </row>
    <row r="306" spans="1:26" hidden="1" outlineLevel="1">
      <c r="A306" s="271"/>
      <c r="B306" s="274"/>
      <c r="C306" s="271"/>
      <c r="D306" s="271"/>
      <c r="E306" s="292"/>
      <c r="F306" s="292"/>
      <c r="G306" s="276"/>
      <c r="H306" s="275"/>
      <c r="I306" s="275"/>
      <c r="J306" s="289"/>
      <c r="K306" s="275"/>
      <c r="L306" s="279"/>
      <c r="M306" s="310"/>
      <c r="N306" s="310"/>
      <c r="O306" s="271"/>
      <c r="P306" s="271"/>
      <c r="Q306" s="271"/>
      <c r="R306" s="271"/>
      <c r="S306" s="258"/>
      <c r="T306" s="258"/>
      <c r="U306" s="258"/>
      <c r="V306" s="258"/>
      <c r="W306" s="258"/>
      <c r="X306" s="258"/>
      <c r="Y306" s="258"/>
      <c r="Z306" s="258"/>
    </row>
    <row r="307" spans="1:26" hidden="1" outlineLevel="1">
      <c r="A307" s="271"/>
      <c r="B307" s="274">
        <f>Asset21</f>
        <v>0</v>
      </c>
      <c r="C307" s="271"/>
      <c r="D307" s="271"/>
      <c r="E307" s="292"/>
      <c r="F307" s="292"/>
      <c r="G307" s="276"/>
      <c r="H307" s="275"/>
      <c r="I307" s="275"/>
      <c r="J307" s="289"/>
      <c r="K307" s="275"/>
      <c r="L307" s="279"/>
      <c r="M307" s="310"/>
      <c r="N307" s="310"/>
      <c r="O307" s="271"/>
      <c r="P307" s="271"/>
      <c r="Q307" s="271"/>
      <c r="R307" s="271"/>
      <c r="S307" s="258"/>
      <c r="T307" s="258"/>
      <c r="U307" s="258"/>
      <c r="V307" s="258"/>
      <c r="W307" s="258"/>
      <c r="X307" s="258"/>
      <c r="Y307" s="258"/>
      <c r="Z307" s="258"/>
    </row>
    <row r="308" spans="1:26" ht="12.75" hidden="1" customHeight="1" outlineLevel="1">
      <c r="A308" s="271"/>
      <c r="B308" s="271"/>
      <c r="C308" s="659" t="s">
        <v>28</v>
      </c>
      <c r="D308" s="660"/>
      <c r="E308" s="275">
        <f ca="1">A21value-SUM('Actual RAB roll forward'!H304:OFFSET('Actual RAB roll forward'!H304,0,Input!$W$7-1))</f>
        <v>0</v>
      </c>
      <c r="F308" s="275">
        <f ca="1">IF(A21remlife="N/A","n/a",IF(E308=0,0,A21remlife-Input!$W$7))</f>
        <v>0</v>
      </c>
      <c r="G308" s="276"/>
      <c r="H308" s="277" t="s">
        <v>67</v>
      </c>
      <c r="I308" s="278"/>
      <c r="J308" s="275">
        <f ca="1">A21taxvalue-SUM('Tax value roll forward'!G352:OFFSET('Tax value roll forward'!G352,0,Input!$W$7))</f>
        <v>0</v>
      </c>
      <c r="K308" s="275">
        <f ca="1">IF(A21taxremlife="N/A","n/a",IF(J308=0,0,A21taxremlife-Input!$W$7-1))</f>
        <v>0</v>
      </c>
      <c r="L308" s="279"/>
      <c r="M308" s="310"/>
      <c r="N308" s="310"/>
      <c r="O308" s="271"/>
      <c r="P308" s="271"/>
      <c r="Q308" s="271"/>
      <c r="R308" s="271"/>
      <c r="S308" s="258"/>
      <c r="T308" s="258"/>
      <c r="U308" s="258"/>
      <c r="V308" s="258"/>
      <c r="W308" s="258"/>
      <c r="X308" s="258"/>
      <c r="Y308" s="258"/>
      <c r="Z308" s="258"/>
    </row>
    <row r="309" spans="1:26" ht="12.75" hidden="1" customHeight="1" outlineLevel="1">
      <c r="A309" s="271"/>
      <c r="B309" s="271"/>
      <c r="C309" s="666" t="s">
        <v>84</v>
      </c>
      <c r="D309" s="320">
        <f>D$9</f>
        <v>0</v>
      </c>
      <c r="E309" s="275"/>
      <c r="F309" s="275"/>
      <c r="G309" s="276"/>
      <c r="H309" s="666" t="s">
        <v>84</v>
      </c>
      <c r="I309" s="320">
        <v>0</v>
      </c>
      <c r="J309" s="275">
        <f ca="1">OFFSET('Tax value roll forward'!G$60,0,I309)-SUM('Tax value roll forward'!G354:OFFSET('Tax value roll forward'!G354,0,Input!$W$7))</f>
        <v>0</v>
      </c>
      <c r="K309" s="275">
        <f ca="1">IF(A21taxstdlife="N/A","n/a",IF(J309=0,0,A21taxstdlife+I309-Input!$W$7))</f>
        <v>0</v>
      </c>
      <c r="L309" s="279"/>
      <c r="M309" s="310"/>
      <c r="N309" s="310"/>
      <c r="O309" s="271"/>
      <c r="P309" s="271"/>
      <c r="Q309" s="271"/>
      <c r="R309" s="271"/>
      <c r="S309" s="258"/>
      <c r="T309" s="258"/>
      <c r="U309" s="258"/>
      <c r="V309" s="258"/>
      <c r="W309" s="258"/>
      <c r="X309" s="258"/>
      <c r="Y309" s="258"/>
      <c r="Z309" s="258"/>
    </row>
    <row r="310" spans="1:26" ht="12.75" hidden="1" customHeight="1" outlineLevel="1">
      <c r="A310" s="271"/>
      <c r="B310" s="271"/>
      <c r="C310" s="667"/>
      <c r="D310" s="280">
        <f>D$10</f>
        <v>1</v>
      </c>
      <c r="E310" s="275">
        <f ca="1">OFFSET('Actual RAB roll forward'!H$32,0,D310-1)-SUM('Actual RAB roll forward'!H306:OFFSET('Actual RAB roll forward'!H306,0,Input!$W$7-1))</f>
        <v>0</v>
      </c>
      <c r="F310" s="275">
        <f ca="1">IF(A21stdlife="N/A","n/a",IF(E310=0,0,A21stdlife+D310-Input!$W$7))</f>
        <v>0</v>
      </c>
      <c r="G310" s="276"/>
      <c r="H310" s="667"/>
      <c r="I310" s="280">
        <v>1</v>
      </c>
      <c r="J310" s="275">
        <f ca="1">OFFSET('Tax value roll forward'!G$60,0,I310)-SUM('Tax value roll forward'!G355:OFFSET('Tax value roll forward'!G355,0,Input!$W$7))</f>
        <v>0</v>
      </c>
      <c r="K310" s="275">
        <f ca="1">IF(A21taxstdlife="N/A","n/a",IF(J310=0,0,A21taxstdlife+I310-Input!$W$7))</f>
        <v>0</v>
      </c>
      <c r="L310" s="279"/>
      <c r="M310" s="310"/>
      <c r="N310" s="310"/>
      <c r="O310" s="271"/>
      <c r="P310" s="271"/>
      <c r="Q310" s="271"/>
      <c r="R310" s="271"/>
      <c r="S310" s="258"/>
      <c r="T310" s="258"/>
      <c r="U310" s="258"/>
      <c r="V310" s="258"/>
      <c r="W310" s="258"/>
      <c r="X310" s="258"/>
      <c r="Y310" s="258"/>
      <c r="Z310" s="258"/>
    </row>
    <row r="311" spans="1:26" hidden="1" outlineLevel="1">
      <c r="A311" s="271"/>
      <c r="B311" s="271"/>
      <c r="C311" s="667"/>
      <c r="D311" s="280">
        <f>D$11</f>
        <v>2</v>
      </c>
      <c r="E311" s="275">
        <f ca="1">OFFSET('Actual RAB roll forward'!H$32,0,D311-1)-SUM('Actual RAB roll forward'!H307:OFFSET('Actual RAB roll forward'!H307,0,Input!$W$7-1))</f>
        <v>0</v>
      </c>
      <c r="F311" s="275">
        <f ca="1">IF(A21stdlife="N/A","n/a",IF(E311=0,0,A21stdlife+D311-Input!$W$7))</f>
        <v>0</v>
      </c>
      <c r="G311" s="276"/>
      <c r="H311" s="667"/>
      <c r="I311" s="280">
        <v>2</v>
      </c>
      <c r="J311" s="275">
        <f ca="1">OFFSET('Tax value roll forward'!G$60,0,I311)-SUM('Tax value roll forward'!G356:OFFSET('Tax value roll forward'!G356,0,Input!$W$7))</f>
        <v>0</v>
      </c>
      <c r="K311" s="275">
        <f ca="1">IF(A21taxstdlife="N/A","n/a",IF(J311=0,0,A21taxstdlife+I311-Input!$W$7))</f>
        <v>0</v>
      </c>
      <c r="L311" s="279"/>
      <c r="M311" s="310"/>
      <c r="N311" s="310"/>
      <c r="O311" s="271"/>
      <c r="P311" s="271"/>
      <c r="Q311" s="271"/>
      <c r="R311" s="271"/>
      <c r="S311" s="258"/>
      <c r="T311" s="258"/>
      <c r="U311" s="258"/>
      <c r="V311" s="258"/>
      <c r="W311" s="258"/>
      <c r="X311" s="258"/>
      <c r="Y311" s="258"/>
      <c r="Z311" s="258"/>
    </row>
    <row r="312" spans="1:26" hidden="1" outlineLevel="1">
      <c r="A312" s="271"/>
      <c r="B312" s="271"/>
      <c r="C312" s="667"/>
      <c r="D312" s="280">
        <f>D$12</f>
        <v>3</v>
      </c>
      <c r="E312" s="275">
        <f ca="1">OFFSET('Actual RAB roll forward'!H$32,0,D312-1)-SUM('Actual RAB roll forward'!H308:OFFSET('Actual RAB roll forward'!H308,0,Input!$W$7-1))</f>
        <v>0</v>
      </c>
      <c r="F312" s="275">
        <f ca="1">IF(A21stdlife="N/A","n/a",IF(E312=0,0,A21stdlife+D312-Input!$W$7))</f>
        <v>0</v>
      </c>
      <c r="G312" s="276"/>
      <c r="H312" s="667"/>
      <c r="I312" s="280">
        <v>3</v>
      </c>
      <c r="J312" s="275">
        <f ca="1">OFFSET('Tax value roll forward'!G$60,0,I312)-SUM('Tax value roll forward'!G357:OFFSET('Tax value roll forward'!G357,0,Input!$W$7))</f>
        <v>0</v>
      </c>
      <c r="K312" s="275">
        <f ca="1">IF(A21taxstdlife="N/A","n/a",IF(J312=0,0,A21taxstdlife+I312-Input!$W$7))</f>
        <v>0</v>
      </c>
      <c r="L312" s="279"/>
      <c r="M312" s="310"/>
      <c r="N312" s="310"/>
      <c r="O312" s="271"/>
      <c r="P312" s="271"/>
      <c r="Q312" s="271"/>
      <c r="R312" s="271"/>
      <c r="S312" s="258"/>
      <c r="T312" s="258"/>
      <c r="U312" s="258"/>
      <c r="V312" s="258"/>
      <c r="W312" s="258"/>
      <c r="X312" s="258"/>
      <c r="Y312" s="258"/>
      <c r="Z312" s="258"/>
    </row>
    <row r="313" spans="1:26" hidden="1" outlineLevel="1">
      <c r="A313" s="271"/>
      <c r="B313" s="271"/>
      <c r="C313" s="667"/>
      <c r="D313" s="280">
        <f>D$13</f>
        <v>4</v>
      </c>
      <c r="E313" s="275">
        <f ca="1">OFFSET('Actual RAB roll forward'!H$32,0,D313-1)-SUM('Actual RAB roll forward'!H309:OFFSET('Actual RAB roll forward'!H309,0,Input!$W$7-1))</f>
        <v>0</v>
      </c>
      <c r="F313" s="275">
        <f ca="1">IF(A21stdlife="N/A","n/a",IF(E313=0,0,A21stdlife+D313-Input!$W$7))</f>
        <v>0</v>
      </c>
      <c r="G313" s="276"/>
      <c r="H313" s="667"/>
      <c r="I313" s="280">
        <v>4</v>
      </c>
      <c r="J313" s="275">
        <f ca="1">OFFSET('Tax value roll forward'!G$60,0,I313)-SUM('Tax value roll forward'!G358:OFFSET('Tax value roll forward'!G358,0,Input!$W$7))</f>
        <v>0</v>
      </c>
      <c r="K313" s="275">
        <f ca="1">IF(A21taxstdlife="N/A","n/a",IF(J313=0,0,A21taxstdlife+I313-Input!$W$7))</f>
        <v>0</v>
      </c>
      <c r="L313" s="279"/>
      <c r="M313" s="310"/>
      <c r="N313" s="310"/>
      <c r="O313" s="271"/>
      <c r="P313" s="271"/>
      <c r="Q313" s="271"/>
      <c r="R313" s="271"/>
      <c r="S313" s="258"/>
      <c r="T313" s="258"/>
      <c r="U313" s="258"/>
      <c r="V313" s="258"/>
      <c r="W313" s="258"/>
      <c r="X313" s="258"/>
      <c r="Y313" s="258"/>
      <c r="Z313" s="258"/>
    </row>
    <row r="314" spans="1:26" hidden="1" outlineLevel="1">
      <c r="A314" s="271"/>
      <c r="B314" s="271"/>
      <c r="C314" s="667"/>
      <c r="D314" s="280">
        <f>D$14</f>
        <v>5</v>
      </c>
      <c r="E314" s="275">
        <f ca="1">OFFSET('Actual RAB roll forward'!H$32,0,D314-1)-SUM('Actual RAB roll forward'!H310:OFFSET('Actual RAB roll forward'!H310,0,Input!$W$7-1))</f>
        <v>0</v>
      </c>
      <c r="F314" s="275">
        <f ca="1">IF(A21stdlife="N/A","n/a",IF(E314=0,0,A21stdlife+D314-Input!$W$7))</f>
        <v>0</v>
      </c>
      <c r="G314" s="276"/>
      <c r="H314" s="667"/>
      <c r="I314" s="280">
        <v>5</v>
      </c>
      <c r="J314" s="275">
        <f ca="1">OFFSET('Tax value roll forward'!G$60,0,I314)-SUM('Tax value roll forward'!G359:OFFSET('Tax value roll forward'!G359,0,Input!$W$7))</f>
        <v>0</v>
      </c>
      <c r="K314" s="275">
        <f ca="1">IF(A21taxstdlife="N/A","n/a",IF(J314=0,0,A21taxstdlife+I314-Input!$W$7))</f>
        <v>0</v>
      </c>
      <c r="L314" s="279"/>
      <c r="M314" s="310"/>
      <c r="N314" s="310"/>
      <c r="O314" s="271"/>
      <c r="P314" s="271"/>
      <c r="Q314" s="271"/>
      <c r="R314" s="271"/>
      <c r="S314" s="258"/>
      <c r="T314" s="258"/>
      <c r="U314" s="258"/>
      <c r="V314" s="258"/>
      <c r="W314" s="258"/>
      <c r="X314" s="258"/>
      <c r="Y314" s="258"/>
      <c r="Z314" s="258"/>
    </row>
    <row r="315" spans="1:26" hidden="1" outlineLevel="1">
      <c r="A315" s="271"/>
      <c r="B315" s="271"/>
      <c r="C315" s="667"/>
      <c r="D315" s="280">
        <f>D$15</f>
        <v>6</v>
      </c>
      <c r="E315" s="275">
        <f ca="1">OFFSET('Actual RAB roll forward'!H$32,0,D315-1)-SUM('Actual RAB roll forward'!H311:OFFSET('Actual RAB roll forward'!H311,0,Input!$W$7-1))</f>
        <v>0</v>
      </c>
      <c r="F315" s="275">
        <f ca="1">IF(A21stdlife="N/A","n/a",IF(E315=0,0,A21stdlife+D315-Input!$W$7))</f>
        <v>0</v>
      </c>
      <c r="G315" s="276"/>
      <c r="H315" s="667"/>
      <c r="I315" s="280">
        <v>6</v>
      </c>
      <c r="J315" s="275">
        <f ca="1">OFFSET('Tax value roll forward'!G$60,0,I315)-SUM('Tax value roll forward'!G360:OFFSET('Tax value roll forward'!G360,0,Input!$W$7))</f>
        <v>0</v>
      </c>
      <c r="K315" s="275">
        <f ca="1">IF(A21taxstdlife="N/A","n/a",IF(J315=0,0,A21taxstdlife+I315-Input!$W$7))</f>
        <v>0</v>
      </c>
      <c r="L315" s="279"/>
      <c r="M315" s="310"/>
      <c r="N315" s="310"/>
      <c r="O315" s="271"/>
      <c r="P315" s="271"/>
      <c r="Q315" s="271"/>
      <c r="R315" s="271"/>
      <c r="S315" s="258"/>
      <c r="T315" s="258"/>
      <c r="U315" s="258"/>
      <c r="V315" s="258"/>
      <c r="W315" s="258"/>
      <c r="X315" s="258"/>
      <c r="Y315" s="258"/>
      <c r="Z315" s="258"/>
    </row>
    <row r="316" spans="1:26" hidden="1" outlineLevel="1">
      <c r="A316" s="271"/>
      <c r="B316" s="271"/>
      <c r="C316" s="667"/>
      <c r="D316" s="280">
        <f>D$16</f>
        <v>7</v>
      </c>
      <c r="E316" s="275">
        <f ca="1">OFFSET('Actual RAB roll forward'!H$32,0,D316-1)-SUM('Actual RAB roll forward'!H312:OFFSET('Actual RAB roll forward'!H312,0,Input!$W$7-1))</f>
        <v>0</v>
      </c>
      <c r="F316" s="275">
        <f ca="1">IF(A21stdlife="N/A","n/a",IF(E316=0,0,A21stdlife+D316-Input!$W$7))</f>
        <v>0</v>
      </c>
      <c r="G316" s="276"/>
      <c r="H316" s="667"/>
      <c r="I316" s="280">
        <v>7</v>
      </c>
      <c r="J316" s="275">
        <f ca="1">OFFSET('Tax value roll forward'!G$60,0,I316)-SUM('Tax value roll forward'!G361:OFFSET('Tax value roll forward'!G361,0,Input!$W$7))</f>
        <v>0</v>
      </c>
      <c r="K316" s="275">
        <f ca="1">IF(A21taxstdlife="N/A","n/a",IF(J316=0,0,A21taxstdlife+I316-Input!$W$7))</f>
        <v>0</v>
      </c>
      <c r="L316" s="279"/>
      <c r="M316" s="310"/>
      <c r="N316" s="310"/>
      <c r="O316" s="271"/>
      <c r="P316" s="271"/>
      <c r="Q316" s="271"/>
      <c r="R316" s="271"/>
      <c r="S316" s="258"/>
      <c r="T316" s="258"/>
      <c r="U316" s="258"/>
      <c r="V316" s="258"/>
      <c r="W316" s="258"/>
      <c r="X316" s="258"/>
      <c r="Y316" s="258"/>
      <c r="Z316" s="258"/>
    </row>
    <row r="317" spans="1:26" hidden="1" outlineLevel="1">
      <c r="A317" s="271"/>
      <c r="B317" s="271"/>
      <c r="C317" s="667"/>
      <c r="D317" s="280">
        <f>D$17</f>
        <v>8</v>
      </c>
      <c r="E317" s="275">
        <f ca="1">OFFSET('Actual RAB roll forward'!H$32,0,D317-1)-SUM('Actual RAB roll forward'!H313:OFFSET('Actual RAB roll forward'!H313,0,Input!$W$7-1))</f>
        <v>0</v>
      </c>
      <c r="F317" s="275">
        <f ca="1">IF(A21stdlife="N/A","n/a",IF(E317=0,0,A21stdlife+D317-Input!$W$7))</f>
        <v>0</v>
      </c>
      <c r="G317" s="276"/>
      <c r="H317" s="667"/>
      <c r="I317" s="280">
        <v>8</v>
      </c>
      <c r="J317" s="275">
        <f ca="1">OFFSET('Tax value roll forward'!G$60,0,I317)-SUM('Tax value roll forward'!G362:OFFSET('Tax value roll forward'!G362,0,Input!$W$7))</f>
        <v>0</v>
      </c>
      <c r="K317" s="275">
        <f ca="1">IF(A21taxstdlife="N/A","n/a",IF(J317=0,0,A21taxstdlife+I317-Input!$W$7))</f>
        <v>0</v>
      </c>
      <c r="L317" s="279"/>
      <c r="M317" s="310"/>
      <c r="N317" s="310"/>
      <c r="O317" s="271"/>
      <c r="P317" s="271"/>
      <c r="Q317" s="271"/>
      <c r="R317" s="271"/>
      <c r="S317" s="258"/>
      <c r="T317" s="258"/>
      <c r="U317" s="258"/>
      <c r="V317" s="258"/>
      <c r="W317" s="258"/>
      <c r="X317" s="258"/>
      <c r="Y317" s="258"/>
      <c r="Z317" s="258"/>
    </row>
    <row r="318" spans="1:26" hidden="1" outlineLevel="1">
      <c r="A318" s="271"/>
      <c r="B318" s="271"/>
      <c r="C318" s="667"/>
      <c r="D318" s="280">
        <f>D$18</f>
        <v>9</v>
      </c>
      <c r="E318" s="275">
        <f ca="1">OFFSET('Actual RAB roll forward'!H$32,0,D318-1)-SUM('Actual RAB roll forward'!H314:OFFSET('Actual RAB roll forward'!H314,0,Input!$W$7-1))</f>
        <v>0</v>
      </c>
      <c r="F318" s="275">
        <f ca="1">IF(A21stdlife="N/A","n/a",IF(E318=0,0,A21stdlife+D318-Input!$W$7))</f>
        <v>0</v>
      </c>
      <c r="G318" s="276"/>
      <c r="H318" s="667"/>
      <c r="I318" s="280">
        <v>9</v>
      </c>
      <c r="J318" s="275">
        <f ca="1">OFFSET('Tax value roll forward'!G$60,0,I318)-SUM('Tax value roll forward'!G363:OFFSET('Tax value roll forward'!G363,0,Input!$W$7))</f>
        <v>0</v>
      </c>
      <c r="K318" s="275">
        <f ca="1">IF(A21taxstdlife="N/A","n/a",IF(J318=0,0,A21taxstdlife+I318-Input!$W$7))</f>
        <v>0</v>
      </c>
      <c r="L318" s="279"/>
      <c r="M318" s="310"/>
      <c r="N318" s="310"/>
      <c r="O318" s="271"/>
      <c r="P318" s="271"/>
      <c r="Q318" s="271"/>
      <c r="R318" s="271"/>
      <c r="S318" s="258"/>
      <c r="T318" s="258"/>
      <c r="U318" s="258"/>
      <c r="V318" s="258"/>
      <c r="W318" s="258"/>
      <c r="X318" s="258"/>
      <c r="Y318" s="258"/>
      <c r="Z318" s="258"/>
    </row>
    <row r="319" spans="1:26" hidden="1" outlineLevel="1">
      <c r="A319" s="271"/>
      <c r="B319" s="271"/>
      <c r="C319" s="668"/>
      <c r="D319" s="281">
        <f>D$19</f>
        <v>10</v>
      </c>
      <c r="E319" s="275">
        <f ca="1">OFFSET('Actual RAB roll forward'!H$32,0,D319-1)-SUM('Actual RAB roll forward'!H315:OFFSET('Actual RAB roll forward'!H315,0,Input!$W$7-1))</f>
        <v>0</v>
      </c>
      <c r="F319" s="275">
        <f ca="1">IF(A21stdlife="N/A","n/a",IF(E319=0,0,A21stdlife+D319-Input!$W$7))</f>
        <v>0</v>
      </c>
      <c r="G319" s="276"/>
      <c r="H319" s="668"/>
      <c r="I319" s="281">
        <v>10</v>
      </c>
      <c r="J319" s="275">
        <f ca="1">OFFSET('Tax value roll forward'!G$60,0,I319)-SUM('Tax value roll forward'!G364:OFFSET('Tax value roll forward'!G364,0,Input!$W$7))</f>
        <v>0</v>
      </c>
      <c r="K319" s="275">
        <f ca="1">IF(A21taxstdlife="N/A","n/a",IF(J319=0,0,A21taxstdlife+I319-Input!$W$7))</f>
        <v>0</v>
      </c>
      <c r="M319" s="310"/>
      <c r="N319" s="310"/>
      <c r="O319" s="271"/>
      <c r="P319" s="271"/>
      <c r="Q319" s="271"/>
      <c r="R319" s="271"/>
      <c r="S319" s="258"/>
      <c r="T319" s="258"/>
      <c r="U319" s="258"/>
      <c r="V319" s="258"/>
      <c r="W319" s="258"/>
      <c r="X319" s="258"/>
      <c r="Y319" s="258"/>
      <c r="Z319" s="258"/>
    </row>
    <row r="320" spans="1:26" collapsed="1">
      <c r="A320" s="271"/>
      <c r="B320" s="271"/>
      <c r="C320" s="291">
        <f>Asset21</f>
        <v>0</v>
      </c>
      <c r="D320" s="271"/>
      <c r="E320" s="275">
        <f ca="1">SUM(E308:E319)</f>
        <v>0</v>
      </c>
      <c r="F320" s="275">
        <f ca="1">IF(E320=0,0,SUMPRODUCT(E308:E319,F308:F319)/E320)</f>
        <v>0</v>
      </c>
      <c r="G320" s="276"/>
      <c r="H320" s="283"/>
      <c r="I320" s="275"/>
      <c r="J320" s="309">
        <f ca="1">SUM(J308:J319)</f>
        <v>0</v>
      </c>
      <c r="K320" s="309">
        <f ca="1">IF(J320=0,0,SUMPRODUCT(J308:J319,K308:K319)/J320)</f>
        <v>0</v>
      </c>
      <c r="L320" s="279"/>
      <c r="M320" s="310"/>
      <c r="N320" s="310"/>
      <c r="O320" s="271"/>
      <c r="P320" s="271"/>
      <c r="Q320" s="271"/>
      <c r="R320" s="271"/>
      <c r="S320" s="258"/>
      <c r="T320" s="258"/>
      <c r="U320" s="258"/>
      <c r="V320" s="258"/>
      <c r="W320" s="258"/>
      <c r="X320" s="258"/>
      <c r="Y320" s="258"/>
      <c r="Z320" s="258"/>
    </row>
    <row r="321" spans="1:26" hidden="1" outlineLevel="1">
      <c r="A321" s="271"/>
      <c r="B321" s="274"/>
      <c r="C321" s="271"/>
      <c r="D321" s="271"/>
      <c r="E321" s="292"/>
      <c r="F321" s="292"/>
      <c r="G321" s="276"/>
      <c r="H321" s="275"/>
      <c r="I321" s="275"/>
      <c r="J321" s="289"/>
      <c r="K321" s="275"/>
      <c r="L321" s="279"/>
      <c r="M321" s="310"/>
      <c r="N321" s="310"/>
      <c r="O321" s="271"/>
      <c r="P321" s="271"/>
      <c r="Q321" s="271"/>
      <c r="R321" s="271"/>
      <c r="S321" s="258"/>
      <c r="T321" s="258"/>
      <c r="U321" s="258"/>
      <c r="V321" s="258"/>
      <c r="W321" s="258"/>
      <c r="X321" s="258"/>
      <c r="Y321" s="258"/>
      <c r="Z321" s="258"/>
    </row>
    <row r="322" spans="1:26" hidden="1" outlineLevel="1">
      <c r="A322" s="271"/>
      <c r="B322" s="274">
        <f>Asset22</f>
        <v>0</v>
      </c>
      <c r="C322" s="271"/>
      <c r="D322" s="271"/>
      <c r="E322" s="292"/>
      <c r="F322" s="292"/>
      <c r="G322" s="276"/>
      <c r="H322" s="275"/>
      <c r="I322" s="275"/>
      <c r="J322" s="289"/>
      <c r="K322" s="275"/>
      <c r="L322" s="279"/>
      <c r="M322" s="310"/>
      <c r="N322" s="310"/>
      <c r="O322" s="271"/>
      <c r="P322" s="271"/>
      <c r="Q322" s="271"/>
      <c r="R322" s="271"/>
      <c r="S322" s="258"/>
      <c r="T322" s="258"/>
      <c r="U322" s="258"/>
      <c r="V322" s="258"/>
      <c r="W322" s="258"/>
      <c r="X322" s="258"/>
      <c r="Y322" s="258"/>
      <c r="Z322" s="258"/>
    </row>
    <row r="323" spans="1:26" ht="12.75" hidden="1" customHeight="1" outlineLevel="1">
      <c r="A323" s="271"/>
      <c r="B323" s="271"/>
      <c r="C323" s="659" t="s">
        <v>28</v>
      </c>
      <c r="D323" s="660"/>
      <c r="E323" s="275">
        <f ca="1">A22value-SUM('Actual RAB roll forward'!H317:OFFSET('Actual RAB roll forward'!H317,0,Input!$W$7-1))</f>
        <v>0</v>
      </c>
      <c r="F323" s="275">
        <f ca="1">IF(A22remlife="N/A","n/a",IF(E323=0,0,A22remlife-Input!$W$7))</f>
        <v>0</v>
      </c>
      <c r="G323" s="276"/>
      <c r="H323" s="277" t="s">
        <v>67</v>
      </c>
      <c r="I323" s="278"/>
      <c r="J323" s="275">
        <f ca="1">A22taxvalue-SUM('Tax value roll forward'!G366:OFFSET('Tax value roll forward'!G366,0,Input!$W$7))</f>
        <v>0</v>
      </c>
      <c r="K323" s="275">
        <f ca="1">IF(A22taxremlife="N/A","n/a",IF(J323=0,0,A22taxremlife-Input!$W$7-1))</f>
        <v>0</v>
      </c>
      <c r="L323" s="279"/>
      <c r="M323" s="310"/>
      <c r="N323" s="310"/>
      <c r="O323" s="271"/>
      <c r="P323" s="271"/>
      <c r="Q323" s="271"/>
      <c r="R323" s="271"/>
      <c r="S323" s="258"/>
      <c r="T323" s="258"/>
      <c r="U323" s="258"/>
      <c r="V323" s="258"/>
      <c r="W323" s="258"/>
      <c r="X323" s="258"/>
      <c r="Y323" s="258"/>
      <c r="Z323" s="258"/>
    </row>
    <row r="324" spans="1:26" ht="12.75" hidden="1" customHeight="1" outlineLevel="1">
      <c r="A324" s="271"/>
      <c r="B324" s="271"/>
      <c r="C324" s="666" t="s">
        <v>84</v>
      </c>
      <c r="D324" s="320">
        <f>D$9</f>
        <v>0</v>
      </c>
      <c r="E324" s="275"/>
      <c r="F324" s="275"/>
      <c r="G324" s="276"/>
      <c r="H324" s="666" t="s">
        <v>84</v>
      </c>
      <c r="I324" s="320">
        <v>0</v>
      </c>
      <c r="J324" s="275">
        <f ca="1">OFFSET('Tax value roll forward'!G$61,0,I324)-SUM('Tax value roll forward'!G368:OFFSET('Tax value roll forward'!G368,0,Input!$W$7))</f>
        <v>0</v>
      </c>
      <c r="K324" s="275">
        <f ca="1">IF(A22taxstdlife="N/A","n/a",IF(J324=0,0,A22taxstdlife+I324-Input!$W$7))</f>
        <v>0</v>
      </c>
      <c r="L324" s="279"/>
      <c r="M324" s="310"/>
      <c r="N324" s="310"/>
      <c r="O324" s="271"/>
      <c r="P324" s="271"/>
      <c r="Q324" s="271"/>
      <c r="R324" s="271"/>
      <c r="S324" s="258"/>
      <c r="T324" s="258"/>
      <c r="U324" s="258"/>
      <c r="V324" s="258"/>
      <c r="W324" s="258"/>
      <c r="X324" s="258"/>
      <c r="Y324" s="258"/>
      <c r="Z324" s="258"/>
    </row>
    <row r="325" spans="1:26" ht="12.75" hidden="1" customHeight="1" outlineLevel="1">
      <c r="A325" s="271"/>
      <c r="B325" s="271"/>
      <c r="C325" s="667"/>
      <c r="D325" s="280">
        <f>D$10</f>
        <v>1</v>
      </c>
      <c r="E325" s="275">
        <f ca="1">OFFSET('Actual RAB roll forward'!H$33,0,D325-1)-SUM('Actual RAB roll forward'!H319:OFFSET('Actual RAB roll forward'!H319,0,Input!$W$7-1))</f>
        <v>0</v>
      </c>
      <c r="F325" s="275">
        <f ca="1">IF(A22stdlife="N/A","n/a",IF(E325=0,0,A22stdlife+D325-Input!$W$7))</f>
        <v>0</v>
      </c>
      <c r="G325" s="276"/>
      <c r="H325" s="667"/>
      <c r="I325" s="280">
        <v>1</v>
      </c>
      <c r="J325" s="275">
        <f ca="1">OFFSET('Tax value roll forward'!G$61,0,I325)-SUM('Tax value roll forward'!G369:OFFSET('Tax value roll forward'!G369,0,Input!$W$7))</f>
        <v>0</v>
      </c>
      <c r="K325" s="275">
        <f ca="1">IF(A22taxstdlife="N/A","n/a",IF(J325=0,0,A22taxstdlife+I325-Input!$W$7))</f>
        <v>0</v>
      </c>
      <c r="L325" s="279"/>
      <c r="M325" s="310"/>
      <c r="N325" s="310"/>
      <c r="O325" s="271"/>
      <c r="P325" s="271"/>
      <c r="Q325" s="271"/>
      <c r="R325" s="271"/>
      <c r="S325" s="258"/>
      <c r="T325" s="258"/>
      <c r="U325" s="258"/>
      <c r="V325" s="258"/>
      <c r="W325" s="258"/>
      <c r="X325" s="258"/>
      <c r="Y325" s="258"/>
      <c r="Z325" s="258"/>
    </row>
    <row r="326" spans="1:26" hidden="1" outlineLevel="1">
      <c r="A326" s="271"/>
      <c r="B326" s="271"/>
      <c r="C326" s="667"/>
      <c r="D326" s="280">
        <f>D$11</f>
        <v>2</v>
      </c>
      <c r="E326" s="275">
        <f ca="1">OFFSET('Actual RAB roll forward'!H$33,0,D326-1)-SUM('Actual RAB roll forward'!H320:OFFSET('Actual RAB roll forward'!H320,0,Input!$W$7-1))</f>
        <v>0</v>
      </c>
      <c r="F326" s="275">
        <f ca="1">IF(A22stdlife="N/A","n/a",IF(E326=0,0,A22stdlife+D326-Input!$W$7))</f>
        <v>0</v>
      </c>
      <c r="G326" s="276"/>
      <c r="H326" s="667"/>
      <c r="I326" s="280">
        <v>2</v>
      </c>
      <c r="J326" s="275">
        <f ca="1">OFFSET('Tax value roll forward'!G$61,0,I326)-SUM('Tax value roll forward'!G370:OFFSET('Tax value roll forward'!G370,0,Input!$W$7))</f>
        <v>0</v>
      </c>
      <c r="K326" s="275">
        <f ca="1">IF(A22taxstdlife="N/A","n/a",IF(J326=0,0,A22taxstdlife+I326-Input!$W$7))</f>
        <v>0</v>
      </c>
      <c r="L326" s="279"/>
      <c r="M326" s="310"/>
      <c r="N326" s="310"/>
      <c r="O326" s="271"/>
      <c r="P326" s="271"/>
      <c r="Q326" s="271"/>
      <c r="R326" s="271"/>
      <c r="S326" s="258"/>
      <c r="T326" s="258"/>
      <c r="U326" s="258"/>
      <c r="V326" s="258"/>
      <c r="W326" s="258"/>
      <c r="X326" s="258"/>
      <c r="Y326" s="258"/>
      <c r="Z326" s="258"/>
    </row>
    <row r="327" spans="1:26" hidden="1" outlineLevel="1">
      <c r="A327" s="271"/>
      <c r="B327" s="271"/>
      <c r="C327" s="667"/>
      <c r="D327" s="280">
        <f>D$12</f>
        <v>3</v>
      </c>
      <c r="E327" s="275">
        <f ca="1">OFFSET('Actual RAB roll forward'!H$33,0,D327-1)-SUM('Actual RAB roll forward'!H321:OFFSET('Actual RAB roll forward'!H321,0,Input!$W$7-1))</f>
        <v>0</v>
      </c>
      <c r="F327" s="275">
        <f ca="1">IF(A22stdlife="N/A","n/a",IF(E327=0,0,A22stdlife+D327-Input!$W$7))</f>
        <v>0</v>
      </c>
      <c r="G327" s="276"/>
      <c r="H327" s="667"/>
      <c r="I327" s="280">
        <v>3</v>
      </c>
      <c r="J327" s="275">
        <f ca="1">OFFSET('Tax value roll forward'!G$61,0,I327)-SUM('Tax value roll forward'!G371:OFFSET('Tax value roll forward'!G371,0,Input!$W$7))</f>
        <v>0</v>
      </c>
      <c r="K327" s="275">
        <f ca="1">IF(A22taxstdlife="N/A","n/a",IF(J327=0,0,A22taxstdlife+I327-Input!$W$7))</f>
        <v>0</v>
      </c>
      <c r="L327" s="279"/>
      <c r="M327" s="310"/>
      <c r="N327" s="310"/>
      <c r="O327" s="271"/>
      <c r="P327" s="271"/>
      <c r="Q327" s="271"/>
      <c r="R327" s="271"/>
      <c r="S327" s="258"/>
      <c r="T327" s="258"/>
      <c r="U327" s="258"/>
      <c r="V327" s="258"/>
      <c r="W327" s="258"/>
      <c r="X327" s="258"/>
      <c r="Y327" s="258"/>
      <c r="Z327" s="258"/>
    </row>
    <row r="328" spans="1:26" hidden="1" outlineLevel="1">
      <c r="A328" s="271"/>
      <c r="B328" s="271"/>
      <c r="C328" s="667"/>
      <c r="D328" s="280">
        <f>D$13</f>
        <v>4</v>
      </c>
      <c r="E328" s="275">
        <f ca="1">OFFSET('Actual RAB roll forward'!H$33,0,D328-1)-SUM('Actual RAB roll forward'!H322:OFFSET('Actual RAB roll forward'!H322,0,Input!$W$7-1))</f>
        <v>0</v>
      </c>
      <c r="F328" s="275">
        <f ca="1">IF(A22stdlife="N/A","n/a",IF(E328=0,0,A22stdlife+D328-Input!$W$7))</f>
        <v>0</v>
      </c>
      <c r="G328" s="276"/>
      <c r="H328" s="667"/>
      <c r="I328" s="280">
        <v>4</v>
      </c>
      <c r="J328" s="275">
        <f ca="1">OFFSET('Tax value roll forward'!G$61,0,I328)-SUM('Tax value roll forward'!G372:OFFSET('Tax value roll forward'!G372,0,Input!$W$7))</f>
        <v>0</v>
      </c>
      <c r="K328" s="275">
        <f ca="1">IF(A22taxstdlife="N/A","n/a",IF(J328=0,0,A22taxstdlife+I328-Input!$W$7))</f>
        <v>0</v>
      </c>
      <c r="L328" s="279"/>
      <c r="M328" s="310"/>
      <c r="N328" s="310"/>
      <c r="O328" s="271"/>
      <c r="P328" s="271"/>
      <c r="Q328" s="271"/>
      <c r="R328" s="271"/>
      <c r="S328" s="258"/>
      <c r="T328" s="258"/>
      <c r="U328" s="258"/>
      <c r="V328" s="258"/>
      <c r="W328" s="258"/>
      <c r="X328" s="258"/>
      <c r="Y328" s="258"/>
      <c r="Z328" s="258"/>
    </row>
    <row r="329" spans="1:26" hidden="1" outlineLevel="1">
      <c r="A329" s="271"/>
      <c r="B329" s="271"/>
      <c r="C329" s="667"/>
      <c r="D329" s="280">
        <f>D$14</f>
        <v>5</v>
      </c>
      <c r="E329" s="275">
        <f ca="1">OFFSET('Actual RAB roll forward'!H$33,0,D329-1)-SUM('Actual RAB roll forward'!H323:OFFSET('Actual RAB roll forward'!H323,0,Input!$W$7-1))</f>
        <v>0</v>
      </c>
      <c r="F329" s="275">
        <f ca="1">IF(A22stdlife="N/A","n/a",IF(E329=0,0,A22stdlife+D329-Input!$W$7))</f>
        <v>0</v>
      </c>
      <c r="G329" s="276"/>
      <c r="H329" s="667"/>
      <c r="I329" s="280">
        <v>5</v>
      </c>
      <c r="J329" s="275">
        <f ca="1">OFFSET('Tax value roll forward'!G$61,0,I329)-SUM('Tax value roll forward'!G373:OFFSET('Tax value roll forward'!G373,0,Input!$W$7))</f>
        <v>0</v>
      </c>
      <c r="K329" s="275">
        <f ca="1">IF(A22taxstdlife="N/A","n/a",IF(J329=0,0,A22taxstdlife+I329-Input!$W$7))</f>
        <v>0</v>
      </c>
      <c r="L329" s="279"/>
      <c r="M329" s="310"/>
      <c r="N329" s="310"/>
      <c r="O329" s="271"/>
      <c r="P329" s="271"/>
      <c r="Q329" s="271"/>
      <c r="R329" s="271"/>
      <c r="S329" s="258"/>
      <c r="T329" s="258"/>
      <c r="U329" s="258"/>
      <c r="V329" s="258"/>
      <c r="W329" s="258"/>
      <c r="X329" s="258"/>
      <c r="Y329" s="258"/>
      <c r="Z329" s="258"/>
    </row>
    <row r="330" spans="1:26" hidden="1" outlineLevel="1">
      <c r="A330" s="271"/>
      <c r="B330" s="271"/>
      <c r="C330" s="667"/>
      <c r="D330" s="280">
        <f>D$15</f>
        <v>6</v>
      </c>
      <c r="E330" s="275">
        <f ca="1">OFFSET('Actual RAB roll forward'!H$33,0,D330-1)-SUM('Actual RAB roll forward'!H324:OFFSET('Actual RAB roll forward'!H324,0,Input!$W$7-1))</f>
        <v>0</v>
      </c>
      <c r="F330" s="275">
        <f ca="1">IF(A22stdlife="N/A","n/a",IF(E330=0,0,A22stdlife+D330-Input!$W$7))</f>
        <v>0</v>
      </c>
      <c r="G330" s="276"/>
      <c r="H330" s="667"/>
      <c r="I330" s="280">
        <v>6</v>
      </c>
      <c r="J330" s="275">
        <f ca="1">OFFSET('Tax value roll forward'!G$61,0,I330)-SUM('Tax value roll forward'!G374:OFFSET('Tax value roll forward'!G374,0,Input!$W$7))</f>
        <v>0</v>
      </c>
      <c r="K330" s="275">
        <f ca="1">IF(A22taxstdlife="N/A","n/a",IF(J330=0,0,A22taxstdlife+I330-Input!$W$7))</f>
        <v>0</v>
      </c>
      <c r="L330" s="279"/>
      <c r="M330" s="310"/>
      <c r="N330" s="310"/>
      <c r="O330" s="271"/>
      <c r="P330" s="271"/>
      <c r="Q330" s="271"/>
      <c r="R330" s="271"/>
      <c r="S330" s="258"/>
      <c r="T330" s="258"/>
      <c r="U330" s="258"/>
      <c r="V330" s="258"/>
      <c r="W330" s="258"/>
      <c r="X330" s="258"/>
      <c r="Y330" s="258"/>
      <c r="Z330" s="258"/>
    </row>
    <row r="331" spans="1:26" hidden="1" outlineLevel="1">
      <c r="A331" s="271"/>
      <c r="B331" s="271"/>
      <c r="C331" s="667"/>
      <c r="D331" s="280">
        <f>D$16</f>
        <v>7</v>
      </c>
      <c r="E331" s="275">
        <f ca="1">OFFSET('Actual RAB roll forward'!H$33,0,D331-1)-SUM('Actual RAB roll forward'!H325:OFFSET('Actual RAB roll forward'!H325,0,Input!$W$7-1))</f>
        <v>0</v>
      </c>
      <c r="F331" s="275">
        <f ca="1">IF(A22stdlife="N/A","n/a",IF(E331=0,0,A22stdlife+D331-Input!$W$7))</f>
        <v>0</v>
      </c>
      <c r="G331" s="276"/>
      <c r="H331" s="667"/>
      <c r="I331" s="280">
        <v>7</v>
      </c>
      <c r="J331" s="275">
        <f ca="1">OFFSET('Tax value roll forward'!G$61,0,I331)-SUM('Tax value roll forward'!G375:OFFSET('Tax value roll forward'!G375,0,Input!$W$7))</f>
        <v>0</v>
      </c>
      <c r="K331" s="275">
        <f ca="1">IF(A22taxstdlife="N/A","n/a",IF(J331=0,0,A22taxstdlife+I331-Input!$W$7))</f>
        <v>0</v>
      </c>
      <c r="L331" s="279"/>
      <c r="M331" s="310"/>
      <c r="N331" s="310"/>
      <c r="O331" s="271"/>
      <c r="P331" s="271"/>
      <c r="Q331" s="271"/>
      <c r="R331" s="271"/>
      <c r="S331" s="258"/>
      <c r="T331" s="258"/>
      <c r="U331" s="258"/>
      <c r="V331" s="258"/>
      <c r="W331" s="258"/>
      <c r="X331" s="258"/>
      <c r="Y331" s="258"/>
      <c r="Z331" s="258"/>
    </row>
    <row r="332" spans="1:26" hidden="1" outlineLevel="1">
      <c r="A332" s="271"/>
      <c r="B332" s="271"/>
      <c r="C332" s="667"/>
      <c r="D332" s="280">
        <f>D$17</f>
        <v>8</v>
      </c>
      <c r="E332" s="275">
        <f ca="1">OFFSET('Actual RAB roll forward'!H$33,0,D332-1)-SUM('Actual RAB roll forward'!H326:OFFSET('Actual RAB roll forward'!H326,0,Input!$W$7-1))</f>
        <v>0</v>
      </c>
      <c r="F332" s="275">
        <f ca="1">IF(A22stdlife="N/A","n/a",IF(E332=0,0,A22stdlife+D332-Input!$W$7))</f>
        <v>0</v>
      </c>
      <c r="G332" s="276"/>
      <c r="H332" s="667"/>
      <c r="I332" s="280">
        <v>8</v>
      </c>
      <c r="J332" s="275">
        <f ca="1">OFFSET('Tax value roll forward'!G$61,0,I332)-SUM('Tax value roll forward'!G376:OFFSET('Tax value roll forward'!G376,0,Input!$W$7))</f>
        <v>0</v>
      </c>
      <c r="K332" s="275">
        <f ca="1">IF(A22taxstdlife="N/A","n/a",IF(J332=0,0,A22taxstdlife+I332-Input!$W$7))</f>
        <v>0</v>
      </c>
      <c r="L332" s="279"/>
      <c r="M332" s="310"/>
      <c r="N332" s="310"/>
      <c r="O332" s="271"/>
      <c r="P332" s="271"/>
      <c r="Q332" s="271"/>
      <c r="R332" s="271"/>
      <c r="S332" s="258"/>
      <c r="T332" s="258"/>
      <c r="U332" s="258"/>
      <c r="V332" s="258"/>
      <c r="W332" s="258"/>
      <c r="X332" s="258"/>
      <c r="Y332" s="258"/>
      <c r="Z332" s="258"/>
    </row>
    <row r="333" spans="1:26" hidden="1" outlineLevel="1">
      <c r="A333" s="271"/>
      <c r="B333" s="271"/>
      <c r="C333" s="667"/>
      <c r="D333" s="280">
        <f>D$18</f>
        <v>9</v>
      </c>
      <c r="E333" s="275">
        <f ca="1">OFFSET('Actual RAB roll forward'!H$33,0,D333-1)-SUM('Actual RAB roll forward'!H327:OFFSET('Actual RAB roll forward'!H327,0,Input!$W$7-1))</f>
        <v>0</v>
      </c>
      <c r="F333" s="275">
        <f ca="1">IF(A22stdlife="N/A","n/a",IF(E333=0,0,A22stdlife+D333-Input!$W$7))</f>
        <v>0</v>
      </c>
      <c r="G333" s="276"/>
      <c r="H333" s="667"/>
      <c r="I333" s="280">
        <v>9</v>
      </c>
      <c r="J333" s="275">
        <f ca="1">OFFSET('Tax value roll forward'!G$61,0,I333)-SUM('Tax value roll forward'!G377:OFFSET('Tax value roll forward'!G377,0,Input!$W$7))</f>
        <v>0</v>
      </c>
      <c r="K333" s="275">
        <f ca="1">IF(A22taxstdlife="N/A","n/a",IF(J333=0,0,A22taxstdlife+I333-Input!$W$7))</f>
        <v>0</v>
      </c>
      <c r="L333" s="279"/>
      <c r="M333" s="310"/>
      <c r="N333" s="310"/>
      <c r="O333" s="271"/>
      <c r="P333" s="271"/>
      <c r="Q333" s="271"/>
      <c r="R333" s="271"/>
      <c r="S333" s="258"/>
      <c r="T333" s="258"/>
      <c r="U333" s="258"/>
      <c r="V333" s="258"/>
      <c r="W333" s="258"/>
      <c r="X333" s="258"/>
      <c r="Y333" s="258"/>
      <c r="Z333" s="258"/>
    </row>
    <row r="334" spans="1:26" hidden="1" outlineLevel="1">
      <c r="A334" s="271"/>
      <c r="B334" s="271"/>
      <c r="C334" s="668"/>
      <c r="D334" s="281">
        <f>D$19</f>
        <v>10</v>
      </c>
      <c r="E334" s="275">
        <f ca="1">OFFSET('Actual RAB roll forward'!H$33,0,D334-1)-SUM('Actual RAB roll forward'!H328:OFFSET('Actual RAB roll forward'!H328,0,Input!$W$7-1))</f>
        <v>0</v>
      </c>
      <c r="F334" s="275">
        <f ca="1">IF(A22stdlife="N/A","n/a",IF(E334=0,0,A22stdlife+D334-Input!$W$7))</f>
        <v>0</v>
      </c>
      <c r="G334" s="276"/>
      <c r="H334" s="668"/>
      <c r="I334" s="281">
        <v>10</v>
      </c>
      <c r="J334" s="275">
        <f ca="1">OFFSET('Tax value roll forward'!G$61,0,I334)-SUM('Tax value roll forward'!G378:OFFSET('Tax value roll forward'!G378,0,Input!$W$7))</f>
        <v>0</v>
      </c>
      <c r="K334" s="275">
        <f ca="1">IF(A22taxstdlife="N/A","n/a",IF(J334=0,0,A22taxstdlife+I334-Input!$W$7))</f>
        <v>0</v>
      </c>
      <c r="M334" s="310"/>
      <c r="N334" s="310"/>
      <c r="O334" s="271"/>
      <c r="P334" s="271"/>
      <c r="Q334" s="271"/>
      <c r="R334" s="271"/>
      <c r="S334" s="258"/>
      <c r="T334" s="258"/>
      <c r="U334" s="258"/>
      <c r="V334" s="258"/>
      <c r="W334" s="258"/>
      <c r="X334" s="258"/>
      <c r="Y334" s="258"/>
      <c r="Z334" s="258"/>
    </row>
    <row r="335" spans="1:26" collapsed="1">
      <c r="A335" s="271"/>
      <c r="B335" s="271"/>
      <c r="C335" s="291">
        <f>Asset22</f>
        <v>0</v>
      </c>
      <c r="D335" s="271"/>
      <c r="E335" s="275">
        <f ca="1">SUM(E323:E334)</f>
        <v>0</v>
      </c>
      <c r="F335" s="275">
        <f ca="1">IF(E335=0,0,SUMPRODUCT(E323:E334,F323:F334)/E335)</f>
        <v>0</v>
      </c>
      <c r="G335" s="276"/>
      <c r="H335" s="283"/>
      <c r="I335" s="275"/>
      <c r="J335" s="309">
        <f ca="1">SUM(J323:J334)</f>
        <v>0</v>
      </c>
      <c r="K335" s="309">
        <f ca="1">IF(J335=0,0,SUMPRODUCT(J323:J334,K323:K334)/J335)</f>
        <v>0</v>
      </c>
      <c r="L335" s="279"/>
      <c r="M335" s="310"/>
      <c r="N335" s="310"/>
      <c r="O335" s="271"/>
      <c r="P335" s="271"/>
      <c r="Q335" s="271"/>
      <c r="R335" s="271"/>
      <c r="S335" s="258"/>
      <c r="T335" s="258"/>
      <c r="U335" s="258"/>
      <c r="V335" s="258"/>
      <c r="W335" s="258"/>
      <c r="X335" s="258"/>
      <c r="Y335" s="258"/>
      <c r="Z335" s="258"/>
    </row>
    <row r="336" spans="1:26" hidden="1" outlineLevel="1">
      <c r="A336" s="271"/>
      <c r="B336" s="274"/>
      <c r="C336" s="271"/>
      <c r="D336" s="271"/>
      <c r="E336" s="292"/>
      <c r="F336" s="292"/>
      <c r="G336" s="276"/>
      <c r="H336" s="275"/>
      <c r="I336" s="275"/>
      <c r="J336" s="289"/>
      <c r="K336" s="275"/>
      <c r="L336" s="279"/>
      <c r="M336" s="310"/>
      <c r="N336" s="310"/>
      <c r="O336" s="271"/>
      <c r="P336" s="271"/>
      <c r="Q336" s="271"/>
      <c r="R336" s="271"/>
      <c r="S336" s="258"/>
      <c r="T336" s="258"/>
      <c r="U336" s="258"/>
      <c r="V336" s="258"/>
      <c r="W336" s="258"/>
      <c r="X336" s="258"/>
      <c r="Y336" s="258"/>
      <c r="Z336" s="258"/>
    </row>
    <row r="337" spans="1:26" hidden="1" outlineLevel="1">
      <c r="A337" s="271"/>
      <c r="B337" s="274">
        <f>Asset23</f>
        <v>0</v>
      </c>
      <c r="C337" s="271"/>
      <c r="D337" s="271"/>
      <c r="E337" s="292"/>
      <c r="F337" s="292"/>
      <c r="G337" s="276"/>
      <c r="H337" s="275"/>
      <c r="I337" s="275"/>
      <c r="J337" s="289"/>
      <c r="K337" s="275"/>
      <c r="L337" s="279"/>
      <c r="M337" s="310"/>
      <c r="N337" s="310"/>
      <c r="O337" s="271"/>
      <c r="P337" s="271"/>
      <c r="Q337" s="271"/>
      <c r="R337" s="271"/>
      <c r="S337" s="258"/>
      <c r="T337" s="258"/>
      <c r="U337" s="258"/>
      <c r="V337" s="258"/>
      <c r="W337" s="258"/>
      <c r="X337" s="258"/>
      <c r="Y337" s="258"/>
      <c r="Z337" s="258"/>
    </row>
    <row r="338" spans="1:26" ht="12.75" hidden="1" customHeight="1" outlineLevel="1">
      <c r="A338" s="271"/>
      <c r="B338" s="271"/>
      <c r="C338" s="659" t="s">
        <v>28</v>
      </c>
      <c r="D338" s="660"/>
      <c r="E338" s="275">
        <f ca="1">A23value-SUM('Actual RAB roll forward'!H330:OFFSET('Actual RAB roll forward'!H330,0,Input!$W$7-1))</f>
        <v>0</v>
      </c>
      <c r="F338" s="275">
        <f ca="1">IF(A23remlife="N/A","n/a",IF(E338=0,0,A23remlife-Input!$W$7))</f>
        <v>0</v>
      </c>
      <c r="G338" s="276"/>
      <c r="H338" s="277" t="s">
        <v>67</v>
      </c>
      <c r="I338" s="278"/>
      <c r="J338" s="275">
        <f ca="1">A23taxvalue-SUM('Tax value roll forward'!G380:OFFSET('Tax value roll forward'!G380,0,Input!$W$7))</f>
        <v>0</v>
      </c>
      <c r="K338" s="275">
        <f ca="1">IF(A23taxremlife="N/A","n/a",IF(J338=0,0,A23taxremlife-Input!$W$7-1))</f>
        <v>0</v>
      </c>
      <c r="L338" s="279"/>
      <c r="M338" s="310"/>
      <c r="N338" s="310"/>
      <c r="O338" s="271"/>
      <c r="P338" s="271"/>
      <c r="Q338" s="271"/>
      <c r="R338" s="271"/>
      <c r="S338" s="258"/>
      <c r="T338" s="258"/>
      <c r="U338" s="258"/>
      <c r="V338" s="258"/>
      <c r="W338" s="258"/>
      <c r="X338" s="258"/>
      <c r="Y338" s="258"/>
      <c r="Z338" s="258"/>
    </row>
    <row r="339" spans="1:26" ht="12.75" hidden="1" customHeight="1" outlineLevel="1">
      <c r="A339" s="271"/>
      <c r="B339" s="271"/>
      <c r="C339" s="666" t="s">
        <v>84</v>
      </c>
      <c r="D339" s="320">
        <f>D$9</f>
        <v>0</v>
      </c>
      <c r="E339" s="275"/>
      <c r="F339" s="275"/>
      <c r="G339" s="276"/>
      <c r="H339" s="666" t="s">
        <v>84</v>
      </c>
      <c r="I339" s="320">
        <v>0</v>
      </c>
      <c r="J339" s="275">
        <f ca="1">OFFSET('Tax value roll forward'!G$62,0,I339)-SUM('Tax value roll forward'!G382:OFFSET('Tax value roll forward'!G382,0,Input!$W$7))</f>
        <v>0</v>
      </c>
      <c r="K339" s="275">
        <f ca="1">IF(A23taxstdlife="N/A","n/a",IF(J339=0,0,A23taxstdlife+I339-Input!$W$7))</f>
        <v>0</v>
      </c>
      <c r="L339" s="279"/>
      <c r="M339" s="310"/>
      <c r="N339" s="310"/>
      <c r="O339" s="271"/>
      <c r="P339" s="271"/>
      <c r="Q339" s="271"/>
      <c r="R339" s="271"/>
      <c r="S339" s="258"/>
      <c r="T339" s="258"/>
      <c r="U339" s="258"/>
      <c r="V339" s="258"/>
      <c r="W339" s="258"/>
      <c r="X339" s="258"/>
      <c r="Y339" s="258"/>
      <c r="Z339" s="258"/>
    </row>
    <row r="340" spans="1:26" ht="12.75" hidden="1" customHeight="1" outlineLevel="1">
      <c r="A340" s="271"/>
      <c r="B340" s="271"/>
      <c r="C340" s="667"/>
      <c r="D340" s="280">
        <f>D$10</f>
        <v>1</v>
      </c>
      <c r="E340" s="275">
        <f ca="1">OFFSET('Actual RAB roll forward'!H$34,0,D340-1)-SUM('Actual RAB roll forward'!H332:OFFSET('Actual RAB roll forward'!H332,0,Input!$W$7-1))</f>
        <v>0</v>
      </c>
      <c r="F340" s="275">
        <f ca="1">IF(A23stdlife="N/A","n/a",IF(E340=0,0,A23stdlife+D340-Input!$W$7))</f>
        <v>0</v>
      </c>
      <c r="G340" s="276"/>
      <c r="H340" s="667"/>
      <c r="I340" s="280">
        <v>1</v>
      </c>
      <c r="J340" s="275">
        <f ca="1">OFFSET('Tax value roll forward'!G$62,0,I340)-SUM('Tax value roll forward'!G383:OFFSET('Tax value roll forward'!G383,0,Input!$W$7))</f>
        <v>0</v>
      </c>
      <c r="K340" s="275">
        <f ca="1">IF(A23taxstdlife="N/A","n/a",IF(J340=0,0,A23taxstdlife+I340-Input!$W$7))</f>
        <v>0</v>
      </c>
      <c r="L340" s="279"/>
      <c r="M340" s="310"/>
      <c r="N340" s="310"/>
      <c r="O340" s="271"/>
      <c r="P340" s="271"/>
      <c r="Q340" s="271"/>
      <c r="R340" s="271"/>
      <c r="S340" s="258"/>
      <c r="T340" s="258"/>
      <c r="U340" s="258"/>
      <c r="V340" s="258"/>
      <c r="W340" s="258"/>
      <c r="X340" s="258"/>
      <c r="Y340" s="258"/>
      <c r="Z340" s="258"/>
    </row>
    <row r="341" spans="1:26" hidden="1" outlineLevel="1">
      <c r="A341" s="271"/>
      <c r="B341" s="271"/>
      <c r="C341" s="667"/>
      <c r="D341" s="280">
        <f>D$11</f>
        <v>2</v>
      </c>
      <c r="E341" s="275">
        <f ca="1">OFFSET('Actual RAB roll forward'!H$34,0,D341-1)-SUM('Actual RAB roll forward'!H333:OFFSET('Actual RAB roll forward'!H333,0,Input!$W$7-1))</f>
        <v>0</v>
      </c>
      <c r="F341" s="275">
        <f ca="1">IF(A23stdlife="N/A","n/a",IF(E341=0,0,A23stdlife+D341-Input!$W$7))</f>
        <v>0</v>
      </c>
      <c r="G341" s="276"/>
      <c r="H341" s="667"/>
      <c r="I341" s="280">
        <v>2</v>
      </c>
      <c r="J341" s="275">
        <f ca="1">OFFSET('Tax value roll forward'!G$62,0,I341)-SUM('Tax value roll forward'!G384:OFFSET('Tax value roll forward'!G384,0,Input!$W$7))</f>
        <v>0</v>
      </c>
      <c r="K341" s="275">
        <f ca="1">IF(A23taxstdlife="N/A","n/a",IF(J341=0,0,A23taxstdlife+I341-Input!$W$7))</f>
        <v>0</v>
      </c>
      <c r="L341" s="279"/>
      <c r="M341" s="310"/>
      <c r="N341" s="310"/>
      <c r="O341" s="271"/>
      <c r="P341" s="271"/>
      <c r="Q341" s="271"/>
      <c r="R341" s="271"/>
      <c r="S341" s="258"/>
      <c r="T341" s="258"/>
      <c r="U341" s="258"/>
      <c r="V341" s="258"/>
      <c r="W341" s="258"/>
      <c r="X341" s="258"/>
      <c r="Y341" s="258"/>
      <c r="Z341" s="258"/>
    </row>
    <row r="342" spans="1:26" hidden="1" outlineLevel="1">
      <c r="A342" s="271"/>
      <c r="B342" s="271"/>
      <c r="C342" s="667"/>
      <c r="D342" s="280">
        <f>D$12</f>
        <v>3</v>
      </c>
      <c r="E342" s="275">
        <f ca="1">OFFSET('Actual RAB roll forward'!H$34,0,D342-1)-SUM('Actual RAB roll forward'!H334:OFFSET('Actual RAB roll forward'!H334,0,Input!$W$7-1))</f>
        <v>0</v>
      </c>
      <c r="F342" s="275">
        <f ca="1">IF(A23stdlife="N/A","n/a",IF(E342=0,0,A23stdlife+D342-Input!$W$7))</f>
        <v>0</v>
      </c>
      <c r="G342" s="276"/>
      <c r="H342" s="667"/>
      <c r="I342" s="280">
        <v>3</v>
      </c>
      <c r="J342" s="275">
        <f ca="1">OFFSET('Tax value roll forward'!G$62,0,I342)-SUM('Tax value roll forward'!G385:OFFSET('Tax value roll forward'!G385,0,Input!$W$7))</f>
        <v>0</v>
      </c>
      <c r="K342" s="275">
        <f ca="1">IF(A23taxstdlife="N/A","n/a",IF(J342=0,0,A23taxstdlife+I342-Input!$W$7))</f>
        <v>0</v>
      </c>
      <c r="L342" s="279"/>
      <c r="M342" s="310"/>
      <c r="N342" s="310"/>
      <c r="O342" s="271"/>
      <c r="P342" s="271"/>
      <c r="Q342" s="271"/>
      <c r="R342" s="271"/>
      <c r="S342" s="258"/>
      <c r="T342" s="258"/>
      <c r="U342" s="258"/>
      <c r="V342" s="258"/>
      <c r="W342" s="258"/>
      <c r="X342" s="258"/>
      <c r="Y342" s="258"/>
      <c r="Z342" s="258"/>
    </row>
    <row r="343" spans="1:26" hidden="1" outlineLevel="1">
      <c r="A343" s="271"/>
      <c r="B343" s="271"/>
      <c r="C343" s="667"/>
      <c r="D343" s="280">
        <f>D$13</f>
        <v>4</v>
      </c>
      <c r="E343" s="275">
        <f ca="1">OFFSET('Actual RAB roll forward'!H$34,0,D343-1)-SUM('Actual RAB roll forward'!H335:OFFSET('Actual RAB roll forward'!H335,0,Input!$W$7-1))</f>
        <v>0</v>
      </c>
      <c r="F343" s="275">
        <f ca="1">IF(A23stdlife="N/A","n/a",IF(E343=0,0,A23stdlife+D343-Input!$W$7))</f>
        <v>0</v>
      </c>
      <c r="G343" s="276"/>
      <c r="H343" s="667"/>
      <c r="I343" s="280">
        <v>4</v>
      </c>
      <c r="J343" s="275">
        <f ca="1">OFFSET('Tax value roll forward'!G$62,0,I343)-SUM('Tax value roll forward'!G386:OFFSET('Tax value roll forward'!G386,0,Input!$W$7))</f>
        <v>0</v>
      </c>
      <c r="K343" s="275">
        <f ca="1">IF(A23taxstdlife="N/A","n/a",IF(J343=0,0,A23taxstdlife+I343-Input!$W$7))</f>
        <v>0</v>
      </c>
      <c r="L343" s="279"/>
      <c r="M343" s="310"/>
      <c r="N343" s="310"/>
      <c r="O343" s="271"/>
      <c r="P343" s="271"/>
      <c r="Q343" s="271"/>
      <c r="R343" s="271"/>
      <c r="S343" s="258"/>
      <c r="T343" s="258"/>
      <c r="U343" s="258"/>
      <c r="V343" s="258"/>
      <c r="W343" s="258"/>
      <c r="X343" s="258"/>
      <c r="Y343" s="258"/>
      <c r="Z343" s="258"/>
    </row>
    <row r="344" spans="1:26" hidden="1" outlineLevel="1">
      <c r="A344" s="271"/>
      <c r="B344" s="271"/>
      <c r="C344" s="667"/>
      <c r="D344" s="280">
        <f>D$14</f>
        <v>5</v>
      </c>
      <c r="E344" s="275">
        <f ca="1">OFFSET('Actual RAB roll forward'!H$34,0,D344-1)-SUM('Actual RAB roll forward'!H336:OFFSET('Actual RAB roll forward'!H336,0,Input!$W$7-1))</f>
        <v>0</v>
      </c>
      <c r="F344" s="275">
        <f ca="1">IF(A23stdlife="N/A","n/a",IF(E344=0,0,A23stdlife+D344-Input!$W$7))</f>
        <v>0</v>
      </c>
      <c r="G344" s="276"/>
      <c r="H344" s="667"/>
      <c r="I344" s="280">
        <v>5</v>
      </c>
      <c r="J344" s="275">
        <f ca="1">OFFSET('Tax value roll forward'!G$62,0,I344)-SUM('Tax value roll forward'!G387:OFFSET('Tax value roll forward'!G387,0,Input!$W$7))</f>
        <v>0</v>
      </c>
      <c r="K344" s="275">
        <f ca="1">IF(A23taxstdlife="N/A","n/a",IF(J344=0,0,A23taxstdlife+I344-Input!$W$7))</f>
        <v>0</v>
      </c>
      <c r="L344" s="279"/>
      <c r="M344" s="310"/>
      <c r="N344" s="310"/>
      <c r="O344" s="271"/>
      <c r="P344" s="271"/>
      <c r="Q344" s="271"/>
      <c r="R344" s="271"/>
      <c r="S344" s="258"/>
      <c r="T344" s="258"/>
      <c r="U344" s="258"/>
      <c r="V344" s="258"/>
      <c r="W344" s="258"/>
      <c r="X344" s="258"/>
      <c r="Y344" s="258"/>
      <c r="Z344" s="258"/>
    </row>
    <row r="345" spans="1:26" hidden="1" outlineLevel="1">
      <c r="A345" s="271"/>
      <c r="B345" s="271"/>
      <c r="C345" s="667"/>
      <c r="D345" s="280">
        <f>D$15</f>
        <v>6</v>
      </c>
      <c r="E345" s="275">
        <f ca="1">OFFSET('Actual RAB roll forward'!H$34,0,D345-1)-SUM('Actual RAB roll forward'!H337:OFFSET('Actual RAB roll forward'!H337,0,Input!$W$7-1))</f>
        <v>0</v>
      </c>
      <c r="F345" s="275">
        <f ca="1">IF(A23stdlife="N/A","n/a",IF(E345=0,0,A23stdlife+D345-Input!$W$7))</f>
        <v>0</v>
      </c>
      <c r="G345" s="276"/>
      <c r="H345" s="667"/>
      <c r="I345" s="280">
        <v>6</v>
      </c>
      <c r="J345" s="275">
        <f ca="1">OFFSET('Tax value roll forward'!G$62,0,I345)-SUM('Tax value roll forward'!G388:OFFSET('Tax value roll forward'!G388,0,Input!$W$7))</f>
        <v>0</v>
      </c>
      <c r="K345" s="275">
        <f ca="1">IF(A23taxstdlife="N/A","n/a",IF(J345=0,0,A23taxstdlife+I345-Input!$W$7))</f>
        <v>0</v>
      </c>
      <c r="L345" s="279"/>
      <c r="M345" s="310"/>
      <c r="N345" s="310"/>
      <c r="O345" s="271"/>
      <c r="P345" s="271"/>
      <c r="Q345" s="271"/>
      <c r="R345" s="271"/>
      <c r="S345" s="258"/>
      <c r="T345" s="258"/>
      <c r="U345" s="258"/>
      <c r="V345" s="258"/>
      <c r="W345" s="258"/>
      <c r="X345" s="258"/>
      <c r="Y345" s="258"/>
      <c r="Z345" s="258"/>
    </row>
    <row r="346" spans="1:26" hidden="1" outlineLevel="1">
      <c r="A346" s="271"/>
      <c r="B346" s="271"/>
      <c r="C346" s="667"/>
      <c r="D346" s="280">
        <f>D$16</f>
        <v>7</v>
      </c>
      <c r="E346" s="275">
        <f ca="1">OFFSET('Actual RAB roll forward'!H$34,0,D346-1)-SUM('Actual RAB roll forward'!H338:OFFSET('Actual RAB roll forward'!H338,0,Input!$W$7-1))</f>
        <v>0</v>
      </c>
      <c r="F346" s="275">
        <f ca="1">IF(A23stdlife="N/A","n/a",IF(E346=0,0,A23stdlife+D346-Input!$W$7))</f>
        <v>0</v>
      </c>
      <c r="G346" s="276"/>
      <c r="H346" s="667"/>
      <c r="I346" s="280">
        <v>7</v>
      </c>
      <c r="J346" s="275">
        <f ca="1">OFFSET('Tax value roll forward'!G$62,0,I346)-SUM('Tax value roll forward'!G389:OFFSET('Tax value roll forward'!G389,0,Input!$W$7))</f>
        <v>0</v>
      </c>
      <c r="K346" s="275">
        <f ca="1">IF(A23taxstdlife="N/A","n/a",IF(J346=0,0,A23taxstdlife+I346-Input!$W$7))</f>
        <v>0</v>
      </c>
      <c r="L346" s="279"/>
      <c r="M346" s="310"/>
      <c r="N346" s="310"/>
      <c r="O346" s="271"/>
      <c r="P346" s="271"/>
      <c r="Q346" s="271"/>
      <c r="R346" s="271"/>
      <c r="S346" s="258"/>
      <c r="T346" s="258"/>
      <c r="U346" s="258"/>
      <c r="V346" s="258"/>
      <c r="W346" s="258"/>
      <c r="X346" s="258"/>
      <c r="Y346" s="258"/>
      <c r="Z346" s="258"/>
    </row>
    <row r="347" spans="1:26" hidden="1" outlineLevel="1">
      <c r="A347" s="271"/>
      <c r="B347" s="271"/>
      <c r="C347" s="667"/>
      <c r="D347" s="280">
        <f>D$17</f>
        <v>8</v>
      </c>
      <c r="E347" s="275">
        <f ca="1">OFFSET('Actual RAB roll forward'!H$34,0,D347-1)-SUM('Actual RAB roll forward'!H339:OFFSET('Actual RAB roll forward'!H339,0,Input!$W$7-1))</f>
        <v>0</v>
      </c>
      <c r="F347" s="275">
        <f ca="1">IF(A23stdlife="N/A","n/a",IF(E347=0,0,A23stdlife+D347-Input!$W$7))</f>
        <v>0</v>
      </c>
      <c r="G347" s="276"/>
      <c r="H347" s="667"/>
      <c r="I347" s="280">
        <v>8</v>
      </c>
      <c r="J347" s="275">
        <f ca="1">OFFSET('Tax value roll forward'!G$62,0,I347)-SUM('Tax value roll forward'!G390:OFFSET('Tax value roll forward'!G390,0,Input!$W$7))</f>
        <v>0</v>
      </c>
      <c r="K347" s="275">
        <f ca="1">IF(A23taxstdlife="N/A","n/a",IF(J347=0,0,A23taxstdlife+I347-Input!$W$7))</f>
        <v>0</v>
      </c>
      <c r="L347" s="279"/>
      <c r="M347" s="310"/>
      <c r="N347" s="310"/>
      <c r="O347" s="271"/>
      <c r="P347" s="271"/>
      <c r="Q347" s="271"/>
      <c r="R347" s="271"/>
      <c r="S347" s="258"/>
      <c r="T347" s="258"/>
      <c r="U347" s="258"/>
      <c r="V347" s="258"/>
      <c r="W347" s="258"/>
      <c r="X347" s="258"/>
      <c r="Y347" s="258"/>
      <c r="Z347" s="258"/>
    </row>
    <row r="348" spans="1:26" hidden="1" outlineLevel="1">
      <c r="A348" s="271"/>
      <c r="B348" s="271"/>
      <c r="C348" s="667"/>
      <c r="D348" s="280">
        <f>D$18</f>
        <v>9</v>
      </c>
      <c r="E348" s="275">
        <f ca="1">OFFSET('Actual RAB roll forward'!H$34,0,D348-1)-SUM('Actual RAB roll forward'!H340:OFFSET('Actual RAB roll forward'!H340,0,Input!$W$7-1))</f>
        <v>0</v>
      </c>
      <c r="F348" s="275">
        <f ca="1">IF(A23stdlife="N/A","n/a",IF(E348=0,0,A23stdlife+D348-Input!$W$7))</f>
        <v>0</v>
      </c>
      <c r="G348" s="276"/>
      <c r="H348" s="667"/>
      <c r="I348" s="280">
        <v>9</v>
      </c>
      <c r="J348" s="275">
        <f ca="1">OFFSET('Tax value roll forward'!G$62,0,I348)-SUM('Tax value roll forward'!G391:OFFSET('Tax value roll forward'!G391,0,Input!$W$7))</f>
        <v>0</v>
      </c>
      <c r="K348" s="275">
        <f ca="1">IF(A23taxstdlife="N/A","n/a",IF(J348=0,0,A23taxstdlife+I348-Input!$W$7))</f>
        <v>0</v>
      </c>
      <c r="L348" s="279"/>
      <c r="M348" s="310"/>
      <c r="N348" s="310"/>
      <c r="O348" s="271"/>
      <c r="P348" s="271"/>
      <c r="Q348" s="271"/>
      <c r="R348" s="271"/>
      <c r="S348" s="258"/>
      <c r="T348" s="258"/>
      <c r="U348" s="258"/>
      <c r="V348" s="258"/>
      <c r="W348" s="258"/>
      <c r="X348" s="258"/>
      <c r="Y348" s="258"/>
      <c r="Z348" s="258"/>
    </row>
    <row r="349" spans="1:26" hidden="1" outlineLevel="1">
      <c r="A349" s="271"/>
      <c r="B349" s="271"/>
      <c r="C349" s="668"/>
      <c r="D349" s="281">
        <f>D$19</f>
        <v>10</v>
      </c>
      <c r="E349" s="275">
        <f ca="1">OFFSET('Actual RAB roll forward'!H$34,0,D349-1)-SUM('Actual RAB roll forward'!H341:OFFSET('Actual RAB roll forward'!H341,0,Input!$W$7-1))</f>
        <v>0</v>
      </c>
      <c r="F349" s="275">
        <f ca="1">IF(A23stdlife="N/A","n/a",IF(E349=0,0,A23stdlife+D349-Input!$W$7))</f>
        <v>0</v>
      </c>
      <c r="G349" s="276"/>
      <c r="H349" s="668"/>
      <c r="I349" s="281">
        <v>10</v>
      </c>
      <c r="J349" s="275">
        <f ca="1">OFFSET('Tax value roll forward'!G$62,0,I349)-SUM('Tax value roll forward'!G392:OFFSET('Tax value roll forward'!G392,0,Input!$W$7))</f>
        <v>0</v>
      </c>
      <c r="K349" s="275">
        <f ca="1">IF(A23taxstdlife="N/A","n/a",IF(J349=0,0,A23taxstdlife+I349-Input!$W$7))</f>
        <v>0</v>
      </c>
      <c r="M349" s="310"/>
      <c r="N349" s="310"/>
      <c r="O349" s="271"/>
      <c r="P349" s="271"/>
      <c r="Q349" s="271"/>
      <c r="R349" s="271"/>
      <c r="S349" s="258"/>
      <c r="T349" s="258"/>
      <c r="U349" s="258"/>
      <c r="V349" s="258"/>
      <c r="W349" s="258"/>
      <c r="X349" s="258"/>
      <c r="Y349" s="258"/>
      <c r="Z349" s="258"/>
    </row>
    <row r="350" spans="1:26" collapsed="1">
      <c r="A350" s="271"/>
      <c r="B350" s="271"/>
      <c r="C350" s="291">
        <f>Asset23</f>
        <v>0</v>
      </c>
      <c r="D350" s="271"/>
      <c r="E350" s="275">
        <f ca="1">SUM(E338:E349)</f>
        <v>0</v>
      </c>
      <c r="F350" s="275">
        <f ca="1">IF(E350=0,0,SUMPRODUCT(E338:E349,F338:F349)/E350)</f>
        <v>0</v>
      </c>
      <c r="G350" s="276"/>
      <c r="H350" s="283"/>
      <c r="I350" s="275"/>
      <c r="J350" s="309">
        <f ca="1">SUM(J338:J349)</f>
        <v>0</v>
      </c>
      <c r="K350" s="309">
        <f ca="1">IF(J350=0,0,SUMPRODUCT(J338:J349,K338:K349)/J350)</f>
        <v>0</v>
      </c>
      <c r="L350" s="279"/>
      <c r="M350" s="310"/>
      <c r="N350" s="310"/>
      <c r="O350" s="271"/>
      <c r="P350" s="271"/>
      <c r="Q350" s="271"/>
      <c r="R350" s="271"/>
      <c r="S350" s="258"/>
      <c r="T350" s="258"/>
      <c r="U350" s="258"/>
      <c r="V350" s="258"/>
      <c r="W350" s="258"/>
      <c r="X350" s="258"/>
      <c r="Y350" s="258"/>
      <c r="Z350" s="258"/>
    </row>
    <row r="351" spans="1:26" hidden="1" outlineLevel="1">
      <c r="A351" s="271"/>
      <c r="B351" s="274"/>
      <c r="C351" s="271"/>
      <c r="D351" s="271"/>
      <c r="E351" s="292"/>
      <c r="F351" s="292"/>
      <c r="G351" s="276"/>
      <c r="H351" s="275"/>
      <c r="I351" s="275"/>
      <c r="J351" s="289"/>
      <c r="K351" s="275"/>
      <c r="L351" s="279"/>
      <c r="M351" s="310"/>
      <c r="N351" s="310"/>
      <c r="O351" s="271"/>
      <c r="P351" s="271"/>
      <c r="Q351" s="271"/>
      <c r="R351" s="271"/>
      <c r="S351" s="258"/>
      <c r="T351" s="258"/>
      <c r="U351" s="258"/>
      <c r="V351" s="258"/>
      <c r="W351" s="258"/>
      <c r="X351" s="258"/>
      <c r="Y351" s="258"/>
      <c r="Z351" s="258"/>
    </row>
    <row r="352" spans="1:26" hidden="1" outlineLevel="1">
      <c r="A352" s="271"/>
      <c r="B352" s="274">
        <f>Asset24</f>
        <v>0</v>
      </c>
      <c r="C352" s="271"/>
      <c r="D352" s="271"/>
      <c r="E352" s="292"/>
      <c r="F352" s="292"/>
      <c r="G352" s="276"/>
      <c r="H352" s="275"/>
      <c r="I352" s="275"/>
      <c r="J352" s="289"/>
      <c r="K352" s="275"/>
      <c r="L352" s="279"/>
      <c r="M352" s="310"/>
      <c r="N352" s="310"/>
      <c r="O352" s="271"/>
      <c r="P352" s="271"/>
      <c r="Q352" s="271"/>
      <c r="R352" s="271"/>
      <c r="S352" s="258"/>
      <c r="T352" s="258"/>
      <c r="U352" s="258"/>
      <c r="V352" s="258"/>
      <c r="W352" s="258"/>
      <c r="X352" s="258"/>
      <c r="Y352" s="258"/>
      <c r="Z352" s="258"/>
    </row>
    <row r="353" spans="1:26" ht="12.75" hidden="1" customHeight="1" outlineLevel="1">
      <c r="A353" s="271"/>
      <c r="B353" s="271"/>
      <c r="C353" s="659" t="s">
        <v>28</v>
      </c>
      <c r="D353" s="660"/>
      <c r="E353" s="275">
        <f ca="1">A24value-SUM('Actual RAB roll forward'!H343:OFFSET('Actual RAB roll forward'!H343,0,Input!$W$7-1))</f>
        <v>0</v>
      </c>
      <c r="F353" s="275">
        <f ca="1">IF(A24remlife="N/A","n/a",IF(E353=0,0,A24remlife-Input!$W$7))</f>
        <v>0</v>
      </c>
      <c r="G353" s="276"/>
      <c r="H353" s="277" t="s">
        <v>67</v>
      </c>
      <c r="I353" s="278"/>
      <c r="J353" s="275">
        <f ca="1">A24taxvalue-SUM('Tax value roll forward'!G394:OFFSET('Tax value roll forward'!G394,0,Input!$W$7))</f>
        <v>0</v>
      </c>
      <c r="K353" s="275">
        <f ca="1">IF(A24taxremlife="N/A","n/a",IF(J353=0,0,A24taxremlife-Input!$W$7-1))</f>
        <v>0</v>
      </c>
      <c r="L353" s="279"/>
      <c r="M353" s="310"/>
      <c r="N353" s="310"/>
      <c r="O353" s="271"/>
      <c r="P353" s="271"/>
      <c r="Q353" s="271"/>
      <c r="R353" s="271"/>
      <c r="S353" s="258"/>
      <c r="T353" s="258"/>
      <c r="U353" s="258"/>
      <c r="V353" s="258"/>
      <c r="W353" s="258"/>
      <c r="X353" s="258"/>
      <c r="Y353" s="258"/>
      <c r="Z353" s="258"/>
    </row>
    <row r="354" spans="1:26" ht="12.75" hidden="1" customHeight="1" outlineLevel="1">
      <c r="A354" s="271"/>
      <c r="B354" s="271"/>
      <c r="C354" s="666" t="s">
        <v>84</v>
      </c>
      <c r="D354" s="320">
        <f>D$9</f>
        <v>0</v>
      </c>
      <c r="E354" s="275"/>
      <c r="F354" s="275"/>
      <c r="G354" s="276"/>
      <c r="H354" s="666" t="s">
        <v>84</v>
      </c>
      <c r="I354" s="320">
        <v>0</v>
      </c>
      <c r="J354" s="275">
        <f ca="1">OFFSET('Tax value roll forward'!G$63,0,I354)-SUM('Tax value roll forward'!G396:OFFSET('Tax value roll forward'!G396,0,Input!$W$7))</f>
        <v>0</v>
      </c>
      <c r="K354" s="275">
        <f ca="1">IF(A24taxstdlife="N/A","n/a",IF(J354=0,0,A24taxstdlife+I354-Input!$W$7))</f>
        <v>0</v>
      </c>
      <c r="L354" s="279"/>
      <c r="M354" s="310"/>
      <c r="N354" s="310"/>
      <c r="O354" s="271"/>
      <c r="P354" s="271"/>
      <c r="Q354" s="271"/>
      <c r="R354" s="271"/>
      <c r="S354" s="258"/>
      <c r="T354" s="258"/>
      <c r="U354" s="258"/>
      <c r="V354" s="258"/>
      <c r="W354" s="258"/>
      <c r="X354" s="258"/>
      <c r="Y354" s="258"/>
      <c r="Z354" s="258"/>
    </row>
    <row r="355" spans="1:26" ht="12.75" hidden="1" customHeight="1" outlineLevel="1">
      <c r="A355" s="271"/>
      <c r="B355" s="271"/>
      <c r="C355" s="667"/>
      <c r="D355" s="280">
        <f>D$10</f>
        <v>1</v>
      </c>
      <c r="E355" s="275">
        <f ca="1">OFFSET('Actual RAB roll forward'!H$35,0,D355-1)-SUM('Actual RAB roll forward'!H345:OFFSET('Actual RAB roll forward'!H345,0,Input!$W$7-1))</f>
        <v>0</v>
      </c>
      <c r="F355" s="275">
        <f ca="1">IF(A24stdlife="N/A","n/a",IF(E355=0,0,A24stdlife+D355-Input!$W$7))</f>
        <v>0</v>
      </c>
      <c r="G355" s="276"/>
      <c r="H355" s="667"/>
      <c r="I355" s="280">
        <v>1</v>
      </c>
      <c r="J355" s="275">
        <f ca="1">OFFSET('Tax value roll forward'!G$63,0,I355)-SUM('Tax value roll forward'!G397:OFFSET('Tax value roll forward'!G397,0,Input!$W$7))</f>
        <v>0</v>
      </c>
      <c r="K355" s="275">
        <f ca="1">IF(A24taxstdlife="N/A","n/a",IF(J355=0,0,A24taxstdlife+I355-Input!$W$7))</f>
        <v>0</v>
      </c>
      <c r="L355" s="279"/>
      <c r="M355" s="310"/>
      <c r="N355" s="310"/>
      <c r="O355" s="271"/>
      <c r="P355" s="271"/>
      <c r="Q355" s="271"/>
      <c r="R355" s="271"/>
      <c r="S355" s="258"/>
      <c r="T355" s="258"/>
      <c r="U355" s="258"/>
      <c r="V355" s="258"/>
      <c r="W355" s="258"/>
      <c r="X355" s="258"/>
      <c r="Y355" s="258"/>
      <c r="Z355" s="258"/>
    </row>
    <row r="356" spans="1:26" hidden="1" outlineLevel="1">
      <c r="A356" s="271"/>
      <c r="B356" s="271"/>
      <c r="C356" s="667"/>
      <c r="D356" s="280">
        <f>D$11</f>
        <v>2</v>
      </c>
      <c r="E356" s="275">
        <f ca="1">OFFSET('Actual RAB roll forward'!H$35,0,D356-1)-SUM('Actual RAB roll forward'!H346:OFFSET('Actual RAB roll forward'!H346,0,Input!$W$7-1))</f>
        <v>0</v>
      </c>
      <c r="F356" s="275">
        <f ca="1">IF(A24stdlife="N/A","n/a",IF(E356=0,0,A24stdlife+D356-Input!$W$7))</f>
        <v>0</v>
      </c>
      <c r="G356" s="276"/>
      <c r="H356" s="667"/>
      <c r="I356" s="280">
        <v>2</v>
      </c>
      <c r="J356" s="275">
        <f ca="1">OFFSET('Tax value roll forward'!G$63,0,I356)-SUM('Tax value roll forward'!G398:OFFSET('Tax value roll forward'!G398,0,Input!$W$7))</f>
        <v>0</v>
      </c>
      <c r="K356" s="275">
        <f ca="1">IF(A24taxstdlife="N/A","n/a",IF(J356=0,0,A24taxstdlife+I356-Input!$W$7))</f>
        <v>0</v>
      </c>
      <c r="L356" s="279"/>
      <c r="M356" s="310"/>
      <c r="N356" s="310"/>
      <c r="O356" s="271"/>
      <c r="P356" s="271"/>
      <c r="Q356" s="271"/>
      <c r="R356" s="271"/>
      <c r="S356" s="258"/>
      <c r="T356" s="258"/>
      <c r="U356" s="258"/>
      <c r="V356" s="258"/>
      <c r="W356" s="258"/>
      <c r="X356" s="258"/>
      <c r="Y356" s="258"/>
      <c r="Z356" s="258"/>
    </row>
    <row r="357" spans="1:26" hidden="1" outlineLevel="1">
      <c r="A357" s="271"/>
      <c r="B357" s="271"/>
      <c r="C357" s="667"/>
      <c r="D357" s="280">
        <f>D$12</f>
        <v>3</v>
      </c>
      <c r="E357" s="275">
        <f ca="1">OFFSET('Actual RAB roll forward'!H$35,0,D357-1)-SUM('Actual RAB roll forward'!H347:OFFSET('Actual RAB roll forward'!H347,0,Input!$W$7-1))</f>
        <v>0</v>
      </c>
      <c r="F357" s="275">
        <f ca="1">IF(A24stdlife="N/A","n/a",IF(E357=0,0,A24stdlife+D357-Input!$W$7))</f>
        <v>0</v>
      </c>
      <c r="G357" s="276"/>
      <c r="H357" s="667"/>
      <c r="I357" s="280">
        <v>3</v>
      </c>
      <c r="J357" s="275">
        <f ca="1">OFFSET('Tax value roll forward'!G$63,0,I357)-SUM('Tax value roll forward'!G399:OFFSET('Tax value roll forward'!G399,0,Input!$W$7))</f>
        <v>0</v>
      </c>
      <c r="K357" s="275">
        <f ca="1">IF(A24taxstdlife="N/A","n/a",IF(J357=0,0,A24taxstdlife+I357-Input!$W$7))</f>
        <v>0</v>
      </c>
      <c r="L357" s="279"/>
      <c r="M357" s="310"/>
      <c r="N357" s="310"/>
      <c r="O357" s="271"/>
      <c r="P357" s="271"/>
      <c r="Q357" s="271"/>
      <c r="R357" s="271"/>
      <c r="S357" s="258"/>
      <c r="T357" s="258"/>
      <c r="U357" s="258"/>
      <c r="V357" s="258"/>
      <c r="W357" s="258"/>
      <c r="X357" s="258"/>
      <c r="Y357" s="258"/>
      <c r="Z357" s="258"/>
    </row>
    <row r="358" spans="1:26" hidden="1" outlineLevel="1">
      <c r="A358" s="271"/>
      <c r="B358" s="271"/>
      <c r="C358" s="667"/>
      <c r="D358" s="280">
        <f>D$13</f>
        <v>4</v>
      </c>
      <c r="E358" s="275">
        <f ca="1">OFFSET('Actual RAB roll forward'!H$35,0,D358-1)-SUM('Actual RAB roll forward'!H348:OFFSET('Actual RAB roll forward'!H348,0,Input!$W$7-1))</f>
        <v>0</v>
      </c>
      <c r="F358" s="275">
        <f ca="1">IF(A24stdlife="N/A","n/a",IF(E358=0,0,A24stdlife+D358-Input!$W$7))</f>
        <v>0</v>
      </c>
      <c r="G358" s="276"/>
      <c r="H358" s="667"/>
      <c r="I358" s="280">
        <v>4</v>
      </c>
      <c r="J358" s="275">
        <f ca="1">OFFSET('Tax value roll forward'!G$63,0,I358)-SUM('Tax value roll forward'!G400:OFFSET('Tax value roll forward'!G400,0,Input!$W$7))</f>
        <v>0</v>
      </c>
      <c r="K358" s="275">
        <f ca="1">IF(A24taxstdlife="N/A","n/a",IF(J358=0,0,A24taxstdlife+I358-Input!$W$7))</f>
        <v>0</v>
      </c>
      <c r="L358" s="279"/>
      <c r="M358" s="310"/>
      <c r="N358" s="310"/>
      <c r="O358" s="271"/>
      <c r="P358" s="271"/>
      <c r="Q358" s="271"/>
      <c r="R358" s="271"/>
      <c r="S358" s="258"/>
      <c r="T358" s="258"/>
      <c r="U358" s="258"/>
      <c r="V358" s="258"/>
      <c r="W358" s="258"/>
      <c r="X358" s="258"/>
      <c r="Y358" s="258"/>
      <c r="Z358" s="258"/>
    </row>
    <row r="359" spans="1:26" hidden="1" outlineLevel="1">
      <c r="A359" s="271"/>
      <c r="B359" s="271"/>
      <c r="C359" s="667"/>
      <c r="D359" s="280">
        <f>D$14</f>
        <v>5</v>
      </c>
      <c r="E359" s="275">
        <f ca="1">OFFSET('Actual RAB roll forward'!H$35,0,D359-1)-SUM('Actual RAB roll forward'!H349:OFFSET('Actual RAB roll forward'!H349,0,Input!$W$7-1))</f>
        <v>0</v>
      </c>
      <c r="F359" s="275">
        <f ca="1">IF(A24stdlife="N/A","n/a",IF(E359=0,0,A24stdlife+D359-Input!$W$7))</f>
        <v>0</v>
      </c>
      <c r="G359" s="276"/>
      <c r="H359" s="667"/>
      <c r="I359" s="280">
        <v>5</v>
      </c>
      <c r="J359" s="275">
        <f ca="1">OFFSET('Tax value roll forward'!G$63,0,I359)-SUM('Tax value roll forward'!G401:OFFSET('Tax value roll forward'!G401,0,Input!$W$7))</f>
        <v>0</v>
      </c>
      <c r="K359" s="275">
        <f ca="1">IF(A24taxstdlife="N/A","n/a",IF(J359=0,0,A24taxstdlife+I359-Input!$W$7))</f>
        <v>0</v>
      </c>
      <c r="L359" s="279"/>
      <c r="M359" s="310"/>
      <c r="N359" s="310"/>
      <c r="O359" s="271"/>
      <c r="P359" s="271"/>
      <c r="Q359" s="271"/>
      <c r="R359" s="271"/>
      <c r="S359" s="258"/>
      <c r="T359" s="258"/>
      <c r="U359" s="258"/>
      <c r="V359" s="258"/>
      <c r="W359" s="258"/>
      <c r="X359" s="258"/>
      <c r="Y359" s="258"/>
      <c r="Z359" s="258"/>
    </row>
    <row r="360" spans="1:26" hidden="1" outlineLevel="1">
      <c r="A360" s="271"/>
      <c r="B360" s="271"/>
      <c r="C360" s="667"/>
      <c r="D360" s="280">
        <f>D$15</f>
        <v>6</v>
      </c>
      <c r="E360" s="275">
        <f ca="1">OFFSET('Actual RAB roll forward'!H$35,0,D360-1)-SUM('Actual RAB roll forward'!H350:OFFSET('Actual RAB roll forward'!H350,0,Input!$W$7-1))</f>
        <v>0</v>
      </c>
      <c r="F360" s="275">
        <f ca="1">IF(A24stdlife="N/A","n/a",IF(E360=0,0,A24stdlife+D360-Input!$W$7))</f>
        <v>0</v>
      </c>
      <c r="G360" s="276"/>
      <c r="H360" s="667"/>
      <c r="I360" s="280">
        <v>6</v>
      </c>
      <c r="J360" s="275">
        <f ca="1">OFFSET('Tax value roll forward'!G$63,0,I360)-SUM('Tax value roll forward'!G402:OFFSET('Tax value roll forward'!G402,0,Input!$W$7))</f>
        <v>0</v>
      </c>
      <c r="K360" s="275">
        <f ca="1">IF(A24taxstdlife="N/A","n/a",IF(J360=0,0,A24taxstdlife+I360-Input!$W$7))</f>
        <v>0</v>
      </c>
      <c r="L360" s="279"/>
      <c r="M360" s="310"/>
      <c r="N360" s="310"/>
      <c r="O360" s="271"/>
      <c r="P360" s="271"/>
      <c r="Q360" s="271"/>
      <c r="R360" s="271"/>
      <c r="S360" s="258"/>
      <c r="T360" s="258"/>
      <c r="U360" s="258"/>
      <c r="V360" s="258"/>
      <c r="W360" s="258"/>
      <c r="X360" s="258"/>
      <c r="Y360" s="258"/>
      <c r="Z360" s="258"/>
    </row>
    <row r="361" spans="1:26" hidden="1" outlineLevel="1">
      <c r="A361" s="271"/>
      <c r="B361" s="271"/>
      <c r="C361" s="667"/>
      <c r="D361" s="280">
        <f>D$16</f>
        <v>7</v>
      </c>
      <c r="E361" s="275">
        <f ca="1">OFFSET('Actual RAB roll forward'!H$35,0,D361-1)-SUM('Actual RAB roll forward'!H351:OFFSET('Actual RAB roll forward'!H351,0,Input!$W$7-1))</f>
        <v>0</v>
      </c>
      <c r="F361" s="275">
        <f ca="1">IF(A24stdlife="N/A","n/a",IF(E361=0,0,A24stdlife+D361-Input!$W$7))</f>
        <v>0</v>
      </c>
      <c r="G361" s="276"/>
      <c r="H361" s="667"/>
      <c r="I361" s="280">
        <v>7</v>
      </c>
      <c r="J361" s="275">
        <f ca="1">OFFSET('Tax value roll forward'!G$63,0,I361)-SUM('Tax value roll forward'!G403:OFFSET('Tax value roll forward'!G403,0,Input!$W$7))</f>
        <v>0</v>
      </c>
      <c r="K361" s="275">
        <f ca="1">IF(A24taxstdlife="N/A","n/a",IF(J361=0,0,A24taxstdlife+I361-Input!$W$7))</f>
        <v>0</v>
      </c>
      <c r="L361" s="279"/>
      <c r="M361" s="310"/>
      <c r="N361" s="310"/>
      <c r="O361" s="271"/>
      <c r="P361" s="271"/>
      <c r="Q361" s="271"/>
      <c r="R361" s="271"/>
      <c r="S361" s="258"/>
      <c r="T361" s="258"/>
      <c r="U361" s="258"/>
      <c r="V361" s="258"/>
      <c r="W361" s="258"/>
      <c r="X361" s="258"/>
      <c r="Y361" s="258"/>
      <c r="Z361" s="258"/>
    </row>
    <row r="362" spans="1:26" hidden="1" outlineLevel="1">
      <c r="A362" s="271"/>
      <c r="B362" s="271"/>
      <c r="C362" s="667"/>
      <c r="D362" s="280">
        <f>D$17</f>
        <v>8</v>
      </c>
      <c r="E362" s="275">
        <f ca="1">OFFSET('Actual RAB roll forward'!H$35,0,D362-1)-SUM('Actual RAB roll forward'!H352:OFFSET('Actual RAB roll forward'!H352,0,Input!$W$7-1))</f>
        <v>0</v>
      </c>
      <c r="F362" s="275">
        <f ca="1">IF(A24stdlife="N/A","n/a",IF(E362=0,0,A24stdlife+D362-Input!$W$7))</f>
        <v>0</v>
      </c>
      <c r="G362" s="276"/>
      <c r="H362" s="667"/>
      <c r="I362" s="280">
        <v>8</v>
      </c>
      <c r="J362" s="275">
        <f ca="1">OFFSET('Tax value roll forward'!G$63,0,I362)-SUM('Tax value roll forward'!G404:OFFSET('Tax value roll forward'!G404,0,Input!$W$7))</f>
        <v>0</v>
      </c>
      <c r="K362" s="275">
        <f ca="1">IF(A24taxstdlife="N/A","n/a",IF(J362=0,0,A24taxstdlife+I362-Input!$W$7))</f>
        <v>0</v>
      </c>
      <c r="L362" s="279"/>
      <c r="M362" s="310"/>
      <c r="N362" s="310"/>
      <c r="O362" s="271"/>
      <c r="P362" s="271"/>
      <c r="Q362" s="271"/>
      <c r="R362" s="271"/>
      <c r="S362" s="258"/>
      <c r="T362" s="258"/>
      <c r="U362" s="258"/>
      <c r="V362" s="258"/>
      <c r="W362" s="258"/>
      <c r="X362" s="258"/>
      <c r="Y362" s="258"/>
      <c r="Z362" s="258"/>
    </row>
    <row r="363" spans="1:26" hidden="1" outlineLevel="1">
      <c r="A363" s="271"/>
      <c r="B363" s="271"/>
      <c r="C363" s="667"/>
      <c r="D363" s="280">
        <f>D$18</f>
        <v>9</v>
      </c>
      <c r="E363" s="275">
        <f ca="1">OFFSET('Actual RAB roll forward'!H$35,0,D363-1)-SUM('Actual RAB roll forward'!H353:OFFSET('Actual RAB roll forward'!H353,0,Input!$W$7-1))</f>
        <v>0</v>
      </c>
      <c r="F363" s="275">
        <f ca="1">IF(A24stdlife="N/A","n/a",IF(E363=0,0,A24stdlife+D363-Input!$W$7))</f>
        <v>0</v>
      </c>
      <c r="G363" s="276"/>
      <c r="H363" s="667"/>
      <c r="I363" s="280">
        <v>9</v>
      </c>
      <c r="J363" s="275">
        <f ca="1">OFFSET('Tax value roll forward'!G$63,0,I363)-SUM('Tax value roll forward'!G405:OFFSET('Tax value roll forward'!G405,0,Input!$W$7))</f>
        <v>0</v>
      </c>
      <c r="K363" s="275">
        <f ca="1">IF(A24taxstdlife="N/A","n/a",IF(J363=0,0,A24taxstdlife+I363-Input!$W$7))</f>
        <v>0</v>
      </c>
      <c r="L363" s="279"/>
      <c r="M363" s="310"/>
      <c r="N363" s="310"/>
      <c r="O363" s="271"/>
      <c r="P363" s="271"/>
      <c r="Q363" s="271"/>
      <c r="R363" s="271"/>
      <c r="S363" s="258"/>
      <c r="T363" s="258"/>
      <c r="U363" s="258"/>
      <c r="V363" s="258"/>
      <c r="W363" s="258"/>
      <c r="X363" s="258"/>
      <c r="Y363" s="258"/>
      <c r="Z363" s="258"/>
    </row>
    <row r="364" spans="1:26" hidden="1" outlineLevel="1">
      <c r="A364" s="271"/>
      <c r="B364" s="271"/>
      <c r="C364" s="668"/>
      <c r="D364" s="281">
        <f>D$19</f>
        <v>10</v>
      </c>
      <c r="E364" s="275">
        <f ca="1">OFFSET('Actual RAB roll forward'!H$35,0,D364-1)-SUM('Actual RAB roll forward'!H354:OFFSET('Actual RAB roll forward'!H354,0,Input!$W$7-1))</f>
        <v>0</v>
      </c>
      <c r="F364" s="275">
        <f ca="1">IF(A24stdlife="N/A","n/a",IF(E364=0,0,A24stdlife+D364-Input!$W$7))</f>
        <v>0</v>
      </c>
      <c r="G364" s="276"/>
      <c r="H364" s="668"/>
      <c r="I364" s="281">
        <v>10</v>
      </c>
      <c r="J364" s="275">
        <f ca="1">OFFSET('Tax value roll forward'!G$63,0,I364)-SUM('Tax value roll forward'!G406:OFFSET('Tax value roll forward'!G406,0,Input!$W$7))</f>
        <v>0</v>
      </c>
      <c r="K364" s="275">
        <f ca="1">IF(A24taxstdlife="N/A","n/a",IF(J364=0,0,A24taxstdlife+I364-Input!$W$7))</f>
        <v>0</v>
      </c>
      <c r="M364" s="310"/>
      <c r="N364" s="310"/>
      <c r="O364" s="271"/>
      <c r="P364" s="271"/>
      <c r="Q364" s="271"/>
      <c r="R364" s="271"/>
      <c r="S364" s="258"/>
      <c r="T364" s="258"/>
      <c r="U364" s="258"/>
      <c r="V364" s="258"/>
      <c r="W364" s="258"/>
      <c r="X364" s="258"/>
      <c r="Y364" s="258"/>
      <c r="Z364" s="258"/>
    </row>
    <row r="365" spans="1:26" collapsed="1">
      <c r="A365" s="271"/>
      <c r="B365" s="271"/>
      <c r="C365" s="291">
        <f>Asset24</f>
        <v>0</v>
      </c>
      <c r="D365" s="271"/>
      <c r="E365" s="275">
        <f ca="1">SUM(E353:E364)</f>
        <v>0</v>
      </c>
      <c r="F365" s="275">
        <f ca="1">IF(E365=0,0,SUMPRODUCT(E353:E364,F353:F364)/E365)</f>
        <v>0</v>
      </c>
      <c r="G365" s="276"/>
      <c r="H365" s="283"/>
      <c r="I365" s="275"/>
      <c r="J365" s="309">
        <f ca="1">SUM(J353:J364)</f>
        <v>0</v>
      </c>
      <c r="K365" s="309">
        <f ca="1">IF(J365=0,0,SUMPRODUCT(J353:J364,K353:K364)/J365)</f>
        <v>0</v>
      </c>
      <c r="L365" s="279"/>
      <c r="M365" s="310"/>
      <c r="N365" s="310"/>
      <c r="O365" s="271"/>
      <c r="P365" s="271"/>
      <c r="Q365" s="271"/>
      <c r="R365" s="271"/>
      <c r="S365" s="258"/>
      <c r="T365" s="258"/>
      <c r="U365" s="258"/>
      <c r="V365" s="258"/>
      <c r="W365" s="258"/>
      <c r="X365" s="258"/>
      <c r="Y365" s="258"/>
      <c r="Z365" s="258"/>
    </row>
    <row r="366" spans="1:26" hidden="1" outlineLevel="1">
      <c r="A366" s="271"/>
      <c r="B366" s="274"/>
      <c r="C366" s="271"/>
      <c r="D366" s="271"/>
      <c r="E366" s="292"/>
      <c r="F366" s="292"/>
      <c r="G366" s="276"/>
      <c r="H366" s="275"/>
      <c r="I366" s="275"/>
      <c r="J366" s="289"/>
      <c r="K366" s="275"/>
      <c r="L366" s="279"/>
      <c r="M366" s="310"/>
      <c r="N366" s="310"/>
      <c r="O366" s="271"/>
      <c r="P366" s="271"/>
      <c r="Q366" s="271"/>
      <c r="R366" s="271"/>
      <c r="S366" s="258"/>
      <c r="T366" s="258"/>
      <c r="U366" s="258"/>
      <c r="V366" s="258"/>
      <c r="W366" s="258"/>
      <c r="X366" s="258"/>
      <c r="Y366" s="258"/>
      <c r="Z366" s="258"/>
    </row>
    <row r="367" spans="1:26" hidden="1" outlineLevel="1">
      <c r="A367" s="271"/>
      <c r="B367" s="274">
        <f>Asset25</f>
        <v>0</v>
      </c>
      <c r="C367" s="271"/>
      <c r="D367" s="271"/>
      <c r="E367" s="292"/>
      <c r="F367" s="292"/>
      <c r="G367" s="276"/>
      <c r="H367" s="275"/>
      <c r="I367" s="275"/>
      <c r="J367" s="289"/>
      <c r="K367" s="275"/>
      <c r="L367" s="279"/>
      <c r="M367" s="310"/>
      <c r="N367" s="310"/>
      <c r="O367" s="271"/>
      <c r="P367" s="271"/>
      <c r="Q367" s="271"/>
      <c r="R367" s="271"/>
      <c r="S367" s="258"/>
      <c r="T367" s="258"/>
      <c r="U367" s="258"/>
      <c r="V367" s="258"/>
      <c r="W367" s="258"/>
      <c r="X367" s="258"/>
      <c r="Y367" s="258"/>
      <c r="Z367" s="258"/>
    </row>
    <row r="368" spans="1:26" ht="12.75" hidden="1" customHeight="1" outlineLevel="1">
      <c r="A368" s="271"/>
      <c r="B368" s="271"/>
      <c r="C368" s="659" t="s">
        <v>28</v>
      </c>
      <c r="D368" s="660"/>
      <c r="E368" s="275">
        <f ca="1">A25value-SUM('Actual RAB roll forward'!H356:OFFSET('Actual RAB roll forward'!H356,0,Input!$W$7-1))</f>
        <v>0</v>
      </c>
      <c r="F368" s="275">
        <f ca="1">IF(A25remlife="N/A","n/a",IF(E368=0,0,A25remlife-Input!$W$7))</f>
        <v>0</v>
      </c>
      <c r="G368" s="276"/>
      <c r="H368" s="277" t="s">
        <v>67</v>
      </c>
      <c r="I368" s="278"/>
      <c r="J368" s="275">
        <f ca="1">A25taxvalue-SUM('Tax value roll forward'!G408:OFFSET('Tax value roll forward'!G408,0,Input!$W$7))</f>
        <v>0</v>
      </c>
      <c r="K368" s="275">
        <f ca="1">IF(A25taxremlife="N/A","n/a",IF(J368=0,0,A25taxremlife-Input!$W$7-1))</f>
        <v>0</v>
      </c>
      <c r="L368" s="279"/>
      <c r="M368" s="310"/>
      <c r="N368" s="310"/>
      <c r="O368" s="271"/>
      <c r="P368" s="271"/>
      <c r="Q368" s="271"/>
      <c r="R368" s="271"/>
      <c r="S368" s="258"/>
      <c r="T368" s="258"/>
      <c r="U368" s="258"/>
      <c r="V368" s="258"/>
      <c r="W368" s="258"/>
      <c r="X368" s="258"/>
      <c r="Y368" s="258"/>
      <c r="Z368" s="258"/>
    </row>
    <row r="369" spans="1:26" ht="12.75" hidden="1" customHeight="1" outlineLevel="1">
      <c r="A369" s="271"/>
      <c r="B369" s="271"/>
      <c r="C369" s="666" t="s">
        <v>84</v>
      </c>
      <c r="D369" s="320">
        <f>D$9</f>
        <v>0</v>
      </c>
      <c r="E369" s="275"/>
      <c r="F369" s="275"/>
      <c r="G369" s="276"/>
      <c r="H369" s="666" t="s">
        <v>84</v>
      </c>
      <c r="I369" s="320">
        <v>0</v>
      </c>
      <c r="J369" s="275">
        <f ca="1">OFFSET('Tax value roll forward'!G$64,0,I369)-SUM('Tax value roll forward'!G410:OFFSET('Tax value roll forward'!G410,0,Input!$W$7))</f>
        <v>0</v>
      </c>
      <c r="K369" s="275">
        <f ca="1">IF(A25taxstdlife="N/A","n/a",IF(J369=0,0,A25taxstdlife+I369-Input!$W$7))</f>
        <v>0</v>
      </c>
      <c r="L369" s="279"/>
      <c r="M369" s="310"/>
      <c r="N369" s="310"/>
      <c r="O369" s="271"/>
      <c r="P369" s="271"/>
      <c r="Q369" s="271"/>
      <c r="R369" s="271"/>
      <c r="S369" s="258"/>
      <c r="T369" s="258"/>
      <c r="U369" s="258"/>
      <c r="V369" s="258"/>
      <c r="W369" s="258"/>
      <c r="X369" s="258"/>
      <c r="Y369" s="258"/>
      <c r="Z369" s="258"/>
    </row>
    <row r="370" spans="1:26" ht="12.75" hidden="1" customHeight="1" outlineLevel="1">
      <c r="A370" s="271"/>
      <c r="B370" s="271"/>
      <c r="C370" s="667"/>
      <c r="D370" s="280">
        <f>D$10</f>
        <v>1</v>
      </c>
      <c r="E370" s="275">
        <f ca="1">OFFSET('Actual RAB roll forward'!H$36,0,D370-1)-SUM('Actual RAB roll forward'!H358:OFFSET('Actual RAB roll forward'!H358,0,Input!$W$7-1))</f>
        <v>0</v>
      </c>
      <c r="F370" s="275">
        <f ca="1">IF(A25stdlife="N/A","n/a",IF(E370=0,0,A25stdlife+D370-Input!$W$7))</f>
        <v>0</v>
      </c>
      <c r="G370" s="276"/>
      <c r="H370" s="667"/>
      <c r="I370" s="280">
        <v>1</v>
      </c>
      <c r="J370" s="275">
        <f ca="1">OFFSET('Tax value roll forward'!G$64,0,I370)-SUM('Tax value roll forward'!G411:OFFSET('Tax value roll forward'!G411,0,Input!$W$7))</f>
        <v>0</v>
      </c>
      <c r="K370" s="275">
        <f ca="1">IF(A25taxstdlife="N/A","n/a",IF(J370=0,0,A25taxstdlife+I370-Input!$W$7))</f>
        <v>0</v>
      </c>
      <c r="L370" s="279"/>
      <c r="M370" s="310"/>
      <c r="N370" s="310"/>
      <c r="O370" s="271"/>
      <c r="P370" s="271"/>
      <c r="Q370" s="271"/>
      <c r="R370" s="271"/>
      <c r="S370" s="258"/>
      <c r="T370" s="258"/>
      <c r="U370" s="258"/>
      <c r="V370" s="258"/>
      <c r="W370" s="258"/>
      <c r="X370" s="258"/>
      <c r="Y370" s="258"/>
      <c r="Z370" s="258"/>
    </row>
    <row r="371" spans="1:26" hidden="1" outlineLevel="1">
      <c r="A371" s="271"/>
      <c r="B371" s="271"/>
      <c r="C371" s="667"/>
      <c r="D371" s="280">
        <f>D$11</f>
        <v>2</v>
      </c>
      <c r="E371" s="275">
        <f ca="1">OFFSET('Actual RAB roll forward'!H$36,0,D371-1)-SUM('Actual RAB roll forward'!H359:OFFSET('Actual RAB roll forward'!H359,0,Input!$W$7-1))</f>
        <v>0</v>
      </c>
      <c r="F371" s="275">
        <f ca="1">IF(A25stdlife="N/A","n/a",IF(E371=0,0,A25stdlife+D371-Input!$W$7))</f>
        <v>0</v>
      </c>
      <c r="G371" s="276"/>
      <c r="H371" s="667"/>
      <c r="I371" s="280">
        <v>2</v>
      </c>
      <c r="J371" s="275">
        <f ca="1">OFFSET('Tax value roll forward'!G$64,0,I371)-SUM('Tax value roll forward'!G412:OFFSET('Tax value roll forward'!G412,0,Input!$W$7))</f>
        <v>0</v>
      </c>
      <c r="K371" s="275">
        <f ca="1">IF(A25taxstdlife="N/A","n/a",IF(J371=0,0,A25taxstdlife+I371-Input!$W$7))</f>
        <v>0</v>
      </c>
      <c r="L371" s="279"/>
      <c r="M371" s="310"/>
      <c r="N371" s="310"/>
      <c r="O371" s="271"/>
      <c r="P371" s="271"/>
      <c r="Q371" s="271"/>
      <c r="R371" s="271"/>
      <c r="S371" s="258"/>
      <c r="T371" s="258"/>
      <c r="U371" s="258"/>
      <c r="V371" s="258"/>
      <c r="W371" s="258"/>
      <c r="X371" s="258"/>
      <c r="Y371" s="258"/>
      <c r="Z371" s="258"/>
    </row>
    <row r="372" spans="1:26" hidden="1" outlineLevel="1">
      <c r="A372" s="271"/>
      <c r="B372" s="271"/>
      <c r="C372" s="667"/>
      <c r="D372" s="280">
        <f>D$12</f>
        <v>3</v>
      </c>
      <c r="E372" s="275">
        <f ca="1">OFFSET('Actual RAB roll forward'!H$36,0,D372-1)-SUM('Actual RAB roll forward'!H360:OFFSET('Actual RAB roll forward'!H360,0,Input!$W$7-1))</f>
        <v>0</v>
      </c>
      <c r="F372" s="275">
        <f ca="1">IF(A25stdlife="N/A","n/a",IF(E372=0,0,A25stdlife+D372-Input!$W$7))</f>
        <v>0</v>
      </c>
      <c r="G372" s="276"/>
      <c r="H372" s="667"/>
      <c r="I372" s="280">
        <v>3</v>
      </c>
      <c r="J372" s="275">
        <f ca="1">OFFSET('Tax value roll forward'!G$64,0,I372)-SUM('Tax value roll forward'!G413:OFFSET('Tax value roll forward'!G413,0,Input!$W$7))</f>
        <v>0</v>
      </c>
      <c r="K372" s="275">
        <f ca="1">IF(A25taxstdlife="N/A","n/a",IF(J372=0,0,A25taxstdlife+I372-Input!$W$7))</f>
        <v>0</v>
      </c>
      <c r="L372" s="279"/>
      <c r="M372" s="310"/>
      <c r="N372" s="310"/>
      <c r="O372" s="271"/>
      <c r="P372" s="271"/>
      <c r="Q372" s="271"/>
      <c r="R372" s="271"/>
      <c r="S372" s="258"/>
      <c r="T372" s="258"/>
      <c r="U372" s="258"/>
      <c r="V372" s="258"/>
      <c r="W372" s="258"/>
      <c r="X372" s="258"/>
      <c r="Y372" s="258"/>
      <c r="Z372" s="258"/>
    </row>
    <row r="373" spans="1:26" hidden="1" outlineLevel="1">
      <c r="A373" s="271"/>
      <c r="B373" s="271"/>
      <c r="C373" s="667"/>
      <c r="D373" s="280">
        <f>D$13</f>
        <v>4</v>
      </c>
      <c r="E373" s="275">
        <f ca="1">OFFSET('Actual RAB roll forward'!H$36,0,D373-1)-SUM('Actual RAB roll forward'!H361:OFFSET('Actual RAB roll forward'!H361,0,Input!$W$7-1))</f>
        <v>0</v>
      </c>
      <c r="F373" s="275">
        <f ca="1">IF(A25stdlife="N/A","n/a",IF(E373=0,0,A25stdlife+D373-Input!$W$7))</f>
        <v>0</v>
      </c>
      <c r="G373" s="276"/>
      <c r="H373" s="667"/>
      <c r="I373" s="280">
        <v>4</v>
      </c>
      <c r="J373" s="275">
        <f ca="1">OFFSET('Tax value roll forward'!G$64,0,I373)-SUM('Tax value roll forward'!G414:OFFSET('Tax value roll forward'!G414,0,Input!$W$7))</f>
        <v>0</v>
      </c>
      <c r="K373" s="275">
        <f ca="1">IF(A25taxstdlife="N/A","n/a",IF(J373=0,0,A25taxstdlife+I373-Input!$W$7))</f>
        <v>0</v>
      </c>
      <c r="L373" s="279"/>
      <c r="M373" s="310"/>
      <c r="N373" s="310"/>
      <c r="O373" s="271"/>
      <c r="P373" s="271"/>
      <c r="Q373" s="271"/>
      <c r="R373" s="271"/>
      <c r="S373" s="258"/>
      <c r="T373" s="258"/>
      <c r="U373" s="258"/>
      <c r="V373" s="258"/>
      <c r="W373" s="258"/>
      <c r="X373" s="258"/>
      <c r="Y373" s="258"/>
      <c r="Z373" s="258"/>
    </row>
    <row r="374" spans="1:26" hidden="1" outlineLevel="1">
      <c r="A374" s="271"/>
      <c r="B374" s="271"/>
      <c r="C374" s="667"/>
      <c r="D374" s="280">
        <f>D$14</f>
        <v>5</v>
      </c>
      <c r="E374" s="275">
        <f ca="1">OFFSET('Actual RAB roll forward'!H$36,0,D374-1)-SUM('Actual RAB roll forward'!H362:OFFSET('Actual RAB roll forward'!H362,0,Input!$W$7-1))</f>
        <v>0</v>
      </c>
      <c r="F374" s="275">
        <f ca="1">IF(A25stdlife="N/A","n/a",IF(E374=0,0,A25stdlife+D374-Input!$W$7))</f>
        <v>0</v>
      </c>
      <c r="G374" s="276"/>
      <c r="H374" s="667"/>
      <c r="I374" s="280">
        <v>5</v>
      </c>
      <c r="J374" s="275">
        <f ca="1">OFFSET('Tax value roll forward'!G$64,0,I374)-SUM('Tax value roll forward'!G415:OFFSET('Tax value roll forward'!G415,0,Input!$W$7))</f>
        <v>0</v>
      </c>
      <c r="K374" s="275">
        <f ca="1">IF(A25taxstdlife="N/A","n/a",IF(J374=0,0,A25taxstdlife+I374-Input!$W$7))</f>
        <v>0</v>
      </c>
      <c r="L374" s="279"/>
      <c r="M374" s="310"/>
      <c r="N374" s="310"/>
      <c r="O374" s="271"/>
      <c r="P374" s="271"/>
      <c r="Q374" s="271"/>
      <c r="R374" s="271"/>
      <c r="S374" s="258"/>
      <c r="T374" s="258"/>
      <c r="U374" s="258"/>
      <c r="V374" s="258"/>
      <c r="W374" s="258"/>
      <c r="X374" s="258"/>
      <c r="Y374" s="258"/>
      <c r="Z374" s="258"/>
    </row>
    <row r="375" spans="1:26" hidden="1" outlineLevel="1">
      <c r="A375" s="271"/>
      <c r="B375" s="271"/>
      <c r="C375" s="667"/>
      <c r="D375" s="280">
        <f>D$15</f>
        <v>6</v>
      </c>
      <c r="E375" s="275">
        <f ca="1">OFFSET('Actual RAB roll forward'!H$36,0,D375-1)-SUM('Actual RAB roll forward'!H363:OFFSET('Actual RAB roll forward'!H363,0,Input!$W$7-1))</f>
        <v>0</v>
      </c>
      <c r="F375" s="275">
        <f ca="1">IF(A25stdlife="N/A","n/a",IF(E375=0,0,A25stdlife+D375-Input!$W$7))</f>
        <v>0</v>
      </c>
      <c r="G375" s="276"/>
      <c r="H375" s="667"/>
      <c r="I375" s="280">
        <v>6</v>
      </c>
      <c r="J375" s="275">
        <f ca="1">OFFSET('Tax value roll forward'!G$64,0,I375)-SUM('Tax value roll forward'!G416:OFFSET('Tax value roll forward'!G416,0,Input!$W$7))</f>
        <v>0</v>
      </c>
      <c r="K375" s="275">
        <f ca="1">IF(A25taxstdlife="N/A","n/a",IF(J375=0,0,A25taxstdlife+I375-Input!$W$7))</f>
        <v>0</v>
      </c>
      <c r="L375" s="279"/>
      <c r="M375" s="310"/>
      <c r="N375" s="310"/>
      <c r="O375" s="271"/>
      <c r="P375" s="271"/>
      <c r="Q375" s="271"/>
      <c r="R375" s="271"/>
      <c r="S375" s="258"/>
      <c r="T375" s="258"/>
      <c r="U375" s="258"/>
      <c r="V375" s="258"/>
      <c r="W375" s="258"/>
      <c r="X375" s="258"/>
      <c r="Y375" s="258"/>
      <c r="Z375" s="258"/>
    </row>
    <row r="376" spans="1:26" hidden="1" outlineLevel="1">
      <c r="A376" s="271"/>
      <c r="B376" s="271"/>
      <c r="C376" s="667"/>
      <c r="D376" s="280">
        <f>D$16</f>
        <v>7</v>
      </c>
      <c r="E376" s="275">
        <f ca="1">OFFSET('Actual RAB roll forward'!H$36,0,D376-1)-SUM('Actual RAB roll forward'!H364:OFFSET('Actual RAB roll forward'!H364,0,Input!$W$7-1))</f>
        <v>0</v>
      </c>
      <c r="F376" s="275">
        <f ca="1">IF(A25stdlife="N/A","n/a",IF(E376=0,0,A25stdlife+D376-Input!$W$7))</f>
        <v>0</v>
      </c>
      <c r="G376" s="276"/>
      <c r="H376" s="667"/>
      <c r="I376" s="280">
        <v>7</v>
      </c>
      <c r="J376" s="275">
        <f ca="1">OFFSET('Tax value roll forward'!G$64,0,I376)-SUM('Tax value roll forward'!G417:OFFSET('Tax value roll forward'!G417,0,Input!$W$7))</f>
        <v>0</v>
      </c>
      <c r="K376" s="275">
        <f ca="1">IF(A25taxstdlife="N/A","n/a",IF(J376=0,0,A25taxstdlife+I376-Input!$W$7))</f>
        <v>0</v>
      </c>
      <c r="L376" s="279"/>
      <c r="M376" s="310"/>
      <c r="N376" s="310"/>
      <c r="O376" s="271"/>
      <c r="P376" s="271"/>
      <c r="Q376" s="271"/>
      <c r="R376" s="271"/>
      <c r="S376" s="258"/>
      <c r="T376" s="258"/>
      <c r="U376" s="258"/>
      <c r="V376" s="258"/>
      <c r="W376" s="258"/>
      <c r="X376" s="258"/>
      <c r="Y376" s="258"/>
      <c r="Z376" s="258"/>
    </row>
    <row r="377" spans="1:26" hidden="1" outlineLevel="1">
      <c r="A377" s="271"/>
      <c r="B377" s="271"/>
      <c r="C377" s="667"/>
      <c r="D377" s="280">
        <f>D$17</f>
        <v>8</v>
      </c>
      <c r="E377" s="275">
        <f ca="1">OFFSET('Actual RAB roll forward'!H$36,0,D377-1)-SUM('Actual RAB roll forward'!H365:OFFSET('Actual RAB roll forward'!H365,0,Input!$W$7-1))</f>
        <v>0</v>
      </c>
      <c r="F377" s="275">
        <f ca="1">IF(A25stdlife="N/A","n/a",IF(E377=0,0,A25stdlife+D377-Input!$W$7))</f>
        <v>0</v>
      </c>
      <c r="G377" s="276"/>
      <c r="H377" s="667"/>
      <c r="I377" s="280">
        <v>8</v>
      </c>
      <c r="J377" s="275">
        <f ca="1">OFFSET('Tax value roll forward'!G$64,0,I377)-SUM('Tax value roll forward'!G418:OFFSET('Tax value roll forward'!G418,0,Input!$W$7))</f>
        <v>0</v>
      </c>
      <c r="K377" s="275">
        <f ca="1">IF(A25taxstdlife="N/A","n/a",IF(J377=0,0,A25taxstdlife+I377-Input!$W$7))</f>
        <v>0</v>
      </c>
      <c r="L377" s="279"/>
      <c r="M377" s="310"/>
      <c r="N377" s="310"/>
      <c r="O377" s="271"/>
      <c r="P377" s="271"/>
      <c r="Q377" s="271"/>
      <c r="R377" s="271"/>
      <c r="S377" s="258"/>
      <c r="T377" s="258"/>
      <c r="U377" s="258"/>
      <c r="V377" s="258"/>
      <c r="W377" s="258"/>
      <c r="X377" s="258"/>
      <c r="Y377" s="258"/>
      <c r="Z377" s="258"/>
    </row>
    <row r="378" spans="1:26" hidden="1" outlineLevel="1">
      <c r="A378" s="271"/>
      <c r="B378" s="271"/>
      <c r="C378" s="667"/>
      <c r="D378" s="280">
        <f>D$18</f>
        <v>9</v>
      </c>
      <c r="E378" s="275">
        <f ca="1">OFFSET('Actual RAB roll forward'!H$36,0,D378-1)-SUM('Actual RAB roll forward'!H366:OFFSET('Actual RAB roll forward'!H366,0,Input!$W$7-1))</f>
        <v>0</v>
      </c>
      <c r="F378" s="275">
        <f ca="1">IF(A25stdlife="N/A","n/a",IF(E378=0,0,A25stdlife+D378-Input!$W$7))</f>
        <v>0</v>
      </c>
      <c r="G378" s="276"/>
      <c r="H378" s="667"/>
      <c r="I378" s="280">
        <v>9</v>
      </c>
      <c r="J378" s="275">
        <f ca="1">OFFSET('Tax value roll forward'!G$64,0,I378)-SUM('Tax value roll forward'!G419:OFFSET('Tax value roll forward'!G419,0,Input!$W$7))</f>
        <v>0</v>
      </c>
      <c r="K378" s="275">
        <f ca="1">IF(A25taxstdlife="N/A","n/a",IF(J378=0,0,A25taxstdlife+I378-Input!$W$7))</f>
        <v>0</v>
      </c>
      <c r="L378" s="279"/>
      <c r="M378" s="310"/>
      <c r="N378" s="310"/>
      <c r="O378" s="271"/>
      <c r="P378" s="271"/>
      <c r="Q378" s="271"/>
      <c r="R378" s="271"/>
      <c r="S378" s="258"/>
      <c r="T378" s="258"/>
      <c r="U378" s="258"/>
      <c r="V378" s="258"/>
      <c r="W378" s="258"/>
      <c r="X378" s="258"/>
      <c r="Y378" s="258"/>
      <c r="Z378" s="258"/>
    </row>
    <row r="379" spans="1:26" hidden="1" outlineLevel="1">
      <c r="A379" s="271"/>
      <c r="B379" s="271"/>
      <c r="C379" s="668"/>
      <c r="D379" s="281">
        <f>D$19</f>
        <v>10</v>
      </c>
      <c r="E379" s="275">
        <f ca="1">OFFSET('Actual RAB roll forward'!H$36,0,D379-1)-SUM('Actual RAB roll forward'!H367:OFFSET('Actual RAB roll forward'!H367,0,Input!$W$7-1))</f>
        <v>0</v>
      </c>
      <c r="F379" s="275">
        <f ca="1">IF(A25stdlife="N/A","n/a",IF(E379=0,0,A25stdlife+D379-Input!$W$7))</f>
        <v>0</v>
      </c>
      <c r="G379" s="276"/>
      <c r="H379" s="668"/>
      <c r="I379" s="281">
        <v>10</v>
      </c>
      <c r="J379" s="275">
        <f ca="1">OFFSET('Tax value roll forward'!G$64,0,I379)-SUM('Tax value roll forward'!G420:OFFSET('Tax value roll forward'!G420,0,Input!$W$7))</f>
        <v>0</v>
      </c>
      <c r="K379" s="275">
        <f ca="1">IF(A25taxstdlife="N/A","n/a",IF(J379=0,0,A25taxstdlife+I379-Input!$W$7))</f>
        <v>0</v>
      </c>
      <c r="M379" s="310"/>
      <c r="N379" s="310"/>
      <c r="O379" s="271"/>
      <c r="P379" s="271"/>
      <c r="Q379" s="271"/>
      <c r="R379" s="271"/>
      <c r="S379" s="258"/>
      <c r="T379" s="258"/>
      <c r="U379" s="258"/>
      <c r="V379" s="258"/>
      <c r="W379" s="258"/>
      <c r="X379" s="258"/>
      <c r="Y379" s="258"/>
      <c r="Z379" s="258"/>
    </row>
    <row r="380" spans="1:26" collapsed="1">
      <c r="A380" s="271"/>
      <c r="B380" s="271"/>
      <c r="C380" s="291">
        <f>Asset25</f>
        <v>0</v>
      </c>
      <c r="D380" s="271"/>
      <c r="E380" s="275">
        <f ca="1">SUM(E368:E379)</f>
        <v>0</v>
      </c>
      <c r="F380" s="275">
        <f ca="1">IF(E380=0,0,SUMPRODUCT(E368:E379,F368:F379)/E380)</f>
        <v>0</v>
      </c>
      <c r="G380" s="276"/>
      <c r="H380" s="283"/>
      <c r="I380" s="275"/>
      <c r="J380" s="309">
        <f ca="1">SUM(J368:J379)</f>
        <v>0</v>
      </c>
      <c r="K380" s="309">
        <f ca="1">IF(J380=0,0,SUMPRODUCT(J368:J379,K368:K379)/J380)</f>
        <v>0</v>
      </c>
      <c r="L380" s="279"/>
      <c r="M380" s="310"/>
      <c r="N380" s="310"/>
      <c r="O380" s="271"/>
      <c r="P380" s="271"/>
      <c r="Q380" s="271"/>
      <c r="R380" s="271"/>
      <c r="S380" s="258"/>
      <c r="T380" s="258"/>
      <c r="U380" s="258"/>
      <c r="V380" s="258"/>
      <c r="W380" s="258"/>
      <c r="X380" s="258"/>
      <c r="Y380" s="258"/>
      <c r="Z380" s="258"/>
    </row>
    <row r="381" spans="1:26" hidden="1" outlineLevel="1">
      <c r="A381" s="271"/>
      <c r="B381" s="274"/>
      <c r="C381" s="271"/>
      <c r="D381" s="271"/>
      <c r="E381" s="292"/>
      <c r="F381" s="292"/>
      <c r="G381" s="276"/>
      <c r="H381" s="275"/>
      <c r="I381" s="275"/>
      <c r="J381" s="289"/>
      <c r="K381" s="275"/>
      <c r="L381" s="279"/>
      <c r="M381" s="310"/>
      <c r="N381" s="310"/>
      <c r="O381" s="271"/>
      <c r="P381" s="271"/>
      <c r="Q381" s="271"/>
      <c r="R381" s="271"/>
      <c r="S381" s="258"/>
      <c r="T381" s="258"/>
      <c r="U381" s="258"/>
      <c r="V381" s="258"/>
      <c r="W381" s="258"/>
      <c r="X381" s="258"/>
      <c r="Y381" s="258"/>
      <c r="Z381" s="258"/>
    </row>
    <row r="382" spans="1:26" hidden="1" outlineLevel="1">
      <c r="A382" s="271"/>
      <c r="B382" s="274">
        <f>Asset26</f>
        <v>0</v>
      </c>
      <c r="C382" s="271"/>
      <c r="D382" s="271"/>
      <c r="E382" s="292"/>
      <c r="F382" s="292"/>
      <c r="G382" s="276"/>
      <c r="H382" s="275"/>
      <c r="I382" s="275"/>
      <c r="J382" s="289"/>
      <c r="K382" s="275"/>
      <c r="L382" s="279"/>
      <c r="M382" s="310"/>
      <c r="N382" s="310"/>
      <c r="O382" s="271"/>
      <c r="P382" s="271"/>
      <c r="Q382" s="271"/>
      <c r="R382" s="271"/>
      <c r="S382" s="258"/>
      <c r="T382" s="258"/>
      <c r="U382" s="258"/>
      <c r="V382" s="258"/>
      <c r="W382" s="258"/>
      <c r="X382" s="258"/>
      <c r="Y382" s="258"/>
      <c r="Z382" s="258"/>
    </row>
    <row r="383" spans="1:26" ht="12.75" hidden="1" customHeight="1" outlineLevel="1">
      <c r="A383" s="271"/>
      <c r="B383" s="271"/>
      <c r="C383" s="659" t="s">
        <v>28</v>
      </c>
      <c r="D383" s="660"/>
      <c r="E383" s="275">
        <f ca="1">A26value-SUM('Actual RAB roll forward'!H369:OFFSET('Actual RAB roll forward'!H369,0,Input!$W$7-1))</f>
        <v>0</v>
      </c>
      <c r="F383" s="275">
        <f ca="1">IF(A26remlife="N/A","n/a",IF(E383=0,0,A26remlife-Input!$W$7))</f>
        <v>0</v>
      </c>
      <c r="G383" s="276"/>
      <c r="H383" s="277" t="s">
        <v>67</v>
      </c>
      <c r="I383" s="278"/>
      <c r="J383" s="275">
        <f ca="1">A26taxvalue-SUM('Tax value roll forward'!G422:OFFSET('Tax value roll forward'!G422,0,Input!$W$7))</f>
        <v>0</v>
      </c>
      <c r="K383" s="275">
        <f ca="1">IF(A26taxremlife="N/A","n/a",IF(J383=0,0,A26taxremlife-Input!$W$7-1))</f>
        <v>0</v>
      </c>
      <c r="L383" s="279"/>
      <c r="M383" s="310"/>
      <c r="N383" s="310"/>
      <c r="O383" s="271"/>
      <c r="P383" s="271"/>
      <c r="Q383" s="271"/>
      <c r="R383" s="271"/>
      <c r="S383" s="258"/>
      <c r="T383" s="258"/>
      <c r="U383" s="258"/>
      <c r="V383" s="258"/>
      <c r="W383" s="258"/>
      <c r="X383" s="258"/>
      <c r="Y383" s="258"/>
      <c r="Z383" s="258"/>
    </row>
    <row r="384" spans="1:26" ht="12.75" hidden="1" customHeight="1" outlineLevel="1">
      <c r="A384" s="271"/>
      <c r="B384" s="271"/>
      <c r="C384" s="666" t="s">
        <v>84</v>
      </c>
      <c r="D384" s="320">
        <f>D$9</f>
        <v>0</v>
      </c>
      <c r="E384" s="275"/>
      <c r="F384" s="275"/>
      <c r="G384" s="276"/>
      <c r="H384" s="666" t="s">
        <v>84</v>
      </c>
      <c r="I384" s="320">
        <v>0</v>
      </c>
      <c r="J384" s="275">
        <f ca="1">OFFSET('Tax value roll forward'!G$65,0,I384)-SUM('Tax value roll forward'!G424:OFFSET('Tax value roll forward'!G424,0,Input!$W$7))</f>
        <v>0</v>
      </c>
      <c r="K384" s="275">
        <f ca="1">IF(A26taxstdlife="N/A","n/a",IF(J384=0,0,A26taxstdlife+I384-Input!$W$7))</f>
        <v>0</v>
      </c>
      <c r="L384" s="279"/>
      <c r="M384" s="310"/>
      <c r="N384" s="310"/>
      <c r="O384" s="271"/>
      <c r="P384" s="271"/>
      <c r="Q384" s="271"/>
      <c r="R384" s="271"/>
      <c r="S384" s="258"/>
      <c r="T384" s="258"/>
      <c r="U384" s="258"/>
      <c r="V384" s="258"/>
      <c r="W384" s="258"/>
      <c r="X384" s="258"/>
      <c r="Y384" s="258"/>
      <c r="Z384" s="258"/>
    </row>
    <row r="385" spans="1:26" ht="12.75" hidden="1" customHeight="1" outlineLevel="1">
      <c r="A385" s="271"/>
      <c r="B385" s="271"/>
      <c r="C385" s="667"/>
      <c r="D385" s="280">
        <f>D$10</f>
        <v>1</v>
      </c>
      <c r="E385" s="275">
        <f ca="1">OFFSET('Actual RAB roll forward'!H$37,0,D385-1)-SUM('Actual RAB roll forward'!H371:OFFSET('Actual RAB roll forward'!H371,0,Input!$W$7-1))</f>
        <v>0</v>
      </c>
      <c r="F385" s="275">
        <f ca="1">IF(A26stdlife="N/A","n/a",IF(E385=0,0,A26stdlife+D385-Input!$W$7))</f>
        <v>0</v>
      </c>
      <c r="G385" s="276"/>
      <c r="H385" s="667"/>
      <c r="I385" s="280">
        <v>1</v>
      </c>
      <c r="J385" s="275">
        <f ca="1">OFFSET('Tax value roll forward'!G$65,0,I385)-SUM('Tax value roll forward'!G425:OFFSET('Tax value roll forward'!G425,0,Input!$W$7))</f>
        <v>0</v>
      </c>
      <c r="K385" s="275">
        <f ca="1">IF(A26taxstdlife="N/A","n/a",IF(J385=0,0,A26taxstdlife+I385-Input!$W$7))</f>
        <v>0</v>
      </c>
      <c r="L385" s="279"/>
      <c r="M385" s="310"/>
      <c r="N385" s="310"/>
      <c r="O385" s="271"/>
      <c r="P385" s="271"/>
      <c r="Q385" s="271"/>
      <c r="R385" s="271"/>
      <c r="S385" s="258"/>
      <c r="T385" s="258"/>
      <c r="U385" s="258"/>
      <c r="V385" s="258"/>
      <c r="W385" s="258"/>
      <c r="X385" s="258"/>
      <c r="Y385" s="258"/>
      <c r="Z385" s="258"/>
    </row>
    <row r="386" spans="1:26" hidden="1" outlineLevel="1">
      <c r="A386" s="271"/>
      <c r="B386" s="271"/>
      <c r="C386" s="667"/>
      <c r="D386" s="280">
        <f>D$11</f>
        <v>2</v>
      </c>
      <c r="E386" s="275">
        <f ca="1">OFFSET('Actual RAB roll forward'!H$37,0,D386-1)-SUM('Actual RAB roll forward'!H372:OFFSET('Actual RAB roll forward'!H372,0,Input!$W$7-1))</f>
        <v>0</v>
      </c>
      <c r="F386" s="275">
        <f ca="1">IF(A26stdlife="N/A","n/a",IF(E386=0,0,A26stdlife+D386-Input!$W$7))</f>
        <v>0</v>
      </c>
      <c r="G386" s="276"/>
      <c r="H386" s="667"/>
      <c r="I386" s="280">
        <v>2</v>
      </c>
      <c r="J386" s="275">
        <f ca="1">OFFSET('Tax value roll forward'!G$65,0,I386)-SUM('Tax value roll forward'!G426:OFFSET('Tax value roll forward'!G426,0,Input!$W$7))</f>
        <v>0</v>
      </c>
      <c r="K386" s="275">
        <f ca="1">IF(A26taxstdlife="N/A","n/a",IF(J386=0,0,A26taxstdlife+I386-Input!$W$7))</f>
        <v>0</v>
      </c>
      <c r="L386" s="279"/>
      <c r="M386" s="310"/>
      <c r="N386" s="310"/>
      <c r="O386" s="271"/>
      <c r="P386" s="271"/>
      <c r="Q386" s="271"/>
      <c r="R386" s="271"/>
      <c r="S386" s="258"/>
      <c r="T386" s="258"/>
      <c r="U386" s="258"/>
      <c r="V386" s="258"/>
      <c r="W386" s="258"/>
      <c r="X386" s="258"/>
      <c r="Y386" s="258"/>
      <c r="Z386" s="258"/>
    </row>
    <row r="387" spans="1:26" hidden="1" outlineLevel="1">
      <c r="A387" s="271"/>
      <c r="B387" s="271"/>
      <c r="C387" s="667"/>
      <c r="D387" s="280">
        <f>D$12</f>
        <v>3</v>
      </c>
      <c r="E387" s="275">
        <f ca="1">OFFSET('Actual RAB roll forward'!H$37,0,D387-1)-SUM('Actual RAB roll forward'!H373:OFFSET('Actual RAB roll forward'!H373,0,Input!$W$7-1))</f>
        <v>0</v>
      </c>
      <c r="F387" s="275">
        <f ca="1">IF(A26stdlife="N/A","n/a",IF(E387=0,0,A26stdlife+D387-Input!$W$7))</f>
        <v>0</v>
      </c>
      <c r="G387" s="276"/>
      <c r="H387" s="667"/>
      <c r="I387" s="280">
        <v>3</v>
      </c>
      <c r="J387" s="275">
        <f ca="1">OFFSET('Tax value roll forward'!G$65,0,I387)-SUM('Tax value roll forward'!G427:OFFSET('Tax value roll forward'!G427,0,Input!$W$7))</f>
        <v>0</v>
      </c>
      <c r="K387" s="275">
        <f ca="1">IF(A26taxstdlife="N/A","n/a",IF(J387=0,0,A26taxstdlife+I387-Input!$W$7))</f>
        <v>0</v>
      </c>
      <c r="L387" s="279"/>
      <c r="M387" s="310"/>
      <c r="N387" s="310"/>
      <c r="O387" s="271"/>
      <c r="P387" s="271"/>
      <c r="Q387" s="271"/>
      <c r="R387" s="271"/>
      <c r="S387" s="258"/>
      <c r="T387" s="258"/>
      <c r="U387" s="258"/>
      <c r="V387" s="258"/>
      <c r="W387" s="258"/>
      <c r="X387" s="258"/>
      <c r="Y387" s="258"/>
      <c r="Z387" s="258"/>
    </row>
    <row r="388" spans="1:26" hidden="1" outlineLevel="1">
      <c r="A388" s="271"/>
      <c r="B388" s="271"/>
      <c r="C388" s="667"/>
      <c r="D388" s="280">
        <f>D$13</f>
        <v>4</v>
      </c>
      <c r="E388" s="275">
        <f ca="1">OFFSET('Actual RAB roll forward'!H$37,0,D388-1)-SUM('Actual RAB roll forward'!H374:OFFSET('Actual RAB roll forward'!H374,0,Input!$W$7-1))</f>
        <v>0</v>
      </c>
      <c r="F388" s="275">
        <f ca="1">IF(A26stdlife="N/A","n/a",IF(E388=0,0,A26stdlife+D388-Input!$W$7))</f>
        <v>0</v>
      </c>
      <c r="G388" s="276"/>
      <c r="H388" s="667"/>
      <c r="I388" s="280">
        <v>4</v>
      </c>
      <c r="J388" s="275">
        <f ca="1">OFFSET('Tax value roll forward'!G$65,0,I388)-SUM('Tax value roll forward'!G428:OFFSET('Tax value roll forward'!G428,0,Input!$W$7))</f>
        <v>0</v>
      </c>
      <c r="K388" s="275">
        <f ca="1">IF(A26taxstdlife="N/A","n/a",IF(J388=0,0,A26taxstdlife+I388-Input!$W$7))</f>
        <v>0</v>
      </c>
      <c r="L388" s="279"/>
      <c r="M388" s="310"/>
      <c r="N388" s="310"/>
      <c r="O388" s="271"/>
      <c r="P388" s="271"/>
      <c r="Q388" s="271"/>
      <c r="R388" s="271"/>
      <c r="S388" s="258"/>
      <c r="T388" s="258"/>
      <c r="U388" s="258"/>
      <c r="V388" s="258"/>
      <c r="W388" s="258"/>
      <c r="X388" s="258"/>
      <c r="Y388" s="258"/>
      <c r="Z388" s="258"/>
    </row>
    <row r="389" spans="1:26" hidden="1" outlineLevel="1">
      <c r="A389" s="271"/>
      <c r="B389" s="271"/>
      <c r="C389" s="667"/>
      <c r="D389" s="280">
        <f>D$14</f>
        <v>5</v>
      </c>
      <c r="E389" s="275">
        <f ca="1">OFFSET('Actual RAB roll forward'!H$37,0,D389-1)-SUM('Actual RAB roll forward'!H375:OFFSET('Actual RAB roll forward'!H375,0,Input!$W$7-1))</f>
        <v>0</v>
      </c>
      <c r="F389" s="275">
        <f ca="1">IF(A26stdlife="N/A","n/a",IF(E389=0,0,A26stdlife+D389-Input!$W$7))</f>
        <v>0</v>
      </c>
      <c r="G389" s="276"/>
      <c r="H389" s="667"/>
      <c r="I389" s="280">
        <v>5</v>
      </c>
      <c r="J389" s="275">
        <f ca="1">OFFSET('Tax value roll forward'!G$65,0,I389)-SUM('Tax value roll forward'!G429:OFFSET('Tax value roll forward'!G429,0,Input!$W$7))</f>
        <v>0</v>
      </c>
      <c r="K389" s="275">
        <f ca="1">IF(A26taxstdlife="N/A","n/a",IF(J389=0,0,A26taxstdlife+I389-Input!$W$7))</f>
        <v>0</v>
      </c>
      <c r="L389" s="279"/>
      <c r="M389" s="310"/>
      <c r="N389" s="310"/>
      <c r="O389" s="271"/>
      <c r="P389" s="271"/>
      <c r="Q389" s="271"/>
      <c r="R389" s="271"/>
      <c r="S389" s="258"/>
      <c r="T389" s="258"/>
      <c r="U389" s="258"/>
      <c r="V389" s="258"/>
      <c r="W389" s="258"/>
      <c r="X389" s="258"/>
      <c r="Y389" s="258"/>
      <c r="Z389" s="258"/>
    </row>
    <row r="390" spans="1:26" hidden="1" outlineLevel="1">
      <c r="A390" s="271"/>
      <c r="B390" s="271"/>
      <c r="C390" s="667"/>
      <c r="D390" s="280">
        <f>D$15</f>
        <v>6</v>
      </c>
      <c r="E390" s="275">
        <f ca="1">OFFSET('Actual RAB roll forward'!H$37,0,D390-1)-SUM('Actual RAB roll forward'!H376:OFFSET('Actual RAB roll forward'!H376,0,Input!$W$7-1))</f>
        <v>0</v>
      </c>
      <c r="F390" s="275">
        <f ca="1">IF(A26stdlife="N/A","n/a",IF(E390=0,0,A26stdlife+D390-Input!$W$7))</f>
        <v>0</v>
      </c>
      <c r="G390" s="276"/>
      <c r="H390" s="667"/>
      <c r="I390" s="280">
        <v>6</v>
      </c>
      <c r="J390" s="275">
        <f ca="1">OFFSET('Tax value roll forward'!G$65,0,I390)-SUM('Tax value roll forward'!G430:OFFSET('Tax value roll forward'!G430,0,Input!$W$7))</f>
        <v>0</v>
      </c>
      <c r="K390" s="275">
        <f ca="1">IF(A26taxstdlife="N/A","n/a",IF(J390=0,0,A26taxstdlife+I390-Input!$W$7))</f>
        <v>0</v>
      </c>
      <c r="L390" s="279"/>
      <c r="M390" s="310"/>
      <c r="N390" s="310"/>
      <c r="O390" s="271"/>
      <c r="P390" s="271"/>
      <c r="Q390" s="271"/>
      <c r="R390" s="271"/>
      <c r="S390" s="258"/>
      <c r="T390" s="258"/>
      <c r="U390" s="258"/>
      <c r="V390" s="258"/>
      <c r="W390" s="258"/>
      <c r="X390" s="258"/>
      <c r="Y390" s="258"/>
      <c r="Z390" s="258"/>
    </row>
    <row r="391" spans="1:26" hidden="1" outlineLevel="1">
      <c r="A391" s="271"/>
      <c r="B391" s="271"/>
      <c r="C391" s="667"/>
      <c r="D391" s="280">
        <f>D$16</f>
        <v>7</v>
      </c>
      <c r="E391" s="275">
        <f ca="1">OFFSET('Actual RAB roll forward'!H$37,0,D391-1)-SUM('Actual RAB roll forward'!H377:OFFSET('Actual RAB roll forward'!H377,0,Input!$W$7-1))</f>
        <v>0</v>
      </c>
      <c r="F391" s="275">
        <f ca="1">IF(A26stdlife="N/A","n/a",IF(E391=0,0,A26stdlife+D391-Input!$W$7))</f>
        <v>0</v>
      </c>
      <c r="G391" s="276"/>
      <c r="H391" s="667"/>
      <c r="I391" s="280">
        <v>7</v>
      </c>
      <c r="J391" s="275">
        <f ca="1">OFFSET('Tax value roll forward'!G$65,0,I391)-SUM('Tax value roll forward'!G431:OFFSET('Tax value roll forward'!G431,0,Input!$W$7))</f>
        <v>0</v>
      </c>
      <c r="K391" s="275">
        <f ca="1">IF(A26taxstdlife="N/A","n/a",IF(J391=0,0,A26taxstdlife+I391-Input!$W$7))</f>
        <v>0</v>
      </c>
      <c r="L391" s="279"/>
      <c r="M391" s="310"/>
      <c r="N391" s="310"/>
      <c r="O391" s="271"/>
      <c r="P391" s="271"/>
      <c r="Q391" s="271"/>
      <c r="R391" s="271"/>
      <c r="S391" s="258"/>
      <c r="T391" s="258"/>
      <c r="U391" s="258"/>
      <c r="V391" s="258"/>
      <c r="W391" s="258"/>
      <c r="X391" s="258"/>
      <c r="Y391" s="258"/>
      <c r="Z391" s="258"/>
    </row>
    <row r="392" spans="1:26" hidden="1" outlineLevel="1">
      <c r="A392" s="271"/>
      <c r="B392" s="271"/>
      <c r="C392" s="667"/>
      <c r="D392" s="280">
        <f>D$17</f>
        <v>8</v>
      </c>
      <c r="E392" s="275">
        <f ca="1">OFFSET('Actual RAB roll forward'!H$37,0,D392-1)-SUM('Actual RAB roll forward'!H378:OFFSET('Actual RAB roll forward'!H378,0,Input!$W$7-1))</f>
        <v>0</v>
      </c>
      <c r="F392" s="275">
        <f ca="1">IF(A26stdlife="N/A","n/a",IF(E392=0,0,A26stdlife+D392-Input!$W$7))</f>
        <v>0</v>
      </c>
      <c r="G392" s="276"/>
      <c r="H392" s="667"/>
      <c r="I392" s="280">
        <v>8</v>
      </c>
      <c r="J392" s="275">
        <f ca="1">OFFSET('Tax value roll forward'!G$65,0,I392)-SUM('Tax value roll forward'!G432:OFFSET('Tax value roll forward'!G432,0,Input!$W$7))</f>
        <v>0</v>
      </c>
      <c r="K392" s="275">
        <f ca="1">IF(A26taxstdlife="N/A","n/a",IF(J392=0,0,A26taxstdlife+I392-Input!$W$7))</f>
        <v>0</v>
      </c>
      <c r="L392" s="279"/>
      <c r="M392" s="310"/>
      <c r="N392" s="310"/>
      <c r="O392" s="271"/>
      <c r="P392" s="271"/>
      <c r="Q392" s="271"/>
      <c r="R392" s="271"/>
      <c r="S392" s="258"/>
      <c r="T392" s="258"/>
      <c r="U392" s="258"/>
      <c r="V392" s="258"/>
      <c r="W392" s="258"/>
      <c r="X392" s="258"/>
      <c r="Y392" s="258"/>
      <c r="Z392" s="258"/>
    </row>
    <row r="393" spans="1:26" hidden="1" outlineLevel="1">
      <c r="A393" s="271"/>
      <c r="B393" s="271"/>
      <c r="C393" s="667"/>
      <c r="D393" s="280">
        <f>D$18</f>
        <v>9</v>
      </c>
      <c r="E393" s="275">
        <f ca="1">OFFSET('Actual RAB roll forward'!H$37,0,D393-1)-SUM('Actual RAB roll forward'!H379:OFFSET('Actual RAB roll forward'!H379,0,Input!$W$7-1))</f>
        <v>0</v>
      </c>
      <c r="F393" s="275">
        <f ca="1">IF(A26stdlife="N/A","n/a",IF(E393=0,0,A26stdlife+D393-Input!$W$7))</f>
        <v>0</v>
      </c>
      <c r="G393" s="276"/>
      <c r="H393" s="667"/>
      <c r="I393" s="280">
        <v>9</v>
      </c>
      <c r="J393" s="275">
        <f ca="1">OFFSET('Tax value roll forward'!G$65,0,I393)-SUM('Tax value roll forward'!G433:OFFSET('Tax value roll forward'!G433,0,Input!$W$7))</f>
        <v>0</v>
      </c>
      <c r="K393" s="275">
        <f ca="1">IF(A26taxstdlife="N/A","n/a",IF(J393=0,0,A26taxstdlife+I393-Input!$W$7))</f>
        <v>0</v>
      </c>
      <c r="L393" s="279"/>
      <c r="M393" s="310"/>
      <c r="N393" s="310"/>
      <c r="O393" s="271"/>
      <c r="P393" s="271"/>
      <c r="Q393" s="271"/>
      <c r="R393" s="271"/>
      <c r="S393" s="258"/>
      <c r="T393" s="258"/>
      <c r="U393" s="258"/>
      <c r="V393" s="258"/>
      <c r="W393" s="258"/>
      <c r="X393" s="258"/>
      <c r="Y393" s="258"/>
      <c r="Z393" s="258"/>
    </row>
    <row r="394" spans="1:26" hidden="1" outlineLevel="1">
      <c r="A394" s="271"/>
      <c r="B394" s="271"/>
      <c r="C394" s="668"/>
      <c r="D394" s="281">
        <f>D$19</f>
        <v>10</v>
      </c>
      <c r="E394" s="275">
        <f ca="1">OFFSET('Actual RAB roll forward'!H$37,0,D394-1)-SUM('Actual RAB roll forward'!H380:OFFSET('Actual RAB roll forward'!H380,0,Input!$W$7-1))</f>
        <v>0</v>
      </c>
      <c r="F394" s="275">
        <f ca="1">IF(A26stdlife="N/A","n/a",IF(E394=0,0,A26stdlife+D394-Input!$W$7))</f>
        <v>0</v>
      </c>
      <c r="G394" s="276"/>
      <c r="H394" s="668"/>
      <c r="I394" s="281">
        <v>10</v>
      </c>
      <c r="J394" s="275">
        <f ca="1">OFFSET('Tax value roll forward'!G$65,0,I394)-SUM('Tax value roll forward'!G434:OFFSET('Tax value roll forward'!G434,0,Input!$W$7))</f>
        <v>0</v>
      </c>
      <c r="K394" s="275">
        <f ca="1">IF(A26taxstdlife="N/A","n/a",IF(J394=0,0,A26taxstdlife+I394-Input!$W$7))</f>
        <v>0</v>
      </c>
      <c r="M394" s="310"/>
      <c r="N394" s="310"/>
      <c r="O394" s="271"/>
      <c r="P394" s="271"/>
      <c r="Q394" s="271"/>
      <c r="R394" s="271"/>
      <c r="S394" s="258"/>
      <c r="T394" s="258"/>
      <c r="U394" s="258"/>
      <c r="V394" s="258"/>
      <c r="W394" s="258"/>
      <c r="X394" s="258"/>
      <c r="Y394" s="258"/>
      <c r="Z394" s="258"/>
    </row>
    <row r="395" spans="1:26" collapsed="1">
      <c r="A395" s="271"/>
      <c r="B395" s="271"/>
      <c r="C395" s="291">
        <f>Asset26</f>
        <v>0</v>
      </c>
      <c r="D395" s="271"/>
      <c r="E395" s="275">
        <f ca="1">SUM(E383:E394)</f>
        <v>0</v>
      </c>
      <c r="F395" s="275">
        <f ca="1">IF(E395=0,0,SUMPRODUCT(E383:E394,F383:F394)/E395)</f>
        <v>0</v>
      </c>
      <c r="G395" s="276"/>
      <c r="H395" s="283"/>
      <c r="I395" s="275"/>
      <c r="J395" s="309">
        <f ca="1">SUM(J383:J394)</f>
        <v>0</v>
      </c>
      <c r="K395" s="309">
        <f ca="1">IF(J395=0,0,SUMPRODUCT(J383:J394,K383:K394)/J395)</f>
        <v>0</v>
      </c>
      <c r="L395" s="279"/>
      <c r="M395" s="310"/>
      <c r="N395" s="310"/>
      <c r="O395" s="271"/>
      <c r="P395" s="271"/>
      <c r="Q395" s="271"/>
      <c r="R395" s="271"/>
      <c r="S395" s="258"/>
      <c r="T395" s="258"/>
      <c r="U395" s="258"/>
      <c r="V395" s="258"/>
      <c r="W395" s="258"/>
      <c r="X395" s="258"/>
      <c r="Y395" s="258"/>
      <c r="Z395" s="258"/>
    </row>
    <row r="396" spans="1:26" hidden="1" outlineLevel="1">
      <c r="A396" s="271"/>
      <c r="B396" s="274"/>
      <c r="C396" s="271"/>
      <c r="D396" s="271"/>
      <c r="E396" s="292"/>
      <c r="F396" s="292"/>
      <c r="G396" s="276"/>
      <c r="H396" s="275"/>
      <c r="I396" s="275"/>
      <c r="J396" s="289"/>
      <c r="K396" s="275"/>
      <c r="L396" s="279"/>
      <c r="M396" s="310"/>
      <c r="N396" s="310"/>
      <c r="O396" s="271"/>
      <c r="P396" s="271"/>
      <c r="Q396" s="271"/>
      <c r="R396" s="271"/>
      <c r="S396" s="258"/>
      <c r="T396" s="258"/>
      <c r="U396" s="258"/>
      <c r="V396" s="258"/>
      <c r="W396" s="258"/>
      <c r="X396" s="258"/>
      <c r="Y396" s="258"/>
      <c r="Z396" s="258"/>
    </row>
    <row r="397" spans="1:26" hidden="1" outlineLevel="1">
      <c r="A397" s="271"/>
      <c r="B397" s="274">
        <f>Asset27</f>
        <v>0</v>
      </c>
      <c r="C397" s="271"/>
      <c r="D397" s="271"/>
      <c r="E397" s="292"/>
      <c r="F397" s="292"/>
      <c r="G397" s="276"/>
      <c r="H397" s="275"/>
      <c r="I397" s="275"/>
      <c r="J397" s="289"/>
      <c r="K397" s="275"/>
      <c r="L397" s="279"/>
      <c r="M397" s="310"/>
      <c r="N397" s="310"/>
      <c r="O397" s="271"/>
      <c r="P397" s="271"/>
      <c r="Q397" s="271"/>
      <c r="R397" s="271"/>
      <c r="S397" s="258"/>
      <c r="T397" s="258"/>
      <c r="U397" s="258"/>
      <c r="V397" s="258"/>
      <c r="W397" s="258"/>
      <c r="X397" s="258"/>
      <c r="Y397" s="258"/>
      <c r="Z397" s="258"/>
    </row>
    <row r="398" spans="1:26" ht="12.75" hidden="1" customHeight="1" outlineLevel="1">
      <c r="A398" s="271"/>
      <c r="B398" s="271"/>
      <c r="C398" s="659" t="s">
        <v>28</v>
      </c>
      <c r="D398" s="660"/>
      <c r="E398" s="275">
        <f ca="1">A27value-SUM('Actual RAB roll forward'!H382:OFFSET('Actual RAB roll forward'!H382,0,Input!$W$7-1))</f>
        <v>0</v>
      </c>
      <c r="F398" s="275">
        <f ca="1">IF(A27remlife="N/A","n/a",IF(E398=0,0,A27remlife-Input!$W$7))</f>
        <v>0</v>
      </c>
      <c r="G398" s="276"/>
      <c r="H398" s="277" t="s">
        <v>67</v>
      </c>
      <c r="I398" s="278"/>
      <c r="J398" s="275">
        <f ca="1">A27taxvalue-SUM('Tax value roll forward'!G436:OFFSET('Tax value roll forward'!G436,0,Input!$W$7))</f>
        <v>0</v>
      </c>
      <c r="K398" s="275">
        <f ca="1">IF(A27taxremlife="N/A","n/a",IF(J398=0,0,A27taxremlife-Input!$W$7-1))</f>
        <v>0</v>
      </c>
      <c r="L398" s="279"/>
      <c r="M398" s="310"/>
      <c r="N398" s="310"/>
      <c r="O398" s="271"/>
      <c r="P398" s="271"/>
      <c r="Q398" s="271"/>
      <c r="R398" s="271"/>
      <c r="S398" s="258"/>
      <c r="T398" s="258"/>
      <c r="U398" s="258"/>
      <c r="V398" s="258"/>
      <c r="W398" s="258"/>
      <c r="X398" s="258"/>
      <c r="Y398" s="258"/>
      <c r="Z398" s="258"/>
    </row>
    <row r="399" spans="1:26" ht="12.75" hidden="1" customHeight="1" outlineLevel="1">
      <c r="A399" s="271"/>
      <c r="B399" s="271"/>
      <c r="C399" s="666" t="s">
        <v>84</v>
      </c>
      <c r="D399" s="320">
        <f>D$9</f>
        <v>0</v>
      </c>
      <c r="E399" s="275"/>
      <c r="F399" s="275"/>
      <c r="G399" s="276"/>
      <c r="H399" s="666" t="s">
        <v>84</v>
      </c>
      <c r="I399" s="320">
        <v>0</v>
      </c>
      <c r="J399" s="275">
        <f ca="1">OFFSET('Tax value roll forward'!G$66,0,I399)-SUM('Tax value roll forward'!G438:OFFSET('Tax value roll forward'!G438,0,Input!$W$7))</f>
        <v>0</v>
      </c>
      <c r="K399" s="275">
        <f ca="1">IF(A27taxstdlife="N/A","n/a",IF(J399=0,0,A27taxstdlife+I399-Input!$W$7))</f>
        <v>0</v>
      </c>
      <c r="L399" s="279"/>
      <c r="M399" s="310"/>
      <c r="N399" s="310"/>
      <c r="O399" s="271"/>
      <c r="P399" s="271"/>
      <c r="Q399" s="271"/>
      <c r="R399" s="271"/>
      <c r="S399" s="258"/>
      <c r="T399" s="258"/>
      <c r="U399" s="258"/>
      <c r="V399" s="258"/>
      <c r="W399" s="258"/>
      <c r="X399" s="258"/>
      <c r="Y399" s="258"/>
      <c r="Z399" s="258"/>
    </row>
    <row r="400" spans="1:26" ht="12.75" hidden="1" customHeight="1" outlineLevel="1">
      <c r="A400" s="271"/>
      <c r="B400" s="271"/>
      <c r="C400" s="667"/>
      <c r="D400" s="280">
        <f>D$10</f>
        <v>1</v>
      </c>
      <c r="E400" s="275">
        <f ca="1">OFFSET('Actual RAB roll forward'!H$38,0,D400-1)-SUM('Actual RAB roll forward'!H384:OFFSET('Actual RAB roll forward'!H384,0,Input!$W$7-1))</f>
        <v>0</v>
      </c>
      <c r="F400" s="275">
        <f ca="1">IF(A27stdlife="N/A","n/a",IF(E400=0,0,A27stdlife+D400-Input!$W$7))</f>
        <v>0</v>
      </c>
      <c r="G400" s="276"/>
      <c r="H400" s="667"/>
      <c r="I400" s="280">
        <v>1</v>
      </c>
      <c r="J400" s="275">
        <f ca="1">OFFSET('Tax value roll forward'!G$66,0,I400)-SUM('Tax value roll forward'!G439:OFFSET('Tax value roll forward'!G439,0,Input!$W$7))</f>
        <v>0</v>
      </c>
      <c r="K400" s="275">
        <f ca="1">IF(A27taxstdlife="N/A","n/a",IF(J400=0,0,A27taxstdlife+I400-Input!$W$7))</f>
        <v>0</v>
      </c>
      <c r="L400" s="279"/>
      <c r="M400" s="310"/>
      <c r="N400" s="310"/>
      <c r="O400" s="271"/>
      <c r="P400" s="271"/>
      <c r="Q400" s="271"/>
      <c r="R400" s="271"/>
      <c r="S400" s="258"/>
      <c r="T400" s="258"/>
      <c r="U400" s="258"/>
      <c r="V400" s="258"/>
      <c r="W400" s="258"/>
      <c r="X400" s="258"/>
      <c r="Y400" s="258"/>
      <c r="Z400" s="258"/>
    </row>
    <row r="401" spans="1:26" hidden="1" outlineLevel="1">
      <c r="A401" s="271"/>
      <c r="B401" s="271"/>
      <c r="C401" s="667"/>
      <c r="D401" s="280">
        <f>D$11</f>
        <v>2</v>
      </c>
      <c r="E401" s="275">
        <f ca="1">OFFSET('Actual RAB roll forward'!H$38,0,D401-1)-SUM('Actual RAB roll forward'!H385:OFFSET('Actual RAB roll forward'!H385,0,Input!$W$7-1))</f>
        <v>0</v>
      </c>
      <c r="F401" s="275">
        <f ca="1">IF(A27stdlife="N/A","n/a",IF(E401=0,0,A27stdlife+D401-Input!$W$7))</f>
        <v>0</v>
      </c>
      <c r="G401" s="276"/>
      <c r="H401" s="667"/>
      <c r="I401" s="280">
        <v>2</v>
      </c>
      <c r="J401" s="275">
        <f ca="1">OFFSET('Tax value roll forward'!G$66,0,I401)-SUM('Tax value roll forward'!G440:OFFSET('Tax value roll forward'!G440,0,Input!$W$7))</f>
        <v>0</v>
      </c>
      <c r="K401" s="275">
        <f ca="1">IF(A27taxstdlife="N/A","n/a",IF(J401=0,0,A27taxstdlife+I401-Input!$W$7))</f>
        <v>0</v>
      </c>
      <c r="L401" s="279"/>
      <c r="M401" s="310"/>
      <c r="N401" s="310"/>
      <c r="O401" s="271"/>
      <c r="P401" s="271"/>
      <c r="Q401" s="271"/>
      <c r="R401" s="271"/>
      <c r="S401" s="258"/>
      <c r="T401" s="258"/>
      <c r="U401" s="258"/>
      <c r="V401" s="258"/>
      <c r="W401" s="258"/>
      <c r="X401" s="258"/>
      <c r="Y401" s="258"/>
      <c r="Z401" s="258"/>
    </row>
    <row r="402" spans="1:26" hidden="1" outlineLevel="1">
      <c r="A402" s="271"/>
      <c r="B402" s="271"/>
      <c r="C402" s="667"/>
      <c r="D402" s="280">
        <f>D$12</f>
        <v>3</v>
      </c>
      <c r="E402" s="275">
        <f ca="1">OFFSET('Actual RAB roll forward'!H$38,0,D402-1)-SUM('Actual RAB roll forward'!H386:OFFSET('Actual RAB roll forward'!H386,0,Input!$W$7-1))</f>
        <v>0</v>
      </c>
      <c r="F402" s="275">
        <f ca="1">IF(A27stdlife="N/A","n/a",IF(E402=0,0,A27stdlife+D402-Input!$W$7))</f>
        <v>0</v>
      </c>
      <c r="G402" s="276"/>
      <c r="H402" s="667"/>
      <c r="I402" s="280">
        <v>3</v>
      </c>
      <c r="J402" s="275">
        <f ca="1">OFFSET('Tax value roll forward'!G$66,0,I402)-SUM('Tax value roll forward'!G441:OFFSET('Tax value roll forward'!G441,0,Input!$W$7))</f>
        <v>0</v>
      </c>
      <c r="K402" s="275">
        <f ca="1">IF(A27taxstdlife="N/A","n/a",IF(J402=0,0,A27taxstdlife+I402-Input!$W$7))</f>
        <v>0</v>
      </c>
      <c r="L402" s="279"/>
      <c r="M402" s="310"/>
      <c r="N402" s="310"/>
      <c r="O402" s="271"/>
      <c r="P402" s="271"/>
      <c r="Q402" s="271"/>
      <c r="R402" s="271"/>
      <c r="S402" s="258"/>
      <c r="T402" s="258"/>
      <c r="U402" s="258"/>
      <c r="V402" s="258"/>
      <c r="W402" s="258"/>
      <c r="X402" s="258"/>
      <c r="Y402" s="258"/>
      <c r="Z402" s="258"/>
    </row>
    <row r="403" spans="1:26" hidden="1" outlineLevel="1">
      <c r="A403" s="271"/>
      <c r="B403" s="271"/>
      <c r="C403" s="667"/>
      <c r="D403" s="280">
        <f>D$13</f>
        <v>4</v>
      </c>
      <c r="E403" s="275">
        <f ca="1">OFFSET('Actual RAB roll forward'!H$38,0,D403-1)-SUM('Actual RAB roll forward'!H387:OFFSET('Actual RAB roll forward'!H387,0,Input!$W$7-1))</f>
        <v>0</v>
      </c>
      <c r="F403" s="275">
        <f ca="1">IF(A27stdlife="N/A","n/a",IF(E403=0,0,A27stdlife+D403-Input!$W$7))</f>
        <v>0</v>
      </c>
      <c r="G403" s="276"/>
      <c r="H403" s="667"/>
      <c r="I403" s="280">
        <v>4</v>
      </c>
      <c r="J403" s="275">
        <f ca="1">OFFSET('Tax value roll forward'!G$66,0,I403)-SUM('Tax value roll forward'!G442:OFFSET('Tax value roll forward'!G442,0,Input!$W$7))</f>
        <v>0</v>
      </c>
      <c r="K403" s="275">
        <f ca="1">IF(A27taxstdlife="N/A","n/a",IF(J403=0,0,A27taxstdlife+I403-Input!$W$7))</f>
        <v>0</v>
      </c>
      <c r="L403" s="279"/>
      <c r="M403" s="310"/>
      <c r="N403" s="310"/>
      <c r="O403" s="271"/>
      <c r="P403" s="271"/>
      <c r="Q403" s="271"/>
      <c r="R403" s="271"/>
      <c r="S403" s="258"/>
      <c r="T403" s="258"/>
      <c r="U403" s="258"/>
      <c r="V403" s="258"/>
      <c r="W403" s="258"/>
      <c r="X403" s="258"/>
      <c r="Y403" s="258"/>
      <c r="Z403" s="258"/>
    </row>
    <row r="404" spans="1:26" hidden="1" outlineLevel="1">
      <c r="A404" s="271"/>
      <c r="B404" s="271"/>
      <c r="C404" s="667"/>
      <c r="D404" s="280">
        <f>D$14</f>
        <v>5</v>
      </c>
      <c r="E404" s="275">
        <f ca="1">OFFSET('Actual RAB roll forward'!H$38,0,D404-1)-SUM('Actual RAB roll forward'!H388:OFFSET('Actual RAB roll forward'!H388,0,Input!$W$7-1))</f>
        <v>0</v>
      </c>
      <c r="F404" s="275">
        <f ca="1">IF(A27stdlife="N/A","n/a",IF(E404=0,0,A27stdlife+D404-Input!$W$7))</f>
        <v>0</v>
      </c>
      <c r="G404" s="276"/>
      <c r="H404" s="667"/>
      <c r="I404" s="280">
        <v>5</v>
      </c>
      <c r="J404" s="275">
        <f ca="1">OFFSET('Tax value roll forward'!G$66,0,I404)-SUM('Tax value roll forward'!G443:OFFSET('Tax value roll forward'!G443,0,Input!$W$7))</f>
        <v>0</v>
      </c>
      <c r="K404" s="275">
        <f ca="1">IF(A27taxstdlife="N/A","n/a",IF(J404=0,0,A27taxstdlife+I404-Input!$W$7))</f>
        <v>0</v>
      </c>
      <c r="L404" s="279"/>
      <c r="M404" s="310"/>
      <c r="N404" s="310"/>
      <c r="O404" s="271"/>
      <c r="P404" s="271"/>
      <c r="Q404" s="271"/>
      <c r="R404" s="271"/>
      <c r="S404" s="258"/>
      <c r="T404" s="258"/>
      <c r="U404" s="258"/>
      <c r="V404" s="258"/>
      <c r="W404" s="258"/>
      <c r="X404" s="258"/>
      <c r="Y404" s="258"/>
      <c r="Z404" s="258"/>
    </row>
    <row r="405" spans="1:26" hidden="1" outlineLevel="1">
      <c r="A405" s="271"/>
      <c r="B405" s="271"/>
      <c r="C405" s="667"/>
      <c r="D405" s="280">
        <f>D$15</f>
        <v>6</v>
      </c>
      <c r="E405" s="275">
        <f ca="1">OFFSET('Actual RAB roll forward'!H$38,0,D405-1)-SUM('Actual RAB roll forward'!H389:OFFSET('Actual RAB roll forward'!H389,0,Input!$W$7-1))</f>
        <v>0</v>
      </c>
      <c r="F405" s="275">
        <f ca="1">IF(A27stdlife="N/A","n/a",IF(E405=0,0,A27stdlife+D405-Input!$W$7))</f>
        <v>0</v>
      </c>
      <c r="G405" s="276"/>
      <c r="H405" s="667"/>
      <c r="I405" s="280">
        <v>6</v>
      </c>
      <c r="J405" s="275">
        <f ca="1">OFFSET('Tax value roll forward'!G$66,0,I405)-SUM('Tax value roll forward'!G444:OFFSET('Tax value roll forward'!G444,0,Input!$W$7))</f>
        <v>0</v>
      </c>
      <c r="K405" s="275">
        <f ca="1">IF(A27taxstdlife="N/A","n/a",IF(J405=0,0,A27taxstdlife+I405-Input!$W$7))</f>
        <v>0</v>
      </c>
      <c r="L405" s="279"/>
      <c r="M405" s="310"/>
      <c r="N405" s="310"/>
      <c r="O405" s="271"/>
      <c r="P405" s="271"/>
      <c r="Q405" s="271"/>
      <c r="R405" s="271"/>
      <c r="S405" s="258"/>
      <c r="T405" s="258"/>
      <c r="U405" s="258"/>
      <c r="V405" s="258"/>
      <c r="W405" s="258"/>
      <c r="X405" s="258"/>
      <c r="Y405" s="258"/>
      <c r="Z405" s="258"/>
    </row>
    <row r="406" spans="1:26" hidden="1" outlineLevel="1">
      <c r="A406" s="271"/>
      <c r="B406" s="271"/>
      <c r="C406" s="667"/>
      <c r="D406" s="280">
        <f>D$16</f>
        <v>7</v>
      </c>
      <c r="E406" s="275">
        <f ca="1">OFFSET('Actual RAB roll forward'!H$38,0,D406-1)-SUM('Actual RAB roll forward'!H390:OFFSET('Actual RAB roll forward'!H390,0,Input!$W$7-1))</f>
        <v>0</v>
      </c>
      <c r="F406" s="275">
        <f ca="1">IF(A27stdlife="N/A","n/a",IF(E406=0,0,A27stdlife+D406-Input!$W$7))</f>
        <v>0</v>
      </c>
      <c r="G406" s="276"/>
      <c r="H406" s="667"/>
      <c r="I406" s="280">
        <v>7</v>
      </c>
      <c r="J406" s="275">
        <f ca="1">OFFSET('Tax value roll forward'!G$66,0,I406)-SUM('Tax value roll forward'!G445:OFFSET('Tax value roll forward'!G445,0,Input!$W$7))</f>
        <v>0</v>
      </c>
      <c r="K406" s="275">
        <f ca="1">IF(A27taxstdlife="N/A","n/a",IF(J406=0,0,A27taxstdlife+I406-Input!$W$7))</f>
        <v>0</v>
      </c>
      <c r="L406" s="279"/>
      <c r="M406" s="310"/>
      <c r="N406" s="310"/>
      <c r="O406" s="271"/>
      <c r="P406" s="271"/>
      <c r="Q406" s="271"/>
      <c r="R406" s="271"/>
      <c r="S406" s="258"/>
      <c r="T406" s="258"/>
      <c r="U406" s="258"/>
      <c r="V406" s="258"/>
      <c r="W406" s="258"/>
      <c r="X406" s="258"/>
      <c r="Y406" s="258"/>
      <c r="Z406" s="258"/>
    </row>
    <row r="407" spans="1:26" hidden="1" outlineLevel="1">
      <c r="A407" s="271"/>
      <c r="B407" s="271"/>
      <c r="C407" s="667"/>
      <c r="D407" s="280">
        <f>D$17</f>
        <v>8</v>
      </c>
      <c r="E407" s="275">
        <f ca="1">OFFSET('Actual RAB roll forward'!H$38,0,D407-1)-SUM('Actual RAB roll forward'!H391:OFFSET('Actual RAB roll forward'!H391,0,Input!$W$7-1))</f>
        <v>0</v>
      </c>
      <c r="F407" s="275">
        <f ca="1">IF(A27stdlife="N/A","n/a",IF(E407=0,0,A27stdlife+D407-Input!$W$7))</f>
        <v>0</v>
      </c>
      <c r="G407" s="276"/>
      <c r="H407" s="667"/>
      <c r="I407" s="280">
        <v>8</v>
      </c>
      <c r="J407" s="275">
        <f ca="1">OFFSET('Tax value roll forward'!G$66,0,I407)-SUM('Tax value roll forward'!G446:OFFSET('Tax value roll forward'!G446,0,Input!$W$7))</f>
        <v>0</v>
      </c>
      <c r="K407" s="275">
        <f ca="1">IF(A27taxstdlife="N/A","n/a",IF(J407=0,0,A27taxstdlife+I407-Input!$W$7))</f>
        <v>0</v>
      </c>
      <c r="L407" s="279"/>
      <c r="M407" s="310"/>
      <c r="N407" s="310"/>
      <c r="O407" s="271"/>
      <c r="P407" s="271"/>
      <c r="Q407" s="271"/>
      <c r="R407" s="271"/>
      <c r="S407" s="258"/>
      <c r="T407" s="258"/>
      <c r="U407" s="258"/>
      <c r="V407" s="258"/>
      <c r="W407" s="258"/>
      <c r="X407" s="258"/>
      <c r="Y407" s="258"/>
      <c r="Z407" s="258"/>
    </row>
    <row r="408" spans="1:26" hidden="1" outlineLevel="1">
      <c r="A408" s="271"/>
      <c r="B408" s="271"/>
      <c r="C408" s="667"/>
      <c r="D408" s="280">
        <f>D$18</f>
        <v>9</v>
      </c>
      <c r="E408" s="275">
        <f ca="1">OFFSET('Actual RAB roll forward'!H$38,0,D408-1)-SUM('Actual RAB roll forward'!H392:OFFSET('Actual RAB roll forward'!H392,0,Input!$W$7-1))</f>
        <v>0</v>
      </c>
      <c r="F408" s="275">
        <f ca="1">IF(A27stdlife="N/A","n/a",IF(E408=0,0,A27stdlife+D408-Input!$W$7))</f>
        <v>0</v>
      </c>
      <c r="G408" s="276"/>
      <c r="H408" s="667"/>
      <c r="I408" s="280">
        <v>9</v>
      </c>
      <c r="J408" s="275">
        <f ca="1">OFFSET('Tax value roll forward'!G$66,0,I408)-SUM('Tax value roll forward'!G447:OFFSET('Tax value roll forward'!G447,0,Input!$W$7))</f>
        <v>0</v>
      </c>
      <c r="K408" s="275">
        <f ca="1">IF(A27taxstdlife="N/A","n/a",IF(J408=0,0,A27taxstdlife+I408-Input!$W$7))</f>
        <v>0</v>
      </c>
      <c r="L408" s="279"/>
      <c r="M408" s="310"/>
      <c r="N408" s="310"/>
      <c r="O408" s="271"/>
      <c r="P408" s="271"/>
      <c r="Q408" s="271"/>
      <c r="R408" s="271"/>
      <c r="S408" s="258"/>
      <c r="T408" s="258"/>
      <c r="U408" s="258"/>
      <c r="V408" s="258"/>
      <c r="W408" s="258"/>
      <c r="X408" s="258"/>
      <c r="Y408" s="258"/>
      <c r="Z408" s="258"/>
    </row>
    <row r="409" spans="1:26" hidden="1" outlineLevel="1">
      <c r="A409" s="271"/>
      <c r="B409" s="271"/>
      <c r="C409" s="668"/>
      <c r="D409" s="281">
        <f>D$19</f>
        <v>10</v>
      </c>
      <c r="E409" s="275">
        <f ca="1">OFFSET('Actual RAB roll forward'!H$38,0,D409-1)-SUM('Actual RAB roll forward'!H393:OFFSET('Actual RAB roll forward'!H393,0,Input!$W$7-1))</f>
        <v>0</v>
      </c>
      <c r="F409" s="275">
        <f ca="1">IF(A27stdlife="N/A","n/a",IF(E409=0,0,A27stdlife+D409-Input!$W$7))</f>
        <v>0</v>
      </c>
      <c r="G409" s="276"/>
      <c r="H409" s="668"/>
      <c r="I409" s="281">
        <v>10</v>
      </c>
      <c r="J409" s="275">
        <f ca="1">OFFSET('Tax value roll forward'!G$66,0,I409)-SUM('Tax value roll forward'!G448:OFFSET('Tax value roll forward'!G448,0,Input!$W$7))</f>
        <v>0</v>
      </c>
      <c r="K409" s="275">
        <f ca="1">IF(A27taxstdlife="N/A","n/a",IF(J409=0,0,A27taxstdlife+I409-Input!$W$7))</f>
        <v>0</v>
      </c>
      <c r="M409" s="310"/>
      <c r="N409" s="310"/>
      <c r="O409" s="271"/>
      <c r="P409" s="271"/>
      <c r="Q409" s="271"/>
      <c r="R409" s="271"/>
      <c r="S409" s="258"/>
      <c r="T409" s="258"/>
      <c r="U409" s="258"/>
      <c r="V409" s="258"/>
      <c r="W409" s="258"/>
      <c r="X409" s="258"/>
      <c r="Y409" s="258"/>
      <c r="Z409" s="258"/>
    </row>
    <row r="410" spans="1:26" collapsed="1">
      <c r="A410" s="271"/>
      <c r="B410" s="271"/>
      <c r="C410" s="291">
        <f>Asset27</f>
        <v>0</v>
      </c>
      <c r="D410" s="271"/>
      <c r="E410" s="275">
        <f ca="1">SUM(E398:E409)</f>
        <v>0</v>
      </c>
      <c r="F410" s="275">
        <f ca="1">IF(E410=0,0,SUMPRODUCT(E398:E409,F398:F409)/E410)</f>
        <v>0</v>
      </c>
      <c r="G410" s="276"/>
      <c r="H410" s="283"/>
      <c r="I410" s="275"/>
      <c r="J410" s="309">
        <f ca="1">SUM(J398:J409)</f>
        <v>0</v>
      </c>
      <c r="K410" s="309">
        <f ca="1">IF(J410=0,0,SUMPRODUCT(J398:J409,K398:K409)/J410)</f>
        <v>0</v>
      </c>
      <c r="L410" s="279"/>
      <c r="M410" s="310"/>
      <c r="N410" s="310"/>
      <c r="O410" s="271"/>
      <c r="P410" s="271"/>
      <c r="Q410" s="271"/>
      <c r="R410" s="271"/>
      <c r="S410" s="258"/>
      <c r="T410" s="258"/>
      <c r="U410" s="258"/>
      <c r="V410" s="258"/>
      <c r="W410" s="258"/>
      <c r="X410" s="258"/>
      <c r="Y410" s="258"/>
      <c r="Z410" s="258"/>
    </row>
    <row r="411" spans="1:26" hidden="1" outlineLevel="1">
      <c r="A411" s="271"/>
      <c r="B411" s="274"/>
      <c r="C411" s="271"/>
      <c r="D411" s="271"/>
      <c r="E411" s="292"/>
      <c r="F411" s="292"/>
      <c r="G411" s="276"/>
      <c r="H411" s="275"/>
      <c r="I411" s="275"/>
      <c r="J411" s="289"/>
      <c r="K411" s="275"/>
      <c r="L411" s="279"/>
      <c r="M411" s="310"/>
      <c r="N411" s="310"/>
      <c r="O411" s="271"/>
      <c r="P411" s="271"/>
      <c r="Q411" s="271"/>
      <c r="R411" s="271"/>
      <c r="S411" s="258"/>
      <c r="T411" s="258"/>
      <c r="U411" s="258"/>
      <c r="V411" s="258"/>
      <c r="W411" s="258"/>
      <c r="X411" s="258"/>
      <c r="Y411" s="258"/>
      <c r="Z411" s="258"/>
    </row>
    <row r="412" spans="1:26" hidden="1" outlineLevel="1">
      <c r="A412" s="271"/>
      <c r="B412" s="274">
        <f>Asset28</f>
        <v>0</v>
      </c>
      <c r="C412" s="271"/>
      <c r="D412" s="271"/>
      <c r="E412" s="292"/>
      <c r="F412" s="292"/>
      <c r="G412" s="276"/>
      <c r="H412" s="275"/>
      <c r="I412" s="275"/>
      <c r="J412" s="289"/>
      <c r="K412" s="275"/>
      <c r="L412" s="279"/>
      <c r="M412" s="310"/>
      <c r="N412" s="310"/>
      <c r="O412" s="271"/>
      <c r="P412" s="271"/>
      <c r="Q412" s="271"/>
      <c r="R412" s="271"/>
      <c r="S412" s="258"/>
      <c r="T412" s="258"/>
      <c r="U412" s="258"/>
      <c r="V412" s="258"/>
      <c r="W412" s="258"/>
      <c r="X412" s="258"/>
      <c r="Y412" s="258"/>
      <c r="Z412" s="258"/>
    </row>
    <row r="413" spans="1:26" ht="12.75" hidden="1" customHeight="1" outlineLevel="1">
      <c r="A413" s="271"/>
      <c r="B413" s="271"/>
      <c r="C413" s="659" t="s">
        <v>28</v>
      </c>
      <c r="D413" s="660"/>
      <c r="E413" s="275">
        <f ca="1">A28value-SUM('Actual RAB roll forward'!H395:OFFSET('Actual RAB roll forward'!H395,0,Input!$W$7-1))</f>
        <v>0</v>
      </c>
      <c r="F413" s="275">
        <f ca="1">IF(A28remlife="N/A","n/a",IF(E413=0,0,A28remlife-Input!$W$7))</f>
        <v>0</v>
      </c>
      <c r="G413" s="276"/>
      <c r="H413" s="277" t="s">
        <v>67</v>
      </c>
      <c r="I413" s="278"/>
      <c r="J413" s="275">
        <f ca="1">A28taxvalue-SUM('Tax value roll forward'!G450:OFFSET('Tax value roll forward'!G450,0,Input!$W$7))</f>
        <v>0</v>
      </c>
      <c r="K413" s="275">
        <f ca="1">IF(A28taxremlife="N/A","n/a",IF(J413=0,0,A28taxremlife-Input!$W$7-1))</f>
        <v>0</v>
      </c>
      <c r="L413" s="279"/>
      <c r="M413" s="310"/>
      <c r="N413" s="310"/>
      <c r="O413" s="271"/>
      <c r="P413" s="271"/>
      <c r="Q413" s="271"/>
      <c r="R413" s="271"/>
      <c r="S413" s="258"/>
      <c r="T413" s="258"/>
      <c r="U413" s="258"/>
      <c r="V413" s="258"/>
      <c r="W413" s="258"/>
      <c r="X413" s="258"/>
      <c r="Y413" s="258"/>
      <c r="Z413" s="258"/>
    </row>
    <row r="414" spans="1:26" ht="12.75" hidden="1" customHeight="1" outlineLevel="1">
      <c r="A414" s="271"/>
      <c r="B414" s="271"/>
      <c r="C414" s="666" t="s">
        <v>84</v>
      </c>
      <c r="D414" s="320">
        <f>D$9</f>
        <v>0</v>
      </c>
      <c r="E414" s="275"/>
      <c r="F414" s="275"/>
      <c r="G414" s="276"/>
      <c r="H414" s="666" t="s">
        <v>84</v>
      </c>
      <c r="I414" s="320">
        <v>0</v>
      </c>
      <c r="J414" s="275">
        <f ca="1">OFFSET('Tax value roll forward'!G$67,0,I414)-SUM('Tax value roll forward'!G452:OFFSET('Tax value roll forward'!G452,0,Input!$W$7))</f>
        <v>0</v>
      </c>
      <c r="K414" s="275">
        <f ca="1">IF(A28taxstdlife="N/A","n/a",IF(J414=0,0,A28taxstdlife+I414-Input!$W$7))</f>
        <v>0</v>
      </c>
      <c r="L414" s="279"/>
      <c r="M414" s="310"/>
      <c r="N414" s="310"/>
      <c r="O414" s="271"/>
      <c r="P414" s="271"/>
      <c r="Q414" s="271"/>
      <c r="R414" s="271"/>
      <c r="S414" s="258"/>
      <c r="T414" s="258"/>
      <c r="U414" s="258"/>
      <c r="V414" s="258"/>
      <c r="W414" s="258"/>
      <c r="X414" s="258"/>
      <c r="Y414" s="258"/>
      <c r="Z414" s="258"/>
    </row>
    <row r="415" spans="1:26" ht="12.75" hidden="1" customHeight="1" outlineLevel="1">
      <c r="A415" s="271"/>
      <c r="B415" s="271"/>
      <c r="C415" s="667"/>
      <c r="D415" s="280">
        <f>D$10</f>
        <v>1</v>
      </c>
      <c r="E415" s="275">
        <f ca="1">OFFSET('Actual RAB roll forward'!H$39,0,D415-1)-SUM('Actual RAB roll forward'!H397:OFFSET('Actual RAB roll forward'!H397,0,Input!$W$7-1))</f>
        <v>0</v>
      </c>
      <c r="F415" s="275">
        <f ca="1">IF(A28stdlife="N/A","n/a",IF(E415=0,0,A28stdlife+D415-Input!$W$7))</f>
        <v>0</v>
      </c>
      <c r="G415" s="276"/>
      <c r="H415" s="667"/>
      <c r="I415" s="280">
        <v>1</v>
      </c>
      <c r="J415" s="275">
        <f ca="1">OFFSET('Tax value roll forward'!G$67,0,I415)-SUM('Tax value roll forward'!G453:OFFSET('Tax value roll forward'!G453,0,Input!$W$7))</f>
        <v>0</v>
      </c>
      <c r="K415" s="275">
        <f ca="1">IF(A28taxstdlife="N/A","n/a",IF(J415=0,0,A28taxstdlife+I415-Input!$W$7))</f>
        <v>0</v>
      </c>
      <c r="L415" s="279"/>
      <c r="M415" s="310"/>
      <c r="N415" s="310"/>
      <c r="O415" s="271"/>
      <c r="P415" s="271"/>
      <c r="Q415" s="271"/>
      <c r="R415" s="271"/>
      <c r="S415" s="258"/>
      <c r="T415" s="258"/>
      <c r="U415" s="258"/>
      <c r="V415" s="258"/>
      <c r="W415" s="258"/>
      <c r="X415" s="258"/>
      <c r="Y415" s="258"/>
      <c r="Z415" s="258"/>
    </row>
    <row r="416" spans="1:26" hidden="1" outlineLevel="1">
      <c r="A416" s="271"/>
      <c r="B416" s="271"/>
      <c r="C416" s="667"/>
      <c r="D416" s="280">
        <f>D$11</f>
        <v>2</v>
      </c>
      <c r="E416" s="275">
        <f ca="1">OFFSET('Actual RAB roll forward'!H$39,0,D416-1)-SUM('Actual RAB roll forward'!H398:OFFSET('Actual RAB roll forward'!H398,0,Input!$W$7-1))</f>
        <v>0</v>
      </c>
      <c r="F416" s="275">
        <f ca="1">IF(A28stdlife="N/A","n/a",IF(E416=0,0,A28stdlife+D416-Input!$W$7))</f>
        <v>0</v>
      </c>
      <c r="G416" s="276"/>
      <c r="H416" s="667"/>
      <c r="I416" s="280">
        <v>2</v>
      </c>
      <c r="J416" s="275">
        <f ca="1">OFFSET('Tax value roll forward'!G$67,0,I416)-SUM('Tax value roll forward'!G454:OFFSET('Tax value roll forward'!G454,0,Input!$W$7))</f>
        <v>0</v>
      </c>
      <c r="K416" s="275">
        <f ca="1">IF(A28taxstdlife="N/A","n/a",IF(J416=0,0,A28taxstdlife+I416-Input!$W$7))</f>
        <v>0</v>
      </c>
      <c r="L416" s="279"/>
      <c r="M416" s="310"/>
      <c r="N416" s="310"/>
      <c r="O416" s="271"/>
      <c r="P416" s="271"/>
      <c r="Q416" s="271"/>
      <c r="R416" s="271"/>
      <c r="S416" s="258"/>
      <c r="T416" s="258"/>
      <c r="U416" s="258"/>
      <c r="V416" s="258"/>
      <c r="W416" s="258"/>
      <c r="X416" s="258"/>
      <c r="Y416" s="258"/>
      <c r="Z416" s="258"/>
    </row>
    <row r="417" spans="1:26" hidden="1" outlineLevel="1">
      <c r="A417" s="271"/>
      <c r="B417" s="271"/>
      <c r="C417" s="667"/>
      <c r="D417" s="280">
        <f>D$12</f>
        <v>3</v>
      </c>
      <c r="E417" s="275">
        <f ca="1">OFFSET('Actual RAB roll forward'!H$39,0,D417-1)-SUM('Actual RAB roll forward'!H399:OFFSET('Actual RAB roll forward'!H399,0,Input!$W$7-1))</f>
        <v>0</v>
      </c>
      <c r="F417" s="275">
        <f ca="1">IF(A28stdlife="N/A","n/a",IF(E417=0,0,A28stdlife+D417-Input!$W$7))</f>
        <v>0</v>
      </c>
      <c r="G417" s="276"/>
      <c r="H417" s="667"/>
      <c r="I417" s="280">
        <v>3</v>
      </c>
      <c r="J417" s="275">
        <f ca="1">OFFSET('Tax value roll forward'!G$67,0,I417)-SUM('Tax value roll forward'!G455:OFFSET('Tax value roll forward'!G455,0,Input!$W$7))</f>
        <v>0</v>
      </c>
      <c r="K417" s="275">
        <f ca="1">IF(A28taxstdlife="N/A","n/a",IF(J417=0,0,A28taxstdlife+I417-Input!$W$7))</f>
        <v>0</v>
      </c>
      <c r="L417" s="279"/>
      <c r="M417" s="310"/>
      <c r="N417" s="310"/>
      <c r="O417" s="271"/>
      <c r="P417" s="271"/>
      <c r="Q417" s="271"/>
      <c r="R417" s="271"/>
      <c r="S417" s="258"/>
      <c r="T417" s="258"/>
      <c r="U417" s="258"/>
      <c r="V417" s="258"/>
      <c r="W417" s="258"/>
      <c r="X417" s="258"/>
      <c r="Y417" s="258"/>
      <c r="Z417" s="258"/>
    </row>
    <row r="418" spans="1:26" hidden="1" outlineLevel="1">
      <c r="A418" s="271"/>
      <c r="B418" s="271"/>
      <c r="C418" s="667"/>
      <c r="D418" s="280">
        <f>D$13</f>
        <v>4</v>
      </c>
      <c r="E418" s="275">
        <f ca="1">OFFSET('Actual RAB roll forward'!H$39,0,D418-1)-SUM('Actual RAB roll forward'!H400:OFFSET('Actual RAB roll forward'!H400,0,Input!$W$7-1))</f>
        <v>0</v>
      </c>
      <c r="F418" s="275">
        <f ca="1">IF(A28stdlife="N/A","n/a",IF(E418=0,0,A28stdlife+D418-Input!$W$7))</f>
        <v>0</v>
      </c>
      <c r="G418" s="276"/>
      <c r="H418" s="667"/>
      <c r="I418" s="280">
        <v>4</v>
      </c>
      <c r="J418" s="275">
        <f ca="1">OFFSET('Tax value roll forward'!G$67,0,I418)-SUM('Tax value roll forward'!G456:OFFSET('Tax value roll forward'!G456,0,Input!$W$7))</f>
        <v>0</v>
      </c>
      <c r="K418" s="275">
        <f ca="1">IF(A28taxstdlife="N/A","n/a",IF(J418=0,0,A28taxstdlife+I418-Input!$W$7))</f>
        <v>0</v>
      </c>
      <c r="L418" s="279"/>
      <c r="M418" s="310"/>
      <c r="N418" s="310"/>
      <c r="O418" s="271"/>
      <c r="P418" s="271"/>
      <c r="Q418" s="271"/>
      <c r="R418" s="271"/>
      <c r="S418" s="258"/>
      <c r="T418" s="258"/>
      <c r="U418" s="258"/>
      <c r="V418" s="258"/>
      <c r="W418" s="258"/>
      <c r="X418" s="258"/>
      <c r="Y418" s="258"/>
      <c r="Z418" s="258"/>
    </row>
    <row r="419" spans="1:26" hidden="1" outlineLevel="1">
      <c r="A419" s="271"/>
      <c r="B419" s="271"/>
      <c r="C419" s="667"/>
      <c r="D419" s="280">
        <f>D$14</f>
        <v>5</v>
      </c>
      <c r="E419" s="275">
        <f ca="1">OFFSET('Actual RAB roll forward'!H$39,0,D419-1)-SUM('Actual RAB roll forward'!H401:OFFSET('Actual RAB roll forward'!H401,0,Input!$W$7-1))</f>
        <v>0</v>
      </c>
      <c r="F419" s="275">
        <f ca="1">IF(A28stdlife="N/A","n/a",IF(E419=0,0,A28stdlife+D419-Input!$W$7))</f>
        <v>0</v>
      </c>
      <c r="G419" s="276"/>
      <c r="H419" s="667"/>
      <c r="I419" s="280">
        <v>5</v>
      </c>
      <c r="J419" s="275">
        <f ca="1">OFFSET('Tax value roll forward'!G$67,0,I419)-SUM('Tax value roll forward'!G457:OFFSET('Tax value roll forward'!G457,0,Input!$W$7))</f>
        <v>0</v>
      </c>
      <c r="K419" s="275">
        <f ca="1">IF(A28taxstdlife="N/A","n/a",IF(J419=0,0,A28taxstdlife+I419-Input!$W$7))</f>
        <v>0</v>
      </c>
      <c r="L419" s="279"/>
      <c r="M419" s="310"/>
      <c r="N419" s="310"/>
      <c r="O419" s="271"/>
      <c r="P419" s="271"/>
      <c r="Q419" s="271"/>
      <c r="R419" s="271"/>
      <c r="S419" s="258"/>
      <c r="T419" s="258"/>
      <c r="U419" s="258"/>
      <c r="V419" s="258"/>
      <c r="W419" s="258"/>
      <c r="X419" s="258"/>
      <c r="Y419" s="258"/>
      <c r="Z419" s="258"/>
    </row>
    <row r="420" spans="1:26" hidden="1" outlineLevel="1">
      <c r="A420" s="271"/>
      <c r="B420" s="271"/>
      <c r="C420" s="667"/>
      <c r="D420" s="280">
        <f>D$15</f>
        <v>6</v>
      </c>
      <c r="E420" s="275">
        <f ca="1">OFFSET('Actual RAB roll forward'!H$39,0,D420-1)-SUM('Actual RAB roll forward'!H402:OFFSET('Actual RAB roll forward'!H402,0,Input!$W$7-1))</f>
        <v>0</v>
      </c>
      <c r="F420" s="275">
        <f ca="1">IF(A28stdlife="N/A","n/a",IF(E420=0,0,A28stdlife+D420-Input!$W$7))</f>
        <v>0</v>
      </c>
      <c r="G420" s="276"/>
      <c r="H420" s="667"/>
      <c r="I420" s="280">
        <v>6</v>
      </c>
      <c r="J420" s="275">
        <f ca="1">OFFSET('Tax value roll forward'!G$67,0,I420)-SUM('Tax value roll forward'!G458:OFFSET('Tax value roll forward'!G458,0,Input!$W$7))</f>
        <v>0</v>
      </c>
      <c r="K420" s="275">
        <f ca="1">IF(A28taxstdlife="N/A","n/a",IF(J420=0,0,A28taxstdlife+I420-Input!$W$7))</f>
        <v>0</v>
      </c>
      <c r="L420" s="279"/>
      <c r="M420" s="310"/>
      <c r="N420" s="310"/>
      <c r="O420" s="271"/>
      <c r="P420" s="271"/>
      <c r="Q420" s="271"/>
      <c r="R420" s="271"/>
      <c r="S420" s="258"/>
      <c r="T420" s="258"/>
      <c r="U420" s="258"/>
      <c r="V420" s="258"/>
      <c r="W420" s="258"/>
      <c r="X420" s="258"/>
      <c r="Y420" s="258"/>
      <c r="Z420" s="258"/>
    </row>
    <row r="421" spans="1:26" hidden="1" outlineLevel="1">
      <c r="A421" s="271"/>
      <c r="B421" s="271"/>
      <c r="C421" s="667"/>
      <c r="D421" s="280">
        <f>D$16</f>
        <v>7</v>
      </c>
      <c r="E421" s="275">
        <f ca="1">OFFSET('Actual RAB roll forward'!H$39,0,D421-1)-SUM('Actual RAB roll forward'!H403:OFFSET('Actual RAB roll forward'!H403,0,Input!$W$7-1))</f>
        <v>0</v>
      </c>
      <c r="F421" s="275">
        <f ca="1">IF(A28stdlife="N/A","n/a",IF(E421=0,0,A28stdlife+D421-Input!$W$7))</f>
        <v>0</v>
      </c>
      <c r="G421" s="276"/>
      <c r="H421" s="667"/>
      <c r="I421" s="280">
        <v>7</v>
      </c>
      <c r="J421" s="275">
        <f ca="1">OFFSET('Tax value roll forward'!G$67,0,I421)-SUM('Tax value roll forward'!G459:OFFSET('Tax value roll forward'!G459,0,Input!$W$7))</f>
        <v>0</v>
      </c>
      <c r="K421" s="275">
        <f ca="1">IF(A28taxstdlife="N/A","n/a",IF(J421=0,0,A28taxstdlife+I421-Input!$W$7))</f>
        <v>0</v>
      </c>
      <c r="L421" s="279"/>
      <c r="M421" s="310"/>
      <c r="N421" s="310"/>
      <c r="O421" s="271"/>
      <c r="P421" s="271"/>
      <c r="Q421" s="271"/>
      <c r="R421" s="271"/>
      <c r="S421" s="258"/>
      <c r="T421" s="258"/>
      <c r="U421" s="258"/>
      <c r="V421" s="258"/>
      <c r="W421" s="258"/>
      <c r="X421" s="258"/>
      <c r="Y421" s="258"/>
      <c r="Z421" s="258"/>
    </row>
    <row r="422" spans="1:26" hidden="1" outlineLevel="1">
      <c r="A422" s="271"/>
      <c r="B422" s="271"/>
      <c r="C422" s="667"/>
      <c r="D422" s="280">
        <f>D$17</f>
        <v>8</v>
      </c>
      <c r="E422" s="275">
        <f ca="1">OFFSET('Actual RAB roll forward'!H$39,0,D422-1)-SUM('Actual RAB roll forward'!H404:OFFSET('Actual RAB roll forward'!H404,0,Input!$W$7-1))</f>
        <v>0</v>
      </c>
      <c r="F422" s="275">
        <f ca="1">IF(A28stdlife="N/A","n/a",IF(E422=0,0,A28stdlife+D422-Input!$W$7))</f>
        <v>0</v>
      </c>
      <c r="G422" s="276"/>
      <c r="H422" s="667"/>
      <c r="I422" s="280">
        <v>8</v>
      </c>
      <c r="J422" s="275">
        <f ca="1">OFFSET('Tax value roll forward'!G$67,0,I422)-SUM('Tax value roll forward'!G460:OFFSET('Tax value roll forward'!G460,0,Input!$W$7))</f>
        <v>0</v>
      </c>
      <c r="K422" s="275">
        <f ca="1">IF(A28taxstdlife="N/A","n/a",IF(J422=0,0,A28taxstdlife+I422-Input!$W$7))</f>
        <v>0</v>
      </c>
      <c r="L422" s="279"/>
      <c r="M422" s="310"/>
      <c r="N422" s="310"/>
      <c r="O422" s="271"/>
      <c r="P422" s="271"/>
      <c r="Q422" s="271"/>
      <c r="R422" s="271"/>
      <c r="S422" s="258"/>
      <c r="T422" s="258"/>
      <c r="U422" s="258"/>
      <c r="V422" s="258"/>
      <c r="W422" s="258"/>
      <c r="X422" s="258"/>
      <c r="Y422" s="258"/>
      <c r="Z422" s="258"/>
    </row>
    <row r="423" spans="1:26" hidden="1" outlineLevel="1">
      <c r="A423" s="271"/>
      <c r="B423" s="271"/>
      <c r="C423" s="667"/>
      <c r="D423" s="280">
        <f>D$18</f>
        <v>9</v>
      </c>
      <c r="E423" s="275">
        <f ca="1">OFFSET('Actual RAB roll forward'!H$39,0,D423-1)-SUM('Actual RAB roll forward'!H405:OFFSET('Actual RAB roll forward'!H405,0,Input!$W$7-1))</f>
        <v>0</v>
      </c>
      <c r="F423" s="275">
        <f ca="1">IF(A28stdlife="N/A","n/a",IF(E423=0,0,A28stdlife+D423-Input!$W$7))</f>
        <v>0</v>
      </c>
      <c r="G423" s="276"/>
      <c r="H423" s="667"/>
      <c r="I423" s="280">
        <v>9</v>
      </c>
      <c r="J423" s="275">
        <f ca="1">OFFSET('Tax value roll forward'!G$67,0,I423)-SUM('Tax value roll forward'!G461:OFFSET('Tax value roll forward'!G461,0,Input!$W$7))</f>
        <v>0</v>
      </c>
      <c r="K423" s="275">
        <f ca="1">IF(A28taxstdlife="N/A","n/a",IF(J423=0,0,A28taxstdlife+I423-Input!$W$7))</f>
        <v>0</v>
      </c>
      <c r="L423" s="279"/>
      <c r="M423" s="310"/>
      <c r="N423" s="310"/>
      <c r="O423" s="271"/>
      <c r="P423" s="271"/>
      <c r="Q423" s="271"/>
      <c r="R423" s="271"/>
      <c r="S423" s="258"/>
      <c r="T423" s="258"/>
      <c r="U423" s="258"/>
      <c r="V423" s="258"/>
      <c r="W423" s="258"/>
      <c r="X423" s="258"/>
      <c r="Y423" s="258"/>
      <c r="Z423" s="258"/>
    </row>
    <row r="424" spans="1:26" hidden="1" outlineLevel="1">
      <c r="A424" s="271"/>
      <c r="B424" s="271"/>
      <c r="C424" s="668"/>
      <c r="D424" s="281">
        <f>D$19</f>
        <v>10</v>
      </c>
      <c r="E424" s="275">
        <f ca="1">OFFSET('Actual RAB roll forward'!H$39,0,D424-1)-SUM('Actual RAB roll forward'!H406:OFFSET('Actual RAB roll forward'!H406,0,Input!$W$7-1))</f>
        <v>0</v>
      </c>
      <c r="F424" s="275">
        <f ca="1">IF(A28stdlife="N/A","n/a",IF(E424=0,0,A28stdlife+D424-Input!$W$7))</f>
        <v>0</v>
      </c>
      <c r="G424" s="276"/>
      <c r="H424" s="668"/>
      <c r="I424" s="281">
        <v>10</v>
      </c>
      <c r="J424" s="275">
        <f ca="1">OFFSET('Tax value roll forward'!G$67,0,I424)-SUM('Tax value roll forward'!G462:OFFSET('Tax value roll forward'!G462,0,Input!$W$7))</f>
        <v>0</v>
      </c>
      <c r="K424" s="275">
        <f ca="1">IF(A28taxstdlife="N/A","n/a",IF(J424=0,0,A28taxstdlife+I424-Input!$W$7))</f>
        <v>0</v>
      </c>
      <c r="M424" s="310"/>
      <c r="N424" s="310"/>
      <c r="O424" s="271"/>
      <c r="P424" s="271"/>
      <c r="Q424" s="271"/>
      <c r="R424" s="271"/>
      <c r="S424" s="258"/>
      <c r="T424" s="258"/>
      <c r="U424" s="258"/>
      <c r="V424" s="258"/>
      <c r="W424" s="258"/>
      <c r="X424" s="258"/>
      <c r="Y424" s="258"/>
      <c r="Z424" s="258"/>
    </row>
    <row r="425" spans="1:26" collapsed="1">
      <c r="A425" s="271"/>
      <c r="B425" s="271"/>
      <c r="C425" s="291">
        <f>Asset28</f>
        <v>0</v>
      </c>
      <c r="D425" s="271"/>
      <c r="E425" s="275">
        <f ca="1">SUM(E413:E424)</f>
        <v>0</v>
      </c>
      <c r="F425" s="275">
        <f ca="1">IF(E425=0,0,SUMPRODUCT(E413:E424,F413:F424)/E425)</f>
        <v>0</v>
      </c>
      <c r="G425" s="276"/>
      <c r="H425" s="283"/>
      <c r="I425" s="275"/>
      <c r="J425" s="309">
        <f ca="1">SUM(J413:J424)</f>
        <v>0</v>
      </c>
      <c r="K425" s="309">
        <f ca="1">IF(J425=0,0,SUMPRODUCT(J413:J424,K413:K424)/J425)</f>
        <v>0</v>
      </c>
      <c r="L425" s="279"/>
      <c r="M425" s="310"/>
      <c r="N425" s="310"/>
      <c r="O425" s="271"/>
      <c r="P425" s="271"/>
      <c r="Q425" s="271"/>
      <c r="R425" s="271"/>
      <c r="S425" s="258"/>
      <c r="T425" s="258"/>
      <c r="U425" s="258"/>
      <c r="V425" s="258"/>
      <c r="W425" s="258"/>
      <c r="X425" s="258"/>
      <c r="Y425" s="258"/>
      <c r="Z425" s="258"/>
    </row>
    <row r="426" spans="1:26" hidden="1" outlineLevel="1">
      <c r="A426" s="271"/>
      <c r="B426" s="274"/>
      <c r="C426" s="271"/>
      <c r="D426" s="271"/>
      <c r="E426" s="292"/>
      <c r="F426" s="292"/>
      <c r="G426" s="276"/>
      <c r="H426" s="275"/>
      <c r="I426" s="275"/>
      <c r="J426" s="289"/>
      <c r="K426" s="275"/>
      <c r="L426" s="279"/>
      <c r="M426" s="310"/>
      <c r="N426" s="310"/>
      <c r="O426" s="271"/>
      <c r="P426" s="271"/>
      <c r="Q426" s="271"/>
      <c r="R426" s="271"/>
      <c r="S426" s="258"/>
      <c r="T426" s="258"/>
      <c r="U426" s="258"/>
      <c r="V426" s="258"/>
      <c r="W426" s="258"/>
      <c r="X426" s="258"/>
      <c r="Y426" s="258"/>
      <c r="Z426" s="258"/>
    </row>
    <row r="427" spans="1:26" hidden="1" outlineLevel="1">
      <c r="A427" s="271"/>
      <c r="B427" s="274">
        <f>Asset29</f>
        <v>0</v>
      </c>
      <c r="C427" s="271"/>
      <c r="D427" s="271"/>
      <c r="E427" s="292"/>
      <c r="F427" s="292"/>
      <c r="G427" s="276"/>
      <c r="H427" s="275"/>
      <c r="I427" s="275"/>
      <c r="J427" s="289"/>
      <c r="K427" s="275"/>
      <c r="L427" s="279"/>
      <c r="M427" s="310"/>
      <c r="N427" s="310"/>
      <c r="O427" s="271"/>
      <c r="P427" s="271"/>
      <c r="Q427" s="271"/>
      <c r="R427" s="271"/>
      <c r="S427" s="258"/>
      <c r="T427" s="258"/>
      <c r="U427" s="258"/>
      <c r="V427" s="258"/>
      <c r="W427" s="258"/>
      <c r="X427" s="258"/>
      <c r="Y427" s="258"/>
      <c r="Z427" s="258"/>
    </row>
    <row r="428" spans="1:26" ht="12.75" hidden="1" customHeight="1" outlineLevel="1">
      <c r="A428" s="271"/>
      <c r="B428" s="271"/>
      <c r="C428" s="659" t="s">
        <v>28</v>
      </c>
      <c r="D428" s="660"/>
      <c r="E428" s="275">
        <f ca="1">A29value-SUM('Actual RAB roll forward'!H408:OFFSET('Actual RAB roll forward'!H408,0,Input!$W$7-1))</f>
        <v>0</v>
      </c>
      <c r="F428" s="275">
        <f ca="1">IF(A29remlife="N/A","n/a",IF(E428=0,0,A29remlife-Input!$W$7))</f>
        <v>0</v>
      </c>
      <c r="G428" s="276"/>
      <c r="H428" s="277" t="s">
        <v>67</v>
      </c>
      <c r="I428" s="278"/>
      <c r="J428" s="275">
        <f ca="1">A29taxvalue-SUM('Tax value roll forward'!G464:OFFSET('Tax value roll forward'!G464,0,Input!$W$7))</f>
        <v>0</v>
      </c>
      <c r="K428" s="275">
        <f ca="1">IF(A29taxremlife="N/A","n/a",IF(J428=0,0,A29taxremlife-Input!$W$7-1))</f>
        <v>0</v>
      </c>
      <c r="L428" s="279"/>
      <c r="M428" s="310"/>
      <c r="N428" s="310"/>
      <c r="O428" s="271"/>
      <c r="P428" s="271"/>
      <c r="Q428" s="271"/>
      <c r="R428" s="271"/>
      <c r="S428" s="258"/>
      <c r="T428" s="258"/>
      <c r="U428" s="258"/>
      <c r="V428" s="258"/>
      <c r="W428" s="258"/>
      <c r="X428" s="258"/>
      <c r="Y428" s="258"/>
      <c r="Z428" s="258"/>
    </row>
    <row r="429" spans="1:26" ht="12.75" hidden="1" customHeight="1" outlineLevel="1">
      <c r="A429" s="271"/>
      <c r="B429" s="271"/>
      <c r="C429" s="666" t="s">
        <v>84</v>
      </c>
      <c r="D429" s="320">
        <f>D$9</f>
        <v>0</v>
      </c>
      <c r="E429" s="275"/>
      <c r="F429" s="275"/>
      <c r="G429" s="276"/>
      <c r="H429" s="666" t="s">
        <v>84</v>
      </c>
      <c r="I429" s="320">
        <v>0</v>
      </c>
      <c r="J429" s="275">
        <f ca="1">OFFSET('Tax value roll forward'!G$68,0,I429)-SUM('Tax value roll forward'!G466:OFFSET('Tax value roll forward'!G466,0,Input!$W$7))</f>
        <v>0</v>
      </c>
      <c r="K429" s="275">
        <f ca="1">IF(A29taxstdlife="N/A","n/a",IF(J429=0,0,A29taxstdlife+I429-Input!$W$7))</f>
        <v>0</v>
      </c>
      <c r="L429" s="279"/>
      <c r="M429" s="310"/>
      <c r="N429" s="310"/>
      <c r="O429" s="271"/>
      <c r="P429" s="271"/>
      <c r="Q429" s="271"/>
      <c r="R429" s="271"/>
      <c r="S429" s="258"/>
      <c r="T429" s="258"/>
      <c r="U429" s="258"/>
      <c r="V429" s="258"/>
      <c r="W429" s="258"/>
      <c r="X429" s="258"/>
      <c r="Y429" s="258"/>
      <c r="Z429" s="258"/>
    </row>
    <row r="430" spans="1:26" ht="12.75" hidden="1" customHeight="1" outlineLevel="1">
      <c r="A430" s="271"/>
      <c r="B430" s="271"/>
      <c r="C430" s="667"/>
      <c r="D430" s="280">
        <f>D$10</f>
        <v>1</v>
      </c>
      <c r="E430" s="275">
        <f ca="1">OFFSET('Actual RAB roll forward'!H$40,0,D430-1)-SUM('Actual RAB roll forward'!H410:OFFSET('Actual RAB roll forward'!H410,0,Input!$W$7-1))</f>
        <v>0</v>
      </c>
      <c r="F430" s="275">
        <f ca="1">IF(A29stdlife="N/A","n/a",IF(E430=0,0,A29stdlife+D430-Input!$W$7))</f>
        <v>0</v>
      </c>
      <c r="G430" s="276"/>
      <c r="H430" s="667"/>
      <c r="I430" s="280">
        <v>1</v>
      </c>
      <c r="J430" s="275">
        <f ca="1">OFFSET('Tax value roll forward'!G$68,0,I430)-SUM('Tax value roll forward'!G467:OFFSET('Tax value roll forward'!G467,0,Input!$W$7))</f>
        <v>0</v>
      </c>
      <c r="K430" s="275">
        <f ca="1">IF(A29taxstdlife="N/A","n/a",IF(J430=0,0,A29taxstdlife+I430-Input!$W$7))</f>
        <v>0</v>
      </c>
      <c r="L430" s="279"/>
      <c r="M430" s="310"/>
      <c r="N430" s="310"/>
      <c r="O430" s="271"/>
      <c r="P430" s="271"/>
      <c r="Q430" s="271"/>
      <c r="R430" s="271"/>
      <c r="S430" s="258"/>
      <c r="T430" s="258"/>
      <c r="U430" s="258"/>
      <c r="V430" s="258"/>
      <c r="W430" s="258"/>
      <c r="X430" s="258"/>
      <c r="Y430" s="258"/>
      <c r="Z430" s="258"/>
    </row>
    <row r="431" spans="1:26" hidden="1" outlineLevel="1">
      <c r="A431" s="271"/>
      <c r="B431" s="271"/>
      <c r="C431" s="667"/>
      <c r="D431" s="280">
        <f>D$11</f>
        <v>2</v>
      </c>
      <c r="E431" s="275">
        <f ca="1">OFFSET('Actual RAB roll forward'!H$40,0,D431-1)-SUM('Actual RAB roll forward'!H411:OFFSET('Actual RAB roll forward'!H411,0,Input!$W$7-1))</f>
        <v>0</v>
      </c>
      <c r="F431" s="275">
        <f ca="1">IF(A29stdlife="N/A","n/a",IF(E431=0,0,A29stdlife+D431-Input!$W$7))</f>
        <v>0</v>
      </c>
      <c r="G431" s="276"/>
      <c r="H431" s="667"/>
      <c r="I431" s="280">
        <v>2</v>
      </c>
      <c r="J431" s="275">
        <f ca="1">OFFSET('Tax value roll forward'!G$68,0,I431)-SUM('Tax value roll forward'!G468:OFFSET('Tax value roll forward'!G468,0,Input!$W$7))</f>
        <v>0</v>
      </c>
      <c r="K431" s="275">
        <f ca="1">IF(A29taxstdlife="N/A","n/a",IF(J431=0,0,A29taxstdlife+I431-Input!$W$7))</f>
        <v>0</v>
      </c>
      <c r="L431" s="279"/>
      <c r="M431" s="310"/>
      <c r="N431" s="310"/>
      <c r="O431" s="271"/>
      <c r="P431" s="271"/>
      <c r="Q431" s="271"/>
      <c r="R431" s="271"/>
      <c r="S431" s="258"/>
      <c r="T431" s="258"/>
      <c r="U431" s="258"/>
      <c r="V431" s="258"/>
      <c r="W431" s="258"/>
      <c r="X431" s="258"/>
      <c r="Y431" s="258"/>
      <c r="Z431" s="258"/>
    </row>
    <row r="432" spans="1:26" hidden="1" outlineLevel="1">
      <c r="A432" s="271"/>
      <c r="B432" s="271"/>
      <c r="C432" s="667"/>
      <c r="D432" s="280">
        <f>D$12</f>
        <v>3</v>
      </c>
      <c r="E432" s="275">
        <f ca="1">OFFSET('Actual RAB roll forward'!H$40,0,D432-1)-SUM('Actual RAB roll forward'!H412:OFFSET('Actual RAB roll forward'!H412,0,Input!$W$7-1))</f>
        <v>0</v>
      </c>
      <c r="F432" s="275">
        <f ca="1">IF(A29stdlife="N/A","n/a",IF(E432=0,0,A29stdlife+D432-Input!$W$7))</f>
        <v>0</v>
      </c>
      <c r="G432" s="276"/>
      <c r="H432" s="667"/>
      <c r="I432" s="280">
        <v>3</v>
      </c>
      <c r="J432" s="275">
        <f ca="1">OFFSET('Tax value roll forward'!G$68,0,I432)-SUM('Tax value roll forward'!G469:OFFSET('Tax value roll forward'!G469,0,Input!$W$7))</f>
        <v>0</v>
      </c>
      <c r="K432" s="275">
        <f ca="1">IF(A29taxstdlife="N/A","n/a",IF(J432=0,0,A29taxstdlife+I432-Input!$W$7))</f>
        <v>0</v>
      </c>
      <c r="L432" s="279"/>
      <c r="M432" s="310"/>
      <c r="N432" s="310"/>
      <c r="O432" s="271"/>
      <c r="P432" s="271"/>
      <c r="Q432" s="271"/>
      <c r="R432" s="271"/>
      <c r="S432" s="258"/>
      <c r="T432" s="258"/>
      <c r="U432" s="258"/>
      <c r="V432" s="258"/>
      <c r="W432" s="258"/>
      <c r="X432" s="258"/>
      <c r="Y432" s="258"/>
      <c r="Z432" s="258"/>
    </row>
    <row r="433" spans="1:26" hidden="1" outlineLevel="1">
      <c r="A433" s="271"/>
      <c r="B433" s="271"/>
      <c r="C433" s="667"/>
      <c r="D433" s="280">
        <f>D$13</f>
        <v>4</v>
      </c>
      <c r="E433" s="275">
        <f ca="1">OFFSET('Actual RAB roll forward'!H$40,0,D433-1)-SUM('Actual RAB roll forward'!H413:OFFSET('Actual RAB roll forward'!H413,0,Input!$W$7-1))</f>
        <v>0</v>
      </c>
      <c r="F433" s="275">
        <f ca="1">IF(A29stdlife="N/A","n/a",IF(E433=0,0,A29stdlife+D433-Input!$W$7))</f>
        <v>0</v>
      </c>
      <c r="G433" s="276"/>
      <c r="H433" s="667"/>
      <c r="I433" s="280">
        <v>4</v>
      </c>
      <c r="J433" s="275">
        <f ca="1">OFFSET('Tax value roll forward'!G$68,0,I433)-SUM('Tax value roll forward'!G470:OFFSET('Tax value roll forward'!G470,0,Input!$W$7))</f>
        <v>0</v>
      </c>
      <c r="K433" s="275">
        <f ca="1">IF(A29taxstdlife="N/A","n/a",IF(J433=0,0,A29taxstdlife+I433-Input!$W$7))</f>
        <v>0</v>
      </c>
      <c r="L433" s="279"/>
      <c r="M433" s="310"/>
      <c r="N433" s="310"/>
      <c r="O433" s="271"/>
      <c r="P433" s="271"/>
      <c r="Q433" s="271"/>
      <c r="R433" s="271"/>
      <c r="S433" s="258"/>
      <c r="T433" s="258"/>
      <c r="U433" s="258"/>
      <c r="V433" s="258"/>
      <c r="W433" s="258"/>
      <c r="X433" s="258"/>
      <c r="Y433" s="258"/>
      <c r="Z433" s="258"/>
    </row>
    <row r="434" spans="1:26" hidden="1" outlineLevel="1">
      <c r="A434" s="271"/>
      <c r="B434" s="271"/>
      <c r="C434" s="667"/>
      <c r="D434" s="280">
        <f>D$14</f>
        <v>5</v>
      </c>
      <c r="E434" s="275">
        <f ca="1">OFFSET('Actual RAB roll forward'!H$40,0,D434-1)-SUM('Actual RAB roll forward'!H414:OFFSET('Actual RAB roll forward'!H414,0,Input!$W$7-1))</f>
        <v>0</v>
      </c>
      <c r="F434" s="275">
        <f ca="1">IF(A29stdlife="N/A","n/a",IF(E434=0,0,A29stdlife+D434-Input!$W$7))</f>
        <v>0</v>
      </c>
      <c r="G434" s="276"/>
      <c r="H434" s="667"/>
      <c r="I434" s="280">
        <v>5</v>
      </c>
      <c r="J434" s="275">
        <f ca="1">OFFSET('Tax value roll forward'!G$68,0,I434)-SUM('Tax value roll forward'!G471:OFFSET('Tax value roll forward'!G471,0,Input!$W$7))</f>
        <v>0</v>
      </c>
      <c r="K434" s="275">
        <f ca="1">IF(A29taxstdlife="N/A","n/a",IF(J434=0,0,A29taxstdlife+I434-Input!$W$7))</f>
        <v>0</v>
      </c>
      <c r="L434" s="279"/>
      <c r="M434" s="310"/>
      <c r="N434" s="310"/>
      <c r="O434" s="271"/>
      <c r="P434" s="271"/>
      <c r="Q434" s="271"/>
      <c r="R434" s="271"/>
      <c r="S434" s="258"/>
      <c r="T434" s="258"/>
      <c r="U434" s="258"/>
      <c r="V434" s="258"/>
      <c r="W434" s="258"/>
      <c r="X434" s="258"/>
      <c r="Y434" s="258"/>
      <c r="Z434" s="258"/>
    </row>
    <row r="435" spans="1:26" hidden="1" outlineLevel="1">
      <c r="A435" s="271"/>
      <c r="B435" s="271"/>
      <c r="C435" s="667"/>
      <c r="D435" s="280">
        <f>D$15</f>
        <v>6</v>
      </c>
      <c r="E435" s="275">
        <f ca="1">OFFSET('Actual RAB roll forward'!H$40,0,D435-1)-SUM('Actual RAB roll forward'!H415:OFFSET('Actual RAB roll forward'!H415,0,Input!$W$7-1))</f>
        <v>0</v>
      </c>
      <c r="F435" s="275">
        <f ca="1">IF(A29stdlife="N/A","n/a",IF(E435=0,0,A29stdlife+D435-Input!$W$7))</f>
        <v>0</v>
      </c>
      <c r="G435" s="276"/>
      <c r="H435" s="667"/>
      <c r="I435" s="280">
        <v>6</v>
      </c>
      <c r="J435" s="275">
        <f ca="1">OFFSET('Tax value roll forward'!G$68,0,I435)-SUM('Tax value roll forward'!G472:OFFSET('Tax value roll forward'!G472,0,Input!$W$7))</f>
        <v>0</v>
      </c>
      <c r="K435" s="275">
        <f ca="1">IF(A29taxstdlife="N/A","n/a",IF(J435=0,0,A29taxstdlife+I435-Input!$W$7))</f>
        <v>0</v>
      </c>
      <c r="L435" s="279"/>
      <c r="M435" s="310"/>
      <c r="N435" s="310"/>
      <c r="O435" s="271"/>
      <c r="P435" s="271"/>
      <c r="Q435" s="271"/>
      <c r="R435" s="271"/>
      <c r="S435" s="258"/>
      <c r="T435" s="258"/>
      <c r="U435" s="258"/>
      <c r="V435" s="258"/>
      <c r="W435" s="258"/>
      <c r="X435" s="258"/>
      <c r="Y435" s="258"/>
      <c r="Z435" s="258"/>
    </row>
    <row r="436" spans="1:26" hidden="1" outlineLevel="1">
      <c r="A436" s="271"/>
      <c r="B436" s="271"/>
      <c r="C436" s="667"/>
      <c r="D436" s="280">
        <f>D$16</f>
        <v>7</v>
      </c>
      <c r="E436" s="275">
        <f ca="1">OFFSET('Actual RAB roll forward'!H$40,0,D436-1)-SUM('Actual RAB roll forward'!H416:OFFSET('Actual RAB roll forward'!H416,0,Input!$W$7-1))</f>
        <v>0</v>
      </c>
      <c r="F436" s="275">
        <f ca="1">IF(A29stdlife="N/A","n/a",IF(E436=0,0,A29stdlife+D436-Input!$W$7))</f>
        <v>0</v>
      </c>
      <c r="G436" s="276"/>
      <c r="H436" s="667"/>
      <c r="I436" s="280">
        <v>7</v>
      </c>
      <c r="J436" s="275">
        <f ca="1">OFFSET('Tax value roll forward'!G$68,0,I436)-SUM('Tax value roll forward'!G473:OFFSET('Tax value roll forward'!G473,0,Input!$W$7))</f>
        <v>0</v>
      </c>
      <c r="K436" s="275">
        <f ca="1">IF(A29taxstdlife="N/A","n/a",IF(J436=0,0,A29taxstdlife+I436-Input!$W$7))</f>
        <v>0</v>
      </c>
      <c r="L436" s="279"/>
      <c r="M436" s="310"/>
      <c r="N436" s="310"/>
      <c r="O436" s="271"/>
      <c r="P436" s="271"/>
      <c r="Q436" s="271"/>
      <c r="R436" s="271"/>
      <c r="S436" s="258"/>
      <c r="T436" s="258"/>
      <c r="U436" s="258"/>
      <c r="V436" s="258"/>
      <c r="W436" s="258"/>
      <c r="X436" s="258"/>
      <c r="Y436" s="258"/>
      <c r="Z436" s="258"/>
    </row>
    <row r="437" spans="1:26" hidden="1" outlineLevel="1">
      <c r="A437" s="271"/>
      <c r="B437" s="271"/>
      <c r="C437" s="667"/>
      <c r="D437" s="280">
        <f>D$17</f>
        <v>8</v>
      </c>
      <c r="E437" s="275">
        <f ca="1">OFFSET('Actual RAB roll forward'!H$40,0,D437-1)-SUM('Actual RAB roll forward'!H417:OFFSET('Actual RAB roll forward'!H417,0,Input!$W$7-1))</f>
        <v>0</v>
      </c>
      <c r="F437" s="275">
        <f ca="1">IF(A29stdlife="N/A","n/a",IF(E437=0,0,A29stdlife+D437-Input!$W$7))</f>
        <v>0</v>
      </c>
      <c r="G437" s="276"/>
      <c r="H437" s="667"/>
      <c r="I437" s="280">
        <v>8</v>
      </c>
      <c r="J437" s="275">
        <f ca="1">OFFSET('Tax value roll forward'!G$68,0,I437)-SUM('Tax value roll forward'!G474:OFFSET('Tax value roll forward'!G474,0,Input!$W$7))</f>
        <v>0</v>
      </c>
      <c r="K437" s="275">
        <f ca="1">IF(A29taxstdlife="N/A","n/a",IF(J437=0,0,A29taxstdlife+I437-Input!$W$7))</f>
        <v>0</v>
      </c>
      <c r="L437" s="279"/>
      <c r="M437" s="310"/>
      <c r="N437" s="310"/>
      <c r="O437" s="271"/>
      <c r="P437" s="271"/>
      <c r="Q437" s="271"/>
      <c r="R437" s="271"/>
      <c r="S437" s="258"/>
      <c r="T437" s="258"/>
      <c r="U437" s="258"/>
      <c r="V437" s="258"/>
      <c r="W437" s="258"/>
      <c r="X437" s="258"/>
      <c r="Y437" s="258"/>
      <c r="Z437" s="258"/>
    </row>
    <row r="438" spans="1:26" hidden="1" outlineLevel="1">
      <c r="A438" s="271"/>
      <c r="B438" s="271"/>
      <c r="C438" s="667"/>
      <c r="D438" s="280">
        <f>D$18</f>
        <v>9</v>
      </c>
      <c r="E438" s="275">
        <f ca="1">OFFSET('Actual RAB roll forward'!H$40,0,D438-1)-SUM('Actual RAB roll forward'!H418:OFFSET('Actual RAB roll forward'!H418,0,Input!$W$7-1))</f>
        <v>0</v>
      </c>
      <c r="F438" s="275">
        <f ca="1">IF(A29stdlife="N/A","n/a",IF(E438=0,0,A29stdlife+D438-Input!$W$7))</f>
        <v>0</v>
      </c>
      <c r="G438" s="276"/>
      <c r="H438" s="667"/>
      <c r="I438" s="280">
        <v>9</v>
      </c>
      <c r="J438" s="275">
        <f ca="1">OFFSET('Tax value roll forward'!G$68,0,I438)-SUM('Tax value roll forward'!G475:OFFSET('Tax value roll forward'!G475,0,Input!$W$7))</f>
        <v>0</v>
      </c>
      <c r="K438" s="275">
        <f ca="1">IF(A29taxstdlife="N/A","n/a",IF(J438=0,0,A29taxstdlife+I438-Input!$W$7))</f>
        <v>0</v>
      </c>
      <c r="L438" s="279"/>
      <c r="M438" s="310"/>
      <c r="N438" s="310"/>
      <c r="O438" s="271"/>
      <c r="P438" s="271"/>
      <c r="Q438" s="271"/>
      <c r="R438" s="271"/>
      <c r="S438" s="258"/>
      <c r="T438" s="258"/>
      <c r="U438" s="258"/>
      <c r="V438" s="258"/>
      <c r="W438" s="258"/>
      <c r="X438" s="258"/>
      <c r="Y438" s="258"/>
      <c r="Z438" s="258"/>
    </row>
    <row r="439" spans="1:26" hidden="1" outlineLevel="1">
      <c r="A439" s="271"/>
      <c r="B439" s="271"/>
      <c r="C439" s="668"/>
      <c r="D439" s="281">
        <f>D$19</f>
        <v>10</v>
      </c>
      <c r="E439" s="275">
        <f ca="1">OFFSET('Actual RAB roll forward'!H$40,0,D439-1)-SUM('Actual RAB roll forward'!H419:OFFSET('Actual RAB roll forward'!H419,0,Input!$W$7-1))</f>
        <v>0</v>
      </c>
      <c r="F439" s="275">
        <f ca="1">IF(A29stdlife="N/A","n/a",IF(E439=0,0,A29stdlife+D439-Input!$W$7))</f>
        <v>0</v>
      </c>
      <c r="G439" s="276"/>
      <c r="H439" s="668"/>
      <c r="I439" s="281">
        <v>10</v>
      </c>
      <c r="J439" s="275">
        <f ca="1">OFFSET('Tax value roll forward'!G$68,0,I439)-SUM('Tax value roll forward'!G476:OFFSET('Tax value roll forward'!G476,0,Input!$W$7))</f>
        <v>0</v>
      </c>
      <c r="K439" s="275">
        <f ca="1">IF(A29taxstdlife="N/A","n/a",IF(J439=0,0,A29taxstdlife+I439-Input!$W$7))</f>
        <v>0</v>
      </c>
      <c r="M439" s="310"/>
      <c r="N439" s="310"/>
      <c r="O439" s="271"/>
      <c r="P439" s="271"/>
      <c r="Q439" s="271"/>
      <c r="R439" s="271"/>
      <c r="S439" s="258"/>
      <c r="T439" s="258"/>
      <c r="U439" s="258"/>
      <c r="V439" s="258"/>
      <c r="W439" s="258"/>
      <c r="X439" s="258"/>
      <c r="Y439" s="258"/>
      <c r="Z439" s="258"/>
    </row>
    <row r="440" spans="1:26" collapsed="1">
      <c r="A440" s="271"/>
      <c r="B440" s="271"/>
      <c r="C440" s="291">
        <f>Asset29</f>
        <v>0</v>
      </c>
      <c r="D440" s="271"/>
      <c r="E440" s="275">
        <f ca="1">SUM(E428:E439)</f>
        <v>0</v>
      </c>
      <c r="F440" s="275">
        <f ca="1">IF(E440=0,0,SUMPRODUCT(E428:E439,F428:F439)/E440)</f>
        <v>0</v>
      </c>
      <c r="G440" s="276"/>
      <c r="H440" s="283"/>
      <c r="I440" s="275"/>
      <c r="J440" s="309">
        <f ca="1">SUM(J428:J439)</f>
        <v>0</v>
      </c>
      <c r="K440" s="309">
        <f ca="1">IF(J440=0,0,SUMPRODUCT(J428:J439,K428:K439)/J440)</f>
        <v>0</v>
      </c>
      <c r="L440" s="279"/>
      <c r="M440" s="310"/>
      <c r="N440" s="310"/>
      <c r="O440" s="271"/>
      <c r="P440" s="271"/>
      <c r="Q440" s="271"/>
      <c r="R440" s="271"/>
      <c r="S440" s="258"/>
      <c r="T440" s="258"/>
      <c r="U440" s="258"/>
      <c r="V440" s="258"/>
      <c r="W440" s="258"/>
      <c r="X440" s="258"/>
      <c r="Y440" s="258"/>
      <c r="Z440" s="258"/>
    </row>
    <row r="441" spans="1:26" hidden="1" outlineLevel="1">
      <c r="A441" s="271"/>
      <c r="B441" s="274"/>
      <c r="C441" s="271"/>
      <c r="D441" s="271"/>
      <c r="E441" s="292"/>
      <c r="F441" s="292"/>
      <c r="G441" s="276"/>
      <c r="H441" s="275"/>
      <c r="I441" s="275"/>
      <c r="J441" s="289"/>
      <c r="K441" s="275"/>
      <c r="L441" s="279"/>
      <c r="M441" s="310"/>
      <c r="N441" s="310"/>
      <c r="O441" s="271"/>
      <c r="P441" s="271"/>
      <c r="Q441" s="271"/>
      <c r="R441" s="271"/>
      <c r="S441" s="258"/>
      <c r="T441" s="258"/>
      <c r="U441" s="258"/>
      <c r="V441" s="258"/>
      <c r="W441" s="258"/>
      <c r="X441" s="258"/>
      <c r="Y441" s="258"/>
      <c r="Z441" s="258"/>
    </row>
    <row r="442" spans="1:26" hidden="1" outlineLevel="1">
      <c r="A442" s="271"/>
      <c r="B442" s="274">
        <f>Asset30</f>
        <v>0</v>
      </c>
      <c r="C442" s="271"/>
      <c r="D442" s="271"/>
      <c r="E442" s="292"/>
      <c r="F442" s="292"/>
      <c r="G442" s="276"/>
      <c r="H442" s="275"/>
      <c r="I442" s="275"/>
      <c r="J442" s="289"/>
      <c r="K442" s="275"/>
      <c r="L442" s="279"/>
      <c r="M442" s="310"/>
      <c r="N442" s="310"/>
      <c r="O442" s="271"/>
      <c r="P442" s="271"/>
      <c r="Q442" s="271"/>
      <c r="R442" s="271"/>
      <c r="S442" s="258"/>
      <c r="T442" s="258"/>
      <c r="U442" s="258"/>
      <c r="V442" s="258"/>
      <c r="W442" s="258"/>
      <c r="X442" s="258"/>
      <c r="Y442" s="258"/>
      <c r="Z442" s="258"/>
    </row>
    <row r="443" spans="1:26" ht="12.75" hidden="1" customHeight="1" outlineLevel="1">
      <c r="A443" s="271"/>
      <c r="B443" s="271"/>
      <c r="C443" s="659" t="s">
        <v>28</v>
      </c>
      <c r="D443" s="660"/>
      <c r="E443" s="275">
        <f ca="1">A30value-SUM('Actual RAB roll forward'!H421:OFFSET('Actual RAB roll forward'!H421,0,Input!$W$7-1))</f>
        <v>0</v>
      </c>
      <c r="F443" s="275">
        <f ca="1">IF(A30remlife="N/A","n/a",IF(E443=0,0,A30remlife-Input!$W$7))</f>
        <v>0</v>
      </c>
      <c r="G443" s="276"/>
      <c r="H443" s="277" t="s">
        <v>67</v>
      </c>
      <c r="I443" s="278"/>
      <c r="J443" s="275">
        <f ca="1">A30taxvalue-SUM('Tax value roll forward'!G478:OFFSET('Tax value roll forward'!G478,0,Input!$W$7))</f>
        <v>0</v>
      </c>
      <c r="K443" s="275">
        <f ca="1">IF(A30taxremlife="N/A","n/a",IF(J443=0,0,A30taxremlife-Input!$W$7-1))</f>
        <v>0</v>
      </c>
      <c r="L443" s="279"/>
      <c r="M443" s="310"/>
      <c r="N443" s="310"/>
      <c r="O443" s="271"/>
      <c r="P443" s="271"/>
      <c r="Q443" s="271"/>
      <c r="R443" s="271"/>
      <c r="S443" s="258"/>
      <c r="T443" s="258"/>
      <c r="U443" s="258"/>
      <c r="V443" s="258"/>
      <c r="W443" s="258"/>
      <c r="X443" s="258"/>
      <c r="Y443" s="258"/>
      <c r="Z443" s="258"/>
    </row>
    <row r="444" spans="1:26" ht="12.75" hidden="1" customHeight="1" outlineLevel="1">
      <c r="A444" s="271"/>
      <c r="B444" s="271"/>
      <c r="C444" s="666" t="s">
        <v>84</v>
      </c>
      <c r="D444" s="320">
        <f>D$9</f>
        <v>0</v>
      </c>
      <c r="E444" s="275"/>
      <c r="F444" s="275"/>
      <c r="G444" s="276"/>
      <c r="H444" s="666" t="s">
        <v>84</v>
      </c>
      <c r="I444" s="320">
        <v>0</v>
      </c>
      <c r="J444" s="275">
        <f ca="1">OFFSET('Tax value roll forward'!G$69,0,I444)-SUM('Tax value roll forward'!G480:OFFSET('Tax value roll forward'!G480,0,Input!$W$7))</f>
        <v>0</v>
      </c>
      <c r="K444" s="275">
        <f ca="1">IF(A30taxstdlife="N/A","n/a",IF(J444=0,0,A30taxstdlife+I444-Input!$W$7))</f>
        <v>0</v>
      </c>
      <c r="L444" s="279"/>
      <c r="M444" s="310"/>
      <c r="N444" s="310"/>
      <c r="O444" s="271"/>
      <c r="P444" s="271"/>
      <c r="Q444" s="271"/>
      <c r="R444" s="271"/>
      <c r="S444" s="258"/>
      <c r="T444" s="258"/>
      <c r="U444" s="258"/>
      <c r="V444" s="258"/>
      <c r="W444" s="258"/>
      <c r="X444" s="258"/>
      <c r="Y444" s="258"/>
      <c r="Z444" s="258"/>
    </row>
    <row r="445" spans="1:26" ht="12.75" hidden="1" customHeight="1" outlineLevel="1">
      <c r="A445" s="271"/>
      <c r="B445" s="271"/>
      <c r="C445" s="667"/>
      <c r="D445" s="280">
        <f>D$10</f>
        <v>1</v>
      </c>
      <c r="E445" s="275">
        <f ca="1">OFFSET('Actual RAB roll forward'!H$41,0,D445-1)-SUM('Actual RAB roll forward'!H423:OFFSET('Actual RAB roll forward'!H423,0,Input!$W$7-1))</f>
        <v>0</v>
      </c>
      <c r="F445" s="275">
        <f ca="1">IF(A30stdlife="N/A","n/a",IF(E445=0,0,A30stdlife+D445-Input!$W$7))</f>
        <v>0</v>
      </c>
      <c r="G445" s="276"/>
      <c r="H445" s="667"/>
      <c r="I445" s="280">
        <v>1</v>
      </c>
      <c r="J445" s="275">
        <f ca="1">OFFSET('Tax value roll forward'!G$69,0,I445)-SUM('Tax value roll forward'!G481:OFFSET('Tax value roll forward'!G481,0,Input!$W$7))</f>
        <v>0</v>
      </c>
      <c r="K445" s="275">
        <f ca="1">IF(A30taxstdlife="N/A","n/a",IF(J445=0,0,A30taxstdlife+I445-Input!$W$7))</f>
        <v>0</v>
      </c>
      <c r="L445" s="279"/>
      <c r="M445" s="310"/>
      <c r="N445" s="310"/>
      <c r="O445" s="271"/>
      <c r="P445" s="271"/>
      <c r="Q445" s="271"/>
      <c r="R445" s="271"/>
      <c r="S445" s="258"/>
      <c r="T445" s="258"/>
      <c r="U445" s="258"/>
      <c r="V445" s="258"/>
      <c r="W445" s="258"/>
      <c r="X445" s="258"/>
      <c r="Y445" s="258"/>
      <c r="Z445" s="258"/>
    </row>
    <row r="446" spans="1:26" hidden="1" outlineLevel="1">
      <c r="A446" s="271"/>
      <c r="B446" s="271"/>
      <c r="C446" s="667"/>
      <c r="D446" s="280">
        <f>D$11</f>
        <v>2</v>
      </c>
      <c r="E446" s="275">
        <f ca="1">OFFSET('Actual RAB roll forward'!H$41,0,D446-1)-SUM('Actual RAB roll forward'!H424:OFFSET('Actual RAB roll forward'!H424,0,Input!$W$7-1))</f>
        <v>0</v>
      </c>
      <c r="F446" s="275">
        <f ca="1">IF(A30stdlife="N/A","n/a",IF(E446=0,0,A30stdlife+D446-Input!$W$7))</f>
        <v>0</v>
      </c>
      <c r="G446" s="276"/>
      <c r="H446" s="667"/>
      <c r="I446" s="280">
        <v>2</v>
      </c>
      <c r="J446" s="275">
        <f ca="1">OFFSET('Tax value roll forward'!G$69,0,I446)-SUM('Tax value roll forward'!G482:OFFSET('Tax value roll forward'!G482,0,Input!$W$7))</f>
        <v>0</v>
      </c>
      <c r="K446" s="275">
        <f ca="1">IF(A30taxstdlife="N/A","n/a",IF(J446=0,0,A30taxstdlife+I446-Input!$W$7))</f>
        <v>0</v>
      </c>
      <c r="L446" s="279"/>
      <c r="M446" s="310"/>
      <c r="N446" s="310"/>
      <c r="O446" s="271"/>
      <c r="P446" s="271"/>
      <c r="Q446" s="271"/>
      <c r="R446" s="271"/>
      <c r="S446" s="258"/>
      <c r="T446" s="258"/>
      <c r="U446" s="258"/>
      <c r="V446" s="258"/>
      <c r="W446" s="258"/>
      <c r="X446" s="258"/>
      <c r="Y446" s="258"/>
      <c r="Z446" s="258"/>
    </row>
    <row r="447" spans="1:26" hidden="1" outlineLevel="1">
      <c r="A447" s="271"/>
      <c r="B447" s="271"/>
      <c r="C447" s="667"/>
      <c r="D447" s="280">
        <f>D$12</f>
        <v>3</v>
      </c>
      <c r="E447" s="275">
        <f ca="1">OFFSET('Actual RAB roll forward'!H$41,0,D447-1)-SUM('Actual RAB roll forward'!H425:OFFSET('Actual RAB roll forward'!H425,0,Input!$W$7-1))</f>
        <v>0</v>
      </c>
      <c r="F447" s="275">
        <f ca="1">IF(A30stdlife="N/A","n/a",IF(E447=0,0,A30stdlife+D447-Input!$W$7))</f>
        <v>0</v>
      </c>
      <c r="G447" s="276"/>
      <c r="H447" s="667"/>
      <c r="I447" s="280">
        <v>3</v>
      </c>
      <c r="J447" s="275">
        <f ca="1">OFFSET('Tax value roll forward'!G$69,0,I447)-SUM('Tax value roll forward'!G483:OFFSET('Tax value roll forward'!G483,0,Input!$W$7))</f>
        <v>0</v>
      </c>
      <c r="K447" s="275">
        <f ca="1">IF(A30taxstdlife="N/A","n/a",IF(J447=0,0,A30taxstdlife+I447-Input!$W$7))</f>
        <v>0</v>
      </c>
      <c r="L447" s="279"/>
      <c r="M447" s="310"/>
      <c r="N447" s="310"/>
      <c r="O447" s="271"/>
      <c r="P447" s="271"/>
      <c r="Q447" s="271"/>
      <c r="R447" s="271"/>
      <c r="S447" s="258"/>
      <c r="T447" s="258"/>
      <c r="U447" s="258"/>
      <c r="V447" s="258"/>
      <c r="W447" s="258"/>
      <c r="X447" s="258"/>
      <c r="Y447" s="258"/>
      <c r="Z447" s="258"/>
    </row>
    <row r="448" spans="1:26" hidden="1" outlineLevel="1">
      <c r="A448" s="271"/>
      <c r="B448" s="271"/>
      <c r="C448" s="667"/>
      <c r="D448" s="280">
        <f>D$13</f>
        <v>4</v>
      </c>
      <c r="E448" s="275">
        <f ca="1">OFFSET('Actual RAB roll forward'!H$41,0,D448-1)-SUM('Actual RAB roll forward'!H426:OFFSET('Actual RAB roll forward'!H426,0,Input!$W$7-1))</f>
        <v>0</v>
      </c>
      <c r="F448" s="275">
        <f ca="1">IF(A30stdlife="N/A","n/a",IF(E448=0,0,A30stdlife+D448-Input!$W$7))</f>
        <v>0</v>
      </c>
      <c r="G448" s="276"/>
      <c r="H448" s="667"/>
      <c r="I448" s="280">
        <v>4</v>
      </c>
      <c r="J448" s="275">
        <f ca="1">OFFSET('Tax value roll forward'!G$69,0,I448)-SUM('Tax value roll forward'!G484:OFFSET('Tax value roll forward'!G484,0,Input!$W$7))</f>
        <v>0</v>
      </c>
      <c r="K448" s="275">
        <f ca="1">IF(A30taxstdlife="N/A","n/a",IF(J448=0,0,A30taxstdlife+I448-Input!$W$7))</f>
        <v>0</v>
      </c>
      <c r="L448" s="279"/>
      <c r="M448" s="310"/>
      <c r="N448" s="310"/>
      <c r="O448" s="271"/>
      <c r="P448" s="271"/>
      <c r="Q448" s="271"/>
      <c r="R448" s="271"/>
      <c r="S448" s="258"/>
      <c r="T448" s="258"/>
      <c r="U448" s="258"/>
      <c r="V448" s="258"/>
      <c r="W448" s="258"/>
      <c r="X448" s="258"/>
      <c r="Y448" s="258"/>
      <c r="Z448" s="258"/>
    </row>
    <row r="449" spans="1:26" hidden="1" outlineLevel="1">
      <c r="A449" s="271"/>
      <c r="B449" s="271"/>
      <c r="C449" s="667"/>
      <c r="D449" s="280">
        <f>D$14</f>
        <v>5</v>
      </c>
      <c r="E449" s="275">
        <f ca="1">OFFSET('Actual RAB roll forward'!H$41,0,D449-1)-SUM('Actual RAB roll forward'!H427:OFFSET('Actual RAB roll forward'!H427,0,Input!$W$7-1))</f>
        <v>0</v>
      </c>
      <c r="F449" s="275">
        <f ca="1">IF(A30stdlife="N/A","n/a",IF(E449=0,0,A30stdlife+D449-Input!$W$7))</f>
        <v>0</v>
      </c>
      <c r="G449" s="276"/>
      <c r="H449" s="667"/>
      <c r="I449" s="280">
        <v>5</v>
      </c>
      <c r="J449" s="275">
        <f ca="1">OFFSET('Tax value roll forward'!G$69,0,I449)-SUM('Tax value roll forward'!G485:OFFSET('Tax value roll forward'!G485,0,Input!$W$7))</f>
        <v>0</v>
      </c>
      <c r="K449" s="275">
        <f ca="1">IF(A30taxstdlife="N/A","n/a",IF(J449=0,0,A30taxstdlife+I449-Input!$W$7))</f>
        <v>0</v>
      </c>
      <c r="L449" s="279"/>
      <c r="M449" s="310"/>
      <c r="N449" s="310"/>
      <c r="O449" s="271"/>
      <c r="P449" s="271"/>
      <c r="Q449" s="271"/>
      <c r="R449" s="271"/>
      <c r="S449" s="258"/>
      <c r="T449" s="258"/>
      <c r="U449" s="258"/>
      <c r="V449" s="258"/>
      <c r="W449" s="258"/>
      <c r="X449" s="258"/>
      <c r="Y449" s="258"/>
      <c r="Z449" s="258"/>
    </row>
    <row r="450" spans="1:26" hidden="1" outlineLevel="1">
      <c r="A450" s="271"/>
      <c r="B450" s="271"/>
      <c r="C450" s="667"/>
      <c r="D450" s="280">
        <f>D$15</f>
        <v>6</v>
      </c>
      <c r="E450" s="275">
        <f ca="1">OFFSET('Actual RAB roll forward'!H$41,0,D450-1)-SUM('Actual RAB roll forward'!H428:OFFSET('Actual RAB roll forward'!H428,0,Input!$W$7-1))</f>
        <v>0</v>
      </c>
      <c r="F450" s="275">
        <f ca="1">IF(A30stdlife="N/A","n/a",IF(E450=0,0,A30stdlife+D450-Input!$W$7))</f>
        <v>0</v>
      </c>
      <c r="G450" s="276"/>
      <c r="H450" s="667"/>
      <c r="I450" s="280">
        <v>6</v>
      </c>
      <c r="J450" s="275">
        <f ca="1">OFFSET('Tax value roll forward'!G$69,0,I450)-SUM('Tax value roll forward'!G486:OFFSET('Tax value roll forward'!G486,0,Input!$W$7))</f>
        <v>0</v>
      </c>
      <c r="K450" s="275">
        <f ca="1">IF(A30taxstdlife="N/A","n/a",IF(J450=0,0,A30taxstdlife+I450-Input!$W$7))</f>
        <v>0</v>
      </c>
      <c r="L450" s="279"/>
      <c r="M450" s="310"/>
      <c r="N450" s="310"/>
      <c r="O450" s="271"/>
      <c r="P450" s="271"/>
      <c r="Q450" s="271"/>
      <c r="R450" s="271"/>
      <c r="S450" s="258"/>
      <c r="T450" s="258"/>
      <c r="U450" s="258"/>
      <c r="V450" s="258"/>
      <c r="W450" s="258"/>
      <c r="X450" s="258"/>
      <c r="Y450" s="258"/>
      <c r="Z450" s="258"/>
    </row>
    <row r="451" spans="1:26" hidden="1" outlineLevel="1">
      <c r="A451" s="271"/>
      <c r="B451" s="271"/>
      <c r="C451" s="667"/>
      <c r="D451" s="280">
        <f>D$16</f>
        <v>7</v>
      </c>
      <c r="E451" s="275">
        <f ca="1">OFFSET('Actual RAB roll forward'!H$41,0,D451-1)-SUM('Actual RAB roll forward'!H429:OFFSET('Actual RAB roll forward'!H429,0,Input!$W$7-1))</f>
        <v>0</v>
      </c>
      <c r="F451" s="275">
        <f ca="1">IF(A30stdlife="N/A","n/a",IF(E451=0,0,A30stdlife+D451-Input!$W$7))</f>
        <v>0</v>
      </c>
      <c r="G451" s="276"/>
      <c r="H451" s="667"/>
      <c r="I451" s="280">
        <v>7</v>
      </c>
      <c r="J451" s="275">
        <f ca="1">OFFSET('Tax value roll forward'!G$69,0,I451)-SUM('Tax value roll forward'!G487:OFFSET('Tax value roll forward'!G487,0,Input!$W$7))</f>
        <v>0</v>
      </c>
      <c r="K451" s="275">
        <f ca="1">IF(A30taxstdlife="N/A","n/a",IF(J451=0,0,A30taxstdlife+I451-Input!$W$7))</f>
        <v>0</v>
      </c>
      <c r="L451" s="279"/>
      <c r="M451" s="310"/>
      <c r="N451" s="310"/>
      <c r="O451" s="271"/>
      <c r="P451" s="271"/>
      <c r="Q451" s="271"/>
      <c r="R451" s="271"/>
      <c r="S451" s="258"/>
      <c r="T451" s="258"/>
      <c r="U451" s="258"/>
      <c r="V451" s="258"/>
      <c r="W451" s="258"/>
      <c r="X451" s="258"/>
      <c r="Y451" s="258"/>
      <c r="Z451" s="258"/>
    </row>
    <row r="452" spans="1:26" hidden="1" outlineLevel="1">
      <c r="A452" s="271"/>
      <c r="B452" s="271"/>
      <c r="C452" s="667"/>
      <c r="D452" s="280">
        <f>D$17</f>
        <v>8</v>
      </c>
      <c r="E452" s="275">
        <f ca="1">OFFSET('Actual RAB roll forward'!H$41,0,D452-1)-SUM('Actual RAB roll forward'!H430:OFFSET('Actual RAB roll forward'!H430,0,Input!$W$7-1))</f>
        <v>0</v>
      </c>
      <c r="F452" s="275">
        <f ca="1">IF(A30stdlife="N/A","n/a",IF(E452=0,0,A30stdlife+D452-Input!$W$7))</f>
        <v>0</v>
      </c>
      <c r="G452" s="276"/>
      <c r="H452" s="667"/>
      <c r="I452" s="280">
        <v>8</v>
      </c>
      <c r="J452" s="275">
        <f ca="1">OFFSET('Tax value roll forward'!G$69,0,I452)-SUM('Tax value roll forward'!G488:OFFSET('Tax value roll forward'!G488,0,Input!$W$7))</f>
        <v>0</v>
      </c>
      <c r="K452" s="275">
        <f ca="1">IF(A30taxstdlife="N/A","n/a",IF(J452=0,0,A30taxstdlife+I452-Input!$W$7))</f>
        <v>0</v>
      </c>
      <c r="L452" s="279"/>
      <c r="M452" s="310"/>
      <c r="N452" s="310"/>
      <c r="O452" s="271"/>
      <c r="P452" s="271"/>
      <c r="Q452" s="271"/>
      <c r="R452" s="271"/>
      <c r="S452" s="258"/>
      <c r="T452" s="258"/>
      <c r="U452" s="258"/>
      <c r="V452" s="258"/>
      <c r="W452" s="258"/>
      <c r="X452" s="258"/>
      <c r="Y452" s="258"/>
      <c r="Z452" s="258"/>
    </row>
    <row r="453" spans="1:26" hidden="1" outlineLevel="1">
      <c r="A453" s="271"/>
      <c r="B453" s="271"/>
      <c r="C453" s="667"/>
      <c r="D453" s="280">
        <f>D$18</f>
        <v>9</v>
      </c>
      <c r="E453" s="275">
        <f ca="1">OFFSET('Actual RAB roll forward'!H$41,0,D453-1)-SUM('Actual RAB roll forward'!H431:OFFSET('Actual RAB roll forward'!H431,0,Input!$W$7-1))</f>
        <v>0</v>
      </c>
      <c r="F453" s="275">
        <f ca="1">IF(A30stdlife="N/A","n/a",IF(E453=0,0,A30stdlife+D453-Input!$W$7))</f>
        <v>0</v>
      </c>
      <c r="G453" s="276"/>
      <c r="H453" s="667"/>
      <c r="I453" s="280">
        <v>9</v>
      </c>
      <c r="J453" s="275">
        <f ca="1">OFFSET('Tax value roll forward'!G$69,0,I453)-SUM('Tax value roll forward'!G489:OFFSET('Tax value roll forward'!G489,0,Input!$W$7))</f>
        <v>0</v>
      </c>
      <c r="K453" s="275">
        <f ca="1">IF(A30taxstdlife="N/A","n/a",IF(J453=0,0,A30taxstdlife+I453-Input!$W$7))</f>
        <v>0</v>
      </c>
      <c r="L453" s="279"/>
      <c r="M453" s="310"/>
      <c r="N453" s="310"/>
      <c r="O453" s="271"/>
      <c r="P453" s="271"/>
      <c r="Q453" s="271"/>
      <c r="R453" s="271"/>
      <c r="S453" s="258"/>
      <c r="T453" s="258"/>
      <c r="U453" s="258"/>
      <c r="V453" s="258"/>
      <c r="W453" s="258"/>
      <c r="X453" s="258"/>
      <c r="Y453" s="258"/>
      <c r="Z453" s="258"/>
    </row>
    <row r="454" spans="1:26" hidden="1" outlineLevel="1">
      <c r="A454" s="271"/>
      <c r="B454" s="271"/>
      <c r="C454" s="668"/>
      <c r="D454" s="281">
        <f>D$19</f>
        <v>10</v>
      </c>
      <c r="E454" s="275">
        <f ca="1">OFFSET('Actual RAB roll forward'!H$41,0,D454-1)-SUM('Actual RAB roll forward'!H432:OFFSET('Actual RAB roll forward'!H432,0,Input!$W$7-1))</f>
        <v>0</v>
      </c>
      <c r="F454" s="275">
        <f ca="1">IF(A30stdlife="N/A","n/a",IF(E454=0,0,A30stdlife+D454-Input!$W$7))</f>
        <v>0</v>
      </c>
      <c r="G454" s="276"/>
      <c r="H454" s="668"/>
      <c r="I454" s="281">
        <v>10</v>
      </c>
      <c r="J454" s="275">
        <f ca="1">OFFSET('Tax value roll forward'!G$69,0,I454)-SUM('Tax value roll forward'!G490:OFFSET('Tax value roll forward'!G490,0,Input!$W$7))</f>
        <v>0</v>
      </c>
      <c r="K454" s="275">
        <f ca="1">IF(A30taxstdlife="N/A","n/a",IF(J454=0,0,A30taxstdlife+I454-Input!$W$7))</f>
        <v>0</v>
      </c>
      <c r="M454" s="310"/>
      <c r="N454" s="310"/>
      <c r="O454" s="271"/>
      <c r="P454" s="271"/>
      <c r="Q454" s="271"/>
      <c r="R454" s="271"/>
      <c r="S454" s="258"/>
      <c r="T454" s="258"/>
      <c r="U454" s="258"/>
      <c r="V454" s="258"/>
      <c r="W454" s="258"/>
      <c r="X454" s="258"/>
      <c r="Y454" s="258"/>
      <c r="Z454" s="258"/>
    </row>
    <row r="455" spans="1:26" collapsed="1">
      <c r="A455" s="271"/>
      <c r="B455" s="271"/>
      <c r="C455" s="291">
        <f>Asset30</f>
        <v>0</v>
      </c>
      <c r="D455" s="271"/>
      <c r="E455" s="275">
        <f ca="1">SUM(E443:E454)</f>
        <v>0</v>
      </c>
      <c r="F455" s="275">
        <f ca="1">IF(E455=0,0,SUMPRODUCT(E443:E454,F443:F454)/E455)</f>
        <v>0</v>
      </c>
      <c r="G455" s="276"/>
      <c r="H455" s="283"/>
      <c r="J455" s="309">
        <f ca="1">SUM(J443:J454)</f>
        <v>0</v>
      </c>
      <c r="K455" s="309">
        <f ca="1">IF(J455=0,0,SUMPRODUCT(J443:J454,K443:K454)/J455)</f>
        <v>0</v>
      </c>
      <c r="L455" s="279"/>
      <c r="M455" s="310"/>
      <c r="N455" s="310"/>
      <c r="O455" s="271"/>
      <c r="P455" s="271"/>
      <c r="Q455" s="271"/>
      <c r="R455" s="271"/>
      <c r="S455" s="258"/>
      <c r="T455" s="258"/>
      <c r="U455" s="258"/>
      <c r="V455" s="258"/>
      <c r="W455" s="258"/>
      <c r="X455" s="258"/>
      <c r="Y455" s="258"/>
      <c r="Z455" s="258"/>
    </row>
    <row r="456" spans="1:26">
      <c r="M456" s="288"/>
    </row>
    <row r="457" spans="1:26">
      <c r="M457" s="288"/>
    </row>
    <row r="458" spans="1:26">
      <c r="M458" s="288"/>
    </row>
    <row r="459" spans="1:26">
      <c r="M459" s="288"/>
    </row>
    <row r="460" spans="1:26">
      <c r="M460" s="288"/>
    </row>
    <row r="461" spans="1:26">
      <c r="M461" s="288"/>
    </row>
    <row r="462" spans="1:26">
      <c r="M462" s="288"/>
    </row>
    <row r="463" spans="1:26">
      <c r="M463" s="288"/>
    </row>
    <row r="464" spans="1:26">
      <c r="M464" s="288"/>
    </row>
    <row r="465" spans="13:13">
      <c r="M465" s="288"/>
    </row>
    <row r="466" spans="13:13">
      <c r="M466" s="288"/>
    </row>
    <row r="467" spans="13:13">
      <c r="M467" s="288"/>
    </row>
    <row r="468" spans="13:13">
      <c r="M468" s="288"/>
    </row>
    <row r="469" spans="13:13">
      <c r="M469" s="288"/>
    </row>
    <row r="470" spans="13:13">
      <c r="M470" s="288"/>
    </row>
    <row r="471" spans="13:13">
      <c r="M471" s="288"/>
    </row>
    <row r="472" spans="13:13">
      <c r="M472" s="288"/>
    </row>
    <row r="473" spans="13:13">
      <c r="M473" s="288"/>
    </row>
    <row r="474" spans="13:13">
      <c r="M474" s="288"/>
    </row>
    <row r="475" spans="13:13">
      <c r="M475" s="288"/>
    </row>
    <row r="476" spans="13:13">
      <c r="M476" s="288"/>
    </row>
    <row r="477" spans="13:13">
      <c r="M477" s="288"/>
    </row>
    <row r="478" spans="13:13">
      <c r="M478" s="288"/>
    </row>
    <row r="479" spans="13:13">
      <c r="M479" s="288"/>
    </row>
    <row r="480" spans="13:13">
      <c r="M480" s="288"/>
    </row>
    <row r="481" spans="13:13">
      <c r="M481" s="288"/>
    </row>
    <row r="482" spans="13:13">
      <c r="M482" s="288"/>
    </row>
    <row r="483" spans="13:13">
      <c r="M483" s="288"/>
    </row>
    <row r="484" spans="13:13">
      <c r="M484" s="288"/>
    </row>
    <row r="485" spans="13:13">
      <c r="M485" s="288"/>
    </row>
    <row r="486" spans="13:13">
      <c r="M486" s="288"/>
    </row>
    <row r="487" spans="13:13">
      <c r="M487" s="288"/>
    </row>
    <row r="488" spans="13:13">
      <c r="M488" s="288"/>
    </row>
    <row r="489" spans="13:13">
      <c r="M489" s="288"/>
    </row>
    <row r="490" spans="13:13">
      <c r="M490" s="288"/>
    </row>
    <row r="491" spans="13:13">
      <c r="M491" s="288"/>
    </row>
    <row r="492" spans="13:13">
      <c r="M492" s="288"/>
    </row>
    <row r="493" spans="13:13">
      <c r="M493" s="288"/>
    </row>
    <row r="494" spans="13:13">
      <c r="M494" s="288"/>
    </row>
    <row r="495" spans="13:13">
      <c r="M495" s="288"/>
    </row>
    <row r="496" spans="13:13">
      <c r="M496" s="288"/>
    </row>
    <row r="497" spans="13:13">
      <c r="M497" s="288"/>
    </row>
    <row r="498" spans="13:13">
      <c r="M498" s="288"/>
    </row>
    <row r="499" spans="13:13">
      <c r="M499" s="288"/>
    </row>
    <row r="500" spans="13:13">
      <c r="M500" s="288"/>
    </row>
    <row r="501" spans="13:13">
      <c r="M501" s="288"/>
    </row>
    <row r="502" spans="13:13">
      <c r="M502" s="288"/>
    </row>
    <row r="503" spans="13:13">
      <c r="M503" s="288"/>
    </row>
    <row r="504" spans="13:13">
      <c r="M504" s="288"/>
    </row>
    <row r="505" spans="13:13">
      <c r="M505" s="288"/>
    </row>
    <row r="506" spans="13:13">
      <c r="M506" s="288"/>
    </row>
    <row r="507" spans="13:13">
      <c r="M507" s="288"/>
    </row>
    <row r="508" spans="13:13">
      <c r="M508" s="288"/>
    </row>
    <row r="509" spans="13:13">
      <c r="M509" s="288"/>
    </row>
    <row r="510" spans="13:13">
      <c r="M510" s="288"/>
    </row>
    <row r="511" spans="13:13">
      <c r="M511" s="288"/>
    </row>
    <row r="512" spans="13:13">
      <c r="M512" s="288"/>
    </row>
    <row r="513" spans="13:13">
      <c r="M513" s="288"/>
    </row>
    <row r="514" spans="13:13">
      <c r="M514" s="288"/>
    </row>
    <row r="515" spans="13:13">
      <c r="M515" s="288"/>
    </row>
    <row r="516" spans="13:13">
      <c r="M516" s="288"/>
    </row>
    <row r="517" spans="13:13">
      <c r="M517" s="288"/>
    </row>
    <row r="518" spans="13:13">
      <c r="M518" s="288"/>
    </row>
    <row r="519" spans="13:13">
      <c r="M519" s="288"/>
    </row>
    <row r="520" spans="13:13">
      <c r="M520" s="288"/>
    </row>
    <row r="521" spans="13:13">
      <c r="M521" s="288"/>
    </row>
    <row r="522" spans="13:13">
      <c r="M522" s="288"/>
    </row>
    <row r="523" spans="13:13">
      <c r="M523" s="288"/>
    </row>
    <row r="524" spans="13:13">
      <c r="M524" s="288"/>
    </row>
    <row r="525" spans="13:13">
      <c r="M525" s="288"/>
    </row>
    <row r="526" spans="13:13">
      <c r="M526" s="288"/>
    </row>
    <row r="527" spans="13:13">
      <c r="M527" s="288"/>
    </row>
    <row r="528" spans="13:13">
      <c r="M528" s="288"/>
    </row>
    <row r="529" spans="13:13">
      <c r="M529" s="288"/>
    </row>
    <row r="530" spans="13:13">
      <c r="M530" s="288"/>
    </row>
    <row r="531" spans="13:13">
      <c r="M531" s="288"/>
    </row>
    <row r="532" spans="13:13">
      <c r="M532" s="288"/>
    </row>
    <row r="533" spans="13:13">
      <c r="M533" s="288"/>
    </row>
    <row r="534" spans="13:13">
      <c r="M534" s="288"/>
    </row>
    <row r="535" spans="13:13">
      <c r="M535" s="288"/>
    </row>
    <row r="536" spans="13:13">
      <c r="M536" s="288"/>
    </row>
    <row r="537" spans="13:13">
      <c r="M537" s="288"/>
    </row>
    <row r="538" spans="13:13">
      <c r="M538" s="288"/>
    </row>
    <row r="539" spans="13:13">
      <c r="M539" s="288"/>
    </row>
    <row r="540" spans="13:13">
      <c r="M540" s="288"/>
    </row>
    <row r="541" spans="13:13">
      <c r="M541" s="288"/>
    </row>
    <row r="542" spans="13:13">
      <c r="M542" s="288"/>
    </row>
    <row r="543" spans="13:13">
      <c r="M543" s="288"/>
    </row>
    <row r="544" spans="13:13">
      <c r="M544" s="288"/>
    </row>
    <row r="545" spans="13:13">
      <c r="M545" s="288"/>
    </row>
    <row r="546" spans="13:13">
      <c r="M546" s="288"/>
    </row>
    <row r="547" spans="13:13">
      <c r="M547" s="288"/>
    </row>
    <row r="548" spans="13:13">
      <c r="M548" s="288"/>
    </row>
    <row r="549" spans="13:13">
      <c r="M549" s="288"/>
    </row>
    <row r="550" spans="13:13">
      <c r="M550" s="288"/>
    </row>
    <row r="551" spans="13:13">
      <c r="M551" s="288"/>
    </row>
    <row r="552" spans="13:13">
      <c r="M552" s="288"/>
    </row>
    <row r="553" spans="13:13">
      <c r="M553" s="288"/>
    </row>
    <row r="554" spans="13:13">
      <c r="M554" s="288"/>
    </row>
    <row r="555" spans="13:13">
      <c r="M555" s="288"/>
    </row>
    <row r="556" spans="13:13">
      <c r="M556" s="288"/>
    </row>
    <row r="557" spans="13:13">
      <c r="M557" s="288"/>
    </row>
    <row r="558" spans="13:13">
      <c r="M558" s="288"/>
    </row>
    <row r="559" spans="13:13">
      <c r="M559" s="288"/>
    </row>
    <row r="560" spans="13:13">
      <c r="M560" s="288"/>
    </row>
    <row r="561" spans="13:13">
      <c r="M561" s="288"/>
    </row>
    <row r="562" spans="13:13">
      <c r="M562" s="288"/>
    </row>
    <row r="563" spans="13:13">
      <c r="M563" s="288"/>
    </row>
    <row r="564" spans="13:13">
      <c r="M564" s="288"/>
    </row>
    <row r="565" spans="13:13">
      <c r="M565" s="288"/>
    </row>
  </sheetData>
  <mergeCells count="90">
    <mergeCell ref="C428:D428"/>
    <mergeCell ref="C429:C439"/>
    <mergeCell ref="H429:H439"/>
    <mergeCell ref="C443:D443"/>
    <mergeCell ref="C444:C454"/>
    <mergeCell ref="H444:H454"/>
    <mergeCell ref="C398:D398"/>
    <mergeCell ref="C399:C409"/>
    <mergeCell ref="H399:H409"/>
    <mergeCell ref="C413:D413"/>
    <mergeCell ref="C414:C424"/>
    <mergeCell ref="H414:H424"/>
    <mergeCell ref="C368:D368"/>
    <mergeCell ref="C369:C379"/>
    <mergeCell ref="H369:H379"/>
    <mergeCell ref="C383:D383"/>
    <mergeCell ref="C384:C394"/>
    <mergeCell ref="H384:H394"/>
    <mergeCell ref="C338:D338"/>
    <mergeCell ref="C339:C349"/>
    <mergeCell ref="H339:H349"/>
    <mergeCell ref="C353:D353"/>
    <mergeCell ref="C354:C364"/>
    <mergeCell ref="H354:H364"/>
    <mergeCell ref="C308:D308"/>
    <mergeCell ref="C309:C319"/>
    <mergeCell ref="H309:H319"/>
    <mergeCell ref="C323:D323"/>
    <mergeCell ref="C324:C334"/>
    <mergeCell ref="H324:H334"/>
    <mergeCell ref="C278:D278"/>
    <mergeCell ref="C279:C289"/>
    <mergeCell ref="H279:H289"/>
    <mergeCell ref="C293:D293"/>
    <mergeCell ref="C294:C304"/>
    <mergeCell ref="H294:H304"/>
    <mergeCell ref="C248:D248"/>
    <mergeCell ref="C249:C259"/>
    <mergeCell ref="H249:H259"/>
    <mergeCell ref="C263:D263"/>
    <mergeCell ref="C264:C274"/>
    <mergeCell ref="H264:H274"/>
    <mergeCell ref="C218:D218"/>
    <mergeCell ref="C219:C229"/>
    <mergeCell ref="H219:H229"/>
    <mergeCell ref="C233:D233"/>
    <mergeCell ref="C234:C244"/>
    <mergeCell ref="H234:H244"/>
    <mergeCell ref="C188:D188"/>
    <mergeCell ref="C189:C199"/>
    <mergeCell ref="H189:H199"/>
    <mergeCell ref="C203:D203"/>
    <mergeCell ref="C204:C214"/>
    <mergeCell ref="H204:H214"/>
    <mergeCell ref="C158:D158"/>
    <mergeCell ref="C159:C169"/>
    <mergeCell ref="H159:H169"/>
    <mergeCell ref="C173:D173"/>
    <mergeCell ref="C174:C184"/>
    <mergeCell ref="H174:H184"/>
    <mergeCell ref="C128:D128"/>
    <mergeCell ref="C129:C139"/>
    <mergeCell ref="H129:H139"/>
    <mergeCell ref="C143:D143"/>
    <mergeCell ref="C144:C154"/>
    <mergeCell ref="H144:H154"/>
    <mergeCell ref="C98:D98"/>
    <mergeCell ref="C99:C109"/>
    <mergeCell ref="H99:H109"/>
    <mergeCell ref="C113:D113"/>
    <mergeCell ref="C114:C124"/>
    <mergeCell ref="H114:H124"/>
    <mergeCell ref="C68:D68"/>
    <mergeCell ref="C69:C79"/>
    <mergeCell ref="H69:H79"/>
    <mergeCell ref="C83:D83"/>
    <mergeCell ref="C84:C94"/>
    <mergeCell ref="H84:H94"/>
    <mergeCell ref="C38:D38"/>
    <mergeCell ref="C39:C49"/>
    <mergeCell ref="H39:H49"/>
    <mergeCell ref="C53:D53"/>
    <mergeCell ref="C54:C64"/>
    <mergeCell ref="H54:H64"/>
    <mergeCell ref="C8:D8"/>
    <mergeCell ref="C9:C19"/>
    <mergeCell ref="H9:H19"/>
    <mergeCell ref="C23:D23"/>
    <mergeCell ref="C24:C34"/>
    <mergeCell ref="H24:H34"/>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451</vt:i4>
      </vt:variant>
    </vt:vector>
  </HeadingPairs>
  <TitlesOfParts>
    <vt:vector size="462" baseType="lpstr">
      <vt:lpstr>Cover</vt:lpstr>
      <vt:lpstr>Intro</vt:lpstr>
      <vt:lpstr>Input</vt:lpstr>
      <vt:lpstr>Adjustment for previous period</vt:lpstr>
      <vt:lpstr>Actual RAB roll forward</vt:lpstr>
      <vt:lpstr>Total actual RAB roll forward</vt:lpstr>
      <vt:lpstr>Tax Depn</vt:lpstr>
      <vt:lpstr>PTRM Tax Inputs</vt:lpstr>
      <vt:lpstr>Asset lives roll forward</vt:lpstr>
      <vt:lpstr>Tax value roll forward</vt:lpstr>
      <vt:lpstr>Summary</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'Asset lives roll forward'!A1remlife</vt:lpstr>
      <vt:lpstr>'Asset lives roll forward'!A1stdlife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'Asset lives roll forward'!A2remlife</vt:lpstr>
      <vt:lpstr>'Asset lives roll forward'!A2stdlife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'Asset lives roll forward'!A3remlife</vt:lpstr>
      <vt:lpstr>'Asset lives roll forward'!A3stdlife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'Asset lives roll forward'!A4remlife</vt:lpstr>
      <vt:lpstr>'Asset lives roll forward'!A4stdlife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'Asset lives roll forward'!A5remlife</vt:lpstr>
      <vt:lpstr>'Asset lives roll forward'!A5stdlife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'Asset lives roll forward'!A6remlife</vt:lpstr>
      <vt:lpstr>'Asset lives roll forward'!A6stdlife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'Asset lives roll forward'!A7remlife</vt:lpstr>
      <vt:lpstr>'Asset lives roll forward'!A7stdlife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'Asset lives roll forward'!A8remlife</vt:lpstr>
      <vt:lpstr>A8remlife</vt:lpstr>
      <vt:lpstr>'Asset lives roll forward'!A8stdlife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Asset31</vt:lpstr>
      <vt:lpstr>Asset32</vt:lpstr>
      <vt:lpstr>Asset33</vt:lpstr>
      <vt:lpstr>Asset34</vt:lpstr>
      <vt:lpstr>Asset35</vt:lpstr>
      <vt:lpstr>Asset36</vt:lpstr>
      <vt:lpstr>Asset37</vt:lpstr>
      <vt:lpstr>Asset38</vt:lpstr>
      <vt:lpstr>Asset39</vt:lpstr>
      <vt:lpstr>'Asset lives roll forward'!Asset4</vt:lpstr>
      <vt:lpstr>Asset4</vt:lpstr>
      <vt:lpstr>Asset40</vt:lpstr>
      <vt:lpstr>Asset41</vt:lpstr>
      <vt:lpstr>Asset42</vt:lpstr>
      <vt:lpstr>Asset43</vt:lpstr>
      <vt:lpstr>Asset44</vt:lpstr>
      <vt:lpstr>Asset45</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2015-11-16T05:55:39Z</dcterms:created>
  <dcterms:modified xsi:type="dcterms:W3CDTF">2017-11-27T02:04:50Z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