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0" windowWidth="28800" windowHeight="12450"/>
  </bookViews>
  <sheets>
    <sheet name="AER Amendments" sheetId="19" r:id="rId1"/>
    <sheet name="AER final decision 2021-22" sheetId="18" r:id="rId2"/>
    <sheet name="Summary" sheetId="11" r:id="rId3"/>
    <sheet name="Forecast Volumes and Revenue" sheetId="16" r:id="rId4"/>
    <sheet name="2021 Remote Special Reads" sheetId="8" r:id="rId5"/>
    <sheet name="2021 Remote Reconfig" sheetId="9" r:id="rId6"/>
    <sheet name="2021 Field Officer Visit" sheetId="12" r:id="rId7"/>
    <sheet name="Non-Standard AMI Data Request" sheetId="13" r:id="rId8"/>
    <sheet name="AMI Data Request (AER)" sheetId="17" r:id="rId9"/>
    <sheet name="Priority Re-energisation" sheetId="15" r:id="rId10"/>
    <sheet name="Type-7 Unmetered" sheetId="14" r:id="rId11"/>
  </sheets>
  <externalReferences>
    <externalReference r:id="rId12"/>
    <externalReference r:id="rId13"/>
    <externalReference r:id="rId14"/>
    <externalReference r:id="rId15"/>
    <externalReference r:id="rId16"/>
  </externalReferences>
  <definedNames>
    <definedName name="CRCP_y4">'[1]AER lookups'!$G$42</definedName>
    <definedName name="CRCP_y5">'[2]1.0 Business &amp; other details'!$G$38</definedName>
    <definedName name="dms_CF_TradingName">'[3]AER CF'!$B$7:$B$27</definedName>
    <definedName name="dms_DollarReal">'[2]1.0 Business &amp; other details'!$C$55</definedName>
    <definedName name="dms_FRCPlength_Num">'[3]AER ETL'!$C$70</definedName>
    <definedName name="dms_TradingName">'[3]Business &amp; other details'!$AL$16</definedName>
    <definedName name="FRCP">'[2]1.0 Business &amp; other details'!$C$35:$G$35</definedName>
    <definedName name="FRCP_y1">'[1]Business &amp; other details'!$AL$42</definedName>
    <definedName name="FRCP_y2">'[1]AER lookups'!$I$40</definedName>
    <definedName name="FRCP_y3">'[1]AER lookups'!$I$41</definedName>
    <definedName name="FRCP_y4">'[1]AER lookups'!$I$42</definedName>
    <definedName name="FRCP_y5">'[1]AER lookups'!$I$43</definedName>
    <definedName name="Thousands">[4]Spare!$C$5</definedName>
    <definedName name="TM1REBUILDOPTION">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8" l="1"/>
  <c r="C4" i="18"/>
  <c r="D4" i="18" s="1"/>
  <c r="D5" i="18"/>
  <c r="D6" i="18"/>
  <c r="D8" i="18"/>
  <c r="D9" i="18"/>
  <c r="D11" i="18"/>
  <c r="D12" i="18"/>
  <c r="D3" i="18"/>
  <c r="C9" i="18" l="1"/>
  <c r="I37" i="11"/>
  <c r="C3" i="18" l="1"/>
  <c r="C7" i="15"/>
  <c r="H7" i="15"/>
  <c r="I7" i="15" s="1"/>
  <c r="M7" i="15" s="1"/>
  <c r="F7" i="15"/>
  <c r="L7" i="15"/>
  <c r="L10" i="15"/>
  <c r="M10" i="15"/>
  <c r="C22" i="17" l="1"/>
  <c r="D19" i="17"/>
  <c r="G28" i="17"/>
  <c r="F28" i="17"/>
  <c r="E28" i="17"/>
  <c r="D28" i="17"/>
  <c r="D22" i="17"/>
  <c r="C28" i="17"/>
  <c r="C21" i="17"/>
  <c r="C26" i="17" l="1"/>
  <c r="D26" i="17" s="1"/>
  <c r="E26" i="17" s="1"/>
  <c r="F26" i="17" s="1"/>
  <c r="G26" i="17" s="1"/>
  <c r="D20" i="17"/>
  <c r="E19" i="17"/>
  <c r="E20" i="17" s="1"/>
  <c r="C30" i="11"/>
  <c r="C29" i="11"/>
  <c r="C25" i="11"/>
  <c r="C32" i="11"/>
  <c r="F8" i="12"/>
  <c r="F15" i="11" s="1"/>
  <c r="F37" i="11" s="1"/>
  <c r="B11" i="18"/>
  <c r="C11" i="18" s="1"/>
  <c r="C20" i="17"/>
  <c r="H18" i="17"/>
  <c r="C7" i="17"/>
  <c r="C6" i="17"/>
  <c r="B6" i="17"/>
  <c r="B4" i="17"/>
  <c r="B3" i="17"/>
  <c r="C21" i="16"/>
  <c r="B21" i="16"/>
  <c r="G20" i="16"/>
  <c r="G21" i="16"/>
  <c r="F20" i="16"/>
  <c r="F21" i="16"/>
  <c r="E20" i="16"/>
  <c r="E21" i="16"/>
  <c r="D20" i="16"/>
  <c r="D21" i="16"/>
  <c r="F9" i="16"/>
  <c r="E9" i="16"/>
  <c r="D9" i="16"/>
  <c r="C9" i="16"/>
  <c r="B9" i="16"/>
  <c r="D3" i="14"/>
  <c r="E3" i="14"/>
  <c r="F3" i="14" s="1"/>
  <c r="G3" i="14" s="1"/>
  <c r="H3" i="14" s="1"/>
  <c r="I3" i="14" s="1"/>
  <c r="C3" i="14"/>
  <c r="F2" i="14"/>
  <c r="G2" i="14"/>
  <c r="H2" i="14"/>
  <c r="I2" i="14"/>
  <c r="G4" i="13"/>
  <c r="B39" i="11"/>
  <c r="B40" i="11"/>
  <c r="B41" i="11"/>
  <c r="C14" i="8"/>
  <c r="C14" i="15"/>
  <c r="C6" i="13"/>
  <c r="B6" i="13"/>
  <c r="C4" i="13"/>
  <c r="D4" i="13"/>
  <c r="D5" i="13"/>
  <c r="D6" i="13"/>
  <c r="E4" i="13"/>
  <c r="F4" i="13"/>
  <c r="B4" i="13"/>
  <c r="F23" i="11"/>
  <c r="F3" i="13"/>
  <c r="E5" i="13"/>
  <c r="C17" i="9"/>
  <c r="F5" i="13"/>
  <c r="G3" i="13"/>
  <c r="G5" i="13"/>
  <c r="G6" i="13"/>
  <c r="E6" i="13"/>
  <c r="F6" i="13"/>
  <c r="C8" i="9"/>
  <c r="F29" i="11"/>
  <c r="H8" i="9"/>
  <c r="H11" i="9"/>
  <c r="I11" i="9" s="1"/>
  <c r="M11" i="9" s="1"/>
  <c r="M14" i="9" s="1"/>
  <c r="M17" i="9" s="1"/>
  <c r="D15" i="11" s="1"/>
  <c r="D37" i="11" s="1"/>
  <c r="M11" i="15"/>
  <c r="M14" i="15" s="1"/>
  <c r="G15" i="11" s="1"/>
  <c r="H37" i="11" s="1"/>
  <c r="C8" i="18" s="1"/>
  <c r="C33" i="11"/>
  <c r="F12" i="12"/>
  <c r="F10" i="12"/>
  <c r="E15" i="11" s="1"/>
  <c r="E37" i="11" s="1"/>
  <c r="L8" i="9"/>
  <c r="L11" i="9"/>
  <c r="F11" i="9"/>
  <c r="F8" i="9"/>
  <c r="I8" i="9"/>
  <c r="M8" i="9"/>
  <c r="L8" i="8"/>
  <c r="F8" i="8"/>
  <c r="I8" i="8"/>
  <c r="M8" i="8"/>
  <c r="M11" i="8"/>
  <c r="M14" i="8"/>
  <c r="C15" i="11"/>
  <c r="C37" i="11"/>
  <c r="C38" i="11"/>
  <c r="C39" i="11"/>
  <c r="C40" i="11"/>
  <c r="C41" i="11" s="1"/>
  <c r="C6" i="18" l="1"/>
  <c r="C5" i="18"/>
  <c r="C7" i="18" s="1"/>
  <c r="F38" i="11"/>
  <c r="F39" i="11" s="1"/>
  <c r="F40" i="11" s="1"/>
  <c r="F41" i="11" s="1"/>
  <c r="D38" i="11"/>
  <c r="D39" i="11" s="1"/>
  <c r="D40" i="11" s="1"/>
  <c r="D41" i="11" s="1"/>
  <c r="G37" i="11"/>
  <c r="E38" i="11"/>
  <c r="H38" i="11"/>
  <c r="H39" i="11" s="1"/>
  <c r="H40" i="11" s="1"/>
  <c r="H41" i="11" s="1"/>
  <c r="B12" i="18"/>
  <c r="C12" i="18" s="1"/>
  <c r="D21" i="17"/>
  <c r="E21" i="17"/>
  <c r="F19" i="17"/>
  <c r="D4" i="17"/>
  <c r="I15" i="17" s="1"/>
  <c r="C4" i="17"/>
  <c r="C3" i="17"/>
  <c r="E39" i="11" l="1"/>
  <c r="G38" i="11"/>
  <c r="F21" i="17"/>
  <c r="F20" i="17"/>
  <c r="G19" i="17"/>
  <c r="E4" i="17"/>
  <c r="D3" i="17"/>
  <c r="D5" i="17" s="1"/>
  <c r="D6" i="17" s="1"/>
  <c r="D7" i="17" s="1"/>
  <c r="G39" i="11" l="1"/>
  <c r="E40" i="11"/>
  <c r="G20" i="17"/>
  <c r="H20" i="17" s="1"/>
  <c r="G21" i="17"/>
  <c r="G22" i="17" s="1"/>
  <c r="F4" i="17"/>
  <c r="E22" i="17"/>
  <c r="E3" i="17"/>
  <c r="E5" i="17" s="1"/>
  <c r="E6" i="17" s="1"/>
  <c r="E7" i="17" s="1"/>
  <c r="G40" i="11" l="1"/>
  <c r="E41" i="11"/>
  <c r="G41" i="11" s="1"/>
  <c r="F22" i="17"/>
  <c r="G4" i="17"/>
  <c r="H4" i="17" s="1"/>
  <c r="F3" i="17"/>
  <c r="F5" i="17" s="1"/>
  <c r="F6" i="17" s="1"/>
  <c r="F7" i="17" s="1"/>
  <c r="G3" i="17"/>
  <c r="H3" i="17" l="1"/>
  <c r="G5" i="17"/>
  <c r="G6" i="17" s="1"/>
  <c r="G7" i="17" s="1"/>
  <c r="H7" i="17" s="1"/>
  <c r="J15" i="17" s="1"/>
</calcChain>
</file>

<file path=xl/comments1.xml><?xml version="1.0" encoding="utf-8"?>
<comments xmlns="http://schemas.openxmlformats.org/spreadsheetml/2006/main">
  <authors>
    <author>Author</author>
  </authors>
  <commentList>
    <comment ref="H8" authorId="0" shapeId="0">
      <text>
        <r>
          <rPr>
            <sz val="9"/>
            <color indexed="81"/>
            <rFont val="Tahoma"/>
            <family val="2"/>
          </rPr>
          <t>AER draft decision.</t>
        </r>
      </text>
    </comment>
    <comment ref="C13" authorId="0" shapeId="0">
      <text>
        <r>
          <rPr>
            <sz val="9"/>
            <color indexed="81"/>
            <rFont val="Tahoma"/>
            <family val="2"/>
          </rPr>
          <t>Based on 2019 SO volumes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C8" authorId="0" shapeId="0">
      <text>
        <r>
          <rPr>
            <sz val="9"/>
            <color indexed="81"/>
            <rFont val="Tahoma"/>
            <family val="2"/>
          </rPr>
          <t>All solar reconfiguration require manual review.</t>
        </r>
      </text>
    </comment>
    <comment ref="H11" authorId="0" shapeId="0">
      <text>
        <r>
          <rPr>
            <sz val="9"/>
            <color indexed="81"/>
            <rFont val="Tahoma"/>
            <family val="2"/>
          </rPr>
          <t>Based on an hourly cash rate of $38 and oncost of 20%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I14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Change in data charges in year 2 due to changes in demand.</t>
        </r>
      </text>
    </comment>
    <comment ref="D1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Set to 5,000 due to demand elasticity.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Used Goal Seek.
Set cell H20 to equal cell J15 by changing this cell.</t>
        </r>
      </text>
    </comment>
    <comment ref="C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changed forecast from 2.45 to 2.00</t>
        </r>
      </text>
    </comment>
    <comment ref="D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changed forecast from 2.45 to 2.00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changed forecast from 2.45 to 2.00</t>
        </r>
      </text>
    </comment>
    <comment ref="F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changed forecast from 2.45 to 2.00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changed forecast from 2.45 to 2.00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C7" authorId="0" shapeId="0">
      <text>
        <r>
          <rPr>
            <sz val="9"/>
            <color indexed="81"/>
            <rFont val="Tahoma"/>
            <family val="2"/>
          </rPr>
          <t>All remote failures will be retried and dispatched if mutliple failures</t>
        </r>
      </text>
    </comment>
  </commentList>
</comments>
</file>

<file path=xl/sharedStrings.xml><?xml version="1.0" encoding="utf-8"?>
<sst xmlns="http://schemas.openxmlformats.org/spreadsheetml/2006/main" count="298" uniqueCount="182">
  <si>
    <t>Time on</t>
  </si>
  <si>
    <t>Task</t>
  </si>
  <si>
    <t xml:space="preserve">Task </t>
  </si>
  <si>
    <t>task</t>
  </si>
  <si>
    <t xml:space="preserve">Class of </t>
  </si>
  <si>
    <t xml:space="preserve">No. of </t>
  </si>
  <si>
    <t>Total</t>
  </si>
  <si>
    <t>description</t>
  </si>
  <si>
    <t>(hours)</t>
  </si>
  <si>
    <t>labour</t>
  </si>
  <si>
    <t>Staff</t>
  </si>
  <si>
    <t>time</t>
  </si>
  <si>
    <t>Back Office</t>
  </si>
  <si>
    <t>TOTAL (Ex GST)</t>
  </si>
  <si>
    <t>TOTAL Charge (Ex GST)</t>
  </si>
  <si>
    <t>Item</t>
  </si>
  <si>
    <t>Perform manual validation of service order where work item is created</t>
  </si>
  <si>
    <t>Review and action exception where internal system response/acknowledgement has not been received</t>
  </si>
  <si>
    <t>SO %</t>
  </si>
  <si>
    <t>Impacted</t>
  </si>
  <si>
    <t>No. SO</t>
  </si>
  <si>
    <t>Total cost</t>
  </si>
  <si>
    <t>Assumptions</t>
  </si>
  <si>
    <t>Impacted p.a</t>
  </si>
  <si>
    <t>p.a</t>
  </si>
  <si>
    <t>SERVICE  ORDER PROCESS STEPS (MANUAL ONLY)</t>
  </si>
  <si>
    <t>2. Detailed breakdown as per re-en and de-en analysis has not been done so assumed 50% of total service orders are eligible for remote.</t>
  </si>
  <si>
    <t>Remote Reconfig Charges</t>
  </si>
  <si>
    <t>Perform manual validation of service order including reconfig selection</t>
  </si>
  <si>
    <t>Year</t>
  </si>
  <si>
    <t>Charge</t>
  </si>
  <si>
    <t>Total no. of Reconfig SO's eligible for remote services</t>
  </si>
  <si>
    <t>Total no. of Special Read SO's eligible for remote services</t>
  </si>
  <si>
    <t>Labour cost</t>
  </si>
  <si>
    <t>CPI</t>
  </si>
  <si>
    <t>Nominal $</t>
  </si>
  <si>
    <t>Special Read</t>
  </si>
  <si>
    <t>each year</t>
  </si>
  <si>
    <t>Summary of remote services charges</t>
  </si>
  <si>
    <t>Meter Reconfig</t>
  </si>
  <si>
    <t>Remote special read</t>
  </si>
  <si>
    <t>Remote meter reconfig</t>
  </si>
  <si>
    <t xml:space="preserve">3. Exception % is lower than for other services as service not performed at the meter so is likely to have a higher success rate (request not going to meter). </t>
  </si>
  <si>
    <t xml:space="preserve">Remote Special Read Charges </t>
  </si>
  <si>
    <t>On Costs</t>
  </si>
  <si>
    <t>Raw Labour Rate</t>
  </si>
  <si>
    <t>Field Visit</t>
  </si>
  <si>
    <t>Total Manual Reading Customers</t>
  </si>
  <si>
    <t>Total Labour Cost</t>
  </si>
  <si>
    <t>Field Visits</t>
  </si>
  <si>
    <t>Cycle Meter Reads</t>
  </si>
  <si>
    <t xml:space="preserve">Comms Faults </t>
  </si>
  <si>
    <t>Re-energisation</t>
  </si>
  <si>
    <t>De-energisation</t>
  </si>
  <si>
    <t>Field Visits Per Year</t>
  </si>
  <si>
    <t>Labour Cost per Visit</t>
  </si>
  <si>
    <t>10 min per service order</t>
  </si>
  <si>
    <t>Total no. of  Reconfig SO's completed remotely  (90%)</t>
  </si>
  <si>
    <t>1. SO volumes based on Metering Service Works - Meter Reconfiguration service orders in 2018</t>
  </si>
  <si>
    <t>2. Processing time for review of application takes between 7 mins and 14 mins (depending on quality of paperwork) so an average of 10 mins has been used.</t>
  </si>
  <si>
    <t xml:space="preserve">3. Exception % supports 90% of eligible service orders being processed remotely without further manual 
processing. </t>
  </si>
  <si>
    <t>4. Service order that was cancelled or rejected have been exlcluded from these total volumes</t>
  </si>
  <si>
    <t>5 min per service order (see assumption 3 below)</t>
  </si>
  <si>
    <t>2018 Volumes</t>
  </si>
  <si>
    <t>*All field visits based on actual data April 2018 - March 2019</t>
  </si>
  <si>
    <t>Labour Costs</t>
  </si>
  <si>
    <t>Field Officer Visits</t>
  </si>
  <si>
    <t>Overtime Loading</t>
  </si>
  <si>
    <t>Labour cost per visit (BH)</t>
  </si>
  <si>
    <t>Labour cost per visit (AH)</t>
  </si>
  <si>
    <t>Field Officer Visit BH (Includes manual re-energisation, de-energisation and reconfiguration)</t>
  </si>
  <si>
    <t xml:space="preserve"> Field Officer Visit AH (Includes manual re-energisation, de-energisation and reconfiguration)</t>
  </si>
  <si>
    <t>Cyclic Meter Reading for Basic Meters (Metering Co-orindator Cyclic Read Fee)</t>
  </si>
  <si>
    <t>Field Officer Visit</t>
  </si>
  <si>
    <t>Field Office Visit</t>
  </si>
  <si>
    <t>MC Cyclic Meter Read Fee</t>
  </si>
  <si>
    <t>MC Cyclic Meter Read</t>
  </si>
  <si>
    <t>Labour rate BH ($ p/hr) (real $2021)</t>
  </si>
  <si>
    <t>Total cost BH (real $2021)</t>
  </si>
  <si>
    <t>Labour Support Costs</t>
  </si>
  <si>
    <t>1 charge per annum per customer</t>
  </si>
  <si>
    <t>Total Field Visits</t>
  </si>
  <si>
    <t>Dispatch Costs</t>
  </si>
  <si>
    <t>Data Charges</t>
  </si>
  <si>
    <t>Customers</t>
  </si>
  <si>
    <t>Price per customer (Monthly)</t>
  </si>
  <si>
    <t>Price per customer (Annual)</t>
  </si>
  <si>
    <t>NMI</t>
  </si>
  <si>
    <t>Per Light</t>
  </si>
  <si>
    <t>*10 minutes per dispatch</t>
  </si>
  <si>
    <t>Total weekend re-connections eligible for remote completion</t>
  </si>
  <si>
    <t>Perform manual retry and dispatch.</t>
  </si>
  <si>
    <t>Total service orders requiring intervention</t>
  </si>
  <si>
    <t>Truck Visit Required (remote failure)</t>
  </si>
  <si>
    <t>3. Exceptions assume a 10% failure rate when attempted remotely</t>
  </si>
  <si>
    <t>5. Truck labour cost based on AH connection fee</t>
  </si>
  <si>
    <t>Service truck - Disconnect / Reconnect at pole or pit – After Hours</t>
  </si>
  <si>
    <t xml:space="preserve">4. Data charges cover telecommunication costs for data usage volumes </t>
  </si>
  <si>
    <t>4. Assume 70% of remote failures will ultimately require a truck visit to re-energise property</t>
  </si>
  <si>
    <t>1. SO volumes based on service orders processed in 2018/2019</t>
  </si>
  <si>
    <t>Total no. of  Special Read SO's completed remotely  (92%)</t>
  </si>
  <si>
    <t>4. Manual validation includes attempting retrieve data manually and validate standing data</t>
  </si>
  <si>
    <t>Field Offer AH</t>
  </si>
  <si>
    <t>Priority Re-energisation</t>
  </si>
  <si>
    <t>2021/2022</t>
  </si>
  <si>
    <t>Jan - Jun 2021 &amp; 2022</t>
  </si>
  <si>
    <t>*Includes 4 visits per year for basic meter sites</t>
  </si>
  <si>
    <t>($nominal)</t>
  </si>
  <si>
    <t>1. Non-standard AMI data requests services offered from 2023</t>
  </si>
  <si>
    <t>3. Labour support costs require minimum 2 resources to support system interface and manage exceptions and to cover incidents</t>
  </si>
  <si>
    <t>5. Customers will be offered a monthly subscription service</t>
  </si>
  <si>
    <t>1. SO volumes based on Metering Service Works - Re-connection service orders in 2018/2019</t>
  </si>
  <si>
    <t>2. SO volumes assume a 20% of service order will be requested for weekend or public holiday (outside standard times)</t>
  </si>
  <si>
    <t>EDPR Forecasts Revenue</t>
  </si>
  <si>
    <t>Revenue $</t>
  </si>
  <si>
    <t>Volume</t>
  </si>
  <si>
    <t>Cost</t>
  </si>
  <si>
    <t>Description</t>
  </si>
  <si>
    <t>Remote De-Energisation</t>
  </si>
  <si>
    <t>Remote Meter Re-Configuration</t>
  </si>
  <si>
    <t>Remote Re-Energisation</t>
  </si>
  <si>
    <t>Remote Special Read</t>
  </si>
  <si>
    <t>Grand Total</t>
  </si>
  <si>
    <t>Current Period Costs, Volumes and Revenue</t>
  </si>
  <si>
    <t>2021-2026 Period Costs, Volumes and Revenue</t>
  </si>
  <si>
    <t>Refer to Summary tab</t>
  </si>
  <si>
    <t>Revenue $ (nominal)</t>
  </si>
  <si>
    <t>Non-Standard AMI Data Request</t>
  </si>
  <si>
    <t>Non-Standard AMI Request</t>
  </si>
  <si>
    <t>*Only labour costs</t>
  </si>
  <si>
    <t xml:space="preserve">2. Non-standard request could include measurement data and/or real-time meter information </t>
  </si>
  <si>
    <t>Revenues ($2020-21) NPV</t>
  </si>
  <si>
    <t>Monthly price ($2020-21)</t>
  </si>
  <si>
    <t>Year 2 data charges difference</t>
  </si>
  <si>
    <t>Target revenue</t>
  </si>
  <si>
    <t>Alternative calculation</t>
  </si>
  <si>
    <t>TOTAL</t>
  </si>
  <si>
    <t>X factor</t>
  </si>
  <si>
    <t>Volumes</t>
  </si>
  <si>
    <t>Price</t>
  </si>
  <si>
    <t>Revenues</t>
  </si>
  <si>
    <t xml:space="preserve">CPI </t>
  </si>
  <si>
    <t>Conversion to $2020-21</t>
  </si>
  <si>
    <t>NPV</t>
  </si>
  <si>
    <t>Service description</t>
  </si>
  <si>
    <t>Business hours ($June 2021)</t>
  </si>
  <si>
    <t>AusNet Services proposal</t>
  </si>
  <si>
    <t>Auxiliary metering services</t>
  </si>
  <si>
    <t>Type 7 metering services</t>
  </si>
  <si>
    <t>Per NMI</t>
  </si>
  <si>
    <t>Field Officer (AFTER HOURS)</t>
  </si>
  <si>
    <t>Nominal vanilla WACC</t>
  </si>
  <si>
    <t>AER final decision</t>
  </si>
  <si>
    <t>Monthly price ($2020-21) - Final decision</t>
  </si>
  <si>
    <t>No.</t>
  </si>
  <si>
    <t>Sheet</t>
  </si>
  <si>
    <t>Cell</t>
  </si>
  <si>
    <t>Changes</t>
  </si>
  <si>
    <t>The AER's final decision amendments are highlighted in green unless noted.</t>
  </si>
  <si>
    <t>Non-standard AMI request</t>
  </si>
  <si>
    <t>Amended draft decision sheet to read final decision</t>
  </si>
  <si>
    <t>AER final decision 2021-22</t>
  </si>
  <si>
    <t>title, C2</t>
  </si>
  <si>
    <t>Summary</t>
  </si>
  <si>
    <t>E35</t>
  </si>
  <si>
    <t>AMI Data Request (AER)</t>
  </si>
  <si>
    <t>D17:G17</t>
  </si>
  <si>
    <t>Updated labour price growth forecasts</t>
  </si>
  <si>
    <t>D25:G25</t>
  </si>
  <si>
    <t>D27:G27</t>
  </si>
  <si>
    <t>Updated CPI forecasts</t>
  </si>
  <si>
    <t>Updated nominal vanilla WACC forecasts</t>
  </si>
  <si>
    <t>From final decision PTRM.</t>
  </si>
  <si>
    <t>A27</t>
  </si>
  <si>
    <t>C19</t>
  </si>
  <si>
    <t>Ran goal seek again to get updated prices</t>
  </si>
  <si>
    <t>D5</t>
  </si>
  <si>
    <t>Type-7 Unmetered</t>
  </si>
  <si>
    <t>Corrected to nominal vanilla WACC (previously mislabelled as nominal pretax WACC)</t>
  </si>
  <si>
    <t>Business hours ($2021-22)</t>
  </si>
  <si>
    <t>D1:D12</t>
  </si>
  <si>
    <t>Added final decision prices in $2021-22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</si>
</sst>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_);_(@_)"/>
    <numFmt numFmtId="166" formatCode="_(* #,##0.00_);_(* \(#,##0.00\);_(* &quot;-&quot;??_);_(@_)"/>
    <numFmt numFmtId="167" formatCode="_(* #,##0_);_(* \(#,##0\);_(* &quot;-&quot;??_);_(@_)"/>
    <numFmt numFmtId="168" formatCode="&quot;$&quot;#,##0.00"/>
    <numFmt numFmtId="169" formatCode="&quot;$&quot;#,##0.0000"/>
    <numFmt numFmtId="170" formatCode="0.0000"/>
    <numFmt numFmtId="171" formatCode="_(#,##0.00%_);\(#,##0.00%\);_(&quot;-&quot;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1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11"/>
      <color indexed="8"/>
      <name val="Arial"/>
      <family val="2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6E6A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FFFF"/>
      </patternFill>
    </fill>
    <fill>
      <patternFill patternType="solid">
        <fgColor rgb="FF92D050"/>
        <bgColor rgb="FF00FFFF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0"/>
      </right>
      <top style="dotted">
        <color theme="0"/>
      </top>
      <bottom style="dotted">
        <color theme="0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2" borderId="0" applyNumberFormat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6" fillId="0" borderId="0"/>
  </cellStyleXfs>
  <cellXfs count="194">
    <xf numFmtId="0" fontId="0" fillId="0" borderId="0" xfId="0"/>
    <xf numFmtId="0" fontId="0" fillId="0" borderId="0" xfId="0" applyBorder="1"/>
    <xf numFmtId="0" fontId="0" fillId="0" borderId="4" xfId="0" applyBorder="1"/>
    <xf numFmtId="167" fontId="0" fillId="0" borderId="0" xfId="1" applyNumberFormat="1" applyFont="1"/>
    <xf numFmtId="0" fontId="0" fillId="0" borderId="0" xfId="0" applyFill="1"/>
    <xf numFmtId="0" fontId="2" fillId="0" borderId="0" xfId="0" applyFont="1"/>
    <xf numFmtId="164" fontId="2" fillId="0" borderId="1" xfId="2" applyFont="1" applyFill="1" applyBorder="1"/>
    <xf numFmtId="0" fontId="0" fillId="0" borderId="0" xfId="0" applyFill="1" applyBorder="1"/>
    <xf numFmtId="166" fontId="1" fillId="0" borderId="0" xfId="1" applyFill="1" applyBorder="1"/>
    <xf numFmtId="166" fontId="1" fillId="0" borderId="0" xfId="1" applyBorder="1"/>
    <xf numFmtId="0" fontId="0" fillId="0" borderId="10" xfId="0" applyFill="1" applyBorder="1"/>
    <xf numFmtId="0" fontId="0" fillId="0" borderId="3" xfId="0" applyFill="1" applyBorder="1"/>
    <xf numFmtId="0" fontId="7" fillId="0" borderId="3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166" fontId="1" fillId="0" borderId="3" xfId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11" xfId="0" applyFont="1" applyFill="1" applyBorder="1"/>
    <xf numFmtId="0" fontId="7" fillId="0" borderId="5" xfId="0" applyFont="1" applyFill="1" applyBorder="1"/>
    <xf numFmtId="0" fontId="7" fillId="0" borderId="5" xfId="0" applyFont="1" applyFill="1" applyBorder="1" applyAlignment="1">
      <alignment horizontal="center"/>
    </xf>
    <xf numFmtId="166" fontId="7" fillId="0" borderId="5" xfId="1" applyFont="1" applyFill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12" xfId="0" applyFont="1" applyFill="1" applyBorder="1"/>
    <xf numFmtId="0" fontId="7" fillId="0" borderId="7" xfId="0" applyFont="1" applyFill="1" applyBorder="1"/>
    <xf numFmtId="0" fontId="7" fillId="0" borderId="7" xfId="0" applyFont="1" applyFill="1" applyBorder="1" applyAlignment="1">
      <alignment horizontal="center"/>
    </xf>
    <xf numFmtId="166" fontId="7" fillId="0" borderId="7" xfId="1" applyFont="1" applyFill="1" applyBorder="1" applyAlignment="1">
      <alignment horizontal="center"/>
    </xf>
    <xf numFmtId="0" fontId="6" fillId="0" borderId="6" xfId="0" applyFont="1" applyBorder="1"/>
    <xf numFmtId="0" fontId="6" fillId="0" borderId="12" xfId="0" applyFont="1" applyBorder="1"/>
    <xf numFmtId="0" fontId="8" fillId="0" borderId="5" xfId="0" applyFont="1" applyFill="1" applyBorder="1"/>
    <xf numFmtId="166" fontId="1" fillId="0" borderId="5" xfId="1" applyFill="1" applyBorder="1"/>
    <xf numFmtId="166" fontId="7" fillId="0" borderId="5" xfId="1" applyFont="1" applyFill="1" applyBorder="1"/>
    <xf numFmtId="166" fontId="7" fillId="0" borderId="4" xfId="1" applyFont="1" applyBorder="1"/>
    <xf numFmtId="166" fontId="7" fillId="0" borderId="10" xfId="1" applyFont="1" applyBorder="1"/>
    <xf numFmtId="0" fontId="0" fillId="0" borderId="10" xfId="0" applyBorder="1"/>
    <xf numFmtId="0" fontId="0" fillId="0" borderId="11" xfId="0" applyFill="1" applyBorder="1"/>
    <xf numFmtId="0" fontId="0" fillId="0" borderId="5" xfId="0" applyFill="1" applyBorder="1"/>
    <xf numFmtId="166" fontId="1" fillId="0" borderId="4" xfId="1" applyBorder="1"/>
    <xf numFmtId="166" fontId="1" fillId="0" borderId="11" xfId="1" applyBorder="1"/>
    <xf numFmtId="0" fontId="0" fillId="0" borderId="11" xfId="0" applyBorder="1"/>
    <xf numFmtId="0" fontId="7" fillId="0" borderId="11" xfId="0" applyFont="1" applyFill="1" applyBorder="1" applyAlignment="1">
      <alignment horizontal="center"/>
    </xf>
    <xf numFmtId="164" fontId="1" fillId="0" borderId="11" xfId="2" applyBorder="1"/>
    <xf numFmtId="0" fontId="0" fillId="0" borderId="12" xfId="0" applyFill="1" applyBorder="1"/>
    <xf numFmtId="0" fontId="0" fillId="0" borderId="9" xfId="0" applyFill="1" applyBorder="1"/>
    <xf numFmtId="166" fontId="1" fillId="0" borderId="9" xfId="1" applyFill="1" applyBorder="1"/>
    <xf numFmtId="164" fontId="1" fillId="0" borderId="8" xfId="2" applyBorder="1"/>
    <xf numFmtId="164" fontId="1" fillId="0" borderId="1" xfId="2" applyBorder="1"/>
    <xf numFmtId="166" fontId="1" fillId="0" borderId="11" xfId="1" applyFill="1" applyBorder="1"/>
    <xf numFmtId="0" fontId="7" fillId="0" borderId="0" xfId="0" applyFont="1" applyFill="1" applyBorder="1" applyAlignment="1">
      <alignment horizontal="right"/>
    </xf>
    <xf numFmtId="166" fontId="1" fillId="0" borderId="0" xfId="1" applyFill="1"/>
    <xf numFmtId="0" fontId="6" fillId="0" borderId="5" xfId="0" applyFont="1" applyFill="1" applyBorder="1" applyAlignment="1">
      <alignment wrapText="1"/>
    </xf>
    <xf numFmtId="0" fontId="0" fillId="0" borderId="5" xfId="0" applyFill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2" fillId="0" borderId="9" xfId="0" applyFont="1" applyFill="1" applyBorder="1" applyAlignment="1">
      <alignment horizontal="right"/>
    </xf>
    <xf numFmtId="166" fontId="1" fillId="0" borderId="10" xfId="1" applyFill="1" applyBorder="1" applyAlignment="1">
      <alignment horizontal="center"/>
    </xf>
    <xf numFmtId="166" fontId="7" fillId="0" borderId="11" xfId="1" applyFont="1" applyFill="1" applyBorder="1" applyAlignment="1">
      <alignment horizontal="center"/>
    </xf>
    <xf numFmtId="166" fontId="7" fillId="0" borderId="12" xfId="1" applyFont="1" applyFill="1" applyBorder="1" applyAlignment="1">
      <alignment horizontal="center"/>
    </xf>
    <xf numFmtId="166" fontId="7" fillId="0" borderId="11" xfId="1" applyFont="1" applyFill="1" applyBorder="1"/>
    <xf numFmtId="9" fontId="1" fillId="0" borderId="11" xfId="1" applyNumberFormat="1" applyFill="1" applyBorder="1" applyAlignment="1">
      <alignment horizontal="right"/>
    </xf>
    <xf numFmtId="3" fontId="0" fillId="0" borderId="0" xfId="0" applyNumberFormat="1"/>
    <xf numFmtId="0" fontId="2" fillId="0" borderId="0" xfId="0" applyFont="1" applyFill="1" applyBorder="1" applyAlignment="1">
      <alignment wrapText="1"/>
    </xf>
    <xf numFmtId="3" fontId="2" fillId="0" borderId="0" xfId="0" applyNumberFormat="1" applyFont="1"/>
    <xf numFmtId="167" fontId="1" fillId="0" borderId="5" xfId="1" applyNumberFormat="1" applyFill="1" applyBorder="1"/>
    <xf numFmtId="164" fontId="1" fillId="0" borderId="5" xfId="2" applyFill="1" applyBorder="1"/>
    <xf numFmtId="0" fontId="9" fillId="0" borderId="0" xfId="0" applyFont="1"/>
    <xf numFmtId="166" fontId="1" fillId="3" borderId="5" xfId="1" applyFill="1" applyBorder="1"/>
    <xf numFmtId="164" fontId="4" fillId="4" borderId="9" xfId="3" applyNumberFormat="1" applyFont="1" applyFill="1" applyBorder="1"/>
    <xf numFmtId="167" fontId="0" fillId="0" borderId="0" xfId="0" applyNumberFormat="1"/>
    <xf numFmtId="0" fontId="7" fillId="0" borderId="10" xfId="0" applyFont="1" applyFill="1" applyBorder="1"/>
    <xf numFmtId="164" fontId="4" fillId="4" borderId="9" xfId="2" applyFont="1" applyFill="1" applyBorder="1"/>
    <xf numFmtId="164" fontId="0" fillId="5" borderId="11" xfId="2" applyNumberFormat="1" applyFont="1" applyFill="1" applyBorder="1"/>
    <xf numFmtId="164" fontId="0" fillId="0" borderId="11" xfId="2" applyFont="1" applyBorder="1"/>
    <xf numFmtId="164" fontId="0" fillId="0" borderId="11" xfId="0" applyNumberFormat="1" applyBorder="1"/>
    <xf numFmtId="10" fontId="0" fillId="0" borderId="0" xfId="0" applyNumberFormat="1"/>
    <xf numFmtId="167" fontId="2" fillId="0" borderId="0" xfId="1" applyNumberFormat="1" applyFont="1"/>
    <xf numFmtId="0" fontId="0" fillId="0" borderId="0" xfId="0" applyAlignment="1">
      <alignment wrapText="1"/>
    </xf>
    <xf numFmtId="0" fontId="8" fillId="0" borderId="11" xfId="0" applyFont="1" applyFill="1" applyBorder="1"/>
    <xf numFmtId="0" fontId="6" fillId="0" borderId="11" xfId="0" applyFont="1" applyFill="1" applyBorder="1" applyAlignment="1">
      <alignment wrapText="1"/>
    </xf>
    <xf numFmtId="0" fontId="0" fillId="0" borderId="5" xfId="0" applyBorder="1"/>
    <xf numFmtId="0" fontId="0" fillId="0" borderId="11" xfId="0" applyFill="1" applyBorder="1" applyAlignment="1">
      <alignment wrapText="1"/>
    </xf>
    <xf numFmtId="0" fontId="0" fillId="0" borderId="12" xfId="0" applyFill="1" applyBorder="1" applyAlignment="1">
      <alignment wrapText="1"/>
    </xf>
    <xf numFmtId="0" fontId="0" fillId="0" borderId="12" xfId="0" applyBorder="1"/>
    <xf numFmtId="166" fontId="1" fillId="0" borderId="7" xfId="1" applyFill="1" applyBorder="1"/>
    <xf numFmtId="2" fontId="0" fillId="0" borderId="0" xfId="0" applyNumberFormat="1" applyBorder="1"/>
    <xf numFmtId="1" fontId="0" fillId="0" borderId="0" xfId="0" applyNumberFormat="1"/>
    <xf numFmtId="0" fontId="0" fillId="0" borderId="3" xfId="0" applyBorder="1"/>
    <xf numFmtId="10" fontId="0" fillId="0" borderId="5" xfId="0" applyNumberFormat="1" applyBorder="1"/>
    <xf numFmtId="0" fontId="2" fillId="0" borderId="6" xfId="0" applyFont="1" applyBorder="1"/>
    <xf numFmtId="164" fontId="0" fillId="0" borderId="7" xfId="2" applyFont="1" applyBorder="1"/>
    <xf numFmtId="0" fontId="10" fillId="0" borderId="2" xfId="0" applyFont="1" applyBorder="1"/>
    <xf numFmtId="0" fontId="2" fillId="0" borderId="0" xfId="0" applyFont="1" applyBorder="1"/>
    <xf numFmtId="164" fontId="0" fillId="0" borderId="0" xfId="2" applyFont="1" applyBorder="1"/>
    <xf numFmtId="3" fontId="0" fillId="0" borderId="5" xfId="0" applyNumberFormat="1" applyBorder="1"/>
    <xf numFmtId="0" fontId="2" fillId="0" borderId="2" xfId="0" applyFont="1" applyBorder="1"/>
    <xf numFmtId="1" fontId="0" fillId="0" borderId="0" xfId="0" applyNumberFormat="1" applyBorder="1"/>
    <xf numFmtId="0" fontId="2" fillId="0" borderId="4" xfId="0" applyFont="1" applyBorder="1"/>
    <xf numFmtId="0" fontId="0" fillId="0" borderId="6" xfId="0" applyBorder="1"/>
    <xf numFmtId="0" fontId="0" fillId="0" borderId="13" xfId="0" applyBorder="1"/>
    <xf numFmtId="0" fontId="0" fillId="0" borderId="7" xfId="0" applyBorder="1"/>
    <xf numFmtId="164" fontId="0" fillId="0" borderId="5" xfId="0" applyNumberFormat="1" applyBorder="1"/>
    <xf numFmtId="0" fontId="11" fillId="0" borderId="0" xfId="0" applyFont="1" applyBorder="1"/>
    <xf numFmtId="0" fontId="2" fillId="0" borderId="14" xfId="0" applyFont="1" applyBorder="1"/>
    <xf numFmtId="0" fontId="10" fillId="0" borderId="0" xfId="0" applyFont="1"/>
    <xf numFmtId="0" fontId="0" fillId="0" borderId="4" xfId="0" applyFill="1" applyBorder="1"/>
    <xf numFmtId="164" fontId="0" fillId="0" borderId="5" xfId="2" applyFont="1" applyBorder="1"/>
    <xf numFmtId="0" fontId="2" fillId="6" borderId="15" xfId="0" applyFont="1" applyFill="1" applyBorder="1"/>
    <xf numFmtId="0" fontId="2" fillId="6" borderId="16" xfId="0" applyFont="1" applyFill="1" applyBorder="1" applyAlignment="1">
      <alignment horizontal="right" wrapText="1"/>
    </xf>
    <xf numFmtId="2" fontId="0" fillId="0" borderId="5" xfId="0" applyNumberFormat="1" applyBorder="1"/>
    <xf numFmtId="0" fontId="2" fillId="0" borderId="10" xfId="0" applyFont="1" applyBorder="1"/>
    <xf numFmtId="0" fontId="2" fillId="0" borderId="11" xfId="0" applyFont="1" applyBorder="1"/>
    <xf numFmtId="2" fontId="0" fillId="0" borderId="11" xfId="0" applyNumberFormat="1" applyBorder="1"/>
    <xf numFmtId="0" fontId="2" fillId="7" borderId="17" xfId="0" applyFont="1" applyFill="1" applyBorder="1" applyAlignment="1">
      <alignment horizontal="right" wrapText="1"/>
    </xf>
    <xf numFmtId="0" fontId="2" fillId="0" borderId="12" xfId="0" applyFont="1" applyBorder="1"/>
    <xf numFmtId="0" fontId="2" fillId="7" borderId="15" xfId="0" applyFont="1" applyFill="1" applyBorder="1"/>
    <xf numFmtId="2" fontId="0" fillId="0" borderId="4" xfId="0" applyNumberFormat="1" applyBorder="1"/>
    <xf numFmtId="0" fontId="2" fillId="7" borderId="1" xfId="0" applyFont="1" applyFill="1" applyBorder="1"/>
    <xf numFmtId="0" fontId="0" fillId="0" borderId="1" xfId="0" applyBorder="1"/>
    <xf numFmtId="0" fontId="2" fillId="0" borderId="1" xfId="0" applyFont="1" applyBorder="1"/>
    <xf numFmtId="3" fontId="0" fillId="0" borderId="1" xfId="0" applyNumberFormat="1" applyBorder="1"/>
    <xf numFmtId="168" fontId="0" fillId="0" borderId="1" xfId="0" applyNumberFormat="1" applyBorder="1"/>
    <xf numFmtId="0" fontId="0" fillId="0" borderId="0" xfId="0" applyFont="1"/>
    <xf numFmtId="168" fontId="0" fillId="0" borderId="0" xfId="0" applyNumberFormat="1"/>
    <xf numFmtId="10" fontId="11" fillId="0" borderId="5" xfId="0" applyNumberFormat="1" applyFont="1" applyBorder="1"/>
    <xf numFmtId="164" fontId="11" fillId="0" borderId="7" xfId="2" applyFont="1" applyBorder="1"/>
    <xf numFmtId="165" fontId="0" fillId="0" borderId="5" xfId="0" applyNumberFormat="1" applyFill="1" applyBorder="1"/>
    <xf numFmtId="10" fontId="1" fillId="0" borderId="11" xfId="1" applyNumberFormat="1" applyFill="1" applyBorder="1"/>
    <xf numFmtId="0" fontId="0" fillId="0" borderId="0" xfId="0" applyAlignment="1"/>
    <xf numFmtId="0" fontId="12" fillId="0" borderId="0" xfId="0" applyFont="1" applyAlignment="1">
      <alignment wrapText="1"/>
    </xf>
    <xf numFmtId="164" fontId="0" fillId="0" borderId="0" xfId="0" applyNumberFormat="1"/>
    <xf numFmtId="3" fontId="13" fillId="0" borderId="0" xfId="0" applyNumberFormat="1" applyFont="1"/>
    <xf numFmtId="167" fontId="13" fillId="0" borderId="0" xfId="1" applyNumberFormat="1" applyFont="1" applyFill="1"/>
    <xf numFmtId="0" fontId="13" fillId="7" borderId="10" xfId="0" applyFont="1" applyFill="1" applyBorder="1"/>
    <xf numFmtId="2" fontId="0" fillId="0" borderId="11" xfId="0" applyNumberFormat="1" applyFill="1" applyBorder="1"/>
    <xf numFmtId="0" fontId="2" fillId="7" borderId="3" xfId="0" applyFont="1" applyFill="1" applyBorder="1"/>
    <xf numFmtId="166" fontId="7" fillId="0" borderId="11" xfId="1" applyFont="1" applyBorder="1"/>
    <xf numFmtId="166" fontId="1" fillId="0" borderId="12" xfId="1" applyBorder="1"/>
    <xf numFmtId="168" fontId="11" fillId="5" borderId="11" xfId="0" applyNumberFormat="1" applyFont="1" applyFill="1" applyBorder="1"/>
    <xf numFmtId="168" fontId="0" fillId="5" borderId="11" xfId="0" applyNumberFormat="1" applyFill="1" applyBorder="1"/>
    <xf numFmtId="168" fontId="1" fillId="5" borderId="11" xfId="1" applyNumberFormat="1" applyFill="1" applyBorder="1"/>
    <xf numFmtId="0" fontId="0" fillId="0" borderId="4" xfId="0" applyBorder="1" applyAlignment="1">
      <alignment horizontal="right"/>
    </xf>
    <xf numFmtId="0" fontId="2" fillId="0" borderId="1" xfId="0" applyFont="1" applyFill="1" applyBorder="1"/>
    <xf numFmtId="3" fontId="0" fillId="0" borderId="1" xfId="0" applyNumberFormat="1" applyFill="1" applyBorder="1"/>
    <xf numFmtId="169" fontId="0" fillId="0" borderId="0" xfId="0" applyNumberFormat="1"/>
    <xf numFmtId="0" fontId="14" fillId="0" borderId="1" xfId="0" applyFont="1" applyBorder="1"/>
    <xf numFmtId="168" fontId="14" fillId="0" borderId="1" xfId="0" applyNumberFormat="1" applyFont="1" applyBorder="1"/>
    <xf numFmtId="0" fontId="15" fillId="0" borderId="0" xfId="0" applyFont="1"/>
    <xf numFmtId="0" fontId="0" fillId="0" borderId="1" xfId="0" applyFont="1" applyFill="1" applyBorder="1"/>
    <xf numFmtId="0" fontId="16" fillId="0" borderId="0" xfId="0" applyFont="1"/>
    <xf numFmtId="167" fontId="0" fillId="0" borderId="1" xfId="1" applyNumberFormat="1" applyFont="1" applyBorder="1"/>
    <xf numFmtId="167" fontId="0" fillId="0" borderId="10" xfId="1" applyNumberFormat="1" applyFont="1" applyBorder="1"/>
    <xf numFmtId="167" fontId="0" fillId="0" borderId="14" xfId="1" applyNumberFormat="1" applyFont="1" applyBorder="1"/>
    <xf numFmtId="164" fontId="0" fillId="0" borderId="0" xfId="0" applyNumberFormat="1" applyBorder="1"/>
    <xf numFmtId="168" fontId="0" fillId="0" borderId="12" xfId="0" applyNumberFormat="1" applyBorder="1"/>
    <xf numFmtId="0" fontId="0" fillId="8" borderId="0" xfId="0" applyFill="1"/>
    <xf numFmtId="0" fontId="0" fillId="8" borderId="11" xfId="0" applyFill="1" applyBorder="1"/>
    <xf numFmtId="168" fontId="0" fillId="8" borderId="0" xfId="0" applyNumberFormat="1" applyFill="1"/>
    <xf numFmtId="0" fontId="2" fillId="8" borderId="0" xfId="0" applyFont="1" applyFill="1"/>
    <xf numFmtId="3" fontId="0" fillId="8" borderId="0" xfId="0" applyNumberFormat="1" applyFill="1"/>
    <xf numFmtId="0" fontId="2" fillId="8" borderId="0" xfId="0" applyFont="1" applyFill="1" applyBorder="1"/>
    <xf numFmtId="3" fontId="0" fillId="8" borderId="0" xfId="0" applyNumberFormat="1" applyFill="1" applyBorder="1"/>
    <xf numFmtId="170" fontId="2" fillId="8" borderId="18" xfId="0" applyNumberFormat="1" applyFont="1" applyFill="1" applyBorder="1"/>
    <xf numFmtId="170" fontId="2" fillId="8" borderId="9" xfId="0" applyNumberFormat="1" applyFont="1" applyFill="1" applyBorder="1"/>
    <xf numFmtId="164" fontId="0" fillId="8" borderId="0" xfId="2" applyFont="1" applyFill="1"/>
    <xf numFmtId="164" fontId="0" fillId="0" borderId="0" xfId="2" applyFont="1" applyFill="1"/>
    <xf numFmtId="164" fontId="0" fillId="8" borderId="8" xfId="2" applyNumberFormat="1" applyFont="1" applyFill="1" applyBorder="1"/>
    <xf numFmtId="164" fontId="0" fillId="8" borderId="18" xfId="2" applyNumberFormat="1" applyFont="1" applyFill="1" applyBorder="1"/>
    <xf numFmtId="164" fontId="0" fillId="8" borderId="9" xfId="2" applyNumberFormat="1" applyFont="1" applyFill="1" applyBorder="1"/>
    <xf numFmtId="164" fontId="0" fillId="8" borderId="8" xfId="2" applyFont="1" applyFill="1" applyBorder="1"/>
    <xf numFmtId="164" fontId="0" fillId="8" borderId="18" xfId="2" applyFont="1" applyFill="1" applyBorder="1"/>
    <xf numFmtId="164" fontId="0" fillId="8" borderId="9" xfId="2" applyFont="1" applyFill="1" applyBorder="1"/>
    <xf numFmtId="10" fontId="0" fillId="8" borderId="0" xfId="0" applyNumberFormat="1" applyFill="1"/>
    <xf numFmtId="10" fontId="0" fillId="8" borderId="0" xfId="4" applyNumberFormat="1" applyFont="1" applyFill="1"/>
    <xf numFmtId="2" fontId="2" fillId="0" borderId="0" xfId="0" applyNumberFormat="1" applyFont="1" applyAlignment="1">
      <alignment horizontal="center"/>
    </xf>
    <xf numFmtId="168" fontId="0" fillId="0" borderId="0" xfId="2" applyNumberFormat="1" applyFont="1" applyAlignment="1">
      <alignment horizontal="center"/>
    </xf>
    <xf numFmtId="164" fontId="0" fillId="0" borderId="0" xfId="0" applyNumberFormat="1"/>
    <xf numFmtId="164" fontId="0" fillId="0" borderId="0" xfId="0" applyNumberFormat="1"/>
    <xf numFmtId="0" fontId="2" fillId="0" borderId="0" xfId="0" applyFont="1" applyAlignment="1">
      <alignment horizontal="center"/>
    </xf>
    <xf numFmtId="171" fontId="20" fillId="9" borderId="19" xfId="5" applyNumberFormat="1" applyFont="1" applyFill="1" applyBorder="1" applyAlignment="1">
      <alignment horizontal="center" vertical="center"/>
    </xf>
    <xf numFmtId="0" fontId="7" fillId="0" borderId="13" xfId="6" applyFont="1" applyBorder="1" applyAlignment="1">
      <alignment horizontal="center" vertical="top"/>
    </xf>
    <xf numFmtId="0" fontId="7" fillId="0" borderId="13" xfId="6" applyFont="1" applyBorder="1" applyAlignment="1">
      <alignment vertical="top"/>
    </xf>
    <xf numFmtId="44" fontId="0" fillId="3" borderId="0" xfId="0" applyNumberFormat="1" applyFill="1" applyBorder="1"/>
    <xf numFmtId="44" fontId="0" fillId="0" borderId="0" xfId="0" applyNumberFormat="1" applyBorder="1"/>
    <xf numFmtId="44" fontId="0" fillId="0" borderId="11" xfId="0" applyNumberFormat="1" applyBorder="1"/>
    <xf numFmtId="44" fontId="0" fillId="0" borderId="11" xfId="0" applyNumberFormat="1" applyFill="1" applyBorder="1"/>
    <xf numFmtId="44" fontId="0" fillId="0" borderId="5" xfId="0" applyNumberFormat="1" applyBorder="1"/>
    <xf numFmtId="171" fontId="20" fillId="10" borderId="19" xfId="5" applyNumberFormat="1" applyFont="1" applyFill="1" applyBorder="1" applyAlignment="1">
      <alignment horizontal="center" vertical="center"/>
    </xf>
    <xf numFmtId="0" fontId="0" fillId="11" borderId="0" xfId="0" applyFill="1"/>
    <xf numFmtId="10" fontId="0" fillId="11" borderId="0" xfId="4" applyNumberFormat="1" applyFont="1" applyFill="1"/>
    <xf numFmtId="10" fontId="18" fillId="11" borderId="0" xfId="4" applyNumberFormat="1" applyFont="1" applyFill="1" applyBorder="1"/>
    <xf numFmtId="170" fontId="2" fillId="11" borderId="8" xfId="0" applyNumberFormat="1" applyFont="1" applyFill="1" applyBorder="1"/>
    <xf numFmtId="0" fontId="2" fillId="0" borderId="0" xfId="0" applyFont="1" applyAlignment="1">
      <alignment horizontal="center"/>
    </xf>
    <xf numFmtId="166" fontId="2" fillId="0" borderId="8" xfId="1" applyFont="1" applyFill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11" borderId="0" xfId="0" applyFont="1" applyFill="1" applyAlignment="1">
      <alignment horizontal="center"/>
    </xf>
    <xf numFmtId="168" fontId="0" fillId="11" borderId="0" xfId="0" applyNumberFormat="1" applyFill="1" applyAlignment="1">
      <alignment horizontal="center"/>
    </xf>
  </cellXfs>
  <cellStyles count="7">
    <cellStyle name="Accent6" xfId="3" builtinId="49"/>
    <cellStyle name="Comma" xfId="1" builtinId="3"/>
    <cellStyle name="Currency" xfId="2" builtinId="4"/>
    <cellStyle name="Normal" xfId="0" builtinId="0"/>
    <cellStyle name="Normal 10 2" xfId="6"/>
    <cellStyle name="Percent" xfId="4" builtinId="5"/>
    <cellStyle name="Percent 2" xfId="5"/>
  </cellStyles>
  <dxfs count="0"/>
  <tableStyles count="0" defaultTableStyle="TableStyleMedium2" defaultPivotStyle="PivotStyleLight16"/>
  <colors>
    <mruColors>
      <color rgb="FFC6E6A2"/>
      <color rgb="FF8DB4E2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'AMI Data Request (AER)'!$A$20</c:f>
              <c:strCache>
                <c:ptCount val="1"/>
                <c:pt idx="0">
                  <c:v>Revenues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'AMI Data Request (AER)'!$C$16:$G$16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'AMI Data Request (AER)'!$C$20:$G$20</c:f>
              <c:numCache>
                <c:formatCode>_("$"* #,##0.00_);_("$"* \(#,##0.00\);_("$"* "-"??_);_(@_)</c:formatCode>
                <c:ptCount val="5"/>
                <c:pt idx="0" formatCode="General">
                  <c:v>0</c:v>
                </c:pt>
                <c:pt idx="1">
                  <c:v>48086.413247843841</c:v>
                </c:pt>
                <c:pt idx="2">
                  <c:v>96758.641119039021</c:v>
                </c:pt>
                <c:pt idx="3">
                  <c:v>194935.32423051842</c:v>
                </c:pt>
                <c:pt idx="4">
                  <c:v>295183.58325684565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C6-442D-B866-3C0303E10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155200"/>
        <c:axId val="421155528"/>
      </c:lineChart>
      <c:catAx>
        <c:axId val="42115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155528"/>
        <c:crosses val="autoZero"/>
        <c:auto val="1"/>
        <c:lblAlgn val="ctr"/>
        <c:lblOffset val="100"/>
        <c:noMultiLvlLbl val="0"/>
      </c:catAx>
      <c:valAx>
        <c:axId val="421155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155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'AMI Data Request (AER)'!$A$19</c:f>
              <c:strCache>
                <c:ptCount val="1"/>
                <c:pt idx="0">
                  <c:v>Price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'AMI Data Request (AER)'!$C$16:$G$16</c:f>
              <c:numCache>
                <c:formatCode>General</c:formatCode>
                <c:ptCount val="5"/>
                <c:pt idx="0">
                  <c:v>2022</c:v>
                </c:pt>
                <c:pt idx="1">
                  <c:v>2023</c:v>
                </c:pt>
                <c:pt idx="2">
                  <c:v>2024</c:v>
                </c:pt>
                <c:pt idx="3">
                  <c:v>2025</c:v>
                </c:pt>
                <c:pt idx="4">
                  <c:v>2026</c:v>
                </c:pt>
              </c:numCache>
            </c:numRef>
          </c:cat>
          <c:val>
            <c:numRef>
              <c:f>'AMI Data Request (AER)'!$C$19:$G$19</c:f>
              <c:numCache>
                <c:formatCode>0.0000</c:formatCode>
                <c:ptCount val="5"/>
                <c:pt idx="0">
                  <c:v>9.5539698056171485</c:v>
                </c:pt>
                <c:pt idx="1">
                  <c:v>9.617282649568768</c:v>
                </c:pt>
                <c:pt idx="2">
                  <c:v>9.6758641119039019</c:v>
                </c:pt>
                <c:pt idx="3">
                  <c:v>9.7467662115259213</c:v>
                </c:pt>
                <c:pt idx="4">
                  <c:v>9.8394527752281888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25-448C-925F-2AB835460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1155200"/>
        <c:axId val="421155528"/>
      </c:lineChart>
      <c:catAx>
        <c:axId val="42115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155528"/>
        <c:crosses val="autoZero"/>
        <c:auto val="1"/>
        <c:lblAlgn val="ctr"/>
        <c:lblOffset val="100"/>
        <c:noMultiLvlLbl val="0"/>
      </c:catAx>
      <c:valAx>
        <c:axId val="421155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1155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409323</xdr:colOff>
      <xdr:row>6</xdr:row>
      <xdr:rowOff>45134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606665" cy="1135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438150</xdr:colOff>
      <xdr:row>0</xdr:row>
      <xdr:rowOff>142875</xdr:rowOff>
    </xdr:from>
    <xdr:to>
      <xdr:col>19</xdr:col>
      <xdr:colOff>133350</xdr:colOff>
      <xdr:row>15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438149</xdr:colOff>
      <xdr:row>15</xdr:row>
      <xdr:rowOff>104775</xdr:rowOff>
    </xdr:from>
    <xdr:to>
      <xdr:col>19</xdr:col>
      <xdr:colOff>161924</xdr:colOff>
      <xdr:row>30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ice%20Review/2021-25%20EDPR/Team%20Working%20folders/16.0%202021%20EDPR%20-%20ACS/AusNet%20Services%202022-26%20-%20FINAL%20RIN%20-%20workbook%201%20-%20Reg%20determination%2017%20Jan%202020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han/AppData/Local/Microsoft/Windows/INetCache/Content.Outlook/MW5SH6T3/Reset%20RIN/Final%20RIN%20update%20Jan%202015/Victorian%20DNSP%202016-20%20-%20Reset%20RIN%20templates%20-%20January%202015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betlehem/Desktop/ACS%20and%20PL%20RIN/AusNet%20Services%202022-26%20-%20FINAL%20RIN%20-%20workbook%201%20-%20Reg%20determination%206%20Dec%202019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pex%20Model_EDPR%202016-20_Propsal%20Case%20(11.03.15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elm/AppData/Local/Microsoft/Windows/INetCache/Content.Outlook/MHJLK3U1/Copy%20of%20AusNet%20Services%20-%20Auxiliary%20Metering%20Services%20Charges%20Model%20-%2031%20January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Sheet Heading"/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6 Quality of service"/>
      <sheetName val="3.7 Operating Environment"/>
      <sheetName val="4.1 Public lighting"/>
      <sheetName val="4.2 Metering"/>
      <sheetName val="4.3 Fee-based services"/>
      <sheetName val="4.4 Quoted services"/>
      <sheetName val="5.4 MD &amp; utilisation-Spatial"/>
      <sheetName val="6.1 Telephone answering"/>
      <sheetName val="6.2 Reliability &amp; Cust serv"/>
      <sheetName val="7.1  Policies and Procedures"/>
      <sheetName val="7.2 Contingent projects"/>
      <sheetName val="7.3 Obligations"/>
      <sheetName val="7.4 Shared Assets"/>
      <sheetName val="7.7 TSS-LRMC"/>
      <sheetName val="8.2 Capex"/>
    </sheetNames>
    <sheetDataSet>
      <sheetData sheetId="0" refreshError="1"/>
      <sheetData sheetId="1" refreshError="1"/>
      <sheetData sheetId="2" refreshError="1"/>
      <sheetData sheetId="3" refreshError="1">
        <row r="40">
          <cell r="I40" t="str">
            <v>2022-23</v>
          </cell>
        </row>
        <row r="41">
          <cell r="I41" t="str">
            <v>2023-24</v>
          </cell>
        </row>
        <row r="42">
          <cell r="G42" t="str">
            <v>2019-20</v>
          </cell>
          <cell r="I42" t="str">
            <v>2024-25</v>
          </cell>
        </row>
        <row r="43">
          <cell r="I43" t="str">
            <v>2025-26</v>
          </cell>
        </row>
      </sheetData>
      <sheetData sheetId="4" refreshError="1"/>
      <sheetData sheetId="5" refreshError="1"/>
      <sheetData sheetId="6" refreshError="1"/>
      <sheetData sheetId="7" refreshError="1">
        <row r="42">
          <cell r="AL42" t="str">
            <v>2021-22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structions"/>
      <sheetName val="1.0 Business &amp; other details"/>
      <sheetName val="2.1 Expenditure summary"/>
      <sheetName val="2.2 Repex"/>
      <sheetName val="2.3 Augex"/>
      <sheetName val="2.4 Augex model"/>
      <sheetName val="2.5 Connections"/>
      <sheetName val="2.6 Non-network"/>
      <sheetName val="2.10 Overheads"/>
      <sheetName val="2.11 Labour"/>
      <sheetName val="2.12 Input tables"/>
      <sheetName val="2.13 Provisions"/>
      <sheetName val="2.14 Forecast price changes"/>
      <sheetName val="2.15 Insurance &amp; Self-insurance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6 Quality of service"/>
      <sheetName val="3.7 Operating Environment"/>
      <sheetName val="4.1 Public lighting"/>
      <sheetName val="4.2 Metering"/>
      <sheetName val="4.3 Fee-based services"/>
      <sheetName val="4.4 Quoted services."/>
      <sheetName val="5.3 MD - Network level"/>
      <sheetName val="5.4 MD &amp; utilisation-Spatial"/>
      <sheetName val="6.1 Telephone answering"/>
      <sheetName val="6.2 Reliability &amp; Cust serv"/>
      <sheetName val="6.4 Historical MEDs"/>
      <sheetName val="7.1  Policies and Procedures"/>
      <sheetName val="7.2 Contingent projects"/>
      <sheetName val="7.3 Obligations"/>
      <sheetName val="7.4 Shared Assets"/>
      <sheetName val="7.5 EBSS"/>
      <sheetName val="7.6 Indicative bill impact"/>
      <sheetName val="Unprotected Worksheet"/>
    </sheetNames>
    <sheetDataSet>
      <sheetData sheetId="0" refreshError="1"/>
      <sheetData sheetId="1" refreshError="1"/>
      <sheetData sheetId="2">
        <row r="35">
          <cell r="C35" t="str">
            <v>2016</v>
          </cell>
          <cell r="D35" t="str">
            <v>2017</v>
          </cell>
          <cell r="E35" t="str">
            <v>2018</v>
          </cell>
          <cell r="F35" t="str">
            <v>2019</v>
          </cell>
          <cell r="G35" t="str">
            <v>2020</v>
          </cell>
        </row>
        <row r="38">
          <cell r="G38" t="str">
            <v>2015</v>
          </cell>
        </row>
        <row r="55">
          <cell r="C55" t="str">
            <v>December 2015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Sheet Heading"/>
      <sheetName val="AER CF"/>
      <sheetName val="AER NRs"/>
      <sheetName val="AER lookups"/>
      <sheetName val="AER ETL"/>
      <sheetName val="Instructions"/>
      <sheetName val="CONTENT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6 Quality of service"/>
      <sheetName val="3.7 Operating Environment"/>
      <sheetName val="4.1 Public lighting"/>
      <sheetName val="4.2 Metering"/>
      <sheetName val="4.3 Fee-based services"/>
      <sheetName val="4.4 Quoted services"/>
      <sheetName val="5.4 MD &amp; utilisation-Spatial"/>
      <sheetName val="6.1 Telephone answering"/>
      <sheetName val="6.2 Reliability &amp; Cust serv"/>
      <sheetName val="7.1  Policies and Procedures"/>
      <sheetName val="7.2 Contingent projects"/>
      <sheetName val="7.3 Obligations"/>
      <sheetName val="7.4 Shared Assets"/>
      <sheetName val="7.7 TSS-LRMC"/>
      <sheetName val="8.2 Capex"/>
    </sheetNames>
    <sheetDataSet>
      <sheetData sheetId="0" refreshError="1"/>
      <sheetData sheetId="1">
        <row r="7">
          <cell r="B7" t="str">
            <v>ActewAGL Distribution</v>
          </cell>
        </row>
        <row r="8">
          <cell r="B8" t="str">
            <v>Ausgrid</v>
          </cell>
        </row>
        <row r="9">
          <cell r="B9" t="str">
            <v>AusNet (D)</v>
          </cell>
        </row>
        <row r="10">
          <cell r="B10" t="str">
            <v>AusNet (T)</v>
          </cell>
        </row>
        <row r="11">
          <cell r="B11" t="str">
            <v>CitiPower</v>
          </cell>
        </row>
        <row r="12">
          <cell r="B12" t="str">
            <v>Directlink</v>
          </cell>
        </row>
        <row r="13">
          <cell r="B13" t="str">
            <v>ElectraNet</v>
          </cell>
        </row>
        <row r="14">
          <cell r="B14" t="str">
            <v>Endeavour Energy</v>
          </cell>
        </row>
        <row r="15">
          <cell r="B15" t="str">
            <v>Energex</v>
          </cell>
        </row>
        <row r="16">
          <cell r="B16" t="str">
            <v>Ergon Energy</v>
          </cell>
        </row>
        <row r="17">
          <cell r="B17" t="str">
            <v>Essential Energy</v>
          </cell>
        </row>
        <row r="18">
          <cell r="B18" t="str">
            <v>Jemena Electricity</v>
          </cell>
        </row>
        <row r="19">
          <cell r="B19" t="str">
            <v>Murraylink</v>
          </cell>
        </row>
        <row r="20">
          <cell r="B20" t="str">
            <v>Power and Water</v>
          </cell>
        </row>
        <row r="21">
          <cell r="B21" t="str">
            <v>Powercor Australia</v>
          </cell>
        </row>
        <row r="22">
          <cell r="B22" t="str">
            <v>Powerlink</v>
          </cell>
        </row>
        <row r="23">
          <cell r="B23" t="str">
            <v>SA Power Networks</v>
          </cell>
        </row>
        <row r="24">
          <cell r="B24" t="str">
            <v>TasNetworks (D)</v>
          </cell>
        </row>
        <row r="25">
          <cell r="B25" t="str">
            <v>TasNetworks (T)</v>
          </cell>
        </row>
        <row r="26">
          <cell r="B26" t="str">
            <v>TransGrid</v>
          </cell>
        </row>
        <row r="27">
          <cell r="B27" t="str">
            <v>United Energy</v>
          </cell>
        </row>
      </sheetData>
      <sheetData sheetId="2" refreshError="1"/>
      <sheetData sheetId="3" refreshError="1"/>
      <sheetData sheetId="4">
        <row r="70">
          <cell r="C70">
            <v>5</v>
          </cell>
        </row>
      </sheetData>
      <sheetData sheetId="5" refreshError="1"/>
      <sheetData sheetId="6" refreshError="1"/>
      <sheetData sheetId="7">
        <row r="16">
          <cell r="AL16" t="str">
            <v>Australian Distribution Co. (Vic)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Lookups -&gt;"/>
      <sheetName val="Escalators"/>
      <sheetName val="Lab_Mat"/>
      <sheetName val="Rpt_Cat"/>
      <sheetName val="Spare"/>
      <sheetName val="Inputs -&gt;"/>
      <sheetName val="Augmentation"/>
      <sheetName val="Connections"/>
      <sheetName val="Major_Rebuilds"/>
      <sheetName val="Stations"/>
      <sheetName val="Lines"/>
      <sheetName val="PC&amp;A"/>
      <sheetName val="SCADA&amp;Comms"/>
      <sheetName val="ESL_1"/>
      <sheetName val="ESL_2"/>
      <sheetName val="ICT"/>
      <sheetName val="Other_General"/>
      <sheetName val="Aggregations &amp; Alloc -&gt;"/>
      <sheetName val="Base_Forecast"/>
      <sheetName val="Reg_Forecasts"/>
      <sheetName val="Tenix_Overhead"/>
      <sheetName val="RIN_Direct_Forecast"/>
      <sheetName val="AusNet_Overheads"/>
      <sheetName val="Reg_Fcast_Total"/>
      <sheetName val="Outputs -&gt;"/>
      <sheetName val="RFM_PTRM"/>
      <sheetName val="TAB"/>
      <sheetName val="ESC_Cat"/>
      <sheetName val="Charts"/>
      <sheetName val="RIN Template -&gt;"/>
      <sheetName val="2.1 Exp Summary"/>
      <sheetName val="2.6 Non-Network"/>
      <sheetName val="2.10 Overheads"/>
      <sheetName val="2.12 Input Tables"/>
      <sheetName val="2.17 Step Changes"/>
      <sheetName val="Other -&gt;"/>
      <sheetName val="Repex_Analysis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C5">
            <v>1000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orecast Volumes and Revenue"/>
      <sheetName val="2021 Remote Special Reads"/>
      <sheetName val="2021 Remote Reconfig"/>
      <sheetName val="2021 Field Officer Visit"/>
      <sheetName val="Non-Standard AMI Data Request"/>
      <sheetName val="Non-Standard AMI Data Reque (2"/>
      <sheetName val="Sheet5"/>
      <sheetName val="Sheet5 (2)"/>
      <sheetName val="Priority Re-energisation"/>
      <sheetName val="Type-7 Unmeter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3">
            <v>0</v>
          </cell>
          <cell r="C3">
            <v>0</v>
          </cell>
        </row>
      </sheetData>
      <sheetData sheetId="8">
        <row r="16">
          <cell r="C16">
            <v>2022</v>
          </cell>
        </row>
      </sheetData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4"/>
  <sheetViews>
    <sheetView tabSelected="1" workbookViewId="0"/>
  </sheetViews>
  <sheetFormatPr defaultRowHeight="15" x14ac:dyDescent="0.25"/>
  <cols>
    <col min="2" max="2" width="26.42578125" customWidth="1"/>
    <col min="3" max="3" width="13.85546875" customWidth="1"/>
    <col min="4" max="4" width="111.5703125" customWidth="1"/>
  </cols>
  <sheetData>
    <row r="1" spans="1:4" x14ac:dyDescent="0.25">
      <c r="A1" s="177" t="s">
        <v>154</v>
      </c>
      <c r="B1" s="178" t="s">
        <v>155</v>
      </c>
      <c r="C1" s="178" t="s">
        <v>156</v>
      </c>
      <c r="D1" s="178" t="s">
        <v>157</v>
      </c>
    </row>
    <row r="2" spans="1:4" x14ac:dyDescent="0.25">
      <c r="A2">
        <v>1</v>
      </c>
      <c r="B2" t="s">
        <v>161</v>
      </c>
      <c r="C2" t="s">
        <v>162</v>
      </c>
      <c r="D2" t="s">
        <v>160</v>
      </c>
    </row>
    <row r="3" spans="1:4" x14ac:dyDescent="0.25">
      <c r="A3">
        <v>2</v>
      </c>
      <c r="B3" t="s">
        <v>161</v>
      </c>
      <c r="C3" t="s">
        <v>180</v>
      </c>
      <c r="D3" t="s">
        <v>181</v>
      </c>
    </row>
    <row r="4" spans="1:4" x14ac:dyDescent="0.25">
      <c r="A4">
        <v>3</v>
      </c>
      <c r="B4" t="s">
        <v>163</v>
      </c>
      <c r="C4" t="s">
        <v>164</v>
      </c>
      <c r="D4" t="s">
        <v>170</v>
      </c>
    </row>
    <row r="5" spans="1:4" x14ac:dyDescent="0.25">
      <c r="A5">
        <v>4</v>
      </c>
      <c r="B5" t="s">
        <v>165</v>
      </c>
      <c r="C5" t="s">
        <v>166</v>
      </c>
      <c r="D5" t="s">
        <v>167</v>
      </c>
    </row>
    <row r="6" spans="1:4" x14ac:dyDescent="0.25">
      <c r="A6">
        <v>5</v>
      </c>
      <c r="B6" t="s">
        <v>165</v>
      </c>
      <c r="C6" t="s">
        <v>168</v>
      </c>
      <c r="D6" t="s">
        <v>170</v>
      </c>
    </row>
    <row r="7" spans="1:4" x14ac:dyDescent="0.25">
      <c r="A7">
        <v>6</v>
      </c>
      <c r="B7" t="s">
        <v>165</v>
      </c>
      <c r="C7" t="s">
        <v>173</v>
      </c>
      <c r="D7" t="s">
        <v>178</v>
      </c>
    </row>
    <row r="8" spans="1:4" x14ac:dyDescent="0.25">
      <c r="A8">
        <v>7</v>
      </c>
      <c r="B8" t="s">
        <v>165</v>
      </c>
      <c r="C8" t="s">
        <v>169</v>
      </c>
      <c r="D8" t="s">
        <v>171</v>
      </c>
    </row>
    <row r="9" spans="1:4" x14ac:dyDescent="0.25">
      <c r="A9">
        <v>8</v>
      </c>
      <c r="B9" t="s">
        <v>165</v>
      </c>
      <c r="C9" t="s">
        <v>174</v>
      </c>
      <c r="D9" t="s">
        <v>175</v>
      </c>
    </row>
    <row r="10" spans="1:4" x14ac:dyDescent="0.25">
      <c r="A10">
        <v>9</v>
      </c>
      <c r="B10" t="s">
        <v>177</v>
      </c>
      <c r="C10" t="s">
        <v>176</v>
      </c>
      <c r="D10" t="s">
        <v>170</v>
      </c>
    </row>
    <row r="14" spans="1:4" x14ac:dyDescent="0.25">
      <c r="A14" s="185" t="s">
        <v>158</v>
      </c>
      <c r="B14" s="185"/>
      <c r="C14" s="185"/>
      <c r="D14" s="185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2:M22"/>
  <sheetViews>
    <sheetView zoomScaleNormal="100" workbookViewId="0">
      <selection activeCell="C9" sqref="C9"/>
    </sheetView>
  </sheetViews>
  <sheetFormatPr defaultRowHeight="15" x14ac:dyDescent="0.25"/>
  <cols>
    <col min="1" max="1" width="17.5703125" customWidth="1"/>
    <col min="2" max="2" width="22.5703125" customWidth="1"/>
    <col min="4" max="4" width="27.28515625" customWidth="1"/>
    <col min="11" max="11" width="11.7109375" customWidth="1"/>
    <col min="12" max="12" width="15.42578125" customWidth="1"/>
    <col min="13" max="13" width="15.7109375" customWidth="1"/>
  </cols>
  <sheetData>
    <row r="2" spans="1:13" ht="64.5" x14ac:dyDescent="0.25">
      <c r="A2" s="10"/>
      <c r="B2" s="11"/>
      <c r="C2" s="12" t="s">
        <v>0</v>
      </c>
      <c r="D2" s="13"/>
      <c r="E2" s="13"/>
      <c r="F2" s="14"/>
      <c r="G2" s="15"/>
      <c r="H2" s="16" t="s">
        <v>77</v>
      </c>
      <c r="I2" s="51" t="s">
        <v>78</v>
      </c>
      <c r="K2" s="53"/>
      <c r="L2" s="53"/>
      <c r="M2" s="53"/>
    </row>
    <row r="3" spans="1:13" x14ac:dyDescent="0.25">
      <c r="A3" s="17" t="s">
        <v>1</v>
      </c>
      <c r="B3" s="18" t="s">
        <v>2</v>
      </c>
      <c r="C3" s="19" t="s">
        <v>3</v>
      </c>
      <c r="D3" s="19" t="s">
        <v>4</v>
      </c>
      <c r="E3" s="19" t="s">
        <v>5</v>
      </c>
      <c r="F3" s="20" t="s">
        <v>6</v>
      </c>
      <c r="G3" s="2"/>
      <c r="H3" s="21">
        <v>2021</v>
      </c>
      <c r="I3" s="21">
        <v>2021</v>
      </c>
      <c r="K3" s="54" t="s">
        <v>18</v>
      </c>
      <c r="L3" s="54" t="s">
        <v>20</v>
      </c>
      <c r="M3" s="54" t="s">
        <v>21</v>
      </c>
    </row>
    <row r="4" spans="1:13" x14ac:dyDescent="0.25">
      <c r="A4" s="22" t="s">
        <v>15</v>
      </c>
      <c r="B4" s="23" t="s">
        <v>7</v>
      </c>
      <c r="C4" s="24" t="s">
        <v>8</v>
      </c>
      <c r="D4" s="24" t="s">
        <v>9</v>
      </c>
      <c r="E4" s="24" t="s">
        <v>10</v>
      </c>
      <c r="F4" s="25" t="s">
        <v>11</v>
      </c>
      <c r="G4" s="26"/>
      <c r="H4" s="27"/>
      <c r="I4" s="27"/>
      <c r="K4" s="55" t="s">
        <v>19</v>
      </c>
      <c r="L4" s="55" t="s">
        <v>23</v>
      </c>
      <c r="M4" s="55" t="s">
        <v>24</v>
      </c>
    </row>
    <row r="5" spans="1:13" x14ac:dyDescent="0.25">
      <c r="A5" s="17"/>
      <c r="B5" s="28" t="s">
        <v>25</v>
      </c>
      <c r="C5" s="29"/>
      <c r="D5" s="18"/>
      <c r="E5" s="18"/>
      <c r="F5" s="30"/>
      <c r="G5" s="31"/>
      <c r="H5" s="32"/>
      <c r="I5" s="33"/>
      <c r="K5" s="56"/>
      <c r="L5" s="56"/>
      <c r="M5" s="56"/>
    </row>
    <row r="6" spans="1:13" x14ac:dyDescent="0.25">
      <c r="A6" s="34"/>
      <c r="B6" s="35"/>
      <c r="C6" s="29"/>
      <c r="D6" s="35"/>
      <c r="E6" s="35"/>
      <c r="F6" s="29"/>
      <c r="G6" s="36"/>
      <c r="H6" s="37"/>
      <c r="I6" s="38"/>
      <c r="K6" s="46"/>
      <c r="L6" s="46"/>
      <c r="M6" s="46"/>
    </row>
    <row r="7" spans="1:13" ht="26.25" x14ac:dyDescent="0.25">
      <c r="A7" s="39">
        <v>1.1000000000000001</v>
      </c>
      <c r="B7" s="49" t="s">
        <v>91</v>
      </c>
      <c r="C7" s="64">
        <f>10/60</f>
        <v>0.16666666666666666</v>
      </c>
      <c r="D7" s="35" t="s">
        <v>12</v>
      </c>
      <c r="E7" s="35">
        <v>1</v>
      </c>
      <c r="F7" s="29">
        <f>E7*C7</f>
        <v>0.16666666666666666</v>
      </c>
      <c r="G7" s="36"/>
      <c r="H7" s="70">
        <f>Summary!C25</f>
        <v>78.239999999999995</v>
      </c>
      <c r="I7" s="40">
        <f>H7*$F7</f>
        <v>13.04</v>
      </c>
      <c r="K7" s="57">
        <v>1</v>
      </c>
      <c r="L7" s="61">
        <f>C14*K7</f>
        <v>2328</v>
      </c>
      <c r="M7" s="62">
        <f>L7*I7</f>
        <v>30357.119999999999</v>
      </c>
    </row>
    <row r="8" spans="1:13" ht="30" x14ac:dyDescent="0.25">
      <c r="A8" s="39"/>
      <c r="B8" s="50" t="s">
        <v>56</v>
      </c>
      <c r="C8" s="64"/>
      <c r="D8" s="35"/>
      <c r="E8" s="35"/>
      <c r="F8" s="29"/>
      <c r="G8" s="36"/>
      <c r="H8" s="37"/>
      <c r="I8" s="40"/>
      <c r="K8" s="46"/>
      <c r="L8" s="29"/>
      <c r="M8" s="29"/>
    </row>
    <row r="9" spans="1:13" x14ac:dyDescent="0.25">
      <c r="A9" s="39"/>
      <c r="B9" s="50"/>
      <c r="C9" s="64"/>
      <c r="D9" s="35"/>
      <c r="E9" s="35"/>
      <c r="F9" s="29"/>
      <c r="G9" s="36"/>
      <c r="H9" s="37"/>
      <c r="I9" s="40"/>
      <c r="K9" s="46"/>
      <c r="L9" s="29"/>
      <c r="M9" s="29"/>
    </row>
    <row r="10" spans="1:13" ht="36.75" x14ac:dyDescent="0.25">
      <c r="A10" s="39">
        <v>1.2</v>
      </c>
      <c r="B10" s="50" t="s">
        <v>93</v>
      </c>
      <c r="C10" s="64"/>
      <c r="D10" s="126" t="s">
        <v>96</v>
      </c>
      <c r="E10" s="35"/>
      <c r="F10" s="29"/>
      <c r="G10" s="36"/>
      <c r="H10" s="40">
        <v>462.65</v>
      </c>
      <c r="I10" s="40"/>
      <c r="K10" s="124">
        <v>0.7</v>
      </c>
      <c r="L10" s="29">
        <f>K10*C14</f>
        <v>1629.6</v>
      </c>
      <c r="M10" s="29">
        <f>L10*H10</f>
        <v>753934.44</v>
      </c>
    </row>
    <row r="11" spans="1:13" x14ac:dyDescent="0.25">
      <c r="A11" s="41"/>
      <c r="B11" s="52"/>
      <c r="C11" s="42"/>
      <c r="D11" s="42"/>
      <c r="E11" s="42"/>
      <c r="F11" s="43"/>
      <c r="G11" s="44"/>
      <c r="H11" s="45"/>
      <c r="I11" s="45"/>
      <c r="K11" s="190" t="s">
        <v>13</v>
      </c>
      <c r="L11" s="191"/>
      <c r="M11" s="6">
        <f>M10+M7</f>
        <v>784291.55999999994</v>
      </c>
    </row>
    <row r="13" spans="1:13" ht="45" x14ac:dyDescent="0.25">
      <c r="B13" s="59" t="s">
        <v>90</v>
      </c>
      <c r="C13" s="60">
        <v>23280</v>
      </c>
    </row>
    <row r="14" spans="1:13" ht="30" x14ac:dyDescent="0.25">
      <c r="B14" s="59" t="s">
        <v>92</v>
      </c>
      <c r="C14" s="60">
        <f>C13*0.1</f>
        <v>2328</v>
      </c>
      <c r="H14" s="9"/>
      <c r="I14" s="47" t="s">
        <v>14</v>
      </c>
      <c r="M14" s="65">
        <f>M11/C13</f>
        <v>33.689499999999995</v>
      </c>
    </row>
    <row r="15" spans="1:13" x14ac:dyDescent="0.25">
      <c r="C15" s="60"/>
      <c r="H15" s="9"/>
      <c r="I15" s="47"/>
    </row>
    <row r="16" spans="1:13" x14ac:dyDescent="0.25">
      <c r="C16" s="4"/>
      <c r="D16" s="4"/>
      <c r="E16" s="4"/>
      <c r="F16" s="48"/>
      <c r="G16" s="8"/>
    </row>
    <row r="17" spans="2:13" x14ac:dyDescent="0.25">
      <c r="B17" s="60" t="s">
        <v>22</v>
      </c>
    </row>
    <row r="18" spans="2:13" x14ac:dyDescent="0.25">
      <c r="B18" s="58" t="s">
        <v>111</v>
      </c>
    </row>
    <row r="19" spans="2:13" x14ac:dyDescent="0.25">
      <c r="B19" t="s">
        <v>112</v>
      </c>
    </row>
    <row r="20" spans="2:13" x14ac:dyDescent="0.25">
      <c r="B20" s="125" t="s">
        <v>94</v>
      </c>
      <c r="C20" s="60"/>
      <c r="M20" s="66"/>
    </row>
    <row r="21" spans="2:13" x14ac:dyDescent="0.25">
      <c r="B21" t="s">
        <v>98</v>
      </c>
    </row>
    <row r="22" spans="2:13" x14ac:dyDescent="0.25">
      <c r="B22" s="125" t="s">
        <v>95</v>
      </c>
      <c r="M22" s="66"/>
    </row>
  </sheetData>
  <mergeCells count="1">
    <mergeCell ref="K11:L11"/>
  </mergeCells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</sheetPr>
  <dimension ref="A1:I5"/>
  <sheetViews>
    <sheetView workbookViewId="0">
      <selection activeCell="D5" sqref="D5"/>
    </sheetView>
  </sheetViews>
  <sheetFormatPr defaultRowHeight="15" x14ac:dyDescent="0.25"/>
  <cols>
    <col min="1" max="1" width="25" customWidth="1"/>
    <col min="4" max="4" width="12.7109375" customWidth="1"/>
  </cols>
  <sheetData>
    <row r="1" spans="1:9" x14ac:dyDescent="0.25">
      <c r="A1" t="s">
        <v>107</v>
      </c>
      <c r="B1" s="5">
        <v>2019</v>
      </c>
      <c r="C1" s="5">
        <v>2020</v>
      </c>
      <c r="D1" s="5">
        <v>2021</v>
      </c>
      <c r="E1" s="5">
        <v>2022</v>
      </c>
      <c r="F1" s="5">
        <v>2023</v>
      </c>
      <c r="G1" s="5">
        <v>2024</v>
      </c>
      <c r="H1" s="5">
        <v>2025</v>
      </c>
      <c r="I1" s="5">
        <v>2026</v>
      </c>
    </row>
    <row r="2" spans="1:9" x14ac:dyDescent="0.25">
      <c r="A2" t="s">
        <v>87</v>
      </c>
      <c r="D2" s="120">
        <v>30</v>
      </c>
      <c r="E2" s="120">
        <v>30</v>
      </c>
      <c r="F2" s="120">
        <f t="shared" ref="F2:I2" si="0">E2*(1.0245)</f>
        <v>30.734999999999999</v>
      </c>
      <c r="G2" s="120">
        <f t="shared" si="0"/>
        <v>31.488007499999998</v>
      </c>
      <c r="H2" s="120">
        <f t="shared" si="0"/>
        <v>32.259463683749999</v>
      </c>
      <c r="I2" s="120">
        <f t="shared" si="0"/>
        <v>33.049820544001875</v>
      </c>
    </row>
    <row r="3" spans="1:9" x14ac:dyDescent="0.25">
      <c r="A3" t="s">
        <v>88</v>
      </c>
      <c r="B3" s="141">
        <v>1.6924999999999999</v>
      </c>
      <c r="C3" s="141">
        <f>B3*(1+D5)</f>
        <v>1.7263396292144546</v>
      </c>
      <c r="D3" s="141">
        <f>C3*(1+D5)</f>
        <v>1.7608558436610344</v>
      </c>
      <c r="E3" s="141">
        <f>D3</f>
        <v>1.7608558436610344</v>
      </c>
      <c r="F3" s="141">
        <f>E3*(1+D5)</f>
        <v>1.7960621708986091</v>
      </c>
      <c r="G3" s="141">
        <f>F3*(1+D5)</f>
        <v>1.8319724089543357</v>
      </c>
      <c r="H3" s="141">
        <f>G3*(1+D5)</f>
        <v>1.8686006317313673</v>
      </c>
      <c r="I3" s="141">
        <f>H3*(1+D5)</f>
        <v>1.9059611945246819</v>
      </c>
    </row>
    <row r="5" spans="1:9" x14ac:dyDescent="0.25">
      <c r="A5" s="5" t="s">
        <v>22</v>
      </c>
      <c r="C5" t="s">
        <v>34</v>
      </c>
      <c r="D5" s="176">
        <v>1.9993872504847601E-2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2"/>
  <sheetViews>
    <sheetView workbookViewId="0">
      <selection activeCell="D1" sqref="D1"/>
    </sheetView>
  </sheetViews>
  <sheetFormatPr defaultRowHeight="15" x14ac:dyDescent="0.25"/>
  <cols>
    <col min="1" max="1" width="29.5703125" customWidth="1"/>
    <col min="2" max="4" width="25.7109375" customWidth="1"/>
  </cols>
  <sheetData>
    <row r="1" spans="1:4" x14ac:dyDescent="0.25">
      <c r="A1" s="5" t="s">
        <v>144</v>
      </c>
      <c r="B1" s="189" t="s">
        <v>145</v>
      </c>
      <c r="C1" s="189"/>
      <c r="D1" s="192" t="s">
        <v>179</v>
      </c>
    </row>
    <row r="2" spans="1:4" x14ac:dyDescent="0.25">
      <c r="A2" s="5" t="s">
        <v>147</v>
      </c>
      <c r="B2" s="171" t="s">
        <v>146</v>
      </c>
      <c r="C2" s="175" t="s">
        <v>152</v>
      </c>
      <c r="D2" s="192" t="s">
        <v>152</v>
      </c>
    </row>
    <row r="3" spans="1:4" x14ac:dyDescent="0.25">
      <c r="A3" t="s">
        <v>40</v>
      </c>
      <c r="B3" s="172">
        <v>1.128932459099879</v>
      </c>
      <c r="C3" s="172">
        <f>Summary!C37/(1+Summary!E35)</f>
        <v>0</v>
      </c>
      <c r="D3" s="193">
        <f>C3*(1+Summary!$E$35)</f>
        <v>0</v>
      </c>
    </row>
    <row r="4" spans="1:4" x14ac:dyDescent="0.25">
      <c r="A4" t="s">
        <v>41</v>
      </c>
      <c r="B4" s="172">
        <v>14.75335177051136</v>
      </c>
      <c r="C4" s="172">
        <f>Summary!D37/(1+Summary!E35)</f>
        <v>14.818529107209958</v>
      </c>
      <c r="D4" s="193">
        <f>C4*(1+Summary!$E$35)</f>
        <v>15.114808888888888</v>
      </c>
    </row>
    <row r="5" spans="1:4" x14ac:dyDescent="0.25">
      <c r="A5" t="s">
        <v>73</v>
      </c>
      <c r="B5" s="172">
        <v>33.972279592568739</v>
      </c>
      <c r="C5" s="172">
        <f>Summary!F37/(1+Summary!E35)</f>
        <v>34.122362281564847</v>
      </c>
      <c r="D5" s="193">
        <f>C5*(1+Summary!$E$35)</f>
        <v>34.804600442586676</v>
      </c>
    </row>
    <row r="6" spans="1:4" x14ac:dyDescent="0.25">
      <c r="A6" t="s">
        <v>75</v>
      </c>
      <c r="B6" s="172">
        <v>33.972279592568739</v>
      </c>
      <c r="C6" s="172">
        <f>Summary!F37/(1+Summary!E35)</f>
        <v>34.122362281564847</v>
      </c>
      <c r="D6" s="193">
        <f>C6*(1+Summary!$E$35)</f>
        <v>34.804600442586676</v>
      </c>
    </row>
    <row r="7" spans="1:4" x14ac:dyDescent="0.25">
      <c r="A7" t="s">
        <v>150</v>
      </c>
      <c r="B7" s="172">
        <v>67.944559185137479</v>
      </c>
      <c r="C7" s="172">
        <f>C5*1.75</f>
        <v>59.714133992738482</v>
      </c>
      <c r="D7" s="193">
        <f>C7*(1+Summary!$E$35)</f>
        <v>60.908050774526686</v>
      </c>
    </row>
    <row r="8" spans="1:4" x14ac:dyDescent="0.25">
      <c r="A8" t="s">
        <v>103</v>
      </c>
      <c r="B8" s="172">
        <v>32.883845778428501</v>
      </c>
      <c r="C8" s="172">
        <f>Summary!H37/(1+Summary!E35)</f>
        <v>33.029119986051569</v>
      </c>
      <c r="D8" s="193">
        <f>C8*(1+Summary!$E$35)</f>
        <v>33.689499999999995</v>
      </c>
    </row>
    <row r="9" spans="1:4" x14ac:dyDescent="0.25">
      <c r="A9" t="s">
        <v>128</v>
      </c>
      <c r="B9" s="172">
        <v>0</v>
      </c>
      <c r="C9" s="172">
        <f>Summary!I37</f>
        <v>0.83464155097215231</v>
      </c>
      <c r="D9" s="193">
        <f>C9*(1+Summary!$E$35)</f>
        <v>0.85132926772953776</v>
      </c>
    </row>
    <row r="10" spans="1:4" x14ac:dyDescent="0.25">
      <c r="A10" s="5" t="s">
        <v>148</v>
      </c>
      <c r="B10" s="172"/>
      <c r="C10" s="172"/>
      <c r="D10" s="193"/>
    </row>
    <row r="11" spans="1:4" x14ac:dyDescent="0.25">
      <c r="A11" t="s">
        <v>149</v>
      </c>
      <c r="B11" s="172">
        <f>'Type-7 Unmetered'!E2/(1+'Type-7 Unmetered'!$D$5)</f>
        <v>29.411941393655209</v>
      </c>
      <c r="C11" s="172">
        <f>B11</f>
        <v>29.411941393655209</v>
      </c>
      <c r="D11" s="193">
        <f>C11*(1+Summary!$E$35)</f>
        <v>30</v>
      </c>
    </row>
    <row r="12" spans="1:4" x14ac:dyDescent="0.25">
      <c r="A12" t="s">
        <v>88</v>
      </c>
      <c r="B12" s="172">
        <f>'Type-7 Unmetered'!E3/(1+'Type-7 Unmetered'!$D$5)</f>
        <v>1.7263396292144546</v>
      </c>
      <c r="C12" s="172">
        <f>B12</f>
        <v>1.7263396292144546</v>
      </c>
      <c r="D12" s="193">
        <f>C12*(1+Summary!$E$35)</f>
        <v>1.7608558436610344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92D050"/>
  </sheetPr>
  <dimension ref="B7:I50"/>
  <sheetViews>
    <sheetView zoomScale="70" zoomScaleNormal="70" workbookViewId="0">
      <selection activeCell="I37" sqref="I37"/>
    </sheetView>
  </sheetViews>
  <sheetFormatPr defaultRowHeight="15" x14ac:dyDescent="0.25"/>
  <cols>
    <col min="1" max="1" width="4.140625" customWidth="1"/>
    <col min="2" max="2" width="32.28515625" customWidth="1"/>
    <col min="3" max="3" width="21.28515625" customWidth="1"/>
    <col min="4" max="4" width="21.7109375" customWidth="1"/>
    <col min="5" max="5" width="26.140625" customWidth="1"/>
    <col min="6" max="6" width="34.28515625" customWidth="1"/>
    <col min="7" max="7" width="47.140625" customWidth="1"/>
    <col min="8" max="8" width="28.85546875" customWidth="1"/>
    <col min="9" max="9" width="32.85546875" customWidth="1"/>
    <col min="10" max="10" width="28.140625" customWidth="1"/>
  </cols>
  <sheetData>
    <row r="7" spans="2:7" x14ac:dyDescent="0.25">
      <c r="B7" s="5" t="s">
        <v>38</v>
      </c>
    </row>
    <row r="10" spans="2:7" x14ac:dyDescent="0.25">
      <c r="B10" s="10"/>
      <c r="C10" s="12" t="s">
        <v>36</v>
      </c>
      <c r="D10" s="12" t="s">
        <v>39</v>
      </c>
      <c r="E10" s="107" t="s">
        <v>74</v>
      </c>
      <c r="F10" s="107" t="s">
        <v>76</v>
      </c>
      <c r="G10" s="21" t="s">
        <v>103</v>
      </c>
    </row>
    <row r="11" spans="2:7" x14ac:dyDescent="0.25">
      <c r="B11" s="17" t="s">
        <v>29</v>
      </c>
      <c r="C11" s="19" t="s">
        <v>30</v>
      </c>
      <c r="D11" s="54" t="s">
        <v>30</v>
      </c>
      <c r="E11" s="108" t="s">
        <v>30</v>
      </c>
      <c r="F11" s="108" t="s">
        <v>30</v>
      </c>
      <c r="G11" s="38"/>
    </row>
    <row r="12" spans="2:7" x14ac:dyDescent="0.25">
      <c r="B12" s="22"/>
      <c r="C12" s="24"/>
      <c r="D12" s="55"/>
      <c r="E12" s="80"/>
      <c r="F12" s="111"/>
      <c r="G12" s="27"/>
    </row>
    <row r="13" spans="2:7" x14ac:dyDescent="0.25">
      <c r="B13" s="75"/>
      <c r="C13" s="67"/>
      <c r="D13" s="30"/>
      <c r="E13" s="38"/>
      <c r="F13" s="38"/>
      <c r="G13" s="133"/>
    </row>
    <row r="14" spans="2:7" x14ac:dyDescent="0.25">
      <c r="B14" s="76"/>
      <c r="C14" s="38"/>
      <c r="D14" s="77"/>
      <c r="E14" s="38"/>
      <c r="F14" s="38"/>
      <c r="G14" s="37"/>
    </row>
    <row r="15" spans="2:7" x14ac:dyDescent="0.25">
      <c r="B15" s="78" t="s">
        <v>105</v>
      </c>
      <c r="C15" s="69">
        <f>'2021 Remote Special Reads'!M14</f>
        <v>0</v>
      </c>
      <c r="D15" s="69">
        <f>'2021 Remote Reconfig'!M17</f>
        <v>15.114808888888888</v>
      </c>
      <c r="E15" s="135">
        <f>'2021 Field Officer Visit'!F10</f>
        <v>34.804600442586676</v>
      </c>
      <c r="F15" s="136">
        <f>'2021 Field Officer Visit'!F8</f>
        <v>34.804600442586676</v>
      </c>
      <c r="G15" s="137">
        <f>'Priority Re-energisation'!M14</f>
        <v>33.689499999999995</v>
      </c>
    </row>
    <row r="16" spans="2:7" x14ac:dyDescent="0.25">
      <c r="B16" s="78"/>
      <c r="C16" s="71"/>
      <c r="D16" s="71"/>
      <c r="E16" s="38"/>
      <c r="F16" s="38"/>
      <c r="G16" s="37"/>
    </row>
    <row r="17" spans="2:7" x14ac:dyDescent="0.25">
      <c r="B17" s="78"/>
      <c r="C17" s="34"/>
      <c r="D17" s="29"/>
      <c r="E17" s="38"/>
      <c r="F17" s="38"/>
      <c r="G17" s="37"/>
    </row>
    <row r="18" spans="2:7" x14ac:dyDescent="0.25">
      <c r="B18" s="79"/>
      <c r="C18" s="41"/>
      <c r="D18" s="81"/>
      <c r="E18" s="80"/>
      <c r="F18" s="80"/>
      <c r="G18" s="134"/>
    </row>
    <row r="20" spans="2:7" x14ac:dyDescent="0.25">
      <c r="B20" s="101" t="s">
        <v>65</v>
      </c>
    </row>
    <row r="22" spans="2:7" x14ac:dyDescent="0.25">
      <c r="B22" s="88" t="s">
        <v>12</v>
      </c>
      <c r="C22" s="84"/>
      <c r="E22" s="92" t="s">
        <v>49</v>
      </c>
      <c r="F22" s="100" t="s">
        <v>63</v>
      </c>
      <c r="G22" s="84"/>
    </row>
    <row r="23" spans="2:7" x14ac:dyDescent="0.25">
      <c r="B23" s="2" t="s">
        <v>45</v>
      </c>
      <c r="C23" s="98">
        <v>65.2</v>
      </c>
      <c r="D23" s="127"/>
      <c r="E23" s="2" t="s">
        <v>50</v>
      </c>
      <c r="F23" s="93">
        <f>'2021 Field Officer Visit'!C17*4</f>
        <v>48544</v>
      </c>
      <c r="G23" s="77" t="s">
        <v>106</v>
      </c>
    </row>
    <row r="24" spans="2:7" x14ac:dyDescent="0.25">
      <c r="B24" s="2" t="s">
        <v>44</v>
      </c>
      <c r="C24" s="85">
        <v>0.2</v>
      </c>
      <c r="D24" s="127"/>
      <c r="E24" s="2" t="s">
        <v>51</v>
      </c>
      <c r="F24" s="1">
        <v>25191</v>
      </c>
      <c r="G24" s="77"/>
    </row>
    <row r="25" spans="2:7" x14ac:dyDescent="0.25">
      <c r="B25" s="86" t="s">
        <v>33</v>
      </c>
      <c r="C25" s="87">
        <f>C23*(1+C24)</f>
        <v>78.239999999999995</v>
      </c>
      <c r="D25" s="127"/>
      <c r="E25" s="2" t="s">
        <v>52</v>
      </c>
      <c r="F25" s="1">
        <v>2953</v>
      </c>
      <c r="G25" s="77"/>
    </row>
    <row r="26" spans="2:7" x14ac:dyDescent="0.25">
      <c r="E26" s="2" t="s">
        <v>53</v>
      </c>
      <c r="F26" s="1">
        <v>1713</v>
      </c>
      <c r="G26" s="77"/>
    </row>
    <row r="27" spans="2:7" x14ac:dyDescent="0.25">
      <c r="B27" s="88" t="s">
        <v>49</v>
      </c>
      <c r="C27" s="84"/>
      <c r="E27" s="2" t="s">
        <v>39</v>
      </c>
      <c r="F27" s="99">
        <v>1680</v>
      </c>
      <c r="G27" s="77"/>
    </row>
    <row r="28" spans="2:7" x14ac:dyDescent="0.25">
      <c r="B28" s="2" t="s">
        <v>48</v>
      </c>
      <c r="C28" s="123">
        <v>2731837</v>
      </c>
      <c r="D28" s="127"/>
      <c r="E28" s="2" t="s">
        <v>36</v>
      </c>
      <c r="F28" s="1">
        <v>1259</v>
      </c>
      <c r="G28" s="77"/>
    </row>
    <row r="29" spans="2:7" x14ac:dyDescent="0.25">
      <c r="B29" s="2" t="s">
        <v>82</v>
      </c>
      <c r="C29" s="91">
        <f>(SUM(F25:F28)*10)/60*C25</f>
        <v>99169.2</v>
      </c>
      <c r="E29" s="94" t="s">
        <v>81</v>
      </c>
      <c r="F29" s="93">
        <f>SUM(F23:F28)</f>
        <v>81340</v>
      </c>
      <c r="G29" s="98"/>
    </row>
    <row r="30" spans="2:7" x14ac:dyDescent="0.25">
      <c r="B30" s="2" t="s">
        <v>54</v>
      </c>
      <c r="C30" s="91">
        <f>F29</f>
        <v>81340</v>
      </c>
      <c r="D30" s="4"/>
      <c r="E30" s="94"/>
      <c r="F30" s="93"/>
      <c r="G30" s="77"/>
    </row>
    <row r="31" spans="2:7" x14ac:dyDescent="0.25">
      <c r="B31" s="102" t="s">
        <v>67</v>
      </c>
      <c r="C31" s="121">
        <v>2</v>
      </c>
      <c r="E31" s="2" t="s">
        <v>89</v>
      </c>
      <c r="F31" s="1"/>
      <c r="G31" s="77"/>
    </row>
    <row r="32" spans="2:7" x14ac:dyDescent="0.25">
      <c r="B32" s="94" t="s">
        <v>68</v>
      </c>
      <c r="C32" s="103">
        <f>(C28+C29)/C30</f>
        <v>34.804600442586676</v>
      </c>
      <c r="E32" s="95" t="s">
        <v>64</v>
      </c>
      <c r="F32" s="96"/>
      <c r="G32" s="97"/>
    </row>
    <row r="33" spans="2:9" x14ac:dyDescent="0.25">
      <c r="B33" s="86" t="s">
        <v>69</v>
      </c>
      <c r="C33" s="122">
        <f>C32*C31</f>
        <v>69.609200885173351</v>
      </c>
      <c r="E33" s="72"/>
    </row>
    <row r="34" spans="2:9" x14ac:dyDescent="0.25">
      <c r="B34" s="89"/>
      <c r="C34" s="90"/>
      <c r="E34" s="72"/>
    </row>
    <row r="35" spans="2:9" x14ac:dyDescent="0.25">
      <c r="B35" s="89"/>
      <c r="C35" s="90"/>
      <c r="D35" t="s">
        <v>34</v>
      </c>
      <c r="E35" s="184">
        <v>1.9993872504847601E-2</v>
      </c>
      <c r="F35" t="s">
        <v>37</v>
      </c>
    </row>
    <row r="36" spans="2:9" ht="30.75" thickBot="1" x14ac:dyDescent="0.3">
      <c r="B36" s="104" t="s">
        <v>35</v>
      </c>
      <c r="C36" s="105" t="s">
        <v>40</v>
      </c>
      <c r="D36" s="110" t="s">
        <v>41</v>
      </c>
      <c r="E36" s="112" t="s">
        <v>73</v>
      </c>
      <c r="F36" s="114" t="s">
        <v>75</v>
      </c>
      <c r="G36" s="130" t="s">
        <v>102</v>
      </c>
      <c r="H36" s="132" t="s">
        <v>103</v>
      </c>
      <c r="I36" s="132" t="s">
        <v>159</v>
      </c>
    </row>
    <row r="37" spans="2:9" x14ac:dyDescent="0.25">
      <c r="B37" s="138" t="s">
        <v>104</v>
      </c>
      <c r="C37" s="179">
        <f>C15</f>
        <v>0</v>
      </c>
      <c r="D37" s="180">
        <f t="shared" ref="D37:E37" si="0">D15</f>
        <v>15.114808888888888</v>
      </c>
      <c r="E37" s="180">
        <f t="shared" si="0"/>
        <v>34.804600442586676</v>
      </c>
      <c r="F37" s="181">
        <f t="shared" ref="F37" si="1">F15</f>
        <v>34.804600442586676</v>
      </c>
      <c r="G37" s="182">
        <f>E37*2</f>
        <v>69.609200885173351</v>
      </c>
      <c r="H37" s="183">
        <f>G15</f>
        <v>33.689499999999995</v>
      </c>
      <c r="I37" s="181">
        <f>'AMI Data Request (AER)'!C22</f>
        <v>0.83464155097215231</v>
      </c>
    </row>
    <row r="38" spans="2:9" hidden="1" x14ac:dyDescent="0.25">
      <c r="B38" s="2">
        <v>2023</v>
      </c>
      <c r="C38" s="82">
        <f>C37*(1+$E$35)</f>
        <v>0</v>
      </c>
      <c r="D38" s="106">
        <f>D37*(1+$E$35)</f>
        <v>15.417012450748469</v>
      </c>
      <c r="E38" s="113">
        <f>E37*(1+$E$35)</f>
        <v>35.50047918641792</v>
      </c>
      <c r="F38" s="109">
        <f>F37*(1+$E$35)</f>
        <v>35.50047918641792</v>
      </c>
      <c r="G38" s="131">
        <f t="shared" ref="G38:G41" si="2">E38*2</f>
        <v>71.000958372835839</v>
      </c>
      <c r="H38" s="98">
        <f>H37+(1+$E$35)</f>
        <v>34.709493872504844</v>
      </c>
      <c r="I38" s="109">
        <v>181</v>
      </c>
    </row>
    <row r="39" spans="2:9" hidden="1" x14ac:dyDescent="0.25">
      <c r="B39" s="2">
        <f>B38+1</f>
        <v>2024</v>
      </c>
      <c r="C39" s="82">
        <f t="shared" ref="C39:D41" si="3">C38*(1+$E$35)</f>
        <v>0</v>
      </c>
      <c r="D39" s="106">
        <f t="shared" si="3"/>
        <v>15.725258232094383</v>
      </c>
      <c r="E39" s="113">
        <f t="shared" ref="E39:F41" si="4">E38*(1+$E$35)</f>
        <v>36.210271241132155</v>
      </c>
      <c r="F39" s="109">
        <f t="shared" si="4"/>
        <v>36.210271241132155</v>
      </c>
      <c r="G39" s="131">
        <f t="shared" si="2"/>
        <v>72.42054248226431</v>
      </c>
      <c r="H39" s="98">
        <f t="shared" ref="H39:H41" si="5">H38+(1+$E$35)</f>
        <v>35.729487745009692</v>
      </c>
      <c r="I39" s="109">
        <v>19</v>
      </c>
    </row>
    <row r="40" spans="2:9" hidden="1" x14ac:dyDescent="0.25">
      <c r="B40" s="2">
        <f t="shared" ref="B40:B41" si="6">B39+1</f>
        <v>2025</v>
      </c>
      <c r="C40" s="82">
        <f t="shared" si="3"/>
        <v>0</v>
      </c>
      <c r="D40" s="106">
        <f t="shared" si="3"/>
        <v>16.039667040292684</v>
      </c>
      <c r="E40" s="113">
        <f t="shared" si="4"/>
        <v>36.934254787693305</v>
      </c>
      <c r="F40" s="109">
        <f t="shared" si="4"/>
        <v>36.934254787693305</v>
      </c>
      <c r="G40" s="131">
        <f t="shared" si="2"/>
        <v>73.868509575386611</v>
      </c>
      <c r="H40" s="98">
        <f t="shared" si="5"/>
        <v>36.74948161751454</v>
      </c>
      <c r="I40" s="109">
        <v>10.202500000000001</v>
      </c>
    </row>
    <row r="41" spans="2:9" hidden="1" x14ac:dyDescent="0.25">
      <c r="B41" s="2">
        <f t="shared" si="6"/>
        <v>2026</v>
      </c>
      <c r="C41" s="82">
        <f t="shared" si="3"/>
        <v>0</v>
      </c>
      <c r="D41" s="106">
        <f t="shared" si="3"/>
        <v>16.360362098116504</v>
      </c>
      <c r="E41" s="113">
        <f t="shared" si="4"/>
        <v>37.672713568980001</v>
      </c>
      <c r="F41" s="109">
        <f t="shared" si="4"/>
        <v>37.672713568980001</v>
      </c>
      <c r="G41" s="131">
        <f t="shared" si="2"/>
        <v>75.345427137960002</v>
      </c>
      <c r="H41" s="150">
        <f t="shared" si="5"/>
        <v>37.769475490019389</v>
      </c>
      <c r="I41" s="109">
        <v>7.2730375</v>
      </c>
    </row>
    <row r="42" spans="2:9" x14ac:dyDescent="0.25">
      <c r="B42" s="95"/>
      <c r="C42" s="96"/>
      <c r="D42" s="97"/>
      <c r="E42" s="95"/>
      <c r="F42" s="80"/>
      <c r="G42" s="80"/>
      <c r="H42" s="97"/>
      <c r="I42" s="151"/>
    </row>
    <row r="43" spans="2:9" x14ac:dyDescent="0.25">
      <c r="E43" s="1"/>
      <c r="F43" s="1"/>
    </row>
    <row r="45" spans="2:9" x14ac:dyDescent="0.25">
      <c r="C45" s="3"/>
      <c r="D45" s="3"/>
      <c r="E45" s="3"/>
      <c r="F45" s="3"/>
      <c r="G45" s="3"/>
      <c r="H45" s="73"/>
    </row>
    <row r="46" spans="2:9" x14ac:dyDescent="0.25">
      <c r="C46" s="3"/>
      <c r="D46" s="3"/>
      <c r="E46" s="3"/>
      <c r="F46" s="3"/>
      <c r="G46" s="3"/>
      <c r="H46" s="3"/>
    </row>
    <row r="47" spans="2:9" x14ac:dyDescent="0.25">
      <c r="C47" s="3"/>
      <c r="D47" s="3"/>
      <c r="E47" s="3"/>
      <c r="F47" s="3"/>
      <c r="G47" s="3"/>
      <c r="H47" s="3"/>
    </row>
    <row r="48" spans="2:9" x14ac:dyDescent="0.25">
      <c r="C48" s="3"/>
      <c r="D48" s="3"/>
      <c r="E48" s="3"/>
      <c r="F48" s="3"/>
      <c r="G48" s="3"/>
      <c r="H48" s="3"/>
    </row>
    <row r="49" spans="3:8" x14ac:dyDescent="0.25">
      <c r="C49" s="3"/>
      <c r="D49" s="3"/>
      <c r="E49" s="3"/>
      <c r="F49" s="3"/>
      <c r="G49" s="3"/>
      <c r="H49" s="3"/>
    </row>
    <row r="50" spans="3:8" x14ac:dyDescent="0.25">
      <c r="H50" s="3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1"/>
  <sheetViews>
    <sheetView showGridLines="0" workbookViewId="0">
      <selection activeCell="C15" sqref="C15"/>
    </sheetView>
  </sheetViews>
  <sheetFormatPr defaultRowHeight="15" x14ac:dyDescent="0.25"/>
  <cols>
    <col min="1" max="1" width="46.42578125" customWidth="1"/>
    <col min="2" max="2" width="14.7109375" customWidth="1"/>
    <col min="3" max="3" width="18.7109375" customWidth="1"/>
    <col min="4" max="4" width="17.42578125" customWidth="1"/>
    <col min="5" max="5" width="17.85546875" customWidth="1"/>
    <col min="6" max="6" width="18.7109375" customWidth="1"/>
    <col min="7" max="8" width="12.7109375" bestFit="1" customWidth="1"/>
    <col min="9" max="9" width="13.85546875" customWidth="1"/>
    <col min="10" max="13" width="11.5703125" bestFit="1" customWidth="1"/>
    <col min="14" max="14" width="10.5703125" bestFit="1" customWidth="1"/>
    <col min="21" max="21" width="19.85546875" customWidth="1"/>
  </cols>
  <sheetData>
    <row r="1" spans="1:22" x14ac:dyDescent="0.25">
      <c r="A1" s="144" t="s">
        <v>123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x14ac:dyDescent="0.25">
      <c r="A2" s="5"/>
      <c r="B2" s="5" t="s">
        <v>114</v>
      </c>
      <c r="C2" s="5"/>
      <c r="D2" s="5"/>
      <c r="E2" s="5"/>
      <c r="F2" s="5"/>
      <c r="G2" s="5"/>
      <c r="H2" s="5"/>
      <c r="I2" s="5" t="s">
        <v>115</v>
      </c>
      <c r="J2" s="5"/>
      <c r="K2" s="5"/>
      <c r="L2" s="5"/>
      <c r="M2" s="5"/>
      <c r="N2" s="5"/>
      <c r="O2" s="5"/>
      <c r="P2" s="5" t="s">
        <v>116</v>
      </c>
      <c r="Q2" s="5"/>
      <c r="R2" s="5"/>
      <c r="S2" s="5"/>
      <c r="T2" s="5"/>
      <c r="U2" s="5"/>
      <c r="V2" s="5"/>
    </row>
    <row r="3" spans="1:22" x14ac:dyDescent="0.25">
      <c r="A3" s="116" t="s">
        <v>117</v>
      </c>
      <c r="B3" s="116">
        <v>2016</v>
      </c>
      <c r="C3" s="116">
        <v>2017</v>
      </c>
      <c r="D3" s="116">
        <v>2018</v>
      </c>
      <c r="E3" s="116">
        <v>2019</v>
      </c>
      <c r="F3" s="116">
        <v>2020</v>
      </c>
      <c r="I3" s="116">
        <v>2016</v>
      </c>
      <c r="J3" s="116">
        <v>2017</v>
      </c>
      <c r="K3" s="116">
        <v>2018</v>
      </c>
      <c r="L3" s="116">
        <v>2019</v>
      </c>
      <c r="M3" s="116">
        <v>2020</v>
      </c>
      <c r="P3" s="107">
        <v>2016</v>
      </c>
      <c r="Q3" s="107">
        <v>2017</v>
      </c>
      <c r="R3" s="107">
        <v>2018</v>
      </c>
      <c r="S3" s="107">
        <v>2019</v>
      </c>
      <c r="T3" s="107">
        <v>2020</v>
      </c>
    </row>
    <row r="4" spans="1:22" x14ac:dyDescent="0.25">
      <c r="A4" s="115" t="s">
        <v>73</v>
      </c>
      <c r="B4" s="118">
        <v>2045401.73</v>
      </c>
      <c r="C4" s="118">
        <v>983135.82000000007</v>
      </c>
      <c r="D4" s="118">
        <v>294497.34000000003</v>
      </c>
      <c r="E4" s="118">
        <v>294497.34000000003</v>
      </c>
      <c r="F4" s="118">
        <v>294497.34000000003</v>
      </c>
      <c r="I4" s="147">
        <v>105250</v>
      </c>
      <c r="J4" s="147">
        <v>42490</v>
      </c>
      <c r="K4" s="147">
        <v>9095</v>
      </c>
      <c r="L4" s="147">
        <v>9095</v>
      </c>
      <c r="M4" s="147">
        <v>9095</v>
      </c>
      <c r="P4" s="118">
        <v>19.43374565320665</v>
      </c>
      <c r="Q4" s="118">
        <v>23.13805177688868</v>
      </c>
      <c r="R4" s="118">
        <v>32.38013633864761</v>
      </c>
      <c r="S4" s="118">
        <v>32.38013633864761</v>
      </c>
      <c r="T4" s="118">
        <v>32.38013633864761</v>
      </c>
      <c r="U4" s="115" t="s">
        <v>129</v>
      </c>
    </row>
    <row r="5" spans="1:22" x14ac:dyDescent="0.25">
      <c r="A5" s="115" t="s">
        <v>118</v>
      </c>
      <c r="B5" s="118">
        <v>177225.22</v>
      </c>
      <c r="C5" s="118">
        <v>294924.56</v>
      </c>
      <c r="D5" s="118">
        <v>364410.04</v>
      </c>
      <c r="E5" s="118">
        <v>375409.32</v>
      </c>
      <c r="F5" s="118">
        <v>384963.14999999997</v>
      </c>
      <c r="I5" s="147">
        <v>28797</v>
      </c>
      <c r="J5" s="147">
        <v>46681</v>
      </c>
      <c r="K5" s="147">
        <v>56199</v>
      </c>
      <c r="L5" s="147">
        <v>56199</v>
      </c>
      <c r="M5" s="147">
        <v>56199</v>
      </c>
      <c r="P5" s="118">
        <v>6.1542945445706154</v>
      </c>
      <c r="Q5" s="118">
        <v>6.3178715108930827</v>
      </c>
      <c r="R5" s="118">
        <v>6.4842797914553634</v>
      </c>
      <c r="S5" s="118">
        <v>6.68</v>
      </c>
      <c r="T5" s="118">
        <v>6.85</v>
      </c>
      <c r="U5" s="115" t="s">
        <v>129</v>
      </c>
    </row>
    <row r="6" spans="1:22" x14ac:dyDescent="0.25">
      <c r="A6" s="115" t="s">
        <v>119</v>
      </c>
      <c r="B6" s="118">
        <v>204647.05</v>
      </c>
      <c r="C6" s="118">
        <v>228660.83</v>
      </c>
      <c r="D6" s="118">
        <v>335444.06999999995</v>
      </c>
      <c r="E6" s="118">
        <v>345924.48000000004</v>
      </c>
      <c r="F6" s="118">
        <v>354984.95999999996</v>
      </c>
      <c r="I6" s="147">
        <v>7519</v>
      </c>
      <c r="J6" s="147">
        <v>8133</v>
      </c>
      <c r="K6" s="147">
        <v>11616</v>
      </c>
      <c r="L6" s="147">
        <v>11616</v>
      </c>
      <c r="M6" s="147">
        <v>11616</v>
      </c>
      <c r="P6" s="118">
        <v>27.217322782284878</v>
      </c>
      <c r="Q6" s="118">
        <v>28.115188737243329</v>
      </c>
      <c r="R6" s="118">
        <v>28.877760847107435</v>
      </c>
      <c r="S6" s="118">
        <v>29.78</v>
      </c>
      <c r="T6" s="118">
        <v>30.56</v>
      </c>
      <c r="U6" s="115" t="s">
        <v>129</v>
      </c>
    </row>
    <row r="7" spans="1:22" x14ac:dyDescent="0.25">
      <c r="A7" s="115" t="s">
        <v>120</v>
      </c>
      <c r="B7" s="118">
        <v>370965.38999999996</v>
      </c>
      <c r="C7" s="118">
        <v>589501.91999999993</v>
      </c>
      <c r="D7" s="118">
        <v>814864.30999999994</v>
      </c>
      <c r="E7" s="118">
        <v>839549.08</v>
      </c>
      <c r="F7" s="118">
        <v>860914.85</v>
      </c>
      <c r="I7" s="147">
        <v>61033</v>
      </c>
      <c r="J7" s="147">
        <v>93306</v>
      </c>
      <c r="K7" s="147">
        <v>125681</v>
      </c>
      <c r="L7" s="147">
        <v>125681</v>
      </c>
      <c r="M7" s="147">
        <v>125681</v>
      </c>
      <c r="P7" s="118">
        <v>6.0781116772893347</v>
      </c>
      <c r="Q7" s="118">
        <v>6.3179422545173933</v>
      </c>
      <c r="R7" s="118">
        <v>6.4835918714841538</v>
      </c>
      <c r="S7" s="118">
        <v>6.68</v>
      </c>
      <c r="T7" s="118">
        <v>6.85</v>
      </c>
      <c r="U7" s="115" t="s">
        <v>129</v>
      </c>
    </row>
    <row r="8" spans="1:22" x14ac:dyDescent="0.25">
      <c r="A8" s="115" t="s">
        <v>121</v>
      </c>
      <c r="B8" s="118">
        <v>15276.599999999999</v>
      </c>
      <c r="C8" s="118">
        <v>20977.230000000003</v>
      </c>
      <c r="D8" s="118">
        <v>15009.609999999999</v>
      </c>
      <c r="E8" s="118">
        <v>15458.3</v>
      </c>
      <c r="F8" s="118">
        <v>15782.6</v>
      </c>
      <c r="I8" s="148">
        <v>11316</v>
      </c>
      <c r="J8" s="148">
        <v>15431</v>
      </c>
      <c r="K8" s="148">
        <v>10810</v>
      </c>
      <c r="L8" s="148">
        <v>10810</v>
      </c>
      <c r="M8" s="148">
        <v>10810</v>
      </c>
      <c r="P8" s="118">
        <v>1.3499999999999999</v>
      </c>
      <c r="Q8" s="118">
        <v>1.3594212947961897</v>
      </c>
      <c r="R8" s="118">
        <v>1.3884930619796483</v>
      </c>
      <c r="S8" s="118">
        <v>1.43</v>
      </c>
      <c r="T8" s="118">
        <v>1.46</v>
      </c>
      <c r="U8" s="115" t="s">
        <v>129</v>
      </c>
    </row>
    <row r="9" spans="1:22" x14ac:dyDescent="0.25">
      <c r="A9" s="142" t="s">
        <v>122</v>
      </c>
      <c r="B9" s="143">
        <f>SUM(B4:B8)</f>
        <v>2813515.99</v>
      </c>
      <c r="C9" s="143">
        <f t="shared" ref="C9:F9" si="0">SUM(C4:C8)</f>
        <v>2117200.3600000003</v>
      </c>
      <c r="D9" s="143">
        <f t="shared" si="0"/>
        <v>1824225.3699999999</v>
      </c>
      <c r="E9" s="143">
        <f t="shared" si="0"/>
        <v>1870838.5200000003</v>
      </c>
      <c r="F9" s="143">
        <f t="shared" si="0"/>
        <v>1911142.9</v>
      </c>
      <c r="I9" s="149"/>
      <c r="J9" s="149"/>
      <c r="K9" s="149"/>
      <c r="L9" s="149"/>
      <c r="M9" s="149"/>
      <c r="P9" s="1"/>
      <c r="Q9" s="1"/>
      <c r="R9" s="1"/>
      <c r="S9" s="1"/>
      <c r="T9" s="1"/>
      <c r="U9" s="1"/>
    </row>
    <row r="11" spans="1:22" x14ac:dyDescent="0.25">
      <c r="A11" s="144" t="s">
        <v>124</v>
      </c>
    </row>
    <row r="12" spans="1:22" x14ac:dyDescent="0.25">
      <c r="B12" s="5" t="s">
        <v>126</v>
      </c>
      <c r="I12" s="5" t="s">
        <v>115</v>
      </c>
      <c r="P12" s="5" t="s">
        <v>116</v>
      </c>
    </row>
    <row r="13" spans="1:22" x14ac:dyDescent="0.25">
      <c r="A13" s="116" t="s">
        <v>113</v>
      </c>
      <c r="B13" s="116">
        <v>2021</v>
      </c>
      <c r="C13" s="116">
        <v>2022</v>
      </c>
      <c r="D13" s="116">
        <v>2023</v>
      </c>
      <c r="E13" s="116">
        <v>2024</v>
      </c>
      <c r="F13" s="116">
        <v>2025</v>
      </c>
      <c r="G13" s="116">
        <v>2026</v>
      </c>
      <c r="I13" s="116">
        <v>2021</v>
      </c>
      <c r="J13" s="116">
        <v>2022</v>
      </c>
      <c r="K13" s="116">
        <v>2023</v>
      </c>
      <c r="L13" s="116">
        <v>2024</v>
      </c>
      <c r="M13" s="116">
        <v>2025</v>
      </c>
      <c r="N13" s="116">
        <v>2026</v>
      </c>
      <c r="P13" s="146" t="s">
        <v>125</v>
      </c>
    </row>
    <row r="14" spans="1:22" x14ac:dyDescent="0.25">
      <c r="A14" s="145" t="s">
        <v>40</v>
      </c>
      <c r="B14" s="118">
        <v>10548.112695652173</v>
      </c>
      <c r="C14" s="118">
        <v>10548.112695652173</v>
      </c>
      <c r="D14" s="118">
        <v>10806.541456695652</v>
      </c>
      <c r="E14" s="118">
        <v>11071.301722384693</v>
      </c>
      <c r="F14" s="118">
        <v>11342.548614583118</v>
      </c>
      <c r="G14" s="118">
        <v>11620.441055640404</v>
      </c>
      <c r="I14" s="147">
        <v>9120</v>
      </c>
      <c r="J14" s="147">
        <v>9120</v>
      </c>
      <c r="K14" s="147">
        <v>9120</v>
      </c>
      <c r="L14" s="147">
        <v>9120</v>
      </c>
      <c r="M14" s="147">
        <v>9120</v>
      </c>
      <c r="N14" s="147">
        <v>9120</v>
      </c>
    </row>
    <row r="15" spans="1:22" x14ac:dyDescent="0.25">
      <c r="A15" s="145" t="s">
        <v>41</v>
      </c>
      <c r="B15" s="118">
        <v>267713.49504000001</v>
      </c>
      <c r="C15" s="118">
        <v>274406.33241599996</v>
      </c>
      <c r="D15" s="118">
        <v>288157.51974919671</v>
      </c>
      <c r="E15" s="118">
        <v>23154.907371474292</v>
      </c>
      <c r="F15" s="118">
        <v>317761.74638452369</v>
      </c>
      <c r="G15" s="118">
        <v>333685.58190021809</v>
      </c>
      <c r="I15" s="147">
        <v>17712</v>
      </c>
      <c r="J15" s="147">
        <v>18154.8</v>
      </c>
      <c r="K15" s="147">
        <v>18608.669999999998</v>
      </c>
      <c r="L15" s="147">
        <v>19073.886749999998</v>
      </c>
      <c r="M15" s="147">
        <v>19550.733918749997</v>
      </c>
      <c r="N15" s="147">
        <v>20039.502266718744</v>
      </c>
    </row>
    <row r="16" spans="1:22" x14ac:dyDescent="0.25">
      <c r="A16" s="145" t="s">
        <v>73</v>
      </c>
      <c r="B16" s="118">
        <v>454241.80129628722</v>
      </c>
      <c r="C16" s="118">
        <v>455782.94900388492</v>
      </c>
      <c r="D16" s="118">
        <v>468568.00972657482</v>
      </c>
      <c r="E16" s="118">
        <v>481747.40542815346</v>
      </c>
      <c r="F16" s="118">
        <v>495334.86148902425</v>
      </c>
      <c r="G16" s="118">
        <v>509344.64322730107</v>
      </c>
      <c r="I16" s="147">
        <v>13051.2</v>
      </c>
      <c r="J16" s="147">
        <v>13095.48</v>
      </c>
      <c r="K16" s="147">
        <v>13140.867</v>
      </c>
      <c r="L16" s="147">
        <v>13187.388675</v>
      </c>
      <c r="M16" s="147">
        <v>13235.073391874999</v>
      </c>
      <c r="N16" s="147">
        <v>13283.950226671874</v>
      </c>
    </row>
    <row r="17" spans="1:14" x14ac:dyDescent="0.25">
      <c r="A17" s="145" t="s">
        <v>75</v>
      </c>
      <c r="B17" s="118">
        <v>0</v>
      </c>
      <c r="C17" s="118">
        <v>226229.9028768134</v>
      </c>
      <c r="D17" s="118">
        <v>224819.35943237643</v>
      </c>
      <c r="E17" s="118">
        <v>223417.61072631556</v>
      </c>
      <c r="F17" s="118">
        <v>222024.60192343692</v>
      </c>
      <c r="G17" s="118">
        <v>220640.27853044431</v>
      </c>
      <c r="I17" s="147">
        <v>0</v>
      </c>
      <c r="J17" s="147">
        <v>6500</v>
      </c>
      <c r="K17" s="147">
        <v>6305</v>
      </c>
      <c r="L17" s="147">
        <v>6115.8499999999995</v>
      </c>
      <c r="M17" s="147">
        <v>5932.374499999999</v>
      </c>
      <c r="N17" s="147">
        <v>5754.403264999999</v>
      </c>
    </row>
    <row r="18" spans="1:14" x14ac:dyDescent="0.25">
      <c r="A18" s="145" t="s">
        <v>102</v>
      </c>
      <c r="B18" s="118">
        <v>25059.312318662407</v>
      </c>
      <c r="C18" s="118">
        <v>25059.312318662407</v>
      </c>
      <c r="D18" s="118">
        <v>25673.265470469632</v>
      </c>
      <c r="E18" s="118">
        <v>26302.260474496139</v>
      </c>
      <c r="F18" s="118">
        <v>26946.66585612129</v>
      </c>
      <c r="G18" s="118">
        <v>27606.859169596264</v>
      </c>
      <c r="I18" s="147">
        <v>360</v>
      </c>
      <c r="J18" s="147">
        <v>360</v>
      </c>
      <c r="K18" s="147">
        <v>360</v>
      </c>
      <c r="L18" s="147">
        <v>360</v>
      </c>
      <c r="M18" s="147">
        <v>360</v>
      </c>
      <c r="N18" s="147">
        <v>360</v>
      </c>
    </row>
    <row r="19" spans="1:14" x14ac:dyDescent="0.25">
      <c r="A19" s="145" t="s">
        <v>103</v>
      </c>
      <c r="B19" s="118">
        <v>0</v>
      </c>
      <c r="C19" s="118">
        <v>772567.61399999994</v>
      </c>
      <c r="D19" s="118">
        <v>796061.44799999997</v>
      </c>
      <c r="E19" s="118">
        <v>819555.28200000001</v>
      </c>
      <c r="F19" s="118">
        <v>843049.11600000015</v>
      </c>
      <c r="G19" s="118">
        <v>866542.95000000019</v>
      </c>
      <c r="I19" s="147">
        <v>0</v>
      </c>
      <c r="J19" s="147">
        <v>22932</v>
      </c>
      <c r="K19" s="147">
        <v>22932</v>
      </c>
      <c r="L19" s="147">
        <v>22932</v>
      </c>
      <c r="M19" s="147">
        <v>22932</v>
      </c>
      <c r="N19" s="147">
        <v>22932</v>
      </c>
    </row>
    <row r="20" spans="1:14" x14ac:dyDescent="0.25">
      <c r="A20" s="145" t="s">
        <v>127</v>
      </c>
      <c r="B20" s="118">
        <v>0</v>
      </c>
      <c r="C20" s="118">
        <v>0</v>
      </c>
      <c r="D20" s="118">
        <f>K20*Summary!I38</f>
        <v>181000</v>
      </c>
      <c r="E20" s="118">
        <f>L20*Summary!I39</f>
        <v>190000</v>
      </c>
      <c r="F20" s="118">
        <f>M20*Summary!I40</f>
        <v>204050</v>
      </c>
      <c r="G20" s="118">
        <f>N20*Summary!I41</f>
        <v>218191.125</v>
      </c>
      <c r="I20" s="117">
        <v>0</v>
      </c>
      <c r="J20" s="117">
        <v>0</v>
      </c>
      <c r="K20" s="117">
        <v>1000</v>
      </c>
      <c r="L20" s="117">
        <v>10000</v>
      </c>
      <c r="M20" s="117">
        <v>20000</v>
      </c>
      <c r="N20" s="140">
        <v>30000</v>
      </c>
    </row>
    <row r="21" spans="1:14" x14ac:dyDescent="0.25">
      <c r="A21" s="142" t="s">
        <v>122</v>
      </c>
      <c r="B21" s="143">
        <f>SUM(B14:B20)</f>
        <v>757562.72135060187</v>
      </c>
      <c r="C21" s="143">
        <f t="shared" ref="C21:G21" si="1">SUM(C14:C20)</f>
        <v>1764594.2233110128</v>
      </c>
      <c r="D21" s="143">
        <f t="shared" si="1"/>
        <v>1995086.1438353132</v>
      </c>
      <c r="E21" s="143">
        <f t="shared" si="1"/>
        <v>1775248.7677228241</v>
      </c>
      <c r="F21" s="143">
        <f t="shared" si="1"/>
        <v>2120509.5402676892</v>
      </c>
      <c r="G21" s="143">
        <f t="shared" si="1"/>
        <v>2187631.8788832007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M21"/>
  <sheetViews>
    <sheetView zoomScaleNormal="100" workbookViewId="0">
      <selection activeCell="I36" sqref="I36"/>
    </sheetView>
  </sheetViews>
  <sheetFormatPr defaultRowHeight="15" x14ac:dyDescent="0.25"/>
  <cols>
    <col min="1" max="1" width="7" customWidth="1"/>
    <col min="2" max="2" width="60.28515625" customWidth="1"/>
    <col min="3" max="3" width="11.28515625" bestFit="1" customWidth="1"/>
    <col min="4" max="4" width="10.85546875" bestFit="1" customWidth="1"/>
    <col min="5" max="5" width="6.85546875" bestFit="1" customWidth="1"/>
    <col min="6" max="6" width="6.7109375" bestFit="1" customWidth="1"/>
    <col min="7" max="7" width="3.28515625" customWidth="1"/>
    <col min="8" max="8" width="16.140625" customWidth="1"/>
    <col min="9" max="9" width="17.85546875" bestFit="1" customWidth="1"/>
    <col min="10" max="10" width="4.140625" customWidth="1"/>
    <col min="11" max="11" width="10.7109375" customWidth="1"/>
    <col min="12" max="12" width="15.5703125" customWidth="1"/>
    <col min="13" max="13" width="16.85546875" customWidth="1"/>
  </cols>
  <sheetData>
    <row r="1" spans="1:13" x14ac:dyDescent="0.25">
      <c r="B1" s="63" t="s">
        <v>43</v>
      </c>
    </row>
    <row r="2" spans="1:13" x14ac:dyDescent="0.25">
      <c r="B2" s="7"/>
      <c r="C2" s="7"/>
      <c r="D2" s="7"/>
      <c r="E2" s="7"/>
      <c r="F2" s="8"/>
      <c r="G2" s="9"/>
      <c r="H2" s="9"/>
      <c r="I2" s="9"/>
      <c r="K2" s="8"/>
    </row>
    <row r="3" spans="1:13" ht="39" x14ac:dyDescent="0.25">
      <c r="A3" s="10"/>
      <c r="B3" s="11"/>
      <c r="C3" s="12" t="s">
        <v>0</v>
      </c>
      <c r="D3" s="13"/>
      <c r="E3" s="13"/>
      <c r="F3" s="14"/>
      <c r="G3" s="15"/>
      <c r="H3" s="16" t="s">
        <v>77</v>
      </c>
      <c r="I3" s="51" t="s">
        <v>78</v>
      </c>
      <c r="K3" s="53"/>
      <c r="L3" s="53"/>
      <c r="M3" s="53"/>
    </row>
    <row r="4" spans="1:13" x14ac:dyDescent="0.25">
      <c r="A4" s="17" t="s">
        <v>1</v>
      </c>
      <c r="B4" s="18" t="s">
        <v>2</v>
      </c>
      <c r="C4" s="19" t="s">
        <v>3</v>
      </c>
      <c r="D4" s="19" t="s">
        <v>4</v>
      </c>
      <c r="E4" s="19" t="s">
        <v>5</v>
      </c>
      <c r="F4" s="20" t="s">
        <v>6</v>
      </c>
      <c r="G4" s="2"/>
      <c r="H4" s="21">
        <v>2021</v>
      </c>
      <c r="I4" s="21">
        <v>2021</v>
      </c>
      <c r="K4" s="54" t="s">
        <v>18</v>
      </c>
      <c r="L4" s="54" t="s">
        <v>20</v>
      </c>
      <c r="M4" s="54" t="s">
        <v>21</v>
      </c>
    </row>
    <row r="5" spans="1:13" x14ac:dyDescent="0.25">
      <c r="A5" s="22" t="s">
        <v>15</v>
      </c>
      <c r="B5" s="23" t="s">
        <v>7</v>
      </c>
      <c r="C5" s="24" t="s">
        <v>8</v>
      </c>
      <c r="D5" s="24" t="s">
        <v>9</v>
      </c>
      <c r="E5" s="24" t="s">
        <v>10</v>
      </c>
      <c r="F5" s="25" t="s">
        <v>11</v>
      </c>
      <c r="G5" s="26"/>
      <c r="H5" s="27"/>
      <c r="I5" s="27"/>
      <c r="K5" s="55" t="s">
        <v>19</v>
      </c>
      <c r="L5" s="55" t="s">
        <v>23</v>
      </c>
      <c r="M5" s="55" t="s">
        <v>24</v>
      </c>
    </row>
    <row r="6" spans="1:13" x14ac:dyDescent="0.25">
      <c r="A6" s="17"/>
      <c r="B6" s="28" t="s">
        <v>25</v>
      </c>
      <c r="C6" s="29"/>
      <c r="D6" s="18"/>
      <c r="E6" s="18"/>
      <c r="F6" s="30"/>
      <c r="G6" s="31"/>
      <c r="H6" s="32"/>
      <c r="I6" s="33"/>
      <c r="K6" s="56"/>
      <c r="L6" s="56"/>
      <c r="M6" s="56"/>
    </row>
    <row r="7" spans="1:13" x14ac:dyDescent="0.25">
      <c r="A7" s="34"/>
      <c r="B7" s="35"/>
      <c r="C7" s="29"/>
      <c r="D7" s="35"/>
      <c r="E7" s="35"/>
      <c r="F7" s="29"/>
      <c r="G7" s="36"/>
      <c r="H7" s="37"/>
      <c r="I7" s="38"/>
      <c r="K7" s="46"/>
      <c r="L7" s="46"/>
      <c r="M7" s="46"/>
    </row>
    <row r="8" spans="1:13" x14ac:dyDescent="0.25">
      <c r="A8" s="39">
        <v>1.1000000000000001</v>
      </c>
      <c r="B8" s="49" t="s">
        <v>16</v>
      </c>
      <c r="C8" s="64">
        <v>0.17</v>
      </c>
      <c r="D8" s="35" t="s">
        <v>12</v>
      </c>
      <c r="E8" s="35">
        <v>1</v>
      </c>
      <c r="F8" s="29">
        <f>E8*C8</f>
        <v>0.17</v>
      </c>
      <c r="G8" s="36"/>
      <c r="H8" s="40">
        <v>0</v>
      </c>
      <c r="I8" s="40">
        <f>H8*$F8</f>
        <v>0</v>
      </c>
      <c r="K8" s="57">
        <v>0.08</v>
      </c>
      <c r="L8" s="61">
        <f>C13*K8</f>
        <v>829.2</v>
      </c>
      <c r="M8" s="62">
        <f>L8*I8</f>
        <v>0</v>
      </c>
    </row>
    <row r="9" spans="1:13" x14ac:dyDescent="0.25">
      <c r="A9" s="39"/>
      <c r="B9" s="50" t="s">
        <v>56</v>
      </c>
      <c r="C9" s="64"/>
      <c r="D9" s="35"/>
      <c r="E9" s="35"/>
      <c r="F9" s="29"/>
      <c r="G9" s="36"/>
      <c r="H9" s="37"/>
      <c r="I9" s="40"/>
      <c r="K9" s="46"/>
      <c r="L9" s="29"/>
      <c r="M9" s="29"/>
    </row>
    <row r="10" spans="1:13" x14ac:dyDescent="0.25">
      <c r="A10" s="39"/>
      <c r="B10" s="50"/>
      <c r="C10" s="64"/>
      <c r="D10" s="35"/>
      <c r="E10" s="35"/>
      <c r="F10" s="29"/>
      <c r="G10" s="36"/>
      <c r="H10" s="37"/>
      <c r="I10" s="40"/>
      <c r="K10" s="46"/>
      <c r="L10" s="29"/>
      <c r="M10" s="29"/>
    </row>
    <row r="11" spans="1:13" x14ac:dyDescent="0.25">
      <c r="A11" s="41"/>
      <c r="B11" s="52"/>
      <c r="C11" s="42"/>
      <c r="D11" s="42"/>
      <c r="E11" s="42"/>
      <c r="F11" s="43"/>
      <c r="G11" s="44"/>
      <c r="H11" s="45"/>
      <c r="I11" s="45"/>
      <c r="K11" s="190" t="s">
        <v>13</v>
      </c>
      <c r="L11" s="191"/>
      <c r="M11" s="6">
        <f>M8</f>
        <v>0</v>
      </c>
    </row>
    <row r="13" spans="1:13" x14ac:dyDescent="0.25">
      <c r="B13" s="59" t="s">
        <v>32</v>
      </c>
      <c r="C13" s="128">
        <v>10365</v>
      </c>
    </row>
    <row r="14" spans="1:13" x14ac:dyDescent="0.25">
      <c r="B14" s="59" t="s">
        <v>100</v>
      </c>
      <c r="C14" s="129">
        <f>C13*92%</f>
        <v>9535.8000000000011</v>
      </c>
      <c r="D14" s="4"/>
      <c r="E14" s="4"/>
      <c r="F14" s="48"/>
      <c r="G14" s="8"/>
      <c r="H14" s="9"/>
      <c r="I14" s="47" t="s">
        <v>14</v>
      </c>
      <c r="M14" s="68">
        <f>M11/C14</f>
        <v>0</v>
      </c>
    </row>
    <row r="15" spans="1:13" x14ac:dyDescent="0.25">
      <c r="B15" s="59"/>
    </row>
    <row r="17" spans="2:12" x14ac:dyDescent="0.25">
      <c r="B17" s="60" t="s">
        <v>22</v>
      </c>
    </row>
    <row r="18" spans="2:12" x14ac:dyDescent="0.25">
      <c r="B18" s="58" t="s">
        <v>99</v>
      </c>
    </row>
    <row r="19" spans="2:12" x14ac:dyDescent="0.25">
      <c r="B19" t="s">
        <v>26</v>
      </c>
      <c r="L19" s="66"/>
    </row>
    <row r="20" spans="2:12" x14ac:dyDescent="0.25">
      <c r="B20" t="s">
        <v>42</v>
      </c>
    </row>
    <row r="21" spans="2:12" x14ac:dyDescent="0.25">
      <c r="B21" t="s">
        <v>101</v>
      </c>
    </row>
  </sheetData>
  <mergeCells count="1">
    <mergeCell ref="K11:L11"/>
  </mergeCells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M25"/>
  <sheetViews>
    <sheetView zoomScale="70" zoomScaleNormal="70" workbookViewId="0">
      <selection activeCell="K16" sqref="K16"/>
    </sheetView>
  </sheetViews>
  <sheetFormatPr defaultRowHeight="15" x14ac:dyDescent="0.25"/>
  <cols>
    <col min="1" max="1" width="7" customWidth="1"/>
    <col min="2" max="2" width="60.28515625" customWidth="1"/>
    <col min="3" max="3" width="13.28515625" customWidth="1"/>
    <col min="4" max="4" width="10.85546875" bestFit="1" customWidth="1"/>
    <col min="5" max="5" width="6.85546875" bestFit="1" customWidth="1"/>
    <col min="6" max="6" width="6.7109375" bestFit="1" customWidth="1"/>
    <col min="7" max="7" width="3.28515625" customWidth="1"/>
    <col min="8" max="8" width="16.42578125" customWidth="1"/>
    <col min="9" max="9" width="17.85546875" bestFit="1" customWidth="1"/>
    <col min="10" max="10" width="2.42578125" customWidth="1"/>
    <col min="11" max="11" width="10.5703125" bestFit="1" customWidth="1"/>
    <col min="12" max="12" width="17.85546875" customWidth="1"/>
    <col min="13" max="13" width="21.5703125" customWidth="1"/>
  </cols>
  <sheetData>
    <row r="1" spans="1:13" x14ac:dyDescent="0.25">
      <c r="B1" s="63" t="s">
        <v>27</v>
      </c>
    </row>
    <row r="2" spans="1:13" ht="21.75" customHeight="1" x14ac:dyDescent="0.25">
      <c r="B2" s="7"/>
      <c r="C2" s="7"/>
      <c r="D2" s="7"/>
      <c r="E2" s="7"/>
      <c r="F2" s="8"/>
      <c r="G2" s="9"/>
      <c r="H2" s="9"/>
      <c r="I2" s="9"/>
      <c r="K2" s="8"/>
    </row>
    <row r="3" spans="1:13" ht="39" x14ac:dyDescent="0.25">
      <c r="A3" s="10"/>
      <c r="B3" s="11"/>
      <c r="C3" s="12" t="s">
        <v>0</v>
      </c>
      <c r="D3" s="13"/>
      <c r="E3" s="13"/>
      <c r="F3" s="14"/>
      <c r="G3" s="15"/>
      <c r="H3" s="16" t="s">
        <v>77</v>
      </c>
      <c r="I3" s="51" t="s">
        <v>78</v>
      </c>
      <c r="K3" s="53"/>
      <c r="L3" s="53"/>
      <c r="M3" s="53"/>
    </row>
    <row r="4" spans="1:13" x14ac:dyDescent="0.25">
      <c r="A4" s="17" t="s">
        <v>1</v>
      </c>
      <c r="B4" s="18" t="s">
        <v>2</v>
      </c>
      <c r="C4" s="19" t="s">
        <v>3</v>
      </c>
      <c r="D4" s="19" t="s">
        <v>4</v>
      </c>
      <c r="E4" s="19" t="s">
        <v>5</v>
      </c>
      <c r="F4" s="20" t="s">
        <v>6</v>
      </c>
      <c r="G4" s="2"/>
      <c r="H4" s="21">
        <v>2021</v>
      </c>
      <c r="I4" s="21">
        <v>2021</v>
      </c>
      <c r="K4" s="54" t="s">
        <v>18</v>
      </c>
      <c r="L4" s="54" t="s">
        <v>20</v>
      </c>
      <c r="M4" s="54" t="s">
        <v>21</v>
      </c>
    </row>
    <row r="5" spans="1:13" x14ac:dyDescent="0.25">
      <c r="A5" s="22" t="s">
        <v>15</v>
      </c>
      <c r="B5" s="23" t="s">
        <v>7</v>
      </c>
      <c r="C5" s="24" t="s">
        <v>8</v>
      </c>
      <c r="D5" s="24" t="s">
        <v>9</v>
      </c>
      <c r="E5" s="24" t="s">
        <v>10</v>
      </c>
      <c r="F5" s="25" t="s">
        <v>11</v>
      </c>
      <c r="G5" s="26"/>
      <c r="H5" s="27"/>
      <c r="I5" s="27"/>
      <c r="K5" s="55" t="s">
        <v>19</v>
      </c>
      <c r="L5" s="55" t="s">
        <v>23</v>
      </c>
      <c r="M5" s="55" t="s">
        <v>24</v>
      </c>
    </row>
    <row r="6" spans="1:13" x14ac:dyDescent="0.25">
      <c r="A6" s="17"/>
      <c r="B6" s="28" t="s">
        <v>25</v>
      </c>
      <c r="C6" s="29"/>
      <c r="D6" s="18"/>
      <c r="E6" s="18"/>
      <c r="F6" s="30"/>
      <c r="G6" s="31"/>
      <c r="H6" s="32"/>
      <c r="I6" s="33"/>
      <c r="K6" s="56"/>
      <c r="L6" s="56"/>
      <c r="M6" s="56"/>
    </row>
    <row r="7" spans="1:13" x14ac:dyDescent="0.25">
      <c r="A7" s="34"/>
      <c r="B7" s="35"/>
      <c r="C7" s="29"/>
      <c r="D7" s="35"/>
      <c r="E7" s="35"/>
      <c r="F7" s="29"/>
      <c r="G7" s="36"/>
      <c r="H7" s="37"/>
      <c r="I7" s="38"/>
      <c r="K7" s="46"/>
      <c r="L7" s="46"/>
      <c r="M7" s="46"/>
    </row>
    <row r="8" spans="1:13" x14ac:dyDescent="0.25">
      <c r="A8" s="39">
        <v>1.1000000000000001</v>
      </c>
      <c r="B8" s="49" t="s">
        <v>28</v>
      </c>
      <c r="C8" s="64">
        <f>10/60</f>
        <v>0.16666666666666666</v>
      </c>
      <c r="D8" s="35" t="s">
        <v>12</v>
      </c>
      <c r="E8" s="35">
        <v>1</v>
      </c>
      <c r="F8" s="29">
        <f>E8*C8</f>
        <v>0.16666666666666666</v>
      </c>
      <c r="G8" s="36"/>
      <c r="H8" s="70">
        <f>Summary!C25</f>
        <v>78.239999999999995</v>
      </c>
      <c r="I8" s="40">
        <f>H8*$F8</f>
        <v>13.04</v>
      </c>
      <c r="K8" s="57">
        <v>1</v>
      </c>
      <c r="L8" s="61">
        <f>C16*K8</f>
        <v>15406</v>
      </c>
      <c r="M8" s="62">
        <f>L8*I8</f>
        <v>200894.24</v>
      </c>
    </row>
    <row r="9" spans="1:13" x14ac:dyDescent="0.25">
      <c r="A9" s="39"/>
      <c r="B9" s="50" t="s">
        <v>56</v>
      </c>
      <c r="C9" s="64"/>
      <c r="D9" s="35"/>
      <c r="E9" s="35"/>
      <c r="F9" s="29"/>
      <c r="G9" s="36"/>
      <c r="H9" s="37"/>
      <c r="I9" s="40"/>
      <c r="K9" s="46"/>
      <c r="L9" s="29"/>
      <c r="M9" s="29"/>
    </row>
    <row r="10" spans="1:13" x14ac:dyDescent="0.25">
      <c r="A10" s="39"/>
      <c r="B10" s="50"/>
      <c r="C10" s="64"/>
      <c r="D10" s="35"/>
      <c r="E10" s="35"/>
      <c r="F10" s="29"/>
      <c r="G10" s="36"/>
      <c r="H10" s="37"/>
      <c r="I10" s="40"/>
      <c r="K10" s="46"/>
      <c r="L10" s="29"/>
      <c r="M10" s="29"/>
    </row>
    <row r="11" spans="1:13" ht="30" x14ac:dyDescent="0.25">
      <c r="A11" s="39">
        <v>1.2</v>
      </c>
      <c r="B11" s="50" t="s">
        <v>17</v>
      </c>
      <c r="C11" s="64">
        <v>0.08</v>
      </c>
      <c r="D11" s="35" t="s">
        <v>12</v>
      </c>
      <c r="E11" s="35">
        <v>1</v>
      </c>
      <c r="F11" s="29">
        <f>E11*C11</f>
        <v>0.08</v>
      </c>
      <c r="G11" s="36"/>
      <c r="H11" s="70">
        <f>Summary!C25</f>
        <v>78.239999999999995</v>
      </c>
      <c r="I11" s="40">
        <f>H11*$F11</f>
        <v>6.2591999999999999</v>
      </c>
      <c r="K11" s="57">
        <v>0.1</v>
      </c>
      <c r="L11" s="61">
        <f>C17*K11</f>
        <v>1386.54</v>
      </c>
      <c r="M11" s="62">
        <f>L11*I11</f>
        <v>8678.6311679999999</v>
      </c>
    </row>
    <row r="12" spans="1:13" x14ac:dyDescent="0.25">
      <c r="A12" s="39"/>
      <c r="B12" s="50" t="s">
        <v>62</v>
      </c>
      <c r="C12" s="64"/>
      <c r="D12" s="35"/>
      <c r="E12" s="35"/>
      <c r="F12" s="29"/>
      <c r="G12" s="36"/>
      <c r="H12" s="40"/>
      <c r="I12" s="40"/>
      <c r="K12" s="46"/>
      <c r="L12" s="29"/>
      <c r="M12" s="29"/>
    </row>
    <row r="13" spans="1:13" x14ac:dyDescent="0.25">
      <c r="A13" s="39"/>
      <c r="B13" s="50"/>
      <c r="C13" s="64"/>
      <c r="D13" s="35"/>
      <c r="E13" s="35"/>
      <c r="F13" s="29"/>
      <c r="G13" s="36"/>
      <c r="H13" s="40"/>
      <c r="I13" s="40"/>
      <c r="K13" s="46"/>
      <c r="L13" s="29"/>
      <c r="M13" s="29"/>
    </row>
    <row r="14" spans="1:13" x14ac:dyDescent="0.25">
      <c r="A14" s="41"/>
      <c r="B14" s="52"/>
      <c r="C14" s="42"/>
      <c r="D14" s="42"/>
      <c r="E14" s="42"/>
      <c r="F14" s="43"/>
      <c r="G14" s="44"/>
      <c r="H14" s="45"/>
      <c r="I14" s="45"/>
      <c r="K14" s="190" t="s">
        <v>13</v>
      </c>
      <c r="L14" s="191"/>
      <c r="M14" s="6">
        <f>M11+M8</f>
        <v>209572.87116799998</v>
      </c>
    </row>
    <row r="16" spans="1:13" x14ac:dyDescent="0.25">
      <c r="B16" s="59" t="s">
        <v>31</v>
      </c>
      <c r="C16" s="60">
        <v>15406</v>
      </c>
    </row>
    <row r="17" spans="2:13" x14ac:dyDescent="0.25">
      <c r="B17" s="59" t="s">
        <v>57</v>
      </c>
      <c r="C17" s="60">
        <f>C16*0.9</f>
        <v>13865.4</v>
      </c>
      <c r="H17" s="9"/>
      <c r="I17" s="47" t="s">
        <v>14</v>
      </c>
      <c r="M17" s="65">
        <f>M14/C17</f>
        <v>15.114808888888888</v>
      </c>
    </row>
    <row r="18" spans="2:13" x14ac:dyDescent="0.25">
      <c r="C18" s="60"/>
      <c r="H18" s="9"/>
      <c r="I18" s="47"/>
    </row>
    <row r="19" spans="2:13" x14ac:dyDescent="0.25">
      <c r="C19" s="4"/>
      <c r="D19" s="4"/>
      <c r="E19" s="4"/>
      <c r="F19" s="48"/>
      <c r="G19" s="8"/>
    </row>
    <row r="20" spans="2:13" x14ac:dyDescent="0.25">
      <c r="B20" s="60" t="s">
        <v>22</v>
      </c>
    </row>
    <row r="21" spans="2:13" x14ac:dyDescent="0.25">
      <c r="B21" s="58" t="s">
        <v>58</v>
      </c>
    </row>
    <row r="22" spans="2:13" x14ac:dyDescent="0.25">
      <c r="B22" t="s">
        <v>59</v>
      </c>
    </row>
    <row r="23" spans="2:13" ht="45" x14ac:dyDescent="0.25">
      <c r="B23" s="74" t="s">
        <v>60</v>
      </c>
      <c r="C23" s="60"/>
      <c r="M23" s="66"/>
    </row>
    <row r="24" spans="2:13" x14ac:dyDescent="0.25">
      <c r="B24" t="s">
        <v>61</v>
      </c>
    </row>
    <row r="25" spans="2:13" x14ac:dyDescent="0.25">
      <c r="B25" s="74"/>
      <c r="M25" s="66"/>
    </row>
  </sheetData>
  <mergeCells count="1">
    <mergeCell ref="K14:L14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F18"/>
  <sheetViews>
    <sheetView zoomScale="85" zoomScaleNormal="85" workbookViewId="0">
      <selection activeCell="F13" sqref="F13"/>
    </sheetView>
  </sheetViews>
  <sheetFormatPr defaultRowHeight="15" x14ac:dyDescent="0.25"/>
  <cols>
    <col min="2" max="2" width="40.7109375" customWidth="1"/>
    <col min="3" max="3" width="11.7109375" customWidth="1"/>
    <col min="4" max="4" width="15.7109375" customWidth="1"/>
    <col min="6" max="6" width="17.7109375" customWidth="1"/>
    <col min="7" max="7" width="18.7109375" customWidth="1"/>
  </cols>
  <sheetData>
    <row r="1" spans="1:6" x14ac:dyDescent="0.25">
      <c r="B1" s="63" t="s">
        <v>66</v>
      </c>
    </row>
    <row r="2" spans="1:6" x14ac:dyDescent="0.25">
      <c r="B2" s="7"/>
      <c r="C2" s="7"/>
      <c r="D2" s="7"/>
      <c r="E2" s="9"/>
      <c r="F2" s="9"/>
    </row>
    <row r="3" spans="1:6" ht="26.25" x14ac:dyDescent="0.25">
      <c r="A3" s="10"/>
      <c r="B3" s="11"/>
      <c r="C3" s="12"/>
      <c r="D3" s="13"/>
      <c r="E3" s="15"/>
      <c r="F3" s="51" t="s">
        <v>55</v>
      </c>
    </row>
    <row r="4" spans="1:6" x14ac:dyDescent="0.25">
      <c r="A4" s="17" t="s">
        <v>1</v>
      </c>
      <c r="B4" s="18" t="s">
        <v>2</v>
      </c>
      <c r="C4" s="19"/>
      <c r="D4" s="19" t="s">
        <v>4</v>
      </c>
      <c r="E4" s="2"/>
      <c r="F4" s="21">
        <v>2021</v>
      </c>
    </row>
    <row r="5" spans="1:6" x14ac:dyDescent="0.25">
      <c r="A5" s="22" t="s">
        <v>15</v>
      </c>
      <c r="B5" s="23" t="s">
        <v>7</v>
      </c>
      <c r="C5" s="24"/>
      <c r="D5" s="24" t="s">
        <v>9</v>
      </c>
      <c r="E5" s="26"/>
      <c r="F5" s="27"/>
    </row>
    <row r="6" spans="1:6" x14ac:dyDescent="0.25">
      <c r="A6" s="17"/>
      <c r="B6" s="28" t="s">
        <v>25</v>
      </c>
      <c r="C6" s="29"/>
      <c r="D6" s="18"/>
      <c r="E6" s="31"/>
      <c r="F6" s="32"/>
    </row>
    <row r="7" spans="1:6" x14ac:dyDescent="0.25">
      <c r="A7" s="34"/>
      <c r="B7" s="35"/>
      <c r="C7" s="29"/>
      <c r="D7" s="35"/>
      <c r="E7" s="36"/>
      <c r="F7" s="37"/>
    </row>
    <row r="8" spans="1:6" ht="26.25" x14ac:dyDescent="0.25">
      <c r="A8" s="39">
        <v>1.1000000000000001</v>
      </c>
      <c r="B8" s="49" t="s">
        <v>72</v>
      </c>
      <c r="C8" s="64"/>
      <c r="D8" s="35" t="s">
        <v>46</v>
      </c>
      <c r="E8" s="36"/>
      <c r="F8" s="40">
        <f>Summary!C32</f>
        <v>34.804600442586676</v>
      </c>
    </row>
    <row r="9" spans="1:6" x14ac:dyDescent="0.25">
      <c r="A9" s="39"/>
      <c r="B9" s="50"/>
      <c r="C9" s="64"/>
      <c r="D9" s="35"/>
      <c r="E9" s="36"/>
      <c r="F9" s="37"/>
    </row>
    <row r="10" spans="1:6" ht="45" x14ac:dyDescent="0.25">
      <c r="A10" s="39">
        <v>1.2</v>
      </c>
      <c r="B10" s="50" t="s">
        <v>70</v>
      </c>
      <c r="C10" s="64"/>
      <c r="D10" s="35" t="s">
        <v>46</v>
      </c>
      <c r="E10" s="36"/>
      <c r="F10" s="40">
        <f>Summary!C32</f>
        <v>34.804600442586676</v>
      </c>
    </row>
    <row r="11" spans="1:6" x14ac:dyDescent="0.25">
      <c r="A11" s="39"/>
      <c r="B11" s="50"/>
      <c r="C11" s="64"/>
      <c r="D11" s="35"/>
      <c r="E11" s="36"/>
      <c r="F11" s="40"/>
    </row>
    <row r="12" spans="1:6" ht="45" x14ac:dyDescent="0.25">
      <c r="A12" s="39">
        <v>1.2</v>
      </c>
      <c r="B12" s="50" t="s">
        <v>71</v>
      </c>
      <c r="C12" s="64"/>
      <c r="D12" s="35" t="s">
        <v>46</v>
      </c>
      <c r="E12" s="36"/>
      <c r="F12" s="40">
        <f>Summary!C33</f>
        <v>69.609200885173351</v>
      </c>
    </row>
    <row r="13" spans="1:6" x14ac:dyDescent="0.25">
      <c r="A13" s="39"/>
      <c r="B13" s="50"/>
      <c r="C13" s="64"/>
      <c r="D13" s="35"/>
      <c r="E13" s="36"/>
      <c r="F13" s="40"/>
    </row>
    <row r="14" spans="1:6" x14ac:dyDescent="0.25">
      <c r="A14" s="41"/>
      <c r="B14" s="52"/>
      <c r="C14" s="42"/>
      <c r="D14" s="42"/>
      <c r="E14" s="44"/>
      <c r="F14" s="45"/>
    </row>
    <row r="16" spans="1:6" x14ac:dyDescent="0.25">
      <c r="B16" s="5" t="s">
        <v>22</v>
      </c>
    </row>
    <row r="17" spans="2:3" x14ac:dyDescent="0.25">
      <c r="B17" s="119" t="s">
        <v>47</v>
      </c>
      <c r="C17" s="83">
        <v>12136</v>
      </c>
    </row>
    <row r="18" spans="2:3" x14ac:dyDescent="0.25">
      <c r="B18" s="119" t="s">
        <v>80</v>
      </c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G14"/>
  <sheetViews>
    <sheetView workbookViewId="0">
      <selection activeCell="A11" sqref="A11"/>
    </sheetView>
  </sheetViews>
  <sheetFormatPr defaultRowHeight="15" x14ac:dyDescent="0.25"/>
  <cols>
    <col min="1" max="1" width="28.7109375" customWidth="1"/>
    <col min="2" max="2" width="17.7109375" customWidth="1"/>
    <col min="3" max="3" width="10.140625" bestFit="1" customWidth="1"/>
    <col min="4" max="4" width="11.140625" bestFit="1" customWidth="1"/>
    <col min="5" max="5" width="13.42578125" customWidth="1"/>
    <col min="6" max="6" width="12.5703125" customWidth="1"/>
    <col min="7" max="7" width="13.7109375" customWidth="1"/>
  </cols>
  <sheetData>
    <row r="1" spans="1:7" x14ac:dyDescent="0.25">
      <c r="A1" s="115"/>
      <c r="B1" s="116">
        <v>2021</v>
      </c>
      <c r="C1" s="116">
        <v>2022</v>
      </c>
      <c r="D1" s="116">
        <v>2023</v>
      </c>
      <c r="E1" s="116">
        <v>2024</v>
      </c>
      <c r="F1" s="116">
        <v>2025</v>
      </c>
      <c r="G1" s="139">
        <v>2026</v>
      </c>
    </row>
    <row r="2" spans="1:7" x14ac:dyDescent="0.25">
      <c r="A2" s="115" t="s">
        <v>84</v>
      </c>
      <c r="B2" s="117">
        <v>0</v>
      </c>
      <c r="C2" s="117">
        <v>0</v>
      </c>
      <c r="D2" s="117">
        <v>1000</v>
      </c>
      <c r="E2" s="117">
        <v>10000</v>
      </c>
      <c r="F2" s="117">
        <v>20000</v>
      </c>
      <c r="G2" s="140">
        <v>30000</v>
      </c>
    </row>
    <row r="3" spans="1:7" x14ac:dyDescent="0.25">
      <c r="A3" s="115" t="s">
        <v>79</v>
      </c>
      <c r="B3" s="118">
        <v>0</v>
      </c>
      <c r="C3" s="118">
        <v>0</v>
      </c>
      <c r="D3" s="118">
        <v>180000</v>
      </c>
      <c r="E3" s="118">
        <v>180000</v>
      </c>
      <c r="F3" s="118">
        <f t="shared" ref="F3:G3" si="0">E3*(1.0225)</f>
        <v>184050</v>
      </c>
      <c r="G3" s="118">
        <f t="shared" si="0"/>
        <v>188191.125</v>
      </c>
    </row>
    <row r="4" spans="1:7" x14ac:dyDescent="0.25">
      <c r="A4" s="115" t="s">
        <v>83</v>
      </c>
      <c r="B4" s="115">
        <f>B2*1</f>
        <v>0</v>
      </c>
      <c r="C4" s="115">
        <f t="shared" ref="C4:F4" si="1">C2*1</f>
        <v>0</v>
      </c>
      <c r="D4" s="115">
        <f t="shared" si="1"/>
        <v>1000</v>
      </c>
      <c r="E4" s="115">
        <f t="shared" si="1"/>
        <v>10000</v>
      </c>
      <c r="F4" s="115">
        <f t="shared" si="1"/>
        <v>20000</v>
      </c>
      <c r="G4" s="115">
        <f t="shared" ref="G4" si="2">G2*1</f>
        <v>30000</v>
      </c>
    </row>
    <row r="5" spans="1:7" x14ac:dyDescent="0.25">
      <c r="A5" s="115" t="s">
        <v>86</v>
      </c>
      <c r="B5" s="118">
        <v>0</v>
      </c>
      <c r="C5" s="118">
        <v>0</v>
      </c>
      <c r="D5" s="118">
        <f t="shared" ref="D5:F5" si="3">(D4+D3)/D2</f>
        <v>181</v>
      </c>
      <c r="E5" s="118">
        <f t="shared" si="3"/>
        <v>19</v>
      </c>
      <c r="F5" s="118">
        <f t="shared" si="3"/>
        <v>10.202500000000001</v>
      </c>
      <c r="G5" s="118">
        <f t="shared" ref="G5" si="4">(G4+G3)/G2</f>
        <v>7.2730375</v>
      </c>
    </row>
    <row r="6" spans="1:7" x14ac:dyDescent="0.25">
      <c r="A6" s="115" t="s">
        <v>85</v>
      </c>
      <c r="B6" s="118">
        <f>B5/12</f>
        <v>0</v>
      </c>
      <c r="C6" s="118">
        <f t="shared" ref="C6:F6" si="5">C5/12</f>
        <v>0</v>
      </c>
      <c r="D6" s="118">
        <f t="shared" si="5"/>
        <v>15.083333333333334</v>
      </c>
      <c r="E6" s="118">
        <f t="shared" si="5"/>
        <v>1.5833333333333333</v>
      </c>
      <c r="F6" s="118">
        <f t="shared" si="5"/>
        <v>0.85020833333333334</v>
      </c>
      <c r="G6" s="118">
        <f t="shared" ref="G6" si="6">G5/12</f>
        <v>0.6060864583333333</v>
      </c>
    </row>
    <row r="8" spans="1:7" x14ac:dyDescent="0.25">
      <c r="D8" s="120"/>
      <c r="E8" s="120"/>
      <c r="F8" s="120"/>
      <c r="G8" s="120"/>
    </row>
    <row r="9" spans="1:7" x14ac:dyDescent="0.25">
      <c r="A9" s="101" t="s">
        <v>22</v>
      </c>
      <c r="G9" s="120"/>
    </row>
    <row r="10" spans="1:7" x14ac:dyDescent="0.25">
      <c r="A10" t="s">
        <v>108</v>
      </c>
    </row>
    <row r="11" spans="1:7" x14ac:dyDescent="0.25">
      <c r="A11" t="s">
        <v>130</v>
      </c>
    </row>
    <row r="12" spans="1:7" x14ac:dyDescent="0.25">
      <c r="A12" t="s">
        <v>109</v>
      </c>
    </row>
    <row r="13" spans="1:7" x14ac:dyDescent="0.25">
      <c r="A13" t="s">
        <v>97</v>
      </c>
    </row>
    <row r="14" spans="1:7" x14ac:dyDescent="0.25">
      <c r="A14" t="s">
        <v>110</v>
      </c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K31"/>
  <sheetViews>
    <sheetView workbookViewId="0">
      <selection activeCell="C21" sqref="C21"/>
    </sheetView>
  </sheetViews>
  <sheetFormatPr defaultRowHeight="15" x14ac:dyDescent="0.25"/>
  <cols>
    <col min="1" max="1" width="28.7109375" customWidth="1"/>
    <col min="2" max="2" width="17.7109375" customWidth="1"/>
    <col min="3" max="3" width="10.28515625" bestFit="1" customWidth="1"/>
    <col min="4" max="4" width="12.5703125" bestFit="1" customWidth="1"/>
    <col min="5" max="5" width="13.42578125" customWidth="1"/>
    <col min="6" max="6" width="12.5703125" customWidth="1"/>
    <col min="7" max="7" width="13.7109375" customWidth="1"/>
    <col min="8" max="8" width="12.5703125" bestFit="1" customWidth="1"/>
    <col min="9" max="9" width="29.85546875" customWidth="1"/>
    <col min="10" max="10" width="17" customWidth="1"/>
  </cols>
  <sheetData>
    <row r="1" spans="1:11" x14ac:dyDescent="0.25">
      <c r="A1" s="115"/>
      <c r="B1" s="116">
        <v>2021</v>
      </c>
      <c r="C1" s="116">
        <v>2022</v>
      </c>
      <c r="D1" s="116">
        <v>2023</v>
      </c>
      <c r="E1" s="116">
        <v>2024</v>
      </c>
      <c r="F1" s="116">
        <v>2025</v>
      </c>
      <c r="G1" s="139">
        <v>2026</v>
      </c>
    </row>
    <row r="2" spans="1:11" x14ac:dyDescent="0.25">
      <c r="A2" s="115" t="s">
        <v>84</v>
      </c>
      <c r="B2" s="117">
        <v>0</v>
      </c>
      <c r="C2" s="117">
        <v>0</v>
      </c>
      <c r="D2" s="117">
        <v>1000</v>
      </c>
      <c r="E2" s="117">
        <v>10000</v>
      </c>
      <c r="F2" s="117">
        <v>20000</v>
      </c>
      <c r="G2" s="140">
        <v>30000</v>
      </c>
    </row>
    <row r="3" spans="1:11" x14ac:dyDescent="0.25">
      <c r="A3" s="115" t="s">
        <v>79</v>
      </c>
      <c r="B3" s="118">
        <f>[5]Sheet5!B3/('AMI Data Request (AER)'!B26*B28)</f>
        <v>0</v>
      </c>
      <c r="C3" s="118">
        <f>[5]Sheet5!C3/('AMI Data Request (AER)'!C26*C28)</f>
        <v>0</v>
      </c>
      <c r="D3" s="118">
        <f>'Non-Standard AMI Data Request'!D3/('AMI Data Request (AER)'!D26*D28)</f>
        <v>157707.73382106048</v>
      </c>
      <c r="E3" s="118">
        <f>'Non-Standard AMI Data Request'!E3/('AMI Data Request (AER)'!E26*E28)</f>
        <v>148013.10519696999</v>
      </c>
      <c r="F3" s="118">
        <f>'Non-Standard AMI Data Request'!F3/('AMI Data Request (AER)'!F26*F28)</f>
        <v>142293.08191400825</v>
      </c>
      <c r="G3" s="118">
        <f>'Non-Standard AMI Data Request'!G3/('AMI Data Request (AER)'!G26*G28)</f>
        <v>137038.28064608632</v>
      </c>
      <c r="H3" s="120">
        <f>SUM(C3:G3)</f>
        <v>585052.20157812501</v>
      </c>
    </row>
    <row r="4" spans="1:11" x14ac:dyDescent="0.25">
      <c r="A4" s="115" t="s">
        <v>83</v>
      </c>
      <c r="B4" s="115">
        <f t="shared" ref="B4:G4" si="0">B2*1/(B26*B28)</f>
        <v>0</v>
      </c>
      <c r="C4" s="115">
        <f t="shared" si="0"/>
        <v>0</v>
      </c>
      <c r="D4" s="115">
        <f t="shared" si="0"/>
        <v>876.15407678366932</v>
      </c>
      <c r="E4" s="115">
        <f t="shared" si="0"/>
        <v>8222.9502887205545</v>
      </c>
      <c r="F4" s="115">
        <f t="shared" si="0"/>
        <v>15462.437589134282</v>
      </c>
      <c r="G4" s="115">
        <f t="shared" si="0"/>
        <v>21845.602014348922</v>
      </c>
      <c r="H4" s="34">
        <f>SUM(B4:G4)</f>
        <v>46407.143968987424</v>
      </c>
    </row>
    <row r="5" spans="1:11" x14ac:dyDescent="0.25">
      <c r="A5" s="115" t="s">
        <v>86</v>
      </c>
      <c r="B5" s="118">
        <v>0</v>
      </c>
      <c r="C5" s="118">
        <v>0</v>
      </c>
      <c r="D5" s="118">
        <f>(D4+D3)/D2</f>
        <v>158.58388789784414</v>
      </c>
      <c r="E5" s="118">
        <f t="shared" ref="E5:G5" si="1">(E4+E3)/E2</f>
        <v>15.623605548569053</v>
      </c>
      <c r="F5" s="118">
        <f t="shared" si="1"/>
        <v>7.887775975157127</v>
      </c>
      <c r="G5" s="118">
        <f t="shared" si="1"/>
        <v>5.2961294220145083</v>
      </c>
    </row>
    <row r="6" spans="1:11" x14ac:dyDescent="0.25">
      <c r="A6" s="115" t="s">
        <v>85</v>
      </c>
      <c r="B6" s="118">
        <f>B5/12</f>
        <v>0</v>
      </c>
      <c r="C6" s="118">
        <f t="shared" ref="C6:G6" si="2">C5/12</f>
        <v>0</v>
      </c>
      <c r="D6" s="118">
        <f>D5/12</f>
        <v>13.215323991487011</v>
      </c>
      <c r="E6" s="118">
        <f t="shared" si="2"/>
        <v>1.3019671290474211</v>
      </c>
      <c r="F6" s="118">
        <f t="shared" si="2"/>
        <v>0.65731466459642729</v>
      </c>
      <c r="G6" s="118">
        <f t="shared" si="2"/>
        <v>0.44134411850120903</v>
      </c>
      <c r="H6" s="4"/>
      <c r="I6" s="4"/>
      <c r="J6" s="4"/>
      <c r="K6" s="4"/>
    </row>
    <row r="7" spans="1:11" x14ac:dyDescent="0.25">
      <c r="A7" s="153" t="s">
        <v>131</v>
      </c>
      <c r="B7" s="152"/>
      <c r="C7" s="154">
        <f t="shared" ref="C7" si="3">C6*12*C2</f>
        <v>0</v>
      </c>
      <c r="D7" s="154">
        <f>D6*12*D2</f>
        <v>158583.88789784414</v>
      </c>
      <c r="E7" s="154">
        <f>E6*12*E2</f>
        <v>156236.05548569054</v>
      </c>
      <c r="F7" s="154">
        <f>F6*12*F2</f>
        <v>157755.51950314257</v>
      </c>
      <c r="G7" s="154">
        <f>G6*12*G2</f>
        <v>158883.88266043525</v>
      </c>
      <c r="H7" s="154">
        <f>SUM(C7:G7)</f>
        <v>631459.34554711252</v>
      </c>
      <c r="I7" s="4"/>
      <c r="J7" s="4"/>
      <c r="K7" s="4"/>
    </row>
    <row r="8" spans="1:11" x14ac:dyDescent="0.25">
      <c r="A8" s="155" t="s">
        <v>132</v>
      </c>
      <c r="B8" s="152"/>
      <c r="C8" s="154"/>
      <c r="D8" s="154"/>
      <c r="E8" s="154"/>
      <c r="F8" s="154"/>
      <c r="G8" s="154"/>
    </row>
    <row r="9" spans="1:11" x14ac:dyDescent="0.25">
      <c r="A9" s="101" t="s">
        <v>22</v>
      </c>
      <c r="G9" s="120"/>
    </row>
    <row r="10" spans="1:11" x14ac:dyDescent="0.25">
      <c r="A10" t="s">
        <v>108</v>
      </c>
    </row>
    <row r="11" spans="1:11" x14ac:dyDescent="0.25">
      <c r="A11" t="s">
        <v>130</v>
      </c>
    </row>
    <row r="12" spans="1:11" x14ac:dyDescent="0.25">
      <c r="A12" t="s">
        <v>109</v>
      </c>
    </row>
    <row r="13" spans="1:11" x14ac:dyDescent="0.25">
      <c r="A13" t="s">
        <v>97</v>
      </c>
    </row>
    <row r="14" spans="1:11" x14ac:dyDescent="0.25">
      <c r="A14" t="s">
        <v>110</v>
      </c>
      <c r="I14" s="152" t="s">
        <v>133</v>
      </c>
      <c r="J14" s="152" t="s">
        <v>134</v>
      </c>
    </row>
    <row r="15" spans="1:11" x14ac:dyDescent="0.25">
      <c r="I15" s="156">
        <f>(D18*1/(D26*D28))-D4</f>
        <v>3504.6163071346773</v>
      </c>
      <c r="J15" s="154">
        <f>H7+I15</f>
        <v>634963.96185424714</v>
      </c>
    </row>
    <row r="16" spans="1:11" x14ac:dyDescent="0.25">
      <c r="A16" s="155" t="s">
        <v>135</v>
      </c>
      <c r="B16" s="152"/>
      <c r="C16" s="157">
        <v>2022</v>
      </c>
      <c r="D16" s="157">
        <v>2023</v>
      </c>
      <c r="E16" s="157">
        <v>2024</v>
      </c>
      <c r="F16" s="157">
        <v>2025</v>
      </c>
      <c r="G16" s="157">
        <v>2026</v>
      </c>
      <c r="H16" s="155" t="s">
        <v>136</v>
      </c>
    </row>
    <row r="17" spans="1:10" x14ac:dyDescent="0.25">
      <c r="A17" s="155" t="s">
        <v>137</v>
      </c>
      <c r="B17" s="152"/>
      <c r="C17" s="152">
        <v>0</v>
      </c>
      <c r="D17" s="185">
        <v>-0.66268624707600698</v>
      </c>
      <c r="E17" s="185">
        <v>-0.60912696932914201</v>
      </c>
      <c r="F17" s="185">
        <v>-0.73277279219734304</v>
      </c>
      <c r="G17" s="185">
        <v>-0.95094682370305605</v>
      </c>
      <c r="H17" s="152"/>
      <c r="J17" s="4"/>
    </row>
    <row r="18" spans="1:10" x14ac:dyDescent="0.25">
      <c r="A18" s="155" t="s">
        <v>138</v>
      </c>
      <c r="B18" s="152"/>
      <c r="C18" s="156">
        <v>0</v>
      </c>
      <c r="D18" s="158">
        <v>5000</v>
      </c>
      <c r="E18" s="158">
        <v>10000</v>
      </c>
      <c r="F18" s="158">
        <v>20000</v>
      </c>
      <c r="G18" s="158">
        <v>30000</v>
      </c>
      <c r="H18" s="156">
        <f>SUM(C18:G18)</f>
        <v>65000</v>
      </c>
    </row>
    <row r="19" spans="1:10" x14ac:dyDescent="0.25">
      <c r="A19" s="155" t="s">
        <v>139</v>
      </c>
      <c r="B19" s="152"/>
      <c r="C19" s="188">
        <v>9.5539698056171485</v>
      </c>
      <c r="D19" s="159">
        <f>C19*(1-D17/100)</f>
        <v>9.617282649568768</v>
      </c>
      <c r="E19" s="159">
        <f>D19*(1-E17/100)</f>
        <v>9.6758641119039019</v>
      </c>
      <c r="F19" s="159">
        <f>E19*(1-F17/100)</f>
        <v>9.7467662115259213</v>
      </c>
      <c r="G19" s="160">
        <f>F19*(1-G17/100)</f>
        <v>9.8394527752281888</v>
      </c>
      <c r="H19" s="156"/>
    </row>
    <row r="20" spans="1:10" x14ac:dyDescent="0.25">
      <c r="A20" s="155" t="s">
        <v>140</v>
      </c>
      <c r="B20" s="152"/>
      <c r="C20" s="152">
        <f t="shared" ref="C20:G20" si="4">C19*C18</f>
        <v>0</v>
      </c>
      <c r="D20" s="161">
        <f t="shared" si="4"/>
        <v>48086.413247843841</v>
      </c>
      <c r="E20" s="161">
        <f t="shared" si="4"/>
        <v>96758.641119039021</v>
      </c>
      <c r="F20" s="161">
        <f t="shared" si="4"/>
        <v>194935.32423051842</v>
      </c>
      <c r="G20" s="161">
        <f t="shared" si="4"/>
        <v>295183.58325684565</v>
      </c>
      <c r="H20" s="161">
        <f>SUM(C20:G20)</f>
        <v>634963.96185424691</v>
      </c>
      <c r="I20" s="162"/>
    </row>
    <row r="21" spans="1:10" x14ac:dyDescent="0.25">
      <c r="A21" s="155" t="s">
        <v>132</v>
      </c>
      <c r="B21" s="152"/>
      <c r="C21" s="163">
        <f>C19/12</f>
        <v>0.79616415046809574</v>
      </c>
      <c r="D21" s="164">
        <f t="shared" ref="D21:E21" si="5">D19/12</f>
        <v>0.8014402207973973</v>
      </c>
      <c r="E21" s="164">
        <f t="shared" si="5"/>
        <v>0.80632200932532516</v>
      </c>
      <c r="F21" s="164">
        <f>F19/12</f>
        <v>0.81223051762716014</v>
      </c>
      <c r="G21" s="165">
        <f>G19/12</f>
        <v>0.81995439793568237</v>
      </c>
      <c r="H21" s="152"/>
    </row>
    <row r="22" spans="1:10" x14ac:dyDescent="0.25">
      <c r="A22" s="155" t="s">
        <v>153</v>
      </c>
      <c r="B22" s="152"/>
      <c r="C22" s="166">
        <f>C21*C28</f>
        <v>0.83464155097215231</v>
      </c>
      <c r="D22" s="167">
        <f>D21*D28</f>
        <v>0.87921587755766728</v>
      </c>
      <c r="E22" s="167">
        <f t="shared" ref="E22:F22" si="6">E21*E28</f>
        <v>0.9240344464382485</v>
      </c>
      <c r="F22" s="167">
        <f t="shared" si="6"/>
        <v>0.97060178978957634</v>
      </c>
      <c r="G22" s="168">
        <f>G21*G28</f>
        <v>1.0199035958883713</v>
      </c>
      <c r="H22" s="152"/>
    </row>
    <row r="23" spans="1:10" x14ac:dyDescent="0.25">
      <c r="D23" s="174"/>
      <c r="E23" s="174"/>
      <c r="F23" s="174"/>
      <c r="G23" s="174"/>
    </row>
    <row r="25" spans="1:10" x14ac:dyDescent="0.25">
      <c r="A25" s="155" t="s">
        <v>141</v>
      </c>
      <c r="B25" s="169"/>
      <c r="C25" s="187">
        <v>1.9993872504847632E-2</v>
      </c>
      <c r="D25" s="187">
        <v>1.9993872504847632E-2</v>
      </c>
      <c r="E25" s="187">
        <v>1.9993872504847632E-2</v>
      </c>
      <c r="F25" s="187">
        <v>1.9993872504847632E-2</v>
      </c>
      <c r="G25" s="187">
        <v>1.9993872504847632E-2</v>
      </c>
    </row>
    <row r="26" spans="1:10" x14ac:dyDescent="0.25">
      <c r="A26" s="155" t="s">
        <v>142</v>
      </c>
      <c r="B26" s="152">
        <v>1</v>
      </c>
      <c r="C26" s="152">
        <f t="shared" ref="C26:G26" si="7">B26*(1+C25)</f>
        <v>1.0199938725048476</v>
      </c>
      <c r="D26" s="152">
        <f t="shared" si="7"/>
        <v>1.0403874999474354</v>
      </c>
      <c r="E26" s="152">
        <f t="shared" si="7"/>
        <v>1.0611888749770215</v>
      </c>
      <c r="F26" s="152">
        <f t="shared" si="7"/>
        <v>1.0824061500468747</v>
      </c>
      <c r="G26" s="152">
        <f t="shared" si="7"/>
        <v>1.1040476406093749</v>
      </c>
    </row>
    <row r="27" spans="1:10" x14ac:dyDescent="0.25">
      <c r="A27" s="185" t="s">
        <v>151</v>
      </c>
      <c r="B27" s="170"/>
      <c r="C27" s="186">
        <v>4.8328476585430644E-2</v>
      </c>
      <c r="D27" s="186">
        <v>4.6470536587325542E-2</v>
      </c>
      <c r="E27" s="186">
        <v>4.4612596589220441E-2</v>
      </c>
      <c r="F27" s="186">
        <v>4.2754656591115339E-2</v>
      </c>
      <c r="G27" s="186">
        <v>4.0896716593010231E-2</v>
      </c>
      <c r="H27" s="152" t="s">
        <v>172</v>
      </c>
      <c r="I27" s="152"/>
    </row>
    <row r="28" spans="1:10" x14ac:dyDescent="0.25">
      <c r="A28" s="152" t="s">
        <v>143</v>
      </c>
      <c r="B28" s="152">
        <v>1</v>
      </c>
      <c r="C28" s="152">
        <f>B28*(1+C27)</f>
        <v>1.0483284765854306</v>
      </c>
      <c r="D28" s="152">
        <f>C28*(1+D27)</f>
        <v>1.097044863412129</v>
      </c>
      <c r="E28" s="152">
        <f>D28*(1+E27)</f>
        <v>1.1459868833438107</v>
      </c>
      <c r="F28" s="152">
        <f>E28*(1+F27)</f>
        <v>1.194983158999098</v>
      </c>
      <c r="G28" s="152">
        <f>F28*(1+G27)</f>
        <v>1.2438540465861043</v>
      </c>
    </row>
    <row r="31" spans="1:10" x14ac:dyDescent="0.25">
      <c r="D31" s="173"/>
    </row>
  </sheetData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AER Amendments</vt:lpstr>
      <vt:lpstr>AER final decision 2021-22</vt:lpstr>
      <vt:lpstr>Summary</vt:lpstr>
      <vt:lpstr>Forecast Volumes and Revenue</vt:lpstr>
      <vt:lpstr>2021 Remote Special Reads</vt:lpstr>
      <vt:lpstr>2021 Remote Reconfig</vt:lpstr>
      <vt:lpstr>2021 Field Officer Visit</vt:lpstr>
      <vt:lpstr>Non-Standard AMI Data Request</vt:lpstr>
      <vt:lpstr>AMI Data Request (AER)</vt:lpstr>
      <vt:lpstr>Priority Re-energisation</vt:lpstr>
      <vt:lpstr>Type-7 Unmetered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2020-09-28T01:52:02Z</dcterms:created>
  <dcterms:modified xsi:type="dcterms:W3CDTF">2021-04-12T04:26:02Z</dcterms:modified>
</cp:coreProperties>
</file>