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11508" yWindow="48" windowWidth="11556" windowHeight="10212" activeTab="1"/>
  </bookViews>
  <sheets>
    <sheet name="AER FD method and comparison" sheetId="10" r:id="rId1"/>
    <sheet name="AER FD AER Summary" sheetId="11" r:id="rId2"/>
    <sheet name="AER FD Fee Breakdown" sheetId="12" r:id="rId3"/>
    <sheet name="AER FD Input Data" sheetId="13" r:id="rId4"/>
    <sheet name="Cover" sheetId="9" r:id="rId5"/>
    <sheet name="AER Summary" sheetId="1" r:id="rId6"/>
    <sheet name="Service Description" sheetId="2" r:id="rId7"/>
    <sheet name="Fee Breakdown" sheetId="4" r:id="rId8"/>
    <sheet name="Input Data" sheetId="7" r:id="rId9"/>
    <sheet name="15-19 prices" sheetId="8" r:id="rId10"/>
  </sheets>
  <externalReferences>
    <externalReference r:id="rId11"/>
    <externalReference r:id="rId12"/>
  </externalReferences>
  <definedNames>
    <definedName name="_xlnm._FilterDatabase" localSheetId="9" hidden="1">'15-19 prices'!$A$2:$O$153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0">'[2]Input Data'!$B$37:$B$41</definedName>
    <definedName name="Rates">'Input Data'!$B$37:$B$41</definedName>
  </definedNames>
  <calcPr calcId="162913"/>
</workbook>
</file>

<file path=xl/calcChain.xml><?xml version="1.0" encoding="utf-8"?>
<calcChain xmlns="http://schemas.openxmlformats.org/spreadsheetml/2006/main">
  <c r="D21" i="11" l="1"/>
  <c r="H89" i="12"/>
  <c r="D17" i="11"/>
  <c r="H57" i="12"/>
  <c r="L12" i="11" l="1"/>
  <c r="L13" i="11"/>
  <c r="L14" i="11"/>
  <c r="L15" i="11"/>
  <c r="L16" i="11"/>
  <c r="L18" i="11"/>
  <c r="L19" i="11"/>
  <c r="L20" i="11"/>
  <c r="L22" i="11"/>
  <c r="L23" i="11"/>
  <c r="L24" i="11"/>
  <c r="L25" i="11"/>
  <c r="L26" i="11"/>
  <c r="L27" i="11"/>
  <c r="L28" i="11"/>
  <c r="L29" i="11"/>
  <c r="L30" i="11"/>
  <c r="L31" i="11"/>
  <c r="L32" i="11"/>
  <c r="L33" i="11"/>
  <c r="L34" i="11"/>
  <c r="L35" i="11"/>
  <c r="L36" i="11"/>
  <c r="L37" i="11"/>
  <c r="L38" i="11"/>
  <c r="L39" i="11"/>
  <c r="L40" i="11"/>
  <c r="L41" i="11"/>
  <c r="L11"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F41" i="13"/>
  <c r="E41" i="13"/>
  <c r="F40" i="13"/>
  <c r="E40" i="13"/>
  <c r="F39" i="13"/>
  <c r="E39" i="13"/>
  <c r="F38" i="13"/>
  <c r="E38" i="13"/>
  <c r="F37" i="13"/>
  <c r="E37" i="13"/>
  <c r="G30" i="13"/>
  <c r="H30" i="13" s="1"/>
  <c r="I30" i="13" s="1"/>
  <c r="J30" i="13" s="1"/>
  <c r="G29" i="13"/>
  <c r="H29" i="13" s="1"/>
  <c r="I29" i="13" s="1"/>
  <c r="J29" i="13" s="1"/>
  <c r="G28" i="13"/>
  <c r="H28" i="13" s="1"/>
  <c r="I28" i="13" s="1"/>
  <c r="J28" i="13" s="1"/>
  <c r="G27" i="13"/>
  <c r="H27" i="13" s="1"/>
  <c r="I27" i="13" s="1"/>
  <c r="J27" i="13" s="1"/>
  <c r="G26" i="13"/>
  <c r="H26" i="13" s="1"/>
  <c r="I26" i="13" s="1"/>
  <c r="J26" i="13" s="1"/>
  <c r="H15" i="13"/>
  <c r="I15" i="13" s="1"/>
  <c r="I14" i="13"/>
  <c r="H14" i="13"/>
  <c r="F10" i="13"/>
  <c r="G10" i="13" s="1"/>
  <c r="E10" i="13"/>
  <c r="D10" i="13"/>
  <c r="D9" i="13"/>
  <c r="D8" i="13" s="1"/>
  <c r="E221" i="12"/>
  <c r="H221" i="12" s="1"/>
  <c r="H222" i="12" s="1"/>
  <c r="D221" i="12"/>
  <c r="C219" i="12"/>
  <c r="E213" i="12"/>
  <c r="H213" i="12" s="1"/>
  <c r="H214" i="12" s="1"/>
  <c r="D213" i="12"/>
  <c r="C211" i="12"/>
  <c r="H205" i="12"/>
  <c r="H206" i="12" s="1"/>
  <c r="E205" i="12"/>
  <c r="D205" i="12"/>
  <c r="C203" i="12"/>
  <c r="H197" i="12"/>
  <c r="H198" i="12" s="1"/>
  <c r="E197" i="12"/>
  <c r="D197" i="12"/>
  <c r="C195" i="12"/>
  <c r="H189" i="12"/>
  <c r="E189" i="12"/>
  <c r="D189" i="12"/>
  <c r="G188" i="12"/>
  <c r="E188" i="12"/>
  <c r="H188" i="12" s="1"/>
  <c r="H190" i="12" s="1"/>
  <c r="D188" i="12"/>
  <c r="C186" i="12"/>
  <c r="H180" i="12"/>
  <c r="H181" i="12" s="1"/>
  <c r="G180" i="12"/>
  <c r="E180" i="12"/>
  <c r="D180" i="12"/>
  <c r="C178" i="12"/>
  <c r="H173" i="12"/>
  <c r="H172" i="12"/>
  <c r="G172" i="12"/>
  <c r="E172" i="12"/>
  <c r="D172" i="12"/>
  <c r="H171" i="12"/>
  <c r="G171" i="12"/>
  <c r="E171" i="12"/>
  <c r="D171" i="12"/>
  <c r="C169" i="12"/>
  <c r="H163" i="12"/>
  <c r="G163" i="12"/>
  <c r="E163" i="12"/>
  <c r="D163" i="12"/>
  <c r="G162" i="12"/>
  <c r="E162" i="12"/>
  <c r="D162" i="12"/>
  <c r="C160" i="12"/>
  <c r="H154" i="12"/>
  <c r="G154" i="12"/>
  <c r="E154" i="12"/>
  <c r="D154" i="12"/>
  <c r="G153" i="12"/>
  <c r="E153" i="12"/>
  <c r="H153" i="12" s="1"/>
  <c r="H155" i="12" s="1"/>
  <c r="D153" i="12"/>
  <c r="C151" i="12"/>
  <c r="E145" i="12"/>
  <c r="D145" i="12"/>
  <c r="C143" i="12"/>
  <c r="E137" i="12"/>
  <c r="D137" i="12"/>
  <c r="C135" i="12"/>
  <c r="E129" i="12"/>
  <c r="D129" i="12"/>
  <c r="C127" i="12"/>
  <c r="E121" i="12"/>
  <c r="D121" i="12"/>
  <c r="C119" i="12"/>
  <c r="H113" i="12"/>
  <c r="H114" i="12" s="1"/>
  <c r="E113" i="12"/>
  <c r="D113" i="12"/>
  <c r="C111" i="12"/>
  <c r="E105" i="12"/>
  <c r="D105" i="12"/>
  <c r="C103" i="12"/>
  <c r="E97" i="12"/>
  <c r="D97" i="12"/>
  <c r="C95" i="12"/>
  <c r="E89" i="12"/>
  <c r="D89" i="12"/>
  <c r="C87" i="12"/>
  <c r="E81" i="12"/>
  <c r="D81" i="12"/>
  <c r="C79" i="12"/>
  <c r="H73" i="12"/>
  <c r="H74" i="12" s="1"/>
  <c r="E73" i="12"/>
  <c r="D73" i="12"/>
  <c r="C71" i="12"/>
  <c r="E65" i="12"/>
  <c r="H65" i="12" s="1"/>
  <c r="H66" i="12" s="1"/>
  <c r="D65" i="12"/>
  <c r="C63" i="12"/>
  <c r="E57" i="12"/>
  <c r="D57" i="12"/>
  <c r="C55" i="12"/>
  <c r="E49" i="12"/>
  <c r="D49" i="12"/>
  <c r="C47" i="12"/>
  <c r="E41" i="12"/>
  <c r="D41" i="12"/>
  <c r="C39" i="12"/>
  <c r="C30" i="12"/>
  <c r="H24" i="12"/>
  <c r="H25" i="12" s="1"/>
  <c r="E24" i="12"/>
  <c r="D24" i="12"/>
  <c r="C22" i="12"/>
  <c r="E16" i="12"/>
  <c r="D16" i="12"/>
  <c r="C14" i="12"/>
  <c r="E8" i="12"/>
  <c r="D8" i="12"/>
  <c r="C6" i="12"/>
  <c r="C3" i="12"/>
  <c r="H273" i="11"/>
  <c r="G273" i="11"/>
  <c r="F273" i="11"/>
  <c r="E273" i="11"/>
  <c r="D273" i="11"/>
  <c r="H266" i="11"/>
  <c r="H264" i="11"/>
  <c r="G264" i="11"/>
  <c r="F264" i="11"/>
  <c r="E264" i="11"/>
  <c r="E263" i="11"/>
  <c r="F263" i="11" s="1"/>
  <c r="C257" i="11"/>
  <c r="E256" i="11"/>
  <c r="D256" i="11"/>
  <c r="C256" i="11"/>
  <c r="C255" i="11"/>
  <c r="H246" i="11"/>
  <c r="B245" i="11"/>
  <c r="H242" i="11"/>
  <c r="B241" i="11"/>
  <c r="H238" i="11"/>
  <c r="B237" i="11"/>
  <c r="H234" i="11"/>
  <c r="B233" i="11"/>
  <c r="H230" i="11"/>
  <c r="B229" i="11"/>
  <c r="H226" i="11"/>
  <c r="B225" i="11"/>
  <c r="H223" i="11"/>
  <c r="G223" i="11"/>
  <c r="F223" i="11"/>
  <c r="E223" i="11"/>
  <c r="D223" i="11"/>
  <c r="C223" i="11"/>
  <c r="H222" i="11"/>
  <c r="B221" i="11"/>
  <c r="H218" i="11"/>
  <c r="B217" i="11"/>
  <c r="H214" i="11"/>
  <c r="B213" i="11"/>
  <c r="D210" i="11"/>
  <c r="B209" i="11"/>
  <c r="D205" i="11"/>
  <c r="E205" i="11" s="1"/>
  <c r="F205" i="11" s="1"/>
  <c r="G205" i="11" s="1"/>
  <c r="B204" i="11"/>
  <c r="H200" i="11"/>
  <c r="B199" i="11"/>
  <c r="H195" i="11"/>
  <c r="B194" i="11"/>
  <c r="H190" i="11"/>
  <c r="B189" i="11"/>
  <c r="D185" i="11"/>
  <c r="B184" i="11"/>
  <c r="D180" i="11"/>
  <c r="E180" i="11" s="1"/>
  <c r="F180" i="11" s="1"/>
  <c r="G180" i="11" s="1"/>
  <c r="B179" i="11"/>
  <c r="D175" i="11"/>
  <c r="B174" i="11"/>
  <c r="D170" i="11"/>
  <c r="E170" i="11" s="1"/>
  <c r="F170" i="11" s="1"/>
  <c r="G170" i="11" s="1"/>
  <c r="B169" i="11"/>
  <c r="D165" i="11"/>
  <c r="B164" i="11"/>
  <c r="D160" i="11"/>
  <c r="E160" i="11" s="1"/>
  <c r="F160" i="11" s="1"/>
  <c r="G160" i="11" s="1"/>
  <c r="B159" i="11"/>
  <c r="D155" i="11"/>
  <c r="B154" i="11"/>
  <c r="H150" i="11"/>
  <c r="B149" i="11"/>
  <c r="D145" i="11"/>
  <c r="E145" i="11" s="1"/>
  <c r="F145" i="11" s="1"/>
  <c r="G145" i="11" s="1"/>
  <c r="B144" i="11"/>
  <c r="B139" i="11"/>
  <c r="H135" i="11"/>
  <c r="D135" i="11"/>
  <c r="E135" i="11" s="1"/>
  <c r="F135" i="11" s="1"/>
  <c r="G135" i="11" s="1"/>
  <c r="B134" i="11"/>
  <c r="D130" i="11"/>
  <c r="B129" i="11"/>
  <c r="H125" i="11"/>
  <c r="B124" i="11"/>
  <c r="G105" i="11"/>
  <c r="F105" i="11"/>
  <c r="F88" i="11"/>
  <c r="E66" i="11"/>
  <c r="E65" i="11"/>
  <c r="F64" i="11"/>
  <c r="E64" i="11"/>
  <c r="G63" i="11"/>
  <c r="E63" i="11"/>
  <c r="E62" i="11"/>
  <c r="F62" i="11" s="1"/>
  <c r="E61" i="11"/>
  <c r="F60" i="11"/>
  <c r="E60" i="11"/>
  <c r="F59" i="11"/>
  <c r="E59" i="11"/>
  <c r="E58" i="11"/>
  <c r="E57" i="11"/>
  <c r="F56" i="11"/>
  <c r="E56" i="11"/>
  <c r="G55" i="11"/>
  <c r="E55" i="11"/>
  <c r="E54" i="11"/>
  <c r="F54" i="11" s="1"/>
  <c r="E53" i="11"/>
  <c r="F52" i="11"/>
  <c r="E52" i="11"/>
  <c r="E51" i="11"/>
  <c r="F51" i="11" s="1"/>
  <c r="E50" i="11"/>
  <c r="E49" i="11"/>
  <c r="D40" i="11"/>
  <c r="D39" i="11"/>
  <c r="D38" i="11"/>
  <c r="D37" i="11"/>
  <c r="D36" i="11"/>
  <c r="D35" i="11"/>
  <c r="D34" i="11"/>
  <c r="D33" i="11"/>
  <c r="D32" i="11"/>
  <c r="D24" i="11"/>
  <c r="D20" i="11"/>
  <c r="D19" i="11"/>
  <c r="D18" i="11"/>
  <c r="D14" i="11"/>
  <c r="D13" i="11"/>
  <c r="D257" i="11" l="1"/>
  <c r="H13" i="13"/>
  <c r="D255" i="11" s="1"/>
  <c r="E13" i="11" s="1"/>
  <c r="D166" i="11"/>
  <c r="C166" i="11"/>
  <c r="F166" i="11"/>
  <c r="E191" i="11"/>
  <c r="E231" i="11"/>
  <c r="H81" i="12"/>
  <c r="H60" i="11"/>
  <c r="G59" i="11"/>
  <c r="G62" i="11"/>
  <c r="G54" i="11"/>
  <c r="G263" i="11"/>
  <c r="G60" i="11"/>
  <c r="G64" i="11"/>
  <c r="G56" i="11"/>
  <c r="E239" i="11"/>
  <c r="D239" i="11"/>
  <c r="C239" i="11"/>
  <c r="G239" i="11"/>
  <c r="F239" i="11"/>
  <c r="E247" i="11"/>
  <c r="D247" i="11"/>
  <c r="C247" i="11"/>
  <c r="D41" i="11"/>
  <c r="G247" i="11"/>
  <c r="F247" i="11"/>
  <c r="G51" i="11"/>
  <c r="H65" i="11"/>
  <c r="G65" i="11"/>
  <c r="F65" i="11"/>
  <c r="E215" i="11"/>
  <c r="E130" i="11"/>
  <c r="F130" i="11" s="1"/>
  <c r="H61" i="11"/>
  <c r="H155" i="11"/>
  <c r="G161" i="11"/>
  <c r="F161" i="11"/>
  <c r="E161" i="11"/>
  <c r="D161" i="11"/>
  <c r="C161" i="11"/>
  <c r="E257" i="11"/>
  <c r="J15" i="13"/>
  <c r="H57" i="11"/>
  <c r="G57" i="11"/>
  <c r="F57" i="11"/>
  <c r="E243" i="11"/>
  <c r="D243" i="11"/>
  <c r="C243" i="11"/>
  <c r="G243" i="11"/>
  <c r="F243" i="11"/>
  <c r="H53" i="11"/>
  <c r="E235" i="11"/>
  <c r="D235" i="11"/>
  <c r="C235" i="11"/>
  <c r="G235" i="11"/>
  <c r="F235" i="11"/>
  <c r="H49" i="11"/>
  <c r="G49" i="11"/>
  <c r="F49" i="11"/>
  <c r="E227" i="11"/>
  <c r="F136" i="11"/>
  <c r="E136" i="11"/>
  <c r="D136" i="11"/>
  <c r="C136" i="11"/>
  <c r="G136" i="11"/>
  <c r="I13" i="13"/>
  <c r="E255" i="11" s="1"/>
  <c r="F19" i="11" s="1"/>
  <c r="H51" i="11"/>
  <c r="F53" i="11"/>
  <c r="F61" i="11"/>
  <c r="H145" i="11"/>
  <c r="H160" i="11"/>
  <c r="H170" i="11"/>
  <c r="H180" i="11"/>
  <c r="F191" i="11"/>
  <c r="H205" i="11"/>
  <c r="F215" i="11"/>
  <c r="F227" i="11"/>
  <c r="F231" i="11"/>
  <c r="F50" i="11"/>
  <c r="G53" i="11"/>
  <c r="H56" i="11"/>
  <c r="F58" i="11"/>
  <c r="G61" i="11"/>
  <c r="H64" i="11"/>
  <c r="F66" i="11"/>
  <c r="E155" i="11"/>
  <c r="F155" i="11" s="1"/>
  <c r="G155" i="11" s="1"/>
  <c r="E165" i="11"/>
  <c r="F165" i="11" s="1"/>
  <c r="G165" i="11" s="1"/>
  <c r="G166" i="11" s="1"/>
  <c r="E175" i="11"/>
  <c r="F175" i="11" s="1"/>
  <c r="G175" i="11" s="1"/>
  <c r="E185" i="11"/>
  <c r="F185" i="11" s="1"/>
  <c r="G185" i="11" s="1"/>
  <c r="G191" i="11"/>
  <c r="E210" i="11"/>
  <c r="F210" i="11" s="1"/>
  <c r="G210" i="11" s="1"/>
  <c r="G215" i="11"/>
  <c r="G227" i="11"/>
  <c r="G231" i="11"/>
  <c r="J14" i="13"/>
  <c r="G50" i="11"/>
  <c r="F55" i="11"/>
  <c r="G58" i="11"/>
  <c r="F63" i="11"/>
  <c r="G66" i="11"/>
  <c r="H162" i="12"/>
  <c r="H164" i="12" s="1"/>
  <c r="E9" i="13"/>
  <c r="G52" i="11"/>
  <c r="H55" i="11"/>
  <c r="H63" i="11"/>
  <c r="H52" i="11"/>
  <c r="C191" i="11"/>
  <c r="C215" i="11"/>
  <c r="C227" i="11"/>
  <c r="C231" i="11"/>
  <c r="D191" i="11"/>
  <c r="D215" i="11"/>
  <c r="D227" i="11"/>
  <c r="D231" i="11"/>
  <c r="B124" i="1"/>
  <c r="E49" i="1"/>
  <c r="E264" i="1"/>
  <c r="E263" i="1"/>
  <c r="F263" i="1" s="1"/>
  <c r="F264" i="1"/>
  <c r="G264" i="1"/>
  <c r="F88" i="1" s="1"/>
  <c r="G263" i="1"/>
  <c r="H266" i="1"/>
  <c r="H264" i="1"/>
  <c r="B129" i="1"/>
  <c r="E50" i="1"/>
  <c r="E273" i="1"/>
  <c r="D205" i="1" s="1"/>
  <c r="D130" i="1"/>
  <c r="E24" i="4"/>
  <c r="H24" i="4" s="1"/>
  <c r="H25" i="4" s="1"/>
  <c r="B144" i="1"/>
  <c r="E53" i="1"/>
  <c r="G53" i="1" s="1"/>
  <c r="D145" i="1"/>
  <c r="B149" i="1"/>
  <c r="E54" i="1"/>
  <c r="B154" i="1"/>
  <c r="E55" i="1"/>
  <c r="D155" i="1"/>
  <c r="E155" i="1" s="1"/>
  <c r="F155" i="1" s="1"/>
  <c r="G155" i="1" s="1"/>
  <c r="E65" i="4"/>
  <c r="H65" i="4" s="1"/>
  <c r="H66" i="4" s="1"/>
  <c r="E73" i="4"/>
  <c r="H73" i="4" s="1"/>
  <c r="H74" i="4" s="1"/>
  <c r="D165" i="1"/>
  <c r="C79" i="4"/>
  <c r="D20" i="1"/>
  <c r="H81" i="4"/>
  <c r="H82" i="4" s="1"/>
  <c r="B174" i="1"/>
  <c r="E59" i="1"/>
  <c r="B179" i="1"/>
  <c r="E60" i="1"/>
  <c r="B184" i="1"/>
  <c r="E61" i="1"/>
  <c r="B189" i="1"/>
  <c r="E113" i="4"/>
  <c r="H113" i="4" s="1"/>
  <c r="D24" i="1" s="1"/>
  <c r="B194" i="1"/>
  <c r="E63" i="1"/>
  <c r="B199" i="1"/>
  <c r="E64" i="1"/>
  <c r="B204" i="1"/>
  <c r="E65" i="1"/>
  <c r="G65" i="1" s="1"/>
  <c r="B209" i="1"/>
  <c r="E66" i="1"/>
  <c r="B213" i="1"/>
  <c r="D215" i="1" s="1"/>
  <c r="E153" i="4"/>
  <c r="G153" i="4"/>
  <c r="H153" i="4"/>
  <c r="H155" i="4" s="1"/>
  <c r="D32" i="1" s="1"/>
  <c r="E154" i="4"/>
  <c r="H154" i="4" s="1"/>
  <c r="G154" i="4"/>
  <c r="E162" i="4"/>
  <c r="H162" i="4" s="1"/>
  <c r="H164" i="4" s="1"/>
  <c r="G162" i="4"/>
  <c r="E163" i="4"/>
  <c r="G163" i="4"/>
  <c r="H163" i="4"/>
  <c r="E172" i="4"/>
  <c r="H172" i="4" s="1"/>
  <c r="H173" i="4" s="1"/>
  <c r="G172" i="4"/>
  <c r="B225" i="1"/>
  <c r="D227" i="1" s="1"/>
  <c r="E180" i="4"/>
  <c r="G180" i="4"/>
  <c r="H180" i="4"/>
  <c r="H181" i="4"/>
  <c r="D36" i="1" s="1"/>
  <c r="B229" i="1"/>
  <c r="E188" i="4"/>
  <c r="H188" i="4" s="1"/>
  <c r="G188" i="4"/>
  <c r="E189" i="4"/>
  <c r="H189" i="4"/>
  <c r="E197" i="4"/>
  <c r="H197" i="4" s="1"/>
  <c r="H198" i="4" s="1"/>
  <c r="E205" i="4"/>
  <c r="H205" i="4" s="1"/>
  <c r="H206" i="4" s="1"/>
  <c r="E213" i="4"/>
  <c r="H213" i="4" s="1"/>
  <c r="H214" i="4" s="1"/>
  <c r="E221" i="4"/>
  <c r="H221" i="4" s="1"/>
  <c r="H222" i="4" s="1"/>
  <c r="F273" i="1"/>
  <c r="E145" i="1"/>
  <c r="F145" i="1" s="1"/>
  <c r="G145" i="1" s="1"/>
  <c r="E223" i="1"/>
  <c r="G273" i="1"/>
  <c r="F243" i="1"/>
  <c r="H273" i="1"/>
  <c r="G227" i="1"/>
  <c r="C161" i="1"/>
  <c r="H242" i="1"/>
  <c r="B245" i="1"/>
  <c r="B241" i="1"/>
  <c r="H246" i="1"/>
  <c r="C219" i="4"/>
  <c r="C211" i="4"/>
  <c r="D221" i="4"/>
  <c r="D213" i="4"/>
  <c r="B86" i="2"/>
  <c r="B83" i="2"/>
  <c r="G27" i="7"/>
  <c r="H27" i="7" s="1"/>
  <c r="I27" i="7" s="1"/>
  <c r="J27" i="7" s="1"/>
  <c r="G28" i="7"/>
  <c r="H28" i="7" s="1"/>
  <c r="I28" i="7" s="1"/>
  <c r="J28" i="7" s="1"/>
  <c r="G29" i="7"/>
  <c r="H29" i="7" s="1"/>
  <c r="I29" i="7" s="1"/>
  <c r="J29" i="7"/>
  <c r="G30" i="7"/>
  <c r="H30" i="7" s="1"/>
  <c r="I30" i="7" s="1"/>
  <c r="J30" i="7" s="1"/>
  <c r="G26" i="7"/>
  <c r="H26" i="7" s="1"/>
  <c r="I26" i="7" s="1"/>
  <c r="J26" i="7"/>
  <c r="E38" i="7"/>
  <c r="F38" i="7"/>
  <c r="E39" i="7"/>
  <c r="F39" i="7"/>
  <c r="E40" i="7"/>
  <c r="F40" i="7"/>
  <c r="E41" i="7"/>
  <c r="F41" i="7"/>
  <c r="F37" i="7"/>
  <c r="E37" i="7"/>
  <c r="D273" i="1"/>
  <c r="D9" i="7"/>
  <c r="E9" i="7" s="1"/>
  <c r="D10" i="7"/>
  <c r="B80" i="2"/>
  <c r="B77" i="2"/>
  <c r="B74" i="2"/>
  <c r="B71" i="2"/>
  <c r="B68" i="2"/>
  <c r="B65" i="2"/>
  <c r="B62" i="2"/>
  <c r="B237" i="1"/>
  <c r="B233" i="1"/>
  <c r="H238" i="1"/>
  <c r="H234" i="1"/>
  <c r="H230" i="1"/>
  <c r="B221" i="1"/>
  <c r="B217" i="1"/>
  <c r="H226" i="1"/>
  <c r="H222" i="1"/>
  <c r="H218" i="1"/>
  <c r="H214" i="1"/>
  <c r="C203" i="4"/>
  <c r="D205" i="4"/>
  <c r="H14" i="7"/>
  <c r="H15" i="7"/>
  <c r="I15" i="7"/>
  <c r="E257" i="1" s="1"/>
  <c r="C195" i="4"/>
  <c r="D197" i="4"/>
  <c r="C186" i="4"/>
  <c r="D188" i="4"/>
  <c r="D189" i="4"/>
  <c r="C178" i="4"/>
  <c r="D180" i="4"/>
  <c r="D172" i="4"/>
  <c r="G171" i="4"/>
  <c r="D171" i="4"/>
  <c r="D162" i="4"/>
  <c r="D153" i="4"/>
  <c r="C169" i="4"/>
  <c r="C160" i="4"/>
  <c r="C151" i="4"/>
  <c r="D163" i="4"/>
  <c r="D154" i="4"/>
  <c r="E51" i="1"/>
  <c r="F51" i="1" s="1"/>
  <c r="B59" i="2"/>
  <c r="B56" i="2"/>
  <c r="B53" i="2"/>
  <c r="B50" i="2"/>
  <c r="B47" i="2"/>
  <c r="B44" i="2"/>
  <c r="B41" i="2"/>
  <c r="B38" i="2"/>
  <c r="B35" i="2"/>
  <c r="B32" i="2"/>
  <c r="B29" i="2"/>
  <c r="B26" i="2"/>
  <c r="B23" i="2"/>
  <c r="B20" i="2"/>
  <c r="B17" i="2"/>
  <c r="B14" i="2"/>
  <c r="B11" i="2"/>
  <c r="B8" i="2"/>
  <c r="H200" i="1"/>
  <c r="H195" i="1"/>
  <c r="H190" i="1"/>
  <c r="H150" i="1"/>
  <c r="H125" i="1"/>
  <c r="B169" i="1"/>
  <c r="B164" i="1"/>
  <c r="B159" i="1"/>
  <c r="B139" i="1"/>
  <c r="C143" i="4"/>
  <c r="C135" i="4"/>
  <c r="C127" i="4"/>
  <c r="C119" i="4"/>
  <c r="C111" i="4"/>
  <c r="C103" i="4"/>
  <c r="C95" i="4"/>
  <c r="C87" i="4"/>
  <c r="C71" i="4"/>
  <c r="C63" i="4"/>
  <c r="C55" i="4"/>
  <c r="C47" i="4"/>
  <c r="C39" i="4"/>
  <c r="C22" i="4"/>
  <c r="C14" i="4"/>
  <c r="C6" i="4"/>
  <c r="D145" i="4"/>
  <c r="D137" i="4"/>
  <c r="D129" i="4"/>
  <c r="D121" i="4"/>
  <c r="D113" i="4"/>
  <c r="D105" i="4"/>
  <c r="D97" i="4"/>
  <c r="D89" i="4"/>
  <c r="D81" i="4"/>
  <c r="D73" i="4"/>
  <c r="D65" i="4"/>
  <c r="C3" i="4"/>
  <c r="D3" i="2"/>
  <c r="C30" i="4"/>
  <c r="D57" i="4"/>
  <c r="D49" i="4"/>
  <c r="D41" i="4"/>
  <c r="B134" i="1"/>
  <c r="D24" i="4"/>
  <c r="D16" i="4"/>
  <c r="D8" i="4"/>
  <c r="C256" i="1"/>
  <c r="C257" i="1"/>
  <c r="C255" i="1"/>
  <c r="E56" i="1"/>
  <c r="E58" i="1"/>
  <c r="E57" i="1"/>
  <c r="F57" i="1" s="1"/>
  <c r="E52" i="1"/>
  <c r="F52" i="1" s="1"/>
  <c r="E62" i="1"/>
  <c r="F62" i="1" s="1"/>
  <c r="F50" i="1"/>
  <c r="F58" i="1"/>
  <c r="F56" i="1"/>
  <c r="F55" i="1"/>
  <c r="F49" i="1"/>
  <c r="F64" i="1"/>
  <c r="F54" i="1"/>
  <c r="F59" i="1"/>
  <c r="J15" i="7"/>
  <c r="K15" i="7" s="1"/>
  <c r="H13" i="7"/>
  <c r="D255" i="1" s="1"/>
  <c r="D257" i="1"/>
  <c r="G49" i="1"/>
  <c r="H65" i="1"/>
  <c r="H63" i="1"/>
  <c r="D33" i="1"/>
  <c r="E171" i="4"/>
  <c r="H171" i="4"/>
  <c r="D18" i="1"/>
  <c r="E97" i="4"/>
  <c r="E8" i="4"/>
  <c r="E41" i="4"/>
  <c r="D19" i="1"/>
  <c r="D38" i="1"/>
  <c r="E89" i="4"/>
  <c r="D34" i="1"/>
  <c r="E137" i="4"/>
  <c r="E129" i="4"/>
  <c r="E81" i="4"/>
  <c r="E49" i="4"/>
  <c r="E105" i="4"/>
  <c r="D35" i="1"/>
  <c r="D39" i="1"/>
  <c r="E121" i="4"/>
  <c r="E57" i="4"/>
  <c r="D13" i="1"/>
  <c r="E145" i="4"/>
  <c r="D14" i="1"/>
  <c r="E16" i="4"/>
  <c r="F36" i="11" l="1"/>
  <c r="F38" i="11"/>
  <c r="F13" i="11"/>
  <c r="E40" i="11"/>
  <c r="E38" i="11"/>
  <c r="E34" i="11"/>
  <c r="E20" i="11"/>
  <c r="E37" i="11"/>
  <c r="E33" i="11"/>
  <c r="E19" i="11"/>
  <c r="E32" i="11"/>
  <c r="E36" i="11"/>
  <c r="E18" i="11"/>
  <c r="E39" i="11"/>
  <c r="E35" i="11"/>
  <c r="E24" i="11"/>
  <c r="F34" i="11"/>
  <c r="G107" i="11"/>
  <c r="F107" i="11" s="1"/>
  <c r="H231" i="11"/>
  <c r="F32" i="11"/>
  <c r="H175" i="11"/>
  <c r="F40" i="11"/>
  <c r="H210" i="11"/>
  <c r="H227" i="11"/>
  <c r="G106" i="11"/>
  <c r="F106" i="11" s="1"/>
  <c r="G87" i="11"/>
  <c r="F87" i="11" s="1"/>
  <c r="H136" i="11"/>
  <c r="G130" i="11"/>
  <c r="H165" i="11"/>
  <c r="G93" i="11"/>
  <c r="F93" i="11" s="1"/>
  <c r="G103" i="11"/>
  <c r="F103" i="11" s="1"/>
  <c r="H215" i="11"/>
  <c r="G108" i="11"/>
  <c r="F108" i="11" s="1"/>
  <c r="H235" i="11"/>
  <c r="G92" i="11"/>
  <c r="F92" i="11" s="1"/>
  <c r="H161" i="11"/>
  <c r="J13" i="13"/>
  <c r="F255" i="11" s="1"/>
  <c r="K14" i="13"/>
  <c r="F256" i="11"/>
  <c r="K15" i="13"/>
  <c r="F257" i="11"/>
  <c r="G81" i="12"/>
  <c r="H82" i="12"/>
  <c r="E166" i="11"/>
  <c r="H166" i="11" s="1"/>
  <c r="E219" i="11"/>
  <c r="D219" i="11"/>
  <c r="C219" i="11"/>
  <c r="G219" i="11"/>
  <c r="F219" i="11"/>
  <c r="E8" i="13"/>
  <c r="F9" i="13"/>
  <c r="F39" i="11"/>
  <c r="F35" i="11"/>
  <c r="F24" i="11"/>
  <c r="F20" i="11"/>
  <c r="F18" i="11"/>
  <c r="F37" i="11"/>
  <c r="F33" i="11"/>
  <c r="H62" i="11"/>
  <c r="H54" i="11"/>
  <c r="H263" i="11"/>
  <c r="H59" i="11"/>
  <c r="H58" i="11"/>
  <c r="H66" i="11"/>
  <c r="H50" i="11"/>
  <c r="H185" i="11"/>
  <c r="H243" i="11"/>
  <c r="E41" i="11"/>
  <c r="F41" i="11"/>
  <c r="H239" i="11"/>
  <c r="G109" i="11"/>
  <c r="F109" i="11" s="1"/>
  <c r="H191" i="11"/>
  <c r="G98" i="11"/>
  <c r="F98" i="11" s="1"/>
  <c r="H247" i="11"/>
  <c r="I14" i="7"/>
  <c r="D256" i="1"/>
  <c r="C235" i="1"/>
  <c r="G235" i="1"/>
  <c r="E235" i="1"/>
  <c r="D235" i="1"/>
  <c r="F235" i="1"/>
  <c r="H58" i="1"/>
  <c r="H64" i="1"/>
  <c r="H56" i="1"/>
  <c r="H51" i="1"/>
  <c r="H263" i="1"/>
  <c r="H52" i="1"/>
  <c r="H49" i="1"/>
  <c r="H54" i="1"/>
  <c r="E130" i="1"/>
  <c r="F130" i="1" s="1"/>
  <c r="G130" i="1" s="1"/>
  <c r="H130" i="1"/>
  <c r="D239" i="1"/>
  <c r="G239" i="1"/>
  <c r="C239" i="1"/>
  <c r="E239" i="1"/>
  <c r="F239" i="1"/>
  <c r="E33" i="1"/>
  <c r="E38" i="1"/>
  <c r="E13" i="1"/>
  <c r="E20" i="1"/>
  <c r="E35" i="1"/>
  <c r="C136" i="1"/>
  <c r="G257" i="1"/>
  <c r="L15" i="7"/>
  <c r="H257" i="1" s="1"/>
  <c r="E205" i="1"/>
  <c r="F205" i="1" s="1"/>
  <c r="G205" i="1" s="1"/>
  <c r="G64" i="1"/>
  <c r="G56" i="1"/>
  <c r="G54" i="1"/>
  <c r="G58" i="1"/>
  <c r="G50" i="1"/>
  <c r="G51" i="1"/>
  <c r="G92" i="1"/>
  <c r="F92" i="1" s="1"/>
  <c r="H190" i="4"/>
  <c r="D37" i="1" s="1"/>
  <c r="G223" i="1"/>
  <c r="D223" i="1"/>
  <c r="F223" i="1"/>
  <c r="C223" i="1"/>
  <c r="F215" i="1"/>
  <c r="E32" i="1"/>
  <c r="G215" i="1"/>
  <c r="C215" i="1"/>
  <c r="E39" i="1"/>
  <c r="D166" i="1"/>
  <c r="C166" i="1"/>
  <c r="C219" i="1"/>
  <c r="F219" i="1"/>
  <c r="D219" i="1"/>
  <c r="G219" i="1"/>
  <c r="E219" i="1"/>
  <c r="G191" i="1"/>
  <c r="E24" i="1"/>
  <c r="E191" i="1"/>
  <c r="H191" i="1" s="1"/>
  <c r="F191" i="1"/>
  <c r="C191" i="1"/>
  <c r="G98" i="1" s="1"/>
  <c r="F98" i="1" s="1"/>
  <c r="D191" i="1"/>
  <c r="H114" i="4"/>
  <c r="E18" i="1"/>
  <c r="E10" i="7"/>
  <c r="F10" i="7" s="1"/>
  <c r="G10" i="7" s="1"/>
  <c r="D8" i="7"/>
  <c r="F247" i="1"/>
  <c r="D247" i="1"/>
  <c r="C247" i="1"/>
  <c r="D41" i="1"/>
  <c r="G247" i="1"/>
  <c r="E247" i="1"/>
  <c r="E36" i="1"/>
  <c r="E34" i="1"/>
  <c r="E8" i="7"/>
  <c r="F9" i="7"/>
  <c r="D243" i="1"/>
  <c r="G243" i="1"/>
  <c r="D40" i="1"/>
  <c r="E243" i="1"/>
  <c r="C243" i="1"/>
  <c r="H243" i="1" s="1"/>
  <c r="E227" i="1"/>
  <c r="F227" i="1"/>
  <c r="E165" i="1"/>
  <c r="F165" i="1" s="1"/>
  <c r="G165" i="1" s="1"/>
  <c r="G166" i="1" s="1"/>
  <c r="H145" i="1"/>
  <c r="H155" i="1"/>
  <c r="F257" i="1"/>
  <c r="G61" i="1"/>
  <c r="E215" i="1"/>
  <c r="G59" i="1"/>
  <c r="C227" i="1"/>
  <c r="D180" i="1"/>
  <c r="D170" i="1"/>
  <c r="H53" i="1"/>
  <c r="F65" i="1"/>
  <c r="F61" i="1"/>
  <c r="D210" i="1"/>
  <c r="G60" i="1"/>
  <c r="D135" i="1"/>
  <c r="D136" i="1" s="1"/>
  <c r="E19" i="1"/>
  <c r="H61" i="1"/>
  <c r="D160" i="1"/>
  <c r="D161" i="1" s="1"/>
  <c r="H59" i="1"/>
  <c r="D185" i="1"/>
  <c r="D175" i="1"/>
  <c r="I66" i="1"/>
  <c r="D28" i="1" s="1"/>
  <c r="G66" i="1"/>
  <c r="C171" i="1"/>
  <c r="G55" i="1"/>
  <c r="H55" i="1"/>
  <c r="I53" i="1"/>
  <c r="D15" i="1"/>
  <c r="F53" i="1"/>
  <c r="G81" i="4"/>
  <c r="G52" i="1"/>
  <c r="I52" i="1"/>
  <c r="I50" i="1"/>
  <c r="H50" i="1"/>
  <c r="D12" i="1"/>
  <c r="H60" i="1"/>
  <c r="H66" i="1"/>
  <c r="F60" i="1"/>
  <c r="I63" i="1"/>
  <c r="D25" i="1" s="1"/>
  <c r="F63" i="1"/>
  <c r="G63" i="1"/>
  <c r="G57" i="1"/>
  <c r="H57" i="1"/>
  <c r="I57" i="1"/>
  <c r="F66" i="1"/>
  <c r="I60" i="1"/>
  <c r="D22" i="1" s="1"/>
  <c r="D171" i="1"/>
  <c r="H62" i="1"/>
  <c r="G62" i="1"/>
  <c r="I60" i="11" l="1"/>
  <c r="D22" i="11" s="1"/>
  <c r="I59" i="11"/>
  <c r="I62" i="11"/>
  <c r="I54" i="11"/>
  <c r="D16" i="11" s="1"/>
  <c r="I53" i="11"/>
  <c r="D15" i="11" s="1"/>
  <c r="I61" i="11"/>
  <c r="D23" i="11" s="1"/>
  <c r="I50" i="11"/>
  <c r="D12" i="11" s="1"/>
  <c r="I57" i="11"/>
  <c r="I56" i="11"/>
  <c r="I51" i="11"/>
  <c r="I65" i="11"/>
  <c r="D27" i="11" s="1"/>
  <c r="I52" i="11"/>
  <c r="I58" i="11"/>
  <c r="I66" i="11"/>
  <c r="D28" i="11" s="1"/>
  <c r="I49" i="11"/>
  <c r="D11" i="11" s="1"/>
  <c r="I55" i="11"/>
  <c r="I63" i="11"/>
  <c r="D25" i="11" s="1"/>
  <c r="I64" i="11"/>
  <c r="D26" i="11" s="1"/>
  <c r="G36" i="11"/>
  <c r="G32" i="11"/>
  <c r="G39" i="11"/>
  <c r="G37" i="11"/>
  <c r="G33" i="11"/>
  <c r="G35" i="11"/>
  <c r="G24" i="11"/>
  <c r="G38" i="11"/>
  <c r="G34" i="11"/>
  <c r="G19" i="11"/>
  <c r="G20" i="11"/>
  <c r="G18" i="11"/>
  <c r="G40" i="11"/>
  <c r="G13" i="11"/>
  <c r="G9" i="13"/>
  <c r="G8" i="13" s="1"/>
  <c r="F8" i="13"/>
  <c r="G171" i="11"/>
  <c r="F171" i="11"/>
  <c r="E171" i="11"/>
  <c r="D171" i="11"/>
  <c r="C171" i="11"/>
  <c r="G104" i="11"/>
  <c r="F104" i="11" s="1"/>
  <c r="H219" i="11"/>
  <c r="H130" i="11"/>
  <c r="G131" i="11"/>
  <c r="G257" i="11"/>
  <c r="L15" i="13"/>
  <c r="H257" i="11" s="1"/>
  <c r="G41" i="11"/>
  <c r="K13" i="13"/>
  <c r="G255" i="11" s="1"/>
  <c r="L14" i="13"/>
  <c r="G256" i="11"/>
  <c r="E175" i="1"/>
  <c r="E185" i="1"/>
  <c r="H165" i="1"/>
  <c r="H223" i="1"/>
  <c r="G105" i="1"/>
  <c r="F105" i="1" s="1"/>
  <c r="E135" i="1"/>
  <c r="E210" i="1"/>
  <c r="F210" i="1" s="1"/>
  <c r="G210" i="1" s="1"/>
  <c r="H210" i="1"/>
  <c r="E40" i="1"/>
  <c r="H219" i="1"/>
  <c r="G104" i="1"/>
  <c r="F104" i="1" s="1"/>
  <c r="H235" i="1"/>
  <c r="G108" i="1"/>
  <c r="F108" i="1" s="1"/>
  <c r="H247" i="1"/>
  <c r="E166" i="1"/>
  <c r="G103" i="1"/>
  <c r="F103" i="1" s="1"/>
  <c r="H215" i="1"/>
  <c r="I51" i="1"/>
  <c r="I54" i="1"/>
  <c r="D16" i="1" s="1"/>
  <c r="I49" i="1"/>
  <c r="D11" i="1" s="1"/>
  <c r="E11" i="1" s="1"/>
  <c r="I64" i="1"/>
  <c r="D26" i="1" s="1"/>
  <c r="I62" i="1"/>
  <c r="I58" i="1"/>
  <c r="I56" i="1"/>
  <c r="I61" i="1"/>
  <c r="D23" i="1" s="1"/>
  <c r="I65" i="1"/>
  <c r="D27" i="1" s="1"/>
  <c r="E206" i="1" s="1"/>
  <c r="I59" i="1"/>
  <c r="D21" i="1" s="1"/>
  <c r="E41" i="1"/>
  <c r="F206" i="1"/>
  <c r="E160" i="1"/>
  <c r="J14" i="7"/>
  <c r="I13" i="7"/>
  <c r="E255" i="1" s="1"/>
  <c r="E256" i="1"/>
  <c r="F166" i="1"/>
  <c r="H166" i="1"/>
  <c r="G93" i="1"/>
  <c r="F93" i="1" s="1"/>
  <c r="G231" i="1"/>
  <c r="E231" i="1"/>
  <c r="E37" i="1"/>
  <c r="C231" i="1"/>
  <c r="D231" i="1"/>
  <c r="F231" i="1"/>
  <c r="F37" i="1"/>
  <c r="E170" i="1"/>
  <c r="G9" i="7"/>
  <c r="G8" i="7" s="1"/>
  <c r="F8" i="7"/>
  <c r="G106" i="1"/>
  <c r="F106" i="1" s="1"/>
  <c r="H227" i="1"/>
  <c r="G109" i="1"/>
  <c r="F109" i="1" s="1"/>
  <c r="H239" i="1"/>
  <c r="E180" i="1"/>
  <c r="F180" i="1" s="1"/>
  <c r="G180" i="1" s="1"/>
  <c r="G181" i="1" s="1"/>
  <c r="H205" i="1"/>
  <c r="G87" i="1"/>
  <c r="F87" i="1" s="1"/>
  <c r="I55" i="1"/>
  <c r="D17" i="1" s="1"/>
  <c r="F17" i="1" s="1"/>
  <c r="E196" i="1"/>
  <c r="F196" i="1"/>
  <c r="G196" i="1"/>
  <c r="F25" i="1"/>
  <c r="H121" i="4"/>
  <c r="E25" i="1"/>
  <c r="C196" i="1"/>
  <c r="D196" i="1"/>
  <c r="C211" i="1"/>
  <c r="E211" i="1"/>
  <c r="F211" i="1"/>
  <c r="G211" i="1"/>
  <c r="H145" i="4"/>
  <c r="E28" i="1"/>
  <c r="D211" i="1"/>
  <c r="H41" i="4"/>
  <c r="D146" i="1"/>
  <c r="E146" i="1"/>
  <c r="G146" i="1"/>
  <c r="F146" i="1"/>
  <c r="C146" i="1"/>
  <c r="E15" i="1"/>
  <c r="F15" i="1"/>
  <c r="H57" i="4"/>
  <c r="G156" i="1"/>
  <c r="E156" i="1"/>
  <c r="E17" i="1"/>
  <c r="D156" i="1"/>
  <c r="F156" i="1"/>
  <c r="C156" i="1"/>
  <c r="G126" i="1"/>
  <c r="C181" i="1"/>
  <c r="H97" i="4"/>
  <c r="D181" i="1"/>
  <c r="E22" i="1"/>
  <c r="F22" i="1"/>
  <c r="D131" i="1"/>
  <c r="H16" i="4"/>
  <c r="E131" i="1"/>
  <c r="E12" i="1"/>
  <c r="F12" i="1"/>
  <c r="F131" i="1"/>
  <c r="C131" i="1"/>
  <c r="G131" i="1"/>
  <c r="G94" i="1"/>
  <c r="F94" i="1" s="1"/>
  <c r="H129" i="12" l="1"/>
  <c r="H26" i="11"/>
  <c r="G26" i="11"/>
  <c r="F26" i="11"/>
  <c r="E26" i="11"/>
  <c r="F201" i="11"/>
  <c r="C201" i="11"/>
  <c r="G201" i="11"/>
  <c r="D201" i="11"/>
  <c r="E201" i="11"/>
  <c r="H17" i="11"/>
  <c r="G17" i="11"/>
  <c r="F17" i="11"/>
  <c r="E17" i="11"/>
  <c r="L17" i="11" s="1"/>
  <c r="F156" i="11"/>
  <c r="D156" i="11"/>
  <c r="G156" i="11"/>
  <c r="C156" i="11"/>
  <c r="E156" i="11"/>
  <c r="H171" i="11"/>
  <c r="G94" i="11"/>
  <c r="F94" i="11" s="1"/>
  <c r="F126" i="11"/>
  <c r="G11" i="11"/>
  <c r="F11" i="11"/>
  <c r="E11" i="11"/>
  <c r="H11" i="11"/>
  <c r="H8" i="12"/>
  <c r="D126" i="11"/>
  <c r="E126" i="11"/>
  <c r="G126" i="11"/>
  <c r="C126" i="11"/>
  <c r="H16" i="12"/>
  <c r="H12" i="11"/>
  <c r="G12" i="11"/>
  <c r="F12" i="11"/>
  <c r="E12" i="11"/>
  <c r="D131" i="11"/>
  <c r="E131" i="11"/>
  <c r="C131" i="11"/>
  <c r="F131" i="11"/>
  <c r="H40" i="11"/>
  <c r="H34" i="11"/>
  <c r="H39" i="11"/>
  <c r="H35" i="11"/>
  <c r="H24" i="11"/>
  <c r="H20" i="11"/>
  <c r="H38" i="11"/>
  <c r="H37" i="11"/>
  <c r="H18" i="11"/>
  <c r="H32" i="11"/>
  <c r="H36" i="11"/>
  <c r="H19" i="11"/>
  <c r="H33" i="11"/>
  <c r="H13" i="11"/>
  <c r="H41" i="11"/>
  <c r="E23" i="11"/>
  <c r="H23" i="11"/>
  <c r="G23" i="11"/>
  <c r="F23" i="11"/>
  <c r="G186" i="11"/>
  <c r="D186" i="11"/>
  <c r="H105" i="12"/>
  <c r="E186" i="11"/>
  <c r="C186" i="11"/>
  <c r="F186" i="11"/>
  <c r="H41" i="12"/>
  <c r="H15" i="11"/>
  <c r="G15" i="11"/>
  <c r="E15" i="11"/>
  <c r="F15" i="11"/>
  <c r="E146" i="11"/>
  <c r="C146" i="11"/>
  <c r="G146" i="11"/>
  <c r="F146" i="11"/>
  <c r="D146" i="11"/>
  <c r="E151" i="11"/>
  <c r="F16" i="11"/>
  <c r="E16" i="11"/>
  <c r="H16" i="11"/>
  <c r="G16" i="11"/>
  <c r="C151" i="11"/>
  <c r="D151" i="11"/>
  <c r="F151" i="11"/>
  <c r="G151" i="11"/>
  <c r="H49" i="12"/>
  <c r="H145" i="12"/>
  <c r="F28" i="11"/>
  <c r="E28" i="11"/>
  <c r="G28" i="11"/>
  <c r="H28" i="11"/>
  <c r="E211" i="11"/>
  <c r="D211" i="11"/>
  <c r="G211" i="11"/>
  <c r="F211" i="11"/>
  <c r="C211" i="11"/>
  <c r="L13" i="13"/>
  <c r="H255" i="11" s="1"/>
  <c r="I26" i="11" s="1"/>
  <c r="H256" i="11"/>
  <c r="E27" i="11"/>
  <c r="I27" i="11"/>
  <c r="H27" i="11"/>
  <c r="G27" i="11"/>
  <c r="F27" i="11"/>
  <c r="G206" i="11"/>
  <c r="H137" i="12"/>
  <c r="F206" i="11"/>
  <c r="D206" i="11"/>
  <c r="E206" i="11"/>
  <c r="C206" i="11"/>
  <c r="H21" i="11"/>
  <c r="G21" i="11"/>
  <c r="F21" i="11"/>
  <c r="E21" i="11"/>
  <c r="L21" i="11" s="1"/>
  <c r="D176" i="11"/>
  <c r="C176" i="11"/>
  <c r="E176" i="11"/>
  <c r="G176" i="11"/>
  <c r="F176" i="11"/>
  <c r="D37" i="13"/>
  <c r="D38" i="13"/>
  <c r="D39" i="13"/>
  <c r="G39" i="13" s="1"/>
  <c r="H39" i="13" s="1"/>
  <c r="I39" i="13" s="1"/>
  <c r="J39" i="13" s="1"/>
  <c r="D40" i="13"/>
  <c r="D41" i="13"/>
  <c r="G41" i="13" s="1"/>
  <c r="H41" i="13" s="1"/>
  <c r="I41" i="13" s="1"/>
  <c r="J41" i="13" s="1"/>
  <c r="H25" i="11"/>
  <c r="G25" i="11"/>
  <c r="F25" i="11"/>
  <c r="E25" i="11"/>
  <c r="E196" i="11"/>
  <c r="F196" i="11"/>
  <c r="C196" i="11"/>
  <c r="G196" i="11"/>
  <c r="D196" i="11"/>
  <c r="H121" i="12"/>
  <c r="I22" i="11"/>
  <c r="H22" i="11"/>
  <c r="G22" i="11"/>
  <c r="F22" i="11"/>
  <c r="E22" i="11"/>
  <c r="F181" i="11"/>
  <c r="D181" i="11"/>
  <c r="H97" i="12"/>
  <c r="G181" i="11"/>
  <c r="E181" i="11"/>
  <c r="C181" i="11"/>
  <c r="C126" i="1"/>
  <c r="H126" i="1" s="1"/>
  <c r="H180" i="1"/>
  <c r="F170" i="1"/>
  <c r="E171" i="1"/>
  <c r="F20" i="1"/>
  <c r="F35" i="1"/>
  <c r="F33" i="1"/>
  <c r="F13" i="1"/>
  <c r="F38" i="1"/>
  <c r="F24" i="1"/>
  <c r="F39" i="1"/>
  <c r="F32" i="1"/>
  <c r="F36" i="1"/>
  <c r="F19" i="1"/>
  <c r="F18" i="1"/>
  <c r="F34" i="1"/>
  <c r="H129" i="4"/>
  <c r="F26" i="1"/>
  <c r="E201" i="1"/>
  <c r="F201" i="1"/>
  <c r="G201" i="1"/>
  <c r="D201" i="1"/>
  <c r="E26" i="1"/>
  <c r="C201" i="1"/>
  <c r="F40" i="1"/>
  <c r="D37" i="7"/>
  <c r="D40" i="7"/>
  <c r="D41" i="7"/>
  <c r="G41" i="7" s="1"/>
  <c r="H41" i="7" s="1"/>
  <c r="I41" i="7" s="1"/>
  <c r="J41" i="7" s="1"/>
  <c r="D39" i="7"/>
  <c r="G39" i="7" s="1"/>
  <c r="H39" i="7" s="1"/>
  <c r="I39" i="7" s="1"/>
  <c r="J39" i="7" s="1"/>
  <c r="D38" i="7"/>
  <c r="H8" i="4"/>
  <c r="F21" i="1"/>
  <c r="C176" i="1"/>
  <c r="G95" i="1" s="1"/>
  <c r="F95" i="1" s="1"/>
  <c r="H89" i="4"/>
  <c r="E21" i="1"/>
  <c r="G21" i="1"/>
  <c r="E16" i="1"/>
  <c r="F16" i="1"/>
  <c r="C151" i="1"/>
  <c r="D151" i="1"/>
  <c r="G16" i="1"/>
  <c r="E151" i="1"/>
  <c r="H49" i="4"/>
  <c r="F151" i="1"/>
  <c r="G151" i="1"/>
  <c r="F185" i="1"/>
  <c r="E186" i="1"/>
  <c r="F11" i="1"/>
  <c r="E126" i="1"/>
  <c r="E251" i="1" s="1"/>
  <c r="F160" i="1"/>
  <c r="E161" i="1"/>
  <c r="F27" i="1"/>
  <c r="D206" i="1"/>
  <c r="H137" i="4"/>
  <c r="G206" i="1"/>
  <c r="G27" i="1"/>
  <c r="E27" i="1"/>
  <c r="C206" i="1"/>
  <c r="F135" i="1"/>
  <c r="E136" i="1"/>
  <c r="D176" i="1"/>
  <c r="J13" i="7"/>
  <c r="F255" i="1" s="1"/>
  <c r="F256" i="1"/>
  <c r="K14" i="7"/>
  <c r="F181" i="1"/>
  <c r="G23" i="1"/>
  <c r="C186" i="1"/>
  <c r="G97" i="1" s="1"/>
  <c r="F97" i="1" s="1"/>
  <c r="E23" i="1"/>
  <c r="D186" i="1"/>
  <c r="H105" i="4"/>
  <c r="F23" i="1"/>
  <c r="F175" i="1"/>
  <c r="E176" i="1"/>
  <c r="F126" i="1"/>
  <c r="D126" i="1"/>
  <c r="E181" i="1"/>
  <c r="H181" i="1" s="1"/>
  <c r="F28" i="1"/>
  <c r="G107" i="1"/>
  <c r="F107" i="1" s="1"/>
  <c r="H231" i="1"/>
  <c r="F41" i="1"/>
  <c r="C251" i="1"/>
  <c r="G57" i="4"/>
  <c r="H58" i="4"/>
  <c r="G86" i="1"/>
  <c r="F86" i="1" s="1"/>
  <c r="H131" i="1"/>
  <c r="G96" i="1"/>
  <c r="F96" i="1" s="1"/>
  <c r="H9" i="4"/>
  <c r="G8" i="4"/>
  <c r="H156" i="1"/>
  <c r="G91" i="1"/>
  <c r="F91" i="1" s="1"/>
  <c r="G145" i="4"/>
  <c r="H146" i="4"/>
  <c r="G99" i="1"/>
  <c r="F99" i="1" s="1"/>
  <c r="H196" i="1"/>
  <c r="H122" i="4"/>
  <c r="G121" i="4"/>
  <c r="H211" i="1"/>
  <c r="G102" i="1"/>
  <c r="F102" i="1" s="1"/>
  <c r="H98" i="4"/>
  <c r="G97" i="4"/>
  <c r="H17" i="4"/>
  <c r="G16" i="4"/>
  <c r="H146" i="1"/>
  <c r="G41" i="4"/>
  <c r="H42" i="4"/>
  <c r="D251" i="11" l="1"/>
  <c r="I25" i="11"/>
  <c r="I23" i="11"/>
  <c r="I11" i="11"/>
  <c r="I17" i="11"/>
  <c r="I21" i="11"/>
  <c r="I16" i="11"/>
  <c r="I12" i="11"/>
  <c r="G121" i="12"/>
  <c r="H122" i="12"/>
  <c r="G100" i="11"/>
  <c r="F100" i="11" s="1"/>
  <c r="H201" i="11"/>
  <c r="H146" i="11"/>
  <c r="H186" i="11"/>
  <c r="G97" i="11"/>
  <c r="F97" i="11" s="1"/>
  <c r="G49" i="12"/>
  <c r="H50" i="12"/>
  <c r="G91" i="11"/>
  <c r="F91" i="11" s="1"/>
  <c r="H156" i="11"/>
  <c r="H146" i="12"/>
  <c r="G145" i="12"/>
  <c r="G95" i="11"/>
  <c r="F95" i="11" s="1"/>
  <c r="H176" i="11"/>
  <c r="J197" i="12"/>
  <c r="J198" i="12" s="1"/>
  <c r="J65" i="12"/>
  <c r="J66" i="12" s="1"/>
  <c r="J24" i="12"/>
  <c r="J25" i="12" s="1"/>
  <c r="J172" i="12"/>
  <c r="J173" i="12" s="1"/>
  <c r="J163" i="12"/>
  <c r="J205" i="12"/>
  <c r="J206" i="12" s="1"/>
  <c r="J73" i="12"/>
  <c r="J74" i="12" s="1"/>
  <c r="J154" i="12"/>
  <c r="G40" i="13"/>
  <c r="J81" i="12"/>
  <c r="J82" i="12" s="1"/>
  <c r="H90" i="12"/>
  <c r="G105" i="12"/>
  <c r="H106" i="12"/>
  <c r="H131" i="11"/>
  <c r="G86" i="11"/>
  <c r="F86" i="11" s="1"/>
  <c r="H17" i="12"/>
  <c r="G16" i="12"/>
  <c r="H58" i="12"/>
  <c r="H211" i="11"/>
  <c r="G102" i="11"/>
  <c r="F102" i="11" s="1"/>
  <c r="G8" i="12"/>
  <c r="H9" i="12"/>
  <c r="G85" i="11"/>
  <c r="F85" i="11" s="1"/>
  <c r="C251" i="11"/>
  <c r="H126" i="11"/>
  <c r="G97" i="12"/>
  <c r="H98" i="12"/>
  <c r="H206" i="11"/>
  <c r="G101" i="11"/>
  <c r="F101" i="11" s="1"/>
  <c r="G96" i="11"/>
  <c r="F96" i="11" s="1"/>
  <c r="H181" i="11"/>
  <c r="J189" i="12"/>
  <c r="G38" i="13"/>
  <c r="I28" i="11"/>
  <c r="I15" i="11"/>
  <c r="G251" i="11"/>
  <c r="H42" i="12"/>
  <c r="G41" i="12"/>
  <c r="G99" i="11"/>
  <c r="F99" i="11" s="1"/>
  <c r="H196" i="11"/>
  <c r="J221" i="12"/>
  <c r="J222" i="12" s="1"/>
  <c r="J188" i="12"/>
  <c r="J213" i="12"/>
  <c r="J214" i="12" s="1"/>
  <c r="J113" i="12"/>
  <c r="J114" i="12" s="1"/>
  <c r="J180" i="12"/>
  <c r="J181" i="12" s="1"/>
  <c r="G37" i="13"/>
  <c r="J162" i="12"/>
  <c r="J164" i="12" s="1"/>
  <c r="J171" i="12"/>
  <c r="J153" i="12"/>
  <c r="J155" i="12" s="1"/>
  <c r="G137" i="12"/>
  <c r="H138" i="12"/>
  <c r="I33" i="11"/>
  <c r="I18" i="11"/>
  <c r="I37" i="11"/>
  <c r="I32" i="11"/>
  <c r="I38" i="11"/>
  <c r="I34" i="11"/>
  <c r="I39" i="11"/>
  <c r="I35" i="11"/>
  <c r="I24" i="11"/>
  <c r="I20" i="11"/>
  <c r="I36" i="11"/>
  <c r="I13" i="11"/>
  <c r="I19" i="11"/>
  <c r="I40" i="11"/>
  <c r="I41" i="11"/>
  <c r="H151" i="11"/>
  <c r="E251" i="11"/>
  <c r="F251" i="11"/>
  <c r="H130" i="12"/>
  <c r="G129" i="12"/>
  <c r="H106" i="4"/>
  <c r="G105" i="4"/>
  <c r="J189" i="4"/>
  <c r="G38" i="7"/>
  <c r="G85" i="1"/>
  <c r="F85" i="1" s="1"/>
  <c r="D251" i="1"/>
  <c r="G35" i="1"/>
  <c r="G19" i="1"/>
  <c r="G13" i="1"/>
  <c r="G20" i="1"/>
  <c r="G33" i="1"/>
  <c r="G32" i="1"/>
  <c r="G38" i="1"/>
  <c r="G36" i="1"/>
  <c r="G18" i="1"/>
  <c r="G39" i="1"/>
  <c r="G24" i="1"/>
  <c r="G34" i="1"/>
  <c r="G28" i="1"/>
  <c r="G41" i="1"/>
  <c r="G11" i="1"/>
  <c r="G17" i="1"/>
  <c r="G37" i="1"/>
  <c r="G40" i="1"/>
  <c r="G25" i="1"/>
  <c r="G15" i="1"/>
  <c r="G22" i="1"/>
  <c r="G12" i="1"/>
  <c r="G137" i="4"/>
  <c r="H138" i="4"/>
  <c r="H90" i="4"/>
  <c r="G89" i="4"/>
  <c r="G26" i="1"/>
  <c r="G256" i="1"/>
  <c r="L14" i="7"/>
  <c r="K13" i="7"/>
  <c r="G255" i="1" s="1"/>
  <c r="G160" i="1"/>
  <c r="G161" i="1" s="1"/>
  <c r="F161" i="1"/>
  <c r="G40" i="7"/>
  <c r="J205" i="4"/>
  <c r="J206" i="4" s="1"/>
  <c r="J24" i="4"/>
  <c r="J25" i="4" s="1"/>
  <c r="J163" i="4"/>
  <c r="J154" i="4"/>
  <c r="J65" i="4"/>
  <c r="J66" i="4" s="1"/>
  <c r="J197" i="4"/>
  <c r="J198" i="4" s="1"/>
  <c r="J73" i="4"/>
  <c r="J74" i="4" s="1"/>
  <c r="J172" i="4"/>
  <c r="J173" i="4" s="1"/>
  <c r="J81" i="4"/>
  <c r="J82" i="4" s="1"/>
  <c r="G185" i="1"/>
  <c r="G186" i="1" s="1"/>
  <c r="F186" i="1"/>
  <c r="H186" i="1" s="1"/>
  <c r="H151" i="1"/>
  <c r="H206" i="1"/>
  <c r="G101" i="1"/>
  <c r="F101" i="1" s="1"/>
  <c r="H201" i="1"/>
  <c r="G100" i="1"/>
  <c r="F100" i="1" s="1"/>
  <c r="G170" i="1"/>
  <c r="G171" i="1" s="1"/>
  <c r="F171" i="1"/>
  <c r="H171" i="1" s="1"/>
  <c r="J213" i="4"/>
  <c r="J214" i="4" s="1"/>
  <c r="J113" i="4"/>
  <c r="J114" i="4" s="1"/>
  <c r="J180" i="4"/>
  <c r="J181" i="4" s="1"/>
  <c r="J171" i="4"/>
  <c r="J188" i="4"/>
  <c r="G37" i="7"/>
  <c r="J221" i="4"/>
  <c r="J222" i="4" s="1"/>
  <c r="J162" i="4"/>
  <c r="J153" i="4"/>
  <c r="J155" i="4" s="1"/>
  <c r="F176" i="1"/>
  <c r="H176" i="1" s="1"/>
  <c r="G175" i="1"/>
  <c r="G176" i="1" s="1"/>
  <c r="G135" i="1"/>
  <c r="G136" i="1" s="1"/>
  <c r="F136" i="1"/>
  <c r="F251" i="1" s="1"/>
  <c r="H175" i="1"/>
  <c r="H161" i="1"/>
  <c r="G49" i="4"/>
  <c r="H50" i="4"/>
  <c r="H130" i="4"/>
  <c r="G129" i="4"/>
  <c r="J57" i="4"/>
  <c r="J58" i="4" s="1"/>
  <c r="K57" i="4"/>
  <c r="K58" i="4" s="1"/>
  <c r="K16" i="4"/>
  <c r="K17" i="4" s="1"/>
  <c r="J16" i="4"/>
  <c r="J17" i="4" s="1"/>
  <c r="J41" i="4"/>
  <c r="J42" i="4" s="1"/>
  <c r="K41" i="4"/>
  <c r="K42" i="4" s="1"/>
  <c r="K97" i="4"/>
  <c r="K98" i="4" s="1"/>
  <c r="J97" i="4"/>
  <c r="J98" i="4" s="1"/>
  <c r="J121" i="4"/>
  <c r="J122" i="4" s="1"/>
  <c r="K121" i="4"/>
  <c r="K122" i="4" s="1"/>
  <c r="J145" i="4"/>
  <c r="J146" i="4" s="1"/>
  <c r="K145" i="4"/>
  <c r="K146" i="4" s="1"/>
  <c r="K8" i="4"/>
  <c r="K9" i="4" s="1"/>
  <c r="J8" i="4"/>
  <c r="J9" i="4" s="1"/>
  <c r="K129" i="12" l="1"/>
  <c r="K130" i="12" s="1"/>
  <c r="J129" i="12"/>
  <c r="J130" i="12" s="1"/>
  <c r="K197" i="12"/>
  <c r="K198" i="12" s="1"/>
  <c r="K65" i="12"/>
  <c r="K66" i="12" s="1"/>
  <c r="K24" i="12"/>
  <c r="K25" i="12" s="1"/>
  <c r="H40" i="13"/>
  <c r="I40" i="13" s="1"/>
  <c r="L145" i="12" s="1"/>
  <c r="L146" i="12" s="1"/>
  <c r="K172" i="12"/>
  <c r="K173" i="12" s="1"/>
  <c r="K205" i="12"/>
  <c r="K206" i="12" s="1"/>
  <c r="K73" i="12"/>
  <c r="K74" i="12" s="1"/>
  <c r="K154" i="12"/>
  <c r="K163" i="12"/>
  <c r="K81" i="12"/>
  <c r="K82" i="12" s="1"/>
  <c r="J49" i="12"/>
  <c r="J50" i="12" s="1"/>
  <c r="K49" i="12"/>
  <c r="K50" i="12" s="1"/>
  <c r="K188" i="12"/>
  <c r="K213" i="12"/>
  <c r="K214" i="12" s="1"/>
  <c r="K113" i="12"/>
  <c r="K114" i="12" s="1"/>
  <c r="K180" i="12"/>
  <c r="K181" i="12" s="1"/>
  <c r="H37" i="13"/>
  <c r="I37" i="13" s="1"/>
  <c r="K153" i="12"/>
  <c r="K155" i="12" s="1"/>
  <c r="K221" i="12"/>
  <c r="K222" i="12" s="1"/>
  <c r="K171" i="12"/>
  <c r="K162" i="12"/>
  <c r="K41" i="12"/>
  <c r="K42" i="12" s="1"/>
  <c r="J41" i="12"/>
  <c r="J42" i="12" s="1"/>
  <c r="K145" i="12"/>
  <c r="K146" i="12" s="1"/>
  <c r="J145" i="12"/>
  <c r="J146" i="12" s="1"/>
  <c r="L105" i="12"/>
  <c r="L106" i="12" s="1"/>
  <c r="K105" i="12"/>
  <c r="K106" i="12" s="1"/>
  <c r="J105" i="12"/>
  <c r="J106" i="12" s="1"/>
  <c r="K137" i="12"/>
  <c r="K138" i="12" s="1"/>
  <c r="J137" i="12"/>
  <c r="J138" i="12" s="1"/>
  <c r="J190" i="12"/>
  <c r="L97" i="12"/>
  <c r="L98" i="12" s="1"/>
  <c r="K97" i="12"/>
  <c r="K98" i="12" s="1"/>
  <c r="J97" i="12"/>
  <c r="J98" i="12" s="1"/>
  <c r="K57" i="12"/>
  <c r="K58" i="12" s="1"/>
  <c r="J57" i="12"/>
  <c r="J58" i="12" s="1"/>
  <c r="J8" i="12"/>
  <c r="J9" i="12" s="1"/>
  <c r="L8" i="12"/>
  <c r="L9" i="12" s="1"/>
  <c r="K8" i="12"/>
  <c r="K9" i="12" s="1"/>
  <c r="K189" i="12"/>
  <c r="H38" i="13"/>
  <c r="I38" i="13" s="1"/>
  <c r="H251" i="11"/>
  <c r="K89" i="12"/>
  <c r="K90" i="12" s="1"/>
  <c r="J89" i="12"/>
  <c r="J90" i="12" s="1"/>
  <c r="K16" i="12"/>
  <c r="K17" i="12" s="1"/>
  <c r="J16" i="12"/>
  <c r="J17" i="12" s="1"/>
  <c r="K121" i="12"/>
  <c r="K122" i="12" s="1"/>
  <c r="J121" i="12"/>
  <c r="J122" i="12" s="1"/>
  <c r="J190" i="4"/>
  <c r="H136" i="1"/>
  <c r="H251" i="1" s="1"/>
  <c r="L13" i="7"/>
  <c r="H255" i="1" s="1"/>
  <c r="H256" i="1"/>
  <c r="K189" i="4"/>
  <c r="H38" i="7"/>
  <c r="I38" i="7" s="1"/>
  <c r="G251" i="1"/>
  <c r="L105" i="4"/>
  <c r="L106" i="4" s="1"/>
  <c r="J105" i="4"/>
  <c r="J106" i="4" s="1"/>
  <c r="K105" i="4"/>
  <c r="K106" i="4" s="1"/>
  <c r="K89" i="4"/>
  <c r="K90" i="4" s="1"/>
  <c r="J89" i="4"/>
  <c r="J90" i="4" s="1"/>
  <c r="K221" i="4"/>
  <c r="K222" i="4" s="1"/>
  <c r="K113" i="4"/>
  <c r="K114" i="4" s="1"/>
  <c r="K213" i="4"/>
  <c r="K214" i="4" s="1"/>
  <c r="K171" i="4"/>
  <c r="K188" i="4"/>
  <c r="K180" i="4"/>
  <c r="K181" i="4" s="1"/>
  <c r="H37" i="7"/>
  <c r="I37" i="7" s="1"/>
  <c r="K153" i="4"/>
  <c r="K162" i="4"/>
  <c r="K164" i="4" s="1"/>
  <c r="H33" i="1"/>
  <c r="H19" i="1"/>
  <c r="H35" i="1"/>
  <c r="H20" i="1"/>
  <c r="H13" i="1"/>
  <c r="H34" i="1"/>
  <c r="H39" i="1"/>
  <c r="H36" i="1"/>
  <c r="H38" i="1"/>
  <c r="H24" i="1"/>
  <c r="H32" i="1"/>
  <c r="H18" i="1"/>
  <c r="H22" i="1"/>
  <c r="H40" i="1"/>
  <c r="H25" i="1"/>
  <c r="H12" i="1"/>
  <c r="H37" i="1"/>
  <c r="H15" i="1"/>
  <c r="H41" i="1"/>
  <c r="H28" i="1"/>
  <c r="H17" i="1"/>
  <c r="H26" i="1"/>
  <c r="H21" i="1"/>
  <c r="H27" i="1"/>
  <c r="H11" i="1"/>
  <c r="H16" i="1"/>
  <c r="H23" i="1"/>
  <c r="K205" i="4"/>
  <c r="K206" i="4" s="1"/>
  <c r="K163" i="4"/>
  <c r="K24" i="4"/>
  <c r="K25" i="4" s="1"/>
  <c r="K197" i="4"/>
  <c r="K198" i="4" s="1"/>
  <c r="H40" i="7"/>
  <c r="I40" i="7" s="1"/>
  <c r="K73" i="4"/>
  <c r="K74" i="4" s="1"/>
  <c r="K154" i="4"/>
  <c r="K65" i="4"/>
  <c r="K66" i="4" s="1"/>
  <c r="K172" i="4"/>
  <c r="K173" i="4" s="1"/>
  <c r="K81" i="4"/>
  <c r="K82" i="4" s="1"/>
  <c r="H160" i="1"/>
  <c r="J129" i="4"/>
  <c r="J130" i="4" s="1"/>
  <c r="K129" i="4"/>
  <c r="K130" i="4" s="1"/>
  <c r="L129" i="4"/>
  <c r="L130" i="4" s="1"/>
  <c r="K49" i="4"/>
  <c r="K50" i="4" s="1"/>
  <c r="J49" i="4"/>
  <c r="J50" i="4" s="1"/>
  <c r="J164" i="4"/>
  <c r="H170" i="1"/>
  <c r="H135" i="1"/>
  <c r="K137" i="4"/>
  <c r="K138" i="4" s="1"/>
  <c r="J137" i="4"/>
  <c r="J138" i="4" s="1"/>
  <c r="L137" i="4"/>
  <c r="L138" i="4" s="1"/>
  <c r="H185" i="1"/>
  <c r="L16" i="12" l="1"/>
  <c r="L17" i="12" s="1"/>
  <c r="L213" i="12"/>
  <c r="L214" i="12" s="1"/>
  <c r="L113" i="12"/>
  <c r="L114" i="12" s="1"/>
  <c r="J37" i="13"/>
  <c r="L180" i="12"/>
  <c r="L181" i="12" s="1"/>
  <c r="L221" i="12"/>
  <c r="L222" i="12" s="1"/>
  <c r="L171" i="12"/>
  <c r="L162" i="12"/>
  <c r="L164" i="12" s="1"/>
  <c r="L188" i="12"/>
  <c r="L153" i="12"/>
  <c r="L155" i="12" s="1"/>
  <c r="L205" i="12"/>
  <c r="L206" i="12" s="1"/>
  <c r="L73" i="12"/>
  <c r="L74" i="12" s="1"/>
  <c r="L154" i="12"/>
  <c r="J40" i="13"/>
  <c r="L197" i="12"/>
  <c r="L198" i="12" s="1"/>
  <c r="L65" i="12"/>
  <c r="L66" i="12" s="1"/>
  <c r="L24" i="12"/>
  <c r="L25" i="12" s="1"/>
  <c r="L163" i="12"/>
  <c r="L172" i="12"/>
  <c r="L173" i="12" s="1"/>
  <c r="L81" i="12"/>
  <c r="L82" i="12" s="1"/>
  <c r="L137" i="12"/>
  <c r="L138" i="12" s="1"/>
  <c r="L89" i="12"/>
  <c r="L90" i="12" s="1"/>
  <c r="L57" i="12"/>
  <c r="L58" i="12" s="1"/>
  <c r="L41" i="12"/>
  <c r="L42" i="12" s="1"/>
  <c r="L49" i="12"/>
  <c r="L50" i="12" s="1"/>
  <c r="L121" i="12"/>
  <c r="L122" i="12" s="1"/>
  <c r="L189" i="12"/>
  <c r="J38" i="13"/>
  <c r="K164" i="12"/>
  <c r="K190" i="12"/>
  <c r="L129" i="12"/>
  <c r="L130" i="12" s="1"/>
  <c r="K155" i="4"/>
  <c r="L221" i="4"/>
  <c r="L222" i="4" s="1"/>
  <c r="L171" i="4"/>
  <c r="L113" i="4"/>
  <c r="L114" i="4" s="1"/>
  <c r="L188" i="4"/>
  <c r="L180" i="4"/>
  <c r="L181" i="4" s="1"/>
  <c r="L162" i="4"/>
  <c r="L164" i="4" s="1"/>
  <c r="J37" i="7"/>
  <c r="L213" i="4"/>
  <c r="L214" i="4" s="1"/>
  <c r="L153" i="4"/>
  <c r="L24" i="4"/>
  <c r="L25" i="4" s="1"/>
  <c r="L163" i="4"/>
  <c r="L73" i="4"/>
  <c r="L74" i="4" s="1"/>
  <c r="J40" i="7"/>
  <c r="L65" i="4"/>
  <c r="L66" i="4" s="1"/>
  <c r="L205" i="4"/>
  <c r="L206" i="4" s="1"/>
  <c r="L154" i="4"/>
  <c r="L197" i="4"/>
  <c r="L198" i="4" s="1"/>
  <c r="L172" i="4"/>
  <c r="L173" i="4" s="1"/>
  <c r="L81" i="4"/>
  <c r="L82" i="4" s="1"/>
  <c r="L145" i="4"/>
  <c r="L146" i="4" s="1"/>
  <c r="L16" i="4"/>
  <c r="L17" i="4" s="1"/>
  <c r="L8" i="4"/>
  <c r="L9" i="4" s="1"/>
  <c r="L57" i="4"/>
  <c r="L58" i="4" s="1"/>
  <c r="L41" i="4"/>
  <c r="L42" i="4" s="1"/>
  <c r="L121" i="4"/>
  <c r="L122" i="4" s="1"/>
  <c r="L97" i="4"/>
  <c r="L98" i="4" s="1"/>
  <c r="L189" i="4"/>
  <c r="J38" i="7"/>
  <c r="L89" i="4"/>
  <c r="L90" i="4" s="1"/>
  <c r="I13" i="1"/>
  <c r="I20" i="1"/>
  <c r="I19" i="1"/>
  <c r="I24" i="1"/>
  <c r="I32" i="1"/>
  <c r="I35" i="1"/>
  <c r="I33" i="1"/>
  <c r="I38" i="1"/>
  <c r="I39" i="1"/>
  <c r="I18" i="1"/>
  <c r="I34" i="1"/>
  <c r="I36" i="1"/>
  <c r="I41" i="1"/>
  <c r="I17" i="1"/>
  <c r="I12" i="1"/>
  <c r="I37" i="1"/>
  <c r="I40" i="1"/>
  <c r="I25" i="1"/>
  <c r="I22" i="1"/>
  <c r="I15" i="1"/>
  <c r="I28" i="1"/>
  <c r="I11" i="1"/>
  <c r="I16" i="1"/>
  <c r="I27" i="1"/>
  <c r="I23" i="1"/>
  <c r="I21" i="1"/>
  <c r="I26" i="1"/>
  <c r="K190" i="4"/>
  <c r="L49" i="4"/>
  <c r="L50" i="4" s="1"/>
  <c r="L190" i="12" l="1"/>
  <c r="L190" i="4"/>
  <c r="L155" i="4"/>
</calcChain>
</file>

<file path=xl/comments1.xml><?xml version="1.0" encoding="utf-8"?>
<comments xmlns="http://schemas.openxmlformats.org/spreadsheetml/2006/main">
  <authors>
    <author>Bohan, Dane</author>
    <author>Linda Li</author>
  </authors>
  <commentList>
    <comment ref="D17" authorId="0" shapeId="0">
      <text>
        <r>
          <rPr>
            <b/>
            <sz val="9"/>
            <color indexed="81"/>
            <rFont val="Tahoma"/>
            <charset val="1"/>
          </rPr>
          <t>AER</t>
        </r>
        <r>
          <rPr>
            <sz val="9"/>
            <color indexed="81"/>
            <rFont val="Tahoma"/>
            <charset val="1"/>
          </rPr>
          <t xml:space="preserve">
Cell changed to point to price build-up in 'AER FD Fee breakdown)</t>
        </r>
      </text>
    </comment>
    <comment ref="D21" authorId="0" shapeId="0">
      <text>
        <r>
          <rPr>
            <b/>
            <sz val="9"/>
            <color indexed="81"/>
            <rFont val="Tahoma"/>
            <family val="2"/>
          </rPr>
          <t xml:space="preserve">AER
</t>
        </r>
        <r>
          <rPr>
            <sz val="9"/>
            <color indexed="81"/>
            <rFont val="Tahoma"/>
            <family val="2"/>
          </rPr>
          <t>Cell changed to point to price build-up in 'AER FD Fee breakdown)</t>
        </r>
      </text>
    </comment>
    <comment ref="H272" authorId="1" shapeId="0">
      <text>
        <r>
          <rPr>
            <b/>
            <sz val="9"/>
            <color indexed="81"/>
            <rFont val="Tahoma"/>
            <family val="2"/>
          </rPr>
          <t>Linda Li:</t>
        </r>
        <r>
          <rPr>
            <sz val="9"/>
            <color indexed="81"/>
            <rFont val="Tahoma"/>
            <family val="2"/>
          </rPr>
          <t xml:space="preserve">
Ausgrid's revised metering customers' numbers forecast
</t>
        </r>
      </text>
    </comment>
  </commentList>
</comments>
</file>

<file path=xl/comments2.xml><?xml version="1.0" encoding="utf-8"?>
<comments xmlns="http://schemas.openxmlformats.org/spreadsheetml/2006/main">
  <authors>
    <author>Bohan, Dane</author>
  </authors>
  <commentList>
    <comment ref="G57" authorId="0" shapeId="0">
      <text>
        <r>
          <rPr>
            <b/>
            <sz val="9"/>
            <color indexed="81"/>
            <rFont val="Tahoma"/>
            <charset val="1"/>
          </rPr>
          <t>AER:</t>
        </r>
        <r>
          <rPr>
            <sz val="9"/>
            <color indexed="81"/>
            <rFont val="Tahoma"/>
            <charset val="1"/>
          </rPr>
          <t xml:space="preserve">
Revised to AER DD labour time (based on MJ recommendation)</t>
        </r>
      </text>
    </comment>
    <comment ref="H57" authorId="0" shapeId="0">
      <text>
        <r>
          <rPr>
            <b/>
            <sz val="9"/>
            <color indexed="81"/>
            <rFont val="Tahoma"/>
            <charset val="1"/>
          </rPr>
          <t>AER:</t>
        </r>
        <r>
          <rPr>
            <sz val="9"/>
            <color indexed="81"/>
            <rFont val="Tahoma"/>
            <charset val="1"/>
          </rPr>
          <t xml:space="preserve">
Formula updated</t>
        </r>
      </text>
    </comment>
    <comment ref="G89" authorId="0" shapeId="0">
      <text>
        <r>
          <rPr>
            <b/>
            <sz val="9"/>
            <color indexed="81"/>
            <rFont val="Tahoma"/>
            <family val="2"/>
          </rPr>
          <t xml:space="preserve">AER:
</t>
        </r>
        <r>
          <rPr>
            <sz val="9"/>
            <color indexed="81"/>
            <rFont val="Tahoma"/>
            <charset val="1"/>
          </rPr>
          <t>Revised to AER DD labour time (based on MJ recommendation)</t>
        </r>
      </text>
    </comment>
    <comment ref="H89" authorId="0" shapeId="0">
      <text>
        <r>
          <rPr>
            <b/>
            <sz val="9"/>
            <color indexed="81"/>
            <rFont val="Tahoma"/>
            <family val="2"/>
          </rPr>
          <t xml:space="preserve">AER:
</t>
        </r>
        <r>
          <rPr>
            <sz val="9"/>
            <color indexed="81"/>
            <rFont val="Tahoma"/>
            <family val="2"/>
          </rPr>
          <t>Formula updated</t>
        </r>
      </text>
    </comment>
  </commentList>
</comments>
</file>

<file path=xl/comments3.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Changes</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4.xml><?xml version="1.0" encoding="utf-8"?>
<comments xmlns="http://schemas.openxmlformats.org/spreadsheetml/2006/main">
  <authors>
    <author>Linda Li</author>
  </authors>
  <commentList>
    <comment ref="H272" authorId="0" shapeId="0">
      <text>
        <r>
          <rPr>
            <b/>
            <sz val="9"/>
            <color indexed="81"/>
            <rFont val="Tahoma"/>
            <family val="2"/>
          </rPr>
          <t>Linda Li:</t>
        </r>
        <r>
          <rPr>
            <sz val="9"/>
            <color indexed="81"/>
            <rFont val="Tahoma"/>
            <family val="2"/>
          </rPr>
          <t xml:space="preserve">
Ausgrid's revised metering customers' numbers forecast
</t>
        </r>
      </text>
    </comment>
  </commentList>
</comments>
</file>

<file path=xl/comments5.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6.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<sst xmlns="http://schemas.openxmlformats.org/spreadsheetml/2006/main" count="2536" uniqueCount="349">
  <si>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</si>
  <si>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</si>
  <si>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</si>
  <si>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</si>
  <si>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</si>
  <si>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</si>
  <si>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</si>
  <si>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</si>
  <si>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</si>
  <si>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</si>
  <si>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</si>
  <si>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</si>
  <si>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</si>
  <si>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</si>
  <si>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</si>
  <si>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</si>
  <si>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</si>
  <si>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</si>
  <si>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</si>
  <si>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</si>
  <si>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</si>
  <si>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</si>
  <si>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</si>
  <si>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</si>
  <si>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</si>
  <si>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</si>
  <si>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</si>
  <si>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</si>
  <si>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</si>
  <si>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</si>
  <si>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</si>
  <si>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</si>
  <si>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</si>
  <si>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</si>
  <si>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</si>
  <si>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</si>
  <si>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</si>
  <si>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</si>
  <si>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</si>
  <si>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</si>
  <si>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</si>
  <si>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</si>
  <si>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</si>
  <si>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</si>
  <si>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</si>
  <si>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</si>
  <si>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</si>
  <si>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</si>
  <si>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</si>
  <si>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</si>
  <si>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</si>
  <si>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</si>
  <si>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</si>
  <si>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</si>
  <si>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</si>
  <si>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</si>
  <si>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</si>
  <si>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</si>
  <si>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</si>
  <si>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</si>
  <si>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Fixed</t>
  </si>
  <si>
    <t>Quoted</t>
  </si>
  <si>
    <t>Existing Service Description (2015-19)</t>
  </si>
  <si>
    <t>Provision of design information, design certification and design rechecking services in relation to connection and relocation works provided contestably.</t>
  </si>
  <si>
    <t>Quoted service (hourly rate), the above is an estimate only for a typical application of the service</t>
  </si>
  <si>
    <t>Cost
$ FY2019</t>
  </si>
  <si>
    <r>
      <t>Service description - AER Framework and Approach paper July</t>
    </r>
    <r>
      <rPr>
        <b/>
        <sz val="11"/>
        <color rgb="FFFFFFFF"/>
        <rFont val="Calibri"/>
        <family val="2"/>
      </rPr>
      <t xml:space="preserve"> 2017</t>
    </r>
  </si>
  <si>
    <t>Administration services relating to work performed by ASPs including processing work</t>
  </si>
  <si>
    <t>Underground urban residential subdivision (vacant lots)</t>
  </si>
  <si>
    <t xml:space="preserve">Up to 5 lots </t>
  </si>
  <si>
    <t>6 - 10 lots</t>
  </si>
  <si>
    <t>11 - 40 lots</t>
  </si>
  <si>
    <t>Over 40 lots</t>
  </si>
  <si>
    <t>Up to 5 poles:</t>
  </si>
  <si>
    <t>6-10 poles:</t>
  </si>
  <si>
    <t>11 or more poles</t>
  </si>
  <si>
    <t>Rural overhead subdivisions and rural extensions</t>
  </si>
  <si>
    <t>Underground commercial and industrial or rural subdivisions (vacant lots - no development)</t>
  </si>
  <si>
    <t>Commercial and industrial developments</t>
  </si>
  <si>
    <t>Asset relocation or street lighting</t>
  </si>
  <si>
    <t xml:space="preserve">Design information </t>
  </si>
  <si>
    <t>Design certification</t>
  </si>
  <si>
    <t xml:space="preserve">6 to 10 lots </t>
  </si>
  <si>
    <t>1 - 5 poles</t>
  </si>
  <si>
    <t>6 -10 poles</t>
  </si>
  <si>
    <t xml:space="preserve">11 or more poles </t>
  </si>
  <si>
    <t>Up to 10 lots</t>
  </si>
  <si>
    <t>11- 40 lots</t>
  </si>
  <si>
    <t>Approved fee</t>
  </si>
  <si>
    <t>Proposed fee</t>
  </si>
  <si>
    <t>Historical Revenue (current FY2015 / FY2019 approved services)</t>
  </si>
  <si>
    <t>N/A</t>
  </si>
  <si>
    <t xml:space="preserve">Activities includes:
• provision of design information, design rechecking services in relation to connection and relocation works provided contestably
• work of an administrative nature relating to work performed by Level 1 and Level 3 ASPs, including processing work
• the provision of engineering consulting (related to the shared distribution network). 
</t>
  </si>
  <si>
    <t>$real 2018-19</t>
  </si>
  <si>
    <t>$ nominal</t>
  </si>
  <si>
    <t>$real 2014-15</t>
  </si>
  <si>
    <t>No. of workers</t>
  </si>
  <si>
    <t>Metering related</t>
  </si>
  <si>
    <t xml:space="preserve">Metering Site Establishment </t>
  </si>
  <si>
    <t xml:space="preserve">Special Meter Reading </t>
  </si>
  <si>
    <t xml:space="preserve">Type 5-6 Meter Test </t>
  </si>
  <si>
    <t xml:space="preserve">Franchise current transformer (CT) meter install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</si>
  <si>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</si>
  <si>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</si>
  <si>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</si>
  <si>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</si>
  <si>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</si>
  <si>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</si>
  <si>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</si>
  <si>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</si>
  <si>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</si>
  <si>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</si>
  <si>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</si>
  <si>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</si>
  <si>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</si>
  <si>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</si>
  <si>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2014-19 escalators</t>
  </si>
  <si>
    <t xml:space="preserve">Actual CPI </t>
  </si>
  <si>
    <t>Forecast CPI</t>
  </si>
  <si>
    <t>FY16</t>
  </si>
  <si>
    <t>FY17</t>
  </si>
  <si>
    <t>FY18</t>
  </si>
  <si>
    <t>FY19</t>
  </si>
  <si>
    <t>Escalator</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</si>
  <si>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</si>
  <si>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</si>
  <si>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</si>
  <si>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</si>
  <si>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</si>
  <si>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</si>
  <si>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</si>
  <si>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</si>
  <si>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</si>
  <si>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</si>
  <si>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</si>
  <si>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</si>
  <si>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</si>
  <si>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</si>
  <si>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</si>
  <si>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</si>
  <si>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</si>
  <si>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CA</t>
  </si>
  <si>
    <t xml:space="preserve">Fee-Based </t>
  </si>
  <si>
    <t>per service</t>
  </si>
  <si>
    <t xml:space="preserve">Quoted/ Hourly Rate </t>
  </si>
  <si>
    <t>per hour</t>
  </si>
  <si>
    <t>New</t>
  </si>
  <si>
    <t>URD including Kiosk/HVC/PT (NEW)</t>
  </si>
  <si>
    <t>in addition to the charge per lot</t>
  </si>
  <si>
    <t>Chambers, Multi Kiosk, CBD Chambers (NEW)</t>
  </si>
  <si>
    <t>Certification</t>
  </si>
  <si>
    <t>6 to 10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</si>
  <si>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</si>
  <si>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</si>
  <si>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</si>
  <si>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</si>
  <si>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</si>
  <si>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</si>
  <si>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</si>
  <si>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</si>
  <si>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</si>
  <si>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</si>
  <si>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</si>
  <si>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</si>
  <si>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</si>
  <si>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</si>
  <si>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</si>
  <si>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</si>
  <si>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</si>
  <si>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</si>
  <si>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</si>
  <si>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</si>
  <si>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</si>
  <si>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</si>
  <si>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</si>
  <si>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</si>
  <si>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</si>
  <si>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</si>
  <si>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</si>
  <si>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</si>
  <si>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</si>
  <si>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</si>
  <si>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</si>
  <si>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</si>
  <si>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</si>
  <si>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</si>
  <si>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</si>
  <si>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</si>
  <si>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</si>
  <si>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</si>
  <si>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</si>
  <si>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</si>
  <si>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</si>
  <si>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</si>
  <si>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</si>
  <si>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</si>
  <si>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</si>
  <si>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</si>
  <si>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</si>
  <si>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</si>
  <si>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</si>
  <si>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</si>
  <si>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</si>
  <si>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</si>
  <si>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</si>
  <si>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</si>
  <si>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</si>
  <si>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</si>
  <si>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</si>
  <si>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</si>
  <si>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</si>
  <si>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</si>
  <si>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</si>
  <si>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</si>
  <si>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</si>
  <si>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</si>
  <si>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</si>
  <si>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</si>
  <si>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</si>
  <si>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</si>
  <si>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</si>
  <si>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</si>
  <si>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</si>
  <si>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</si>
  <si>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</si>
  <si>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</si>
  <si>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</si>
  <si>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</si>
  <si>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</si>
  <si>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</si>
  <si>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</si>
  <si>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</si>
  <si>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</si>
  <si>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</si>
  <si>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</si>
  <si>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</si>
  <si>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</si>
  <si>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</si>
  <si>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</si>
  <si>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</si>
  <si>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</si>
  <si>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</si>
  <si>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</si>
  <si>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</si>
  <si>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</si>
  <si>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</si>
  <si>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</si>
  <si>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</si>
  <si>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</si>
  <si>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</si>
  <si>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</si>
  <si>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</si>
  <si>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</si>
  <si>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</si>
  <si>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</si>
  <si>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</si>
  <si>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</si>
  <si>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Hourly rate (R4)</t>
  </si>
  <si>
    <t>Total</t>
  </si>
  <si>
    <t>Forecast revenue ($real 2018-19)</t>
  </si>
  <si>
    <t xml:space="preserve">This service has the same meaning as the meaning given to the expression ‘special meter reading’ in the AEMO Metrology Procedure: Part A National Electricity Market. This service includes customer or retailer requests for a final or start read when a customer movement occurs. 
Ausgrid may be notified to conduct this service via the use of the 'Special Read' B2B service order or B2B service orders from retailers to obtain a final read for customer move-outs or to obtain a start read where property has been vacant. </t>
  </si>
  <si>
    <t>The provision of information of the customer's energy consumption or distributor charges following the request from a Retailer, a Retailer's customer or a Retail customers authorised Agent.  The Metering data will be provided to the requesting party in standard  formats as per the AEMO Meter Data Provision Procedures.
This fee may be levied where information is requested more than four times in a 12 month period, not in the format as required by the AEMO Meter Data Provision Procedures or where a authorised agent requests data for more than one customer or connection.</t>
  </si>
  <si>
    <t xml:space="preserve">Ausgrid currently incurs costs, including bank fees when a network customer’s or ASP’s cheque for the payment of network-related services is dishonoured. </t>
  </si>
  <si>
    <t>A follow up attendance at customers’ premises to perform a statutory right where access was prevented or declined by the customer on the initial visit.
This task normally involves a Ausgrid representative returning to a customer’s premises to undertake a service for a second time due to customer dissent during previous visits.</t>
  </si>
  <si>
    <t>When a customer or retailer requests an alteration to an existing network tariff (for example, a change from an Inclining Block Tariff or a Time of Use tariff to a capacity tariff), the NSW distributors conduct tariff and load analysis to determine whether the customer meets the relevant tariff criteria. The NSW distributors also process changes in both their IT and market systems to reflect the tariff change.</t>
  </si>
  <si>
    <t>As of 1 December 2017, Ausgrid no longer provides this services due to the commencement of the AEMC's Expansion of Contestability in Metering related Services rule change</t>
  </si>
  <si>
    <t>Actual</t>
  </si>
  <si>
    <t>Forecast</t>
  </si>
  <si>
    <t>FY15</t>
  </si>
  <si>
    <t>FY14</t>
  </si>
  <si>
    <t>Escalation Inputs</t>
  </si>
  <si>
    <t>% CPI</t>
  </si>
  <si>
    <t>% REAL - Labour</t>
  </si>
  <si>
    <t>Existing metering related fees</t>
  </si>
  <si>
    <t>New metering related fees</t>
  </si>
  <si>
    <t>Distributor arranged outage for purpose of replacing metering - Simple</t>
  </si>
  <si>
    <t>Distributor arranged outage for purpose of replacing metering - Complex</t>
  </si>
  <si>
    <t>Hourly rate (R2), (R4)</t>
  </si>
  <si>
    <t>Distributor arranged outage for purpose of replacing metering - Site visit only</t>
  </si>
  <si>
    <t>Correction of metering and market billing data</t>
  </si>
  <si>
    <t>Final read after type 5 meter equipment removed</t>
  </si>
  <si>
    <t>Type 5 and 6 CT testing</t>
  </si>
  <si>
    <t>Type 5 and 6 CT recovery</t>
  </si>
  <si>
    <t>Performing a final read on a removed type 5 meter due to removal of equipment by a third party.
Tasks involve:
i) receipt and processing returned meter
ii) read process
iii) validation of data</t>
  </si>
  <si>
    <t>Escalation Factor (from FY2015)</t>
  </si>
  <si>
    <t>Rates, Oncosts &amp; Overheads ($2014-15)</t>
  </si>
  <si>
    <t>Proposed labour rates are based on our last approved labour rates escalated for inflation and real price changes in labour</t>
  </si>
  <si>
    <t>Rates, Oncosts &amp; Overheads ($2018-19)</t>
  </si>
  <si>
    <t xml:space="preserve">$ per Hr
</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</si>
  <si>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b/>
        <sz val="11"/>
        <color theme="1"/>
        <rFont val="Calibri"/>
        <family val="2"/>
      </rPr>
      <t xml:space="preserve">Method 3: Last approved price rolled forward </t>
    </r>
  </si>
  <si>
    <t>Forecast customer numbers</t>
  </si>
  <si>
    <t>Forecast type 5/6 metering customers</t>
  </si>
  <si>
    <t>Percentage change</t>
  </si>
  <si>
    <t>Margin for price roll-forward (=&lt;1%)</t>
  </si>
  <si>
    <t>Margin for rolling forward last approved price</t>
  </si>
  <si>
    <t>In line with Power of Choice policy reforms it is assumed that half a year of CT meter installs will incur in FY2018 and none from then on.</t>
  </si>
  <si>
    <t>Fees from row 101 to 107 are new services which have had their FY2018 and FY2019 revenue based on our forecast prices and volumes</t>
  </si>
  <si>
    <t>Pricing Escalators</t>
  </si>
  <si>
    <t>Escalation Factor (from FY2019)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</si>
  <si>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</si>
  <si>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</si>
  <si>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</si>
  <si>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</si>
  <si>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</si>
  <si>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Quoted </t>
  </si>
  <si>
    <t xml:space="preserve">No charge </t>
  </si>
  <si>
    <t>We have applied a targeted approach to developing our metering related ANS fees.
Under this approach we propose to "roll forward" the fees which the AER either approved or adjusted by less than 1 percent in our 2014-19 determination. This is by proposing the same fee  as those which were approved by the AER at our last determination, adjusted for inflation and real price changes in labour. We have developed new prices, using a "bottom up" approach, and submitted additional information with our proposal showing that they reflect our efficient costs.</t>
  </si>
  <si>
    <t>Grey shaded cells indicate Ausgrid assumption that these services will be impacted by customer churn associated with Power of Choice metering reforms</t>
  </si>
  <si>
    <t>Fixed fee with the "time on task" representative of the average time in hours it takes to complete the service</t>
  </si>
  <si>
    <t>Revenue taken form category analysis RINs for FY2015 and FY2017.</t>
  </si>
  <si>
    <t>NMI Extinction</t>
  </si>
  <si>
    <t>Site alteration, updating and maintaining national metering identifier (NMI) and associated data in market systems</t>
  </si>
  <si>
    <t>NMI extinction, processing a request by the customer or their agent for permanent disconnection and the extinction of a NMI in market systems</t>
  </si>
  <si>
    <t>Metering Site Alteration</t>
  </si>
  <si>
    <t>Total Forecast revenue</t>
  </si>
  <si>
    <t>The testing of an Ausgrid meter in accordance with AEMO Metrology Procedure: Part A National Electricity Market.  Ausgrid may be notified to conduct this service via the use of the 'Metering Service Works' sub type 'Meter Investigation - Meter Test' B2B service order</t>
  </si>
  <si>
    <t>The testing of a CT meter in accordance with AEMO Metrology Procedure: Part A National Electricity Market.  Ausgrid may be notified to conduct this service via the use of the 'Metering Service Works' sub type 'Meter Investigation - Meter Test' B2B service order.</t>
  </si>
  <si>
    <t xml:space="preserve">The recovery of a CT meter in accordance with AEMO Metrology Procedure: Part A National Electricity Market.  Ausgrid may be notified by the retailer or customer's electrical professional to conduct these works. </t>
  </si>
  <si>
    <t>The replacement/adjustment or reprogramming of the off-peak metering equipment at a customer's premises. A charge for this service may be levied for each occasion that the service is provided.
Ausgrid may be notified to conduct this service via the use of the 'Metering Service Works' sub type 'Meter reconfiguration' B2B service order.</t>
  </si>
  <si>
    <t>At the request of the Retailer, a site visit to a customer’s premises for the purpose of disconnecting the customer’s electricity supply. Disconnection does not occur on that occasion, as customer payment is made or a wasted visit.
Disconnection may not occur due to a number of reasons such as but not limited to the following:
• Customer has paid retail bill;
• Breach of customer connection contract has been rectified;
• Unable to access main switch board or metering;
• Safety of Installation or Ausgrid's employee;
• Late cancellation by Retailer;
• Change of customer or Retailer for the NMI.
Ausgrid is usually notified to conduct this service via the use of the 'De-energisation' B2B service order with sub type 'Remove Fuse', 'Local Meter Disconnection' or 'Recipient Discretion' (Non Payment).</t>
  </si>
  <si>
    <t>At the request of the Retailer, a site visit to a customer’s premises for the purpose of disconnecting the customer’s electricity supply.
The disconnection method will be at Ausgrid's discretion and will involve a method not identified in 'Disconnection Completed' ANS (e.g. pull load tail out of meter). This fee is applicable to any request to disconnect an installation where CT metering is installed.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usually notified to conduct this service via the use of the 'De-energisation' B2B service order with sub type 'Local Meter Disconnection' (Non Payment).</t>
  </si>
  <si>
    <t>At the request of the Retailer, a site visit to a customer’s premises for the purpose of disconnecting the customer’s electricity supply.
The disconnection method will be at Ausgrid's discretion and will involve one of the following methods: 
• rotate plug in meter; or
• removal of the service fuses; or
• removal of barge board fuses; or
• turn off and sticker covering main switch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usually notified to conduct this service via the use of the 'De-energisation' B2B service order with sub type 'Remove Fuse' or 'Recipient Discretion' (Non Payment).</t>
  </si>
  <si>
    <t>At the request of the Retailer, a site visit to a customer’s premises for the purposes of disconnecting the supply of electricity to a customer at the pole top or pillar box,, where the customer has denied access to the meter or had prior to the visit, reconnected supply without authorisation by Ausgrid following a previous disconnection.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may be notified to conduct this service via the use of the 'De-energisation' B2B service order with sub type 'Disconnect at Pillar-Box, Pit or Pole-Top' (Non Payment)'.</t>
  </si>
  <si>
    <t>At the request of the Retailer, a site visit to a customer’s premises for the purposes of disconnecting the supply of electricity to a customer at the pole top or pillar box, where the customer has denied access to the meter or had prior to the visit, reconnected supply without authorisation by Ausgrid following a previous disconnection. 
Disconnection does not occur on that occasion, as customer payment is made or a wasted visit.
Disconnection may not occur due to a number of reasons such as but not limited to the following:
• Customer has paid retail bill;
• Breach of customer connection contract has been rectified;
• Safety of Installation or Ausgrid's employee;
• Late cancellation by Retailer;
• Change of customer or Retailer for the NMI.
Ausgrid is may be notified to conduct this service via the use of the 'De-energisation' B2B service order with sub type 'Disconnect at Pillar-Box, Pit or Pole-Top' (Non Payment)'.</t>
  </si>
  <si>
    <t>At the request of the Retailer:
1. The provision of the re-connection component of either a ‘De-energisation' sub type 'Remove Fuse', 'Local Meter Disconnection' or 'Recipient Discretion' (Non-Payment) or Pillar-Box Pit or Pole-Top (Non-Payment)' B2B service order’, carried out, outside the hours of 7.30am and 4.00pm on a working day, or
2. the connection of electricity to a new customer outside the hours of 7:30am and 4:00pm on a working day.
Ausgrid may be notified to conduct this service via the use of the 'Re-energisation' B2B service order.</t>
  </si>
  <si>
    <t xml:space="preserve">This fee will be levied when a customer requests a distributor arranged outage for the purpose of installing a "power of choice" meter and there is:
a) a wasted visit at investigation (e.g. access issues)
b) a wasted visit at disconnection (e.g. metering provider not present at agreed time)
c) revisit to re-energise
Ausgrid may be notified to conduct this service from the retailer via the use of the 'Supply Service Works' sub type 'Temporary Isolation Group Supply' B2B service order.
</t>
  </si>
  <si>
    <t>At the request of the Retailer, a site visit to a customer’s premises to disconnect or reconnect the supply of electricity due to:
- a vacant premises; or 
- a site where the power is on.
At the request of the customer a site visit to the customers premises to disconnect or reconnect the supply of electricity. 
Disconnection does not occur on that occasion, as customer payment is made or a wasted visit.
Disconnection may not occur due to a number of reasons such as but not limited to the following:
• Unable to access main switch board or metering;
• Safety of Installation or Ausgrid's employee;
• Late cancellation by Retailer;
• Change of customer or Retailer for the NMI.
Ausgrid may be notified to conduct this service from the retailer via the use of the 'De-energisation' B2B service order with sub type 'Remove Fuse' or 'Recipient Discretion'.</t>
  </si>
  <si>
    <t>At the request of the Retailer, a site visit to a customer’s premises to disconnect or reconnect the supply of electricity due to:
- a vacant premises; or 
- a site where the power is on.
At the request of the customer a site visit to the customers premises to disconnect or reconnect the supply of electricity.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The disconnection/reconnection method will be at Ausgrid's discretion and will involve one of the following methods: 
• rotate plug in meter; or
• removal of the service fuses; or
• removal of barge board fuses; or
• turn off and sticker covering main switch.
Ausgrid may be notified to conduct this service from the retailer via the use of the 'De-energisation' B2B service order with sub type 'Remove Fuse' or 'Recipient Discretion'.</t>
  </si>
  <si>
    <t>Site establishment services, liaising with the Australian Energy Market Operator (AEMO) or market participants for the purpose of establishing NMIs in market systems, for new premises or for any existing premises for which AEMO requires a new NMI and for validating and updating network load data.
Ausgrid may be notified to conduct this service via the use of the 'Supply Service Works' sub type 'Allocate NMI' B2B service order. This fee will be levied against the NMI once 'Allocate NMI' service order has been processed by Ausgrid.</t>
  </si>
  <si>
    <t>This fee will be levied against the retailer where Ausgrid has been called out by the customer due to a power outage where an external metering providers metering equipment has failed or an outage has been caused by the metering provider and Ausgrid has had to restore power to the customers premises. This may result in an unmetered supply arrangement at the site.
The retailer will be notified by Ausgrid within 2 business days via B2B to arrange a repair by the metering provider.</t>
  </si>
  <si>
    <t>Additional services required by ASP/Applicant e.g. Guarantee of revenue, clarification meetings, variations to contract, reinspections etc. (NEW)</t>
  </si>
  <si>
    <t>Facilitation of the installation of a "power of choice" meter whereby Ausgrid is required to disconnect a single fuse with multiple customers. 
Tasks involve:
i) B2B transaction
ii) investigation of site by a metering technician (including travel time)
iii) actual task by a metering technician 
A "simple" distributor arranged outages the disconnection would involve less than 10 customers.
Ausgrid may be notified to conduct this service from the retailer via the use of the 'Supply Service Works' sub type 'Temporary Isolation Group Supply' B2B service order.</t>
  </si>
  <si>
    <t xml:space="preserve">Facilitation of the installation of a "power of choice" meter whereby Ausgrid is required to disconnect a single fuse with multiple customers. 
Tasks involve:
i) B2B transaction
ii) investigation of site by a metering technician (including travel time)
iii) actual task by a metering technician 
A "complex" distributor arranged outages the disconnection would involve more than 10 customers.
Ausgrid may be notified to conduct this service from the retailer via the use of the 'Supply Service Works' sub type 'Temporary Isolation Group Supply' B2B service order.
</t>
  </si>
  <si>
    <t>Correcting metering or network billing information in market B2B or network billing systems, due to insufficient or incorrect data received from retailers or metering providers.
Tasks involve:
i) IDO correction of NMI data by clerical officer
ii) IDS correction of NEM12 data by meter data officer</t>
  </si>
  <si>
    <t>Proposed</t>
  </si>
  <si>
    <t>AER FD 2019-24 Final decision - Ancillary network services</t>
  </si>
  <si>
    <t>For the purposes of calculating 2019-20 final decision fees only</t>
  </si>
  <si>
    <t>2. Labour escalator for 2019-20 in 'AER FD Input data' removed so labour rates match AER's approved 19-20 rate when built up</t>
  </si>
  <si>
    <t>3. AER FD prices highlighted and future years greyed out, comparison to Ausgrid RP added</t>
  </si>
  <si>
    <t>copy of Ausgrid - Attachment 8.06.01 - Metering Related ANS - January 2019</t>
  </si>
  <si>
    <r>
      <t>AER methodology</t>
    </r>
    <r>
      <rPr>
        <i/>
        <sz val="11"/>
        <color theme="1"/>
        <rFont val="Calibri"/>
        <family val="2"/>
        <scheme val="minor"/>
      </rPr>
      <t xml:space="preserve"> (different to other Ausgrid ANS FD models)</t>
    </r>
  </si>
  <si>
    <t>1. Copy made of 'AER Summary', 'Fee breakdown', 'Input Data' to ensure formulas interlink. Prefix added 'AER FD' and tabs highlighted orange</t>
  </si>
  <si>
    <t>AER FD 19-20</t>
  </si>
  <si>
    <t>AER FD comparison</t>
  </si>
  <si>
    <t>Ausgrid RP</t>
  </si>
  <si>
    <t>Difference</t>
  </si>
  <si>
    <t xml:space="preserve">Adjustments to labour time for Off peak conversion; and Pillar/Pole Top disconnection completed </t>
  </si>
  <si>
    <t>4. 'AER FD Fee breakdown' - labour time in Column G altered, formula in Column H changed to calculate total labour cost</t>
  </si>
  <si>
    <t>5 'AER FD AER Summary' - Column D - formulas changed to point directly to 'AER FD Fee breakdown' for these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</si>
</sst>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0.0%"/>
    <numFmt numFmtId="169" formatCode="_-* #,##0.00_-;[Red]\(#,##0.00\)_-;_-* &quot;-&quot;??_-;_-@_-"/>
    <numFmt numFmtId="170" formatCode="_(&quot;$&quot;* #,##0_);_(&quot;$&quot;* \(#,##0\);_(&quot;$&quot;* &quot;-&quot;_);_(@_)"/>
    <numFmt numFmtId="171" formatCode="_(* #,##0_);_(* \(#,##0\);_(* &quot;-&quot;_);_(@_)"/>
    <numFmt numFmtId="172" formatCode="mm/dd/yy"/>
    <numFmt numFmtId="173" formatCode="_([$€-2]* #,##0.00_);_([$€-2]* \(#,##0.00\);_([$€-2]* &quot;-&quot;??_)"/>
    <numFmt numFmtId="174" formatCode="0_);[Red]\(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000_);_(* \(#,##0.000\);_(* &quot;-&quot;??_);_(@_)"/>
    <numFmt numFmtId="185" formatCode="_-&quot;$&quot;* #,##0.0_-;\-&quot;$&quot;* #,##0.0_-;_-&quot;$&quot;* &quot;-&quot;??_-;_-@_-"/>
    <numFmt numFmtId="186" formatCode="0.000"/>
    <numFmt numFmtId="187" formatCode="&quot;$&quot;#,##0.00"/>
    <numFmt numFmtId="188" formatCode="_(* #,##0_);_(* \(#,##0\);_(* &quot;-&quot;?_);_(@_)"/>
  </numFmts>
  <fonts count="100">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sz val="11"/>
      <color theme="1"/>
      <name val="Calibri"/>
      <family val="2"/>
    </font>
    <font>
      <b/>
      <sz val="11"/>
      <color theme="0"/>
      <name val="Calibri"/>
      <family val="2"/>
    </font>
    <font>
      <sz val="11"/>
      <color theme="4"/>
      <name val="Calibri"/>
      <family val="2"/>
    </font>
    <font>
      <b/>
      <sz val="11"/>
      <color rgb="FFFFFF00"/>
      <name val="Calibri"/>
      <family val="2"/>
    </font>
    <font>
      <b/>
      <sz val="11"/>
      <color rgb="FF00B050"/>
      <name val="Calibri"/>
      <family val="2"/>
    </font>
    <font>
      <sz val="11"/>
      <name val="Calibri"/>
      <family val="2"/>
      <scheme val="minor"/>
    </font>
    <font>
      <sz val="9"/>
      <color indexed="81"/>
      <name val="Tahoma"/>
      <family val="2"/>
    </font>
    <font>
      <b/>
      <sz val="9"/>
      <color indexed="81"/>
      <name val="Tahoma"/>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9"/>
      <name val="Arial"/>
      <family val="2"/>
    </font>
    <font>
      <b/>
      <sz val="11"/>
      <color rgb="FFFFC000"/>
      <name val="Calibri"/>
      <family val="2"/>
    </font>
    <font>
      <i/>
      <sz val="11"/>
      <color theme="1"/>
      <name val="Calibri"/>
      <family val="2"/>
      <scheme val="minor"/>
    </font>
    <font>
      <sz val="11"/>
      <color theme="0" tint="-0.249977111117893"/>
      <name val="Calibri"/>
      <family val="2"/>
    </font>
    <font>
      <sz val="9"/>
      <color indexed="81"/>
      <name val="Tahoma"/>
      <charset val="1"/>
    </font>
    <font>
      <b/>
      <sz val="9"/>
      <color indexed="81"/>
      <name val="Tahoma"/>
      <charset val="1"/>
    </font>
  </fonts>
  <fills count="61">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rgb="FF000000"/>
      </patternFill>
    </fill>
    <fill>
      <patternFill patternType="solid">
        <fgColor theme="9"/>
        <bgColor rgb="FF000000"/>
      </patternFill>
    </fill>
    <fill>
      <patternFill patternType="solid">
        <fgColor theme="9"/>
        <bgColor indexed="64"/>
      </patternFill>
    </fill>
  </fills>
  <borders count="53">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auto="1"/>
      </top>
      <bottom style="thin">
        <color auto="1"/>
      </bottom>
      <diagonal/>
    </border>
    <border>
      <left/>
      <right/>
      <top style="thin">
        <color auto="1"/>
      </top>
      <bottom/>
      <diagonal/>
    </border>
    <border>
      <left/>
      <right style="thin">
        <color theme="0"/>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indexed="64"/>
      </right>
      <top/>
      <bottom/>
      <diagonal/>
    </border>
    <border>
      <left/>
      <right/>
      <top style="thin">
        <color auto="1"/>
      </top>
      <bottom style="thin">
        <color auto="1"/>
      </bottom>
      <diagonal/>
    </border>
    <border>
      <left style="thin">
        <color rgb="FFFFFFFF"/>
      </left>
      <right/>
      <top/>
      <bottom/>
      <diagonal/>
    </border>
    <border>
      <left/>
      <right/>
      <top style="thin">
        <color auto="1"/>
      </top>
      <bottom/>
      <diagonal/>
    </border>
  </borders>
  <cellStyleXfs count="6410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9" fontId="4" fillId="0" borderId="0"/>
    <xf numFmtId="169"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70"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1"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17" fillId="0" borderId="0" applyNumberFormat="0" applyFill="0" applyBorder="0" applyAlignment="0" applyProtection="0"/>
    <xf numFmtId="174"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8"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29" borderId="0" applyFont="0" applyBorder="0" applyAlignment="0">
      <alignment horizontal="right"/>
      <protection locked="0"/>
    </xf>
    <xf numFmtId="171" fontId="3" fillId="29" borderId="0" applyFont="0" applyBorder="0" applyAlignment="0">
      <alignment horizontal="right"/>
      <protection locked="0"/>
    </xf>
    <xf numFmtId="171" fontId="3" fillId="30" borderId="0" applyFont="0" applyBorder="0">
      <alignment horizontal="right"/>
      <protection locked="0"/>
    </xf>
    <xf numFmtId="0" fontId="4" fillId="31" borderId="0"/>
    <xf numFmtId="0" fontId="35" fillId="0" borderId="7" applyNumberFormat="0" applyFill="0" applyAlignment="0" applyProtection="0"/>
    <xf numFmtId="175" fontId="36" fillId="0" borderId="0"/>
    <xf numFmtId="0" fontId="37" fillId="0" borderId="0" applyFill="0" applyBorder="0">
      <alignment horizontal="left" vertical="center"/>
    </xf>
    <xf numFmtId="0" fontId="38" fillId="8" borderId="0" applyNumberFormat="0" applyBorder="0" applyAlignment="0" applyProtection="0"/>
    <xf numFmtId="176"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7"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8"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9" fontId="3" fillId="0" borderId="0"/>
    <xf numFmtId="180" fontId="4" fillId="0" borderId="0" applyFill="0" applyBorder="0">
      <alignment horizontal="right" vertical="center"/>
    </xf>
    <xf numFmtId="181" fontId="4" fillId="0" borderId="0" applyFill="0" applyBorder="0">
      <alignment horizontal="right" vertical="center"/>
    </xf>
    <xf numFmtId="182"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5"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3"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1" fontId="3" fillId="31" borderId="0" applyNumberFormat="0" applyFont="0" applyBorder="0" applyAlignment="0">
      <alignment horizontal="right"/>
    </xf>
    <xf numFmtId="171"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43" borderId="0" applyFont="0" applyBorder="0" applyAlignment="0">
      <alignment horizontal="right"/>
      <protection locked="0"/>
    </xf>
    <xf numFmtId="171" fontId="3" fillId="43" borderId="0" applyFont="0" applyBorder="0" applyAlignment="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42" fillId="0" borderId="10"/>
    <xf numFmtId="178"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8" fillId="48" borderId="0" applyNumberFormat="0" applyBorder="0" applyAlignment="0" applyProtection="0"/>
    <xf numFmtId="0" fontId="89" fillId="49" borderId="0" applyNumberFormat="0" applyBorder="0" applyAlignment="0" applyProtection="0"/>
    <xf numFmtId="0" fontId="3" fillId="0" borderId="0"/>
    <xf numFmtId="0" fontId="3" fillId="0" borderId="0"/>
    <xf numFmtId="171" fontId="94" fillId="31" borderId="0" applyFont="0" applyBorder="0" applyAlignment="0"/>
    <xf numFmtId="168" fontId="94" fillId="31" borderId="0" applyFont="0" applyBorder="0" applyAlignment="0"/>
    <xf numFmtId="10" fontId="3" fillId="53" borderId="0" applyFont="0" applyBorder="0">
      <alignment horizontal="right"/>
      <protection locked="0"/>
    </xf>
    <xf numFmtId="10" fontId="94" fillId="54" borderId="0" applyBorder="0" applyAlignment="0">
      <protection locked="0"/>
    </xf>
    <xf numFmtId="188"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4"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4"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7" fontId="62" fillId="38" borderId="0" xfId="0" applyNumberFormat="1"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7" fontId="61" fillId="41" borderId="0" xfId="222" applyNumberFormat="1" applyFont="1" applyFill="1" applyBorder="1"/>
    <xf numFmtId="0" fontId="71" fillId="39" borderId="0"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7" fontId="72" fillId="38" borderId="0" xfId="222" applyNumberFormat="1" applyFont="1" applyFill="1" applyBorder="1"/>
    <xf numFmtId="0" fontId="0" fillId="0" borderId="0" xfId="0" applyAlignment="1">
      <alignment horizontal="left"/>
    </xf>
    <xf numFmtId="0" fontId="76" fillId="0" borderId="0" xfId="0" applyFont="1"/>
    <xf numFmtId="44" fontId="72" fillId="42" borderId="0" xfId="0" applyNumberFormat="1"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8"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7" fillId="42" borderId="27" xfId="0" applyNumberFormat="1" applyFont="1" applyFill="1" applyBorder="1" applyAlignment="1">
      <alignment horizontal="center" vertical="top" wrapText="1"/>
    </xf>
    <xf numFmtId="44" fontId="77" fillId="42" borderId="0" xfId="0" applyNumberFormat="1" applyFont="1" applyFill="1" applyBorder="1" applyAlignment="1">
      <alignment horizontal="center" vertical="top" wrapText="1"/>
    </xf>
    <xf numFmtId="167"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185" fontId="60" fillId="38"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167" fontId="61" fillId="47" borderId="0" xfId="222" applyNumberFormat="1" applyFont="1" applyFill="1" applyBorder="1"/>
    <xf numFmtId="0" fontId="62" fillId="0" borderId="0" xfId="0" applyFont="1" applyFill="1" applyBorder="1" applyAlignment="1">
      <alignment horizontal="left"/>
    </xf>
    <xf numFmtId="0" fontId="66" fillId="0" borderId="0" xfId="0" applyFont="1" applyFill="1" applyBorder="1"/>
    <xf numFmtId="0" fontId="73" fillId="0" borderId="0" xfId="0" applyFont="1" applyFill="1" applyBorder="1"/>
    <xf numFmtId="0" fontId="81" fillId="40" borderId="18" xfId="0" applyFont="1" applyFill="1" applyBorder="1" applyAlignment="1">
      <alignment horizontal="left"/>
    </xf>
    <xf numFmtId="184" fontId="82" fillId="47" borderId="0" xfId="206" applyNumberFormat="1" applyFont="1" applyFill="1" applyBorder="1" applyAlignment="1">
      <alignment horizontal="center" vertical="center"/>
    </xf>
    <xf numFmtId="184" fontId="60" fillId="47" borderId="0" xfId="206" applyNumberFormat="1" applyFont="1" applyFill="1" applyBorder="1" applyAlignment="1">
      <alignment horizontal="center" vertical="center"/>
    </xf>
    <xf numFmtId="0" fontId="69" fillId="42" borderId="0" xfId="0" applyFont="1" applyFill="1" applyBorder="1" applyAlignment="1">
      <alignment horizontal="center"/>
    </xf>
    <xf numFmtId="0" fontId="70" fillId="42" borderId="14" xfId="0" applyNumberFormat="1" applyFont="1" applyFill="1" applyBorder="1" applyAlignment="1">
      <alignment horizontal="center"/>
    </xf>
    <xf numFmtId="0" fontId="61" fillId="40" borderId="0" xfId="0" applyFont="1" applyFill="1" applyBorder="1" applyAlignment="1">
      <alignment horizontal="right" vertical="center"/>
    </xf>
    <xf numFmtId="44" fontId="69" fillId="42" borderId="0" xfId="0" applyNumberFormat="1" applyFont="1" applyFill="1" applyBorder="1" applyAlignment="1">
      <alignment horizontal="left"/>
    </xf>
    <xf numFmtId="0" fontId="61" fillId="40" borderId="0" xfId="0" applyFont="1" applyFill="1" applyBorder="1" applyAlignment="1">
      <alignment horizontal="center" vertical="center" wrapText="1"/>
    </xf>
    <xf numFmtId="44" fontId="69" fillId="42" borderId="30" xfId="0" applyNumberFormat="1" applyFont="1" applyFill="1" applyBorder="1" applyAlignment="1">
      <alignment horizontal="left"/>
    </xf>
    <xf numFmtId="44" fontId="69" fillId="42" borderId="30" xfId="0" applyNumberFormat="1" applyFont="1" applyFill="1" applyBorder="1" applyAlignment="1">
      <alignment horizontal="center"/>
    </xf>
    <xf numFmtId="44" fontId="69" fillId="42" borderId="30" xfId="0" applyNumberFormat="1" applyFont="1" applyFill="1" applyBorder="1" applyAlignment="1">
      <alignment horizontal="center" vertical="center"/>
    </xf>
    <xf numFmtId="0" fontId="61" fillId="40" borderId="0" xfId="0" applyFont="1" applyFill="1" applyBorder="1" applyAlignment="1">
      <alignment horizontal="left"/>
    </xf>
    <xf numFmtId="0" fontId="83" fillId="40" borderId="0" xfId="0" applyFont="1" applyFill="1" applyBorder="1"/>
    <xf numFmtId="0" fontId="84" fillId="47" borderId="0" xfId="0" applyFont="1" applyFill="1" applyBorder="1" applyAlignment="1">
      <alignment horizontal="left" vertical="center"/>
    </xf>
    <xf numFmtId="0" fontId="66" fillId="40" borderId="0" xfId="0" applyFont="1" applyFill="1" applyBorder="1" applyAlignment="1">
      <alignment horizontal="right" vertical="center"/>
    </xf>
    <xf numFmtId="0" fontId="70" fillId="42" borderId="0" xfId="0" applyFont="1" applyFill="1" applyBorder="1" applyAlignment="1">
      <alignment horizontal="left"/>
    </xf>
    <xf numFmtId="44" fontId="0" fillId="42" borderId="32" xfId="0" applyNumberFormat="1" applyFont="1" applyFill="1" applyBorder="1" applyAlignment="1">
      <alignment vertical="top" wrapText="1"/>
    </xf>
    <xf numFmtId="0" fontId="61" fillId="40" borderId="0" xfId="0" applyFont="1" applyFill="1" applyBorder="1" applyAlignment="1">
      <alignment horizontal="right" vertical="center"/>
    </xf>
    <xf numFmtId="44" fontId="70" fillId="42" borderId="0" xfId="0" applyNumberFormat="1" applyFont="1" applyFill="1" applyBorder="1" applyAlignment="1">
      <alignment horizontal="center" vertical="center"/>
    </xf>
    <xf numFmtId="0" fontId="2" fillId="2" borderId="34" xfId="0" applyFont="1" applyFill="1" applyBorder="1" applyAlignment="1">
      <alignment horizontal="center" wrapText="1"/>
    </xf>
    <xf numFmtId="44" fontId="70" fillId="42" borderId="30"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40" xfId="0" applyNumberFormat="1" applyFont="1" applyFill="1" applyBorder="1" applyAlignment="1">
      <alignment horizontal="center" vertical="center"/>
    </xf>
    <xf numFmtId="44" fontId="70" fillId="42" borderId="41" xfId="0" applyNumberFormat="1" applyFont="1" applyFill="1" applyBorder="1" applyAlignment="1">
      <alignment horizontal="center" vertical="center"/>
    </xf>
    <xf numFmtId="0" fontId="61" fillId="40" borderId="0" xfId="0" applyFont="1" applyFill="1" applyBorder="1" applyAlignment="1">
      <alignment vertical="center"/>
    </xf>
    <xf numFmtId="0" fontId="61" fillId="40" borderId="0" xfId="0" applyFont="1" applyFill="1" applyBorder="1" applyAlignment="1">
      <alignment horizontal="right" wrapText="1"/>
    </xf>
    <xf numFmtId="44" fontId="69" fillId="42" borderId="41" xfId="0" applyNumberFormat="1" applyFont="1" applyFill="1" applyBorder="1" applyAlignment="1">
      <alignment horizontal="left"/>
    </xf>
    <xf numFmtId="0" fontId="69" fillId="42" borderId="42" xfId="0" applyFont="1" applyFill="1" applyBorder="1" applyAlignment="1">
      <alignment horizontal="left"/>
    </xf>
    <xf numFmtId="186" fontId="82" fillId="47" borderId="0" xfId="206" applyNumberFormat="1" applyFont="1" applyFill="1" applyBorder="1" applyAlignment="1">
      <alignment horizontal="right" vertical="center"/>
    </xf>
    <xf numFmtId="0" fontId="90" fillId="50" borderId="23" xfId="0" applyFont="1" applyFill="1" applyBorder="1" applyAlignment="1">
      <alignment horizontal="center" vertical="center" wrapText="1"/>
    </xf>
    <xf numFmtId="0" fontId="90" fillId="50" borderId="46" xfId="0" applyFont="1" applyFill="1" applyBorder="1" applyAlignment="1">
      <alignment horizontal="center" vertical="center" wrapText="1"/>
    </xf>
    <xf numFmtId="0" fontId="90" fillId="50" borderId="40" xfId="0" applyFont="1" applyFill="1" applyBorder="1" applyAlignment="1">
      <alignment horizontal="center" vertical="center" wrapText="1"/>
    </xf>
    <xf numFmtId="0" fontId="90" fillId="50" borderId="40" xfId="0" applyFont="1" applyFill="1" applyBorder="1" applyAlignment="1">
      <alignment vertical="center" wrapText="1"/>
    </xf>
    <xf numFmtId="0" fontId="90" fillId="50" borderId="47" xfId="0" applyFont="1" applyFill="1" applyBorder="1" applyAlignment="1">
      <alignment vertical="center" wrapText="1"/>
    </xf>
    <xf numFmtId="0" fontId="0" fillId="0" borderId="0" xfId="0" applyAlignment="1"/>
    <xf numFmtId="187" fontId="90" fillId="50" borderId="23" xfId="0" applyNumberFormat="1" applyFont="1" applyFill="1" applyBorder="1" applyAlignment="1">
      <alignment horizontal="center" vertical="center"/>
    </xf>
    <xf numFmtId="0" fontId="90" fillId="50" borderId="23" xfId="0" applyFont="1" applyFill="1" applyBorder="1" applyAlignment="1">
      <alignment horizontal="center" vertical="center"/>
    </xf>
    <xf numFmtId="0" fontId="91" fillId="0" borderId="23" xfId="0" applyFont="1" applyFill="1" applyBorder="1" applyAlignment="1">
      <alignment vertical="center"/>
    </xf>
    <xf numFmtId="0" fontId="91" fillId="0" borderId="23" xfId="0" applyFont="1" applyFill="1" applyBorder="1" applyAlignment="1">
      <alignment horizontal="center" vertical="center"/>
    </xf>
    <xf numFmtId="187" fontId="92" fillId="0" borderId="23" xfId="0" applyNumberFormat="1" applyFont="1" applyFill="1" applyBorder="1" applyAlignment="1">
      <alignment horizontal="left" vertical="center" indent="1"/>
    </xf>
    <xf numFmtId="187" fontId="92" fillId="0" borderId="23" xfId="0" applyNumberFormat="1" applyFont="1" applyFill="1" applyBorder="1" applyAlignment="1">
      <alignment horizontal="center" vertical="center"/>
    </xf>
    <xf numFmtId="187" fontId="92" fillId="0" borderId="23" xfId="0" applyNumberFormat="1" applyFont="1" applyFill="1" applyBorder="1" applyAlignment="1">
      <alignment horizontal="center" vertical="center" wrapText="1"/>
    </xf>
    <xf numFmtId="187" fontId="92" fillId="0" borderId="23" xfId="0" applyNumberFormat="1" applyFont="1" applyFill="1" applyBorder="1" applyAlignment="1">
      <alignment horizontal="right" vertical="center" indent="1"/>
    </xf>
    <xf numFmtId="2" fontId="91" fillId="0" borderId="23" xfId="0" applyNumberFormat="1" applyFont="1" applyFill="1" applyBorder="1" applyAlignment="1">
      <alignment horizontal="left" vertical="center" indent="1"/>
    </xf>
    <xf numFmtId="0" fontId="91" fillId="51" borderId="23" xfId="0" applyFont="1" applyFill="1" applyBorder="1" applyAlignment="1">
      <alignment vertical="center"/>
    </xf>
    <xf numFmtId="0" fontId="91" fillId="51" borderId="23" xfId="0" applyFont="1" applyFill="1" applyBorder="1" applyAlignment="1">
      <alignment horizontal="center" vertical="center"/>
    </xf>
    <xf numFmtId="187" fontId="92" fillId="51" borderId="23" xfId="0" applyNumberFormat="1" applyFont="1" applyFill="1" applyBorder="1" applyAlignment="1">
      <alignment horizontal="left" vertical="center" indent="1"/>
    </xf>
    <xf numFmtId="187" fontId="92" fillId="51" borderId="23" xfId="0" applyNumberFormat="1" applyFont="1" applyFill="1" applyBorder="1" applyAlignment="1">
      <alignment horizontal="center" vertical="center"/>
    </xf>
    <xf numFmtId="187" fontId="92" fillId="51" borderId="23" xfId="0" applyNumberFormat="1" applyFont="1" applyFill="1" applyBorder="1" applyAlignment="1">
      <alignment horizontal="center" vertical="center" wrapText="1"/>
    </xf>
    <xf numFmtId="187" fontId="92" fillId="51" borderId="23" xfId="0" applyNumberFormat="1" applyFont="1" applyFill="1" applyBorder="1" applyAlignment="1">
      <alignment horizontal="right" vertical="center" indent="1"/>
    </xf>
    <xf numFmtId="2" fontId="91" fillId="51" borderId="23" xfId="0" applyNumberFormat="1" applyFont="1" applyFill="1" applyBorder="1" applyAlignment="1">
      <alignment horizontal="left" vertical="center" indent="1"/>
    </xf>
    <xf numFmtId="187" fontId="92" fillId="0" borderId="23" xfId="0" applyNumberFormat="1" applyFont="1" applyFill="1" applyBorder="1" applyAlignment="1">
      <alignment horizontal="center" vertical="top"/>
    </xf>
    <xf numFmtId="187" fontId="92" fillId="51" borderId="23" xfId="0" applyNumberFormat="1" applyFont="1" applyFill="1" applyBorder="1" applyAlignment="1">
      <alignment horizontal="center" vertical="top"/>
    </xf>
    <xf numFmtId="187" fontId="92" fillId="0" borderId="23" xfId="64092" applyNumberFormat="1" applyFont="1" applyFill="1" applyBorder="1" applyAlignment="1">
      <alignment horizontal="left" vertical="center" indent="1"/>
    </xf>
    <xf numFmtId="187" fontId="92" fillId="0" borderId="23" xfId="64092" applyNumberFormat="1" applyFont="1" applyFill="1" applyBorder="1" applyAlignment="1">
      <alignment horizontal="center" vertical="center" wrapText="1"/>
    </xf>
    <xf numFmtId="187" fontId="92" fillId="0" borderId="23" xfId="64092" applyNumberFormat="1" applyFont="1" applyFill="1" applyBorder="1" applyAlignment="1">
      <alignment horizontal="right" vertical="center" indent="1"/>
    </xf>
    <xf numFmtId="187" fontId="92" fillId="52" borderId="23" xfId="0" applyNumberFormat="1" applyFont="1" applyFill="1" applyBorder="1" applyAlignment="1">
      <alignment horizontal="center" vertical="center" wrapText="1"/>
    </xf>
    <xf numFmtId="187" fontId="93" fillId="0" borderId="23" xfId="0" applyNumberFormat="1" applyFont="1" applyFill="1" applyBorder="1" applyAlignment="1">
      <alignment horizontal="right" vertical="center" indent="1"/>
    </xf>
    <xf numFmtId="187" fontId="92" fillId="0" borderId="23" xfId="64091" applyNumberFormat="1" applyFont="1" applyFill="1" applyBorder="1" applyAlignment="1">
      <alignment horizontal="left" vertical="center" indent="1"/>
    </xf>
    <xf numFmtId="187" fontId="92" fillId="0" borderId="23" xfId="64091" applyNumberFormat="1" applyFont="1" applyFill="1" applyBorder="1" applyAlignment="1">
      <alignment horizontal="center" vertical="center"/>
    </xf>
    <xf numFmtId="187" fontId="92" fillId="52" borderId="23" xfId="64091" applyNumberFormat="1" applyFont="1" applyFill="1" applyBorder="1" applyAlignment="1">
      <alignment horizontal="center" vertical="center" wrapText="1"/>
    </xf>
    <xf numFmtId="0" fontId="0" fillId="0" borderId="0" xfId="0" applyAlignment="1">
      <alignment horizontal="center"/>
    </xf>
    <xf numFmtId="187" fontId="0" fillId="0" borderId="0" xfId="0" applyNumberFormat="1" applyAlignment="1"/>
    <xf numFmtId="0" fontId="0" fillId="42" borderId="0" xfId="0" applyNumberFormat="1" applyFont="1" applyFill="1" applyBorder="1" applyAlignment="1">
      <alignment vertical="top"/>
    </xf>
    <xf numFmtId="2" fontId="0" fillId="42" borderId="0" xfId="0" applyNumberFormat="1" applyFont="1" applyFill="1" applyBorder="1" applyAlignment="1">
      <alignment vertical="top"/>
    </xf>
    <xf numFmtId="2" fontId="0" fillId="42" borderId="0" xfId="0" applyNumberFormat="1" applyFont="1" applyFill="1" applyBorder="1" applyAlignment="1">
      <alignment vertical="top" wrapText="1"/>
    </xf>
    <xf numFmtId="44" fontId="69" fillId="42" borderId="40" xfId="0" applyNumberFormat="1" applyFont="1" applyFill="1" applyBorder="1" applyAlignment="1">
      <alignment horizontal="left" vertical="center"/>
    </xf>
    <xf numFmtId="42" fontId="60" fillId="38" borderId="0" xfId="222" applyNumberFormat="1" applyFont="1" applyFill="1" applyBorder="1"/>
    <xf numFmtId="0" fontId="61" fillId="39" borderId="0" xfId="0" applyFont="1" applyFill="1" applyBorder="1" applyAlignment="1">
      <alignment horizontal="left"/>
    </xf>
    <xf numFmtId="44" fontId="70" fillId="42" borderId="14" xfId="0" applyNumberFormat="1" applyFont="1" applyFill="1" applyBorder="1" applyAlignment="1">
      <alignment horizontal="center"/>
    </xf>
    <xf numFmtId="0" fontId="95" fillId="40" borderId="0" xfId="0" applyFont="1" applyFill="1" applyBorder="1" applyAlignment="1">
      <alignment horizontal="right"/>
    </xf>
    <xf numFmtId="0" fontId="95" fillId="40" borderId="0" xfId="0" applyFont="1" applyFill="1" applyBorder="1" applyAlignment="1">
      <alignment horizontal="right" vertical="center"/>
    </xf>
    <xf numFmtId="0" fontId="81" fillId="40" borderId="0" xfId="0" applyFont="1" applyFill="1" applyBorder="1" applyAlignment="1">
      <alignment horizontal="right" vertical="center"/>
    </xf>
    <xf numFmtId="0" fontId="81" fillId="40" borderId="0" xfId="0" applyFont="1" applyFill="1" applyBorder="1" applyAlignment="1">
      <alignment horizontal="right" vertical="center" wrapText="1"/>
    </xf>
    <xf numFmtId="0" fontId="0" fillId="42" borderId="47" xfId="0" applyNumberFormat="1" applyFont="1" applyFill="1" applyBorder="1" applyAlignment="1">
      <alignment vertical="top"/>
    </xf>
    <xf numFmtId="44" fontId="69" fillId="42" borderId="50" xfId="0" applyNumberFormat="1" applyFont="1" applyFill="1" applyBorder="1" applyAlignment="1">
      <alignment horizontal="left" vertical="center"/>
    </xf>
    <xf numFmtId="44" fontId="69" fillId="42" borderId="50" xfId="0" applyNumberFormat="1" applyFont="1" applyFill="1" applyBorder="1" applyAlignment="1">
      <alignment horizontal="center"/>
    </xf>
    <xf numFmtId="44" fontId="69" fillId="42" borderId="50" xfId="0" applyNumberFormat="1" applyFont="1" applyFill="1" applyBorder="1" applyAlignment="1">
      <alignment horizontal="center" vertical="center"/>
    </xf>
    <xf numFmtId="0" fontId="69" fillId="42" borderId="0" xfId="0" applyFont="1" applyFill="1" applyBorder="1" applyAlignment="1">
      <alignment horizontal="center" vertical="center"/>
    </xf>
    <xf numFmtId="0" fontId="61" fillId="40" borderId="0" xfId="0" applyFont="1" applyFill="1" applyBorder="1" applyAlignment="1">
      <alignment horizontal="right" vertical="center" wrapText="1"/>
    </xf>
    <xf numFmtId="44" fontId="69" fillId="42" borderId="40" xfId="0" applyNumberFormat="1" applyFont="1" applyFill="1" applyBorder="1" applyAlignment="1">
      <alignment horizontal="center" vertical="center"/>
    </xf>
    <xf numFmtId="184" fontId="70" fillId="41" borderId="0" xfId="206" applyNumberFormat="1" applyFont="1" applyFill="1" applyBorder="1" applyAlignment="1">
      <alignment horizontal="center" vertical="center"/>
    </xf>
    <xf numFmtId="184" fontId="73" fillId="41" borderId="0" xfId="206" applyNumberFormat="1" applyFont="1" applyFill="1" applyBorder="1" applyAlignment="1">
      <alignment horizontal="center" vertical="center"/>
    </xf>
    <xf numFmtId="0" fontId="0" fillId="38" borderId="0" xfId="0" applyFill="1"/>
    <xf numFmtId="0" fontId="0" fillId="38" borderId="0" xfId="0" applyFill="1" applyAlignment="1">
      <alignment wrapText="1"/>
    </xf>
    <xf numFmtId="0" fontId="85" fillId="0" borderId="24" xfId="0" applyFont="1" applyBorder="1" applyAlignment="1">
      <alignment horizontal="center"/>
    </xf>
    <xf numFmtId="0" fontId="85"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8"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5" fillId="0" borderId="23" xfId="0" applyFont="1" applyBorder="1" applyAlignment="1">
      <alignment horizontal="center"/>
    </xf>
    <xf numFmtId="0" fontId="85" fillId="0" borderId="23" xfId="0" applyFont="1" applyBorder="1"/>
    <xf numFmtId="0" fontId="78" fillId="45" borderId="23" xfId="0" applyFont="1" applyFill="1" applyBorder="1" applyAlignment="1">
      <alignment horizontal="center" wrapText="1"/>
    </xf>
    <xf numFmtId="0" fontId="74" fillId="44" borderId="0" xfId="0" applyFont="1" applyFill="1" applyBorder="1"/>
    <xf numFmtId="0" fontId="76" fillId="38" borderId="0" xfId="0" applyFont="1" applyFill="1"/>
    <xf numFmtId="0" fontId="0" fillId="38" borderId="0" xfId="0" applyFill="1" applyAlignment="1">
      <alignment horizontal="left"/>
    </xf>
    <xf numFmtId="0" fontId="75" fillId="38" borderId="0" xfId="0" applyFont="1" applyFill="1" applyAlignment="1">
      <alignment horizontal="left" indent="15"/>
    </xf>
    <xf numFmtId="0" fontId="76" fillId="38" borderId="0" xfId="0" applyFont="1" applyFill="1" applyAlignment="1">
      <alignment horizontal="left"/>
    </xf>
    <xf numFmtId="44" fontId="0" fillId="38" borderId="0" xfId="0" applyNumberFormat="1" applyFill="1"/>
    <xf numFmtId="0" fontId="72" fillId="38" borderId="0" xfId="0" applyFont="1" applyFill="1" applyBorder="1" applyAlignment="1">
      <alignment horizontal="center" vertical="center" wrapText="1"/>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70" fillId="38" borderId="0" xfId="0" applyFont="1" applyFill="1" applyBorder="1" applyAlignment="1">
      <alignment horizontal="right" vertical="center"/>
    </xf>
    <xf numFmtId="44" fontId="69" fillId="38" borderId="14" xfId="0" applyNumberFormat="1" applyFont="1" applyFill="1" applyBorder="1" applyAlignment="1">
      <alignment horizontal="center"/>
    </xf>
    <xf numFmtId="44" fontId="69" fillId="38" borderId="14" xfId="0" applyNumberFormat="1" applyFont="1" applyFill="1" applyBorder="1" applyAlignment="1">
      <alignment horizontal="left"/>
    </xf>
    <xf numFmtId="0" fontId="70" fillId="38" borderId="0" xfId="0" applyFont="1" applyFill="1" applyBorder="1" applyAlignment="1">
      <alignment horizontal="right" vertical="center" wrapText="1"/>
    </xf>
    <xf numFmtId="42" fontId="69" fillId="38" borderId="31" xfId="0" applyNumberFormat="1" applyFont="1" applyFill="1" applyBorder="1" applyAlignment="1">
      <alignment horizontal="right" vertical="center"/>
    </xf>
    <xf numFmtId="0" fontId="69" fillId="38" borderId="0" xfId="0" applyFont="1" applyFill="1" applyBorder="1" applyAlignment="1">
      <alignment horizontal="left"/>
    </xf>
    <xf numFmtId="44" fontId="69" fillId="38" borderId="0" xfId="0" applyNumberFormat="1" applyFont="1" applyFill="1" applyBorder="1" applyAlignment="1">
      <alignment horizontal="center"/>
    </xf>
    <xf numFmtId="42" fontId="69" fillId="38" borderId="0" xfId="0" applyNumberFormat="1" applyFont="1" applyFill="1" applyBorder="1" applyAlignment="1">
      <alignment horizontal="right" vertical="center"/>
    </xf>
    <xf numFmtId="44" fontId="69" fillId="38" borderId="0" xfId="0" applyNumberFormat="1" applyFont="1" applyFill="1" applyBorder="1" applyAlignment="1">
      <alignment horizontal="right" vertical="center"/>
    </xf>
    <xf numFmtId="44" fontId="69" fillId="38" borderId="0" xfId="0" applyNumberFormat="1" applyFont="1" applyFill="1" applyBorder="1" applyAlignment="1">
      <alignment horizontal="left" vertical="center"/>
    </xf>
    <xf numFmtId="167"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44" fontId="69" fillId="38" borderId="14" xfId="0" applyNumberFormat="1" applyFont="1" applyFill="1" applyBorder="1" applyAlignment="1">
      <alignment horizontal="center" vertical="center"/>
    </xf>
    <xf numFmtId="42" fontId="69" fillId="38" borderId="31" xfId="0" applyNumberFormat="1" applyFont="1" applyFill="1" applyBorder="1" applyAlignment="1">
      <alignment horizontal="left" vertical="center"/>
    </xf>
    <xf numFmtId="42" fontId="69" fillId="38" borderId="14" xfId="0" applyNumberFormat="1" applyFont="1" applyFill="1" applyBorder="1" applyAlignment="1">
      <alignment horizontal="center" vertical="center"/>
    </xf>
    <xf numFmtId="42" fontId="69" fillId="38" borderId="50" xfId="0" applyNumberFormat="1" applyFont="1" applyFill="1" applyBorder="1" applyAlignment="1">
      <alignment horizontal="left" vertical="center"/>
    </xf>
    <xf numFmtId="1" fontId="82" fillId="47" borderId="0" xfId="206" applyNumberFormat="1" applyFont="1" applyFill="1" applyBorder="1" applyAlignment="1">
      <alignment horizontal="right" vertical="center"/>
    </xf>
    <xf numFmtId="10" fontId="82" fillId="47" borderId="0" xfId="206" applyNumberFormat="1" applyFont="1" applyFill="1" applyBorder="1" applyAlignment="1">
      <alignment horizontal="right" vertical="center"/>
    </xf>
    <xf numFmtId="10" fontId="0" fillId="38" borderId="0" xfId="0" applyNumberFormat="1" applyFill="1"/>
    <xf numFmtId="42" fontId="69" fillId="38" borderId="41" xfId="0" applyNumberFormat="1" applyFont="1" applyFill="1" applyBorder="1" applyAlignment="1">
      <alignment vertical="center"/>
    </xf>
    <xf numFmtId="44" fontId="69" fillId="38" borderId="31" xfId="0" applyNumberFormat="1" applyFont="1" applyFill="1" applyBorder="1" applyAlignment="1">
      <alignment horizontal="left" vertical="center"/>
    </xf>
    <xf numFmtId="42" fontId="69" fillId="38" borderId="40" xfId="0" applyNumberFormat="1" applyFont="1" applyFill="1" applyBorder="1" applyAlignment="1">
      <alignment horizontal="left" vertical="center"/>
    </xf>
    <xf numFmtId="1" fontId="60" fillId="57" borderId="0" xfId="222" applyNumberFormat="1" applyFont="1" applyFill="1" applyBorder="1"/>
    <xf numFmtId="42" fontId="60" fillId="57" borderId="0" xfId="222" applyNumberFormat="1" applyFont="1" applyFill="1" applyBorder="1"/>
    <xf numFmtId="44" fontId="60" fillId="57" borderId="0" xfId="222" applyNumberFormat="1" applyFont="1" applyFill="1" applyBorder="1"/>
    <xf numFmtId="0" fontId="62" fillId="56" borderId="0" xfId="0" applyFont="1" applyFill="1" applyBorder="1"/>
    <xf numFmtId="0" fontId="61" fillId="40" borderId="0" xfId="0" applyFont="1" applyFill="1" applyBorder="1" applyAlignment="1">
      <alignment horizontal="left"/>
    </xf>
    <xf numFmtId="1" fontId="60" fillId="51" borderId="0" xfId="222" applyNumberFormat="1" applyFont="1" applyFill="1" applyBorder="1"/>
    <xf numFmtId="166" fontId="60" fillId="51" borderId="0" xfId="201" applyNumberFormat="1" applyFont="1" applyFill="1" applyBorder="1"/>
    <xf numFmtId="10" fontId="85" fillId="45" borderId="51" xfId="0" applyNumberFormat="1" applyFont="1" applyFill="1" applyBorder="1" applyAlignment="1">
      <alignment vertical="center"/>
    </xf>
    <xf numFmtId="44" fontId="69" fillId="42" borderId="52" xfId="0" applyNumberFormat="1" applyFont="1" applyFill="1" applyBorder="1" applyAlignment="1">
      <alignment horizontal="center" vertical="center"/>
    </xf>
    <xf numFmtId="44" fontId="69" fillId="42" borderId="14" xfId="0" applyNumberFormat="1" applyFont="1" applyFill="1" applyBorder="1" applyAlignment="1">
      <alignment horizontal="center" vertical="center"/>
    </xf>
    <xf numFmtId="10" fontId="60" fillId="41" borderId="0" xfId="206" applyNumberFormat="1" applyFont="1" applyFill="1" applyBorder="1" applyAlignment="1">
      <alignment horizontal="center" vertical="center"/>
    </xf>
    <xf numFmtId="10" fontId="60" fillId="58" borderId="0" xfId="206" applyNumberFormat="1" applyFont="1" applyFill="1" applyBorder="1" applyAlignment="1">
      <alignment horizontal="center" vertical="center"/>
    </xf>
    <xf numFmtId="44" fontId="70" fillId="58" borderId="26" xfId="0" applyNumberFormat="1" applyFont="1" applyFill="1" applyBorder="1" applyAlignment="1">
      <alignment vertical="center"/>
    </xf>
    <xf numFmtId="166" fontId="82" fillId="47" borderId="0" xfId="64104" applyNumberFormat="1" applyFont="1" applyFill="1" applyBorder="1" applyAlignment="1">
      <alignment horizontal="right" vertical="center"/>
    </xf>
    <xf numFmtId="166" fontId="82" fillId="58" borderId="0" xfId="64104" applyNumberFormat="1" applyFont="1" applyFill="1" applyBorder="1" applyAlignment="1">
      <alignment horizontal="right" vertical="center"/>
    </xf>
    <xf numFmtId="44" fontId="73" fillId="42" borderId="40" xfId="0" applyNumberFormat="1" applyFont="1" applyFill="1" applyBorder="1" applyAlignment="1">
      <alignment horizontal="center" vertical="center"/>
    </xf>
    <xf numFmtId="0" fontId="73" fillId="38" borderId="0" xfId="0" applyFont="1" applyFill="1" applyBorder="1" applyAlignment="1">
      <alignment horizontal="right" vertical="center" wrapText="1"/>
    </xf>
    <xf numFmtId="44" fontId="73" fillId="38" borderId="14" xfId="0" applyNumberFormat="1" applyFont="1" applyFill="1" applyBorder="1" applyAlignment="1">
      <alignment horizontal="center" vertical="center"/>
    </xf>
    <xf numFmtId="42" fontId="73" fillId="38" borderId="14" xfId="0" applyNumberFormat="1" applyFont="1" applyFill="1" applyBorder="1" applyAlignment="1">
      <alignment horizontal="center" vertical="center"/>
    </xf>
    <xf numFmtId="0" fontId="0" fillId="0" borderId="0" xfId="0" applyFill="1"/>
    <xf numFmtId="0" fontId="74" fillId="58" borderId="0" xfId="0" applyFont="1" applyFill="1" applyBorder="1" applyAlignment="1">
      <alignment horizontal="left"/>
    </xf>
    <xf numFmtId="0" fontId="74" fillId="58" borderId="0" xfId="0" applyFont="1" applyFill="1" applyBorder="1" applyAlignment="1">
      <alignment horizontal="right" vertical="center" wrapText="1"/>
    </xf>
    <xf numFmtId="44" fontId="73" fillId="58" borderId="40" xfId="0" applyNumberFormat="1" applyFont="1" applyFill="1" applyBorder="1" applyAlignment="1">
      <alignment horizontal="center" vertical="center"/>
    </xf>
    <xf numFmtId="44" fontId="73" fillId="58" borderId="50" xfId="0" applyNumberFormat="1" applyFont="1" applyFill="1" applyBorder="1" applyAlignment="1">
      <alignment horizontal="center" vertical="center"/>
    </xf>
    <xf numFmtId="44" fontId="73" fillId="58" borderId="40" xfId="0" applyNumberFormat="1" applyFont="1" applyFill="1" applyBorder="1" applyAlignment="1">
      <alignment horizontal="left" vertical="center"/>
    </xf>
    <xf numFmtId="42" fontId="70" fillId="38" borderId="0" xfId="222" applyNumberFormat="1" applyFont="1" applyFill="1" applyBorder="1"/>
    <xf numFmtId="0" fontId="81" fillId="40" borderId="0" xfId="0" applyFont="1" applyFill="1" applyBorder="1" applyAlignment="1">
      <alignment horizontal="right" vertical="center" wrapText="1"/>
    </xf>
    <xf numFmtId="0" fontId="61" fillId="40" borderId="0" xfId="0" applyFont="1" applyFill="1" applyBorder="1" applyAlignment="1">
      <alignment horizontal="left"/>
    </xf>
    <xf numFmtId="0" fontId="74" fillId="58" borderId="0" xfId="0" applyFont="1" applyFill="1" applyBorder="1" applyAlignment="1">
      <alignment horizontal="left"/>
    </xf>
    <xf numFmtId="0" fontId="61" fillId="39" borderId="0" xfId="0" applyFont="1" applyFill="1" applyBorder="1" applyAlignment="1">
      <alignment horizontal="left"/>
    </xf>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33" xfId="0" applyFont="1" applyFill="1" applyBorder="1" applyAlignment="1">
      <alignment horizontal="center" wrapText="1"/>
    </xf>
    <xf numFmtId="0" fontId="2" fillId="2" borderId="36" xfId="0" applyFont="1" applyFill="1" applyBorder="1" applyAlignment="1">
      <alignment horizontal="center" wrapText="1"/>
    </xf>
    <xf numFmtId="44" fontId="69" fillId="42" borderId="15" xfId="0" applyNumberFormat="1" applyFont="1" applyFill="1" applyBorder="1" applyAlignment="1">
      <alignment horizontal="center"/>
    </xf>
    <xf numFmtId="44" fontId="69" fillId="42" borderId="49" xfId="0" applyNumberFormat="1" applyFont="1" applyFill="1" applyBorder="1" applyAlignment="1">
      <alignment horizontal="center"/>
    </xf>
    <xf numFmtId="0" fontId="67" fillId="42" borderId="0" xfId="0" applyFont="1" applyFill="1" applyBorder="1" applyAlignment="1">
      <alignment horizontal="center"/>
    </xf>
    <xf numFmtId="0" fontId="62" fillId="42" borderId="0" xfId="0" applyFont="1" applyFill="1" applyBorder="1" applyAlignment="1">
      <alignment horizontal="left" vertical="top" wrapText="1"/>
    </xf>
    <xf numFmtId="0" fontId="70"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2" fillId="2" borderId="35" xfId="0" applyFont="1" applyFill="1" applyBorder="1" applyAlignment="1">
      <alignment horizontal="center" wrapText="1"/>
    </xf>
    <xf numFmtId="0" fontId="81" fillId="40" borderId="0" xfId="0" applyFont="1" applyFill="1" applyBorder="1" applyAlignment="1">
      <alignment horizontal="right" vertical="center" wrapText="1"/>
    </xf>
    <xf numFmtId="0" fontId="74" fillId="58" borderId="0" xfId="0" applyFont="1" applyFill="1" applyBorder="1" applyAlignment="1">
      <alignment horizontal="left"/>
    </xf>
    <xf numFmtId="44" fontId="0" fillId="42" borderId="0" xfId="0" applyNumberFormat="1" applyFont="1" applyFill="1" applyBorder="1" applyAlignment="1">
      <alignment horizontal="left" vertical="top" wrapText="1"/>
    </xf>
    <xf numFmtId="0" fontId="61" fillId="40" borderId="0" xfId="0" applyFont="1" applyFill="1" applyBorder="1" applyAlignment="1">
      <alignment horizontal="left"/>
    </xf>
    <xf numFmtId="0" fontId="0" fillId="42" borderId="0" xfId="0" applyNumberFormat="1" applyFont="1" applyFill="1" applyBorder="1" applyAlignment="1">
      <alignment horizontal="left" vertical="top" wrapText="1"/>
    </xf>
    <xf numFmtId="0" fontId="0" fillId="58" borderId="0" xfId="0" applyNumberFormat="1" applyFont="1" applyFill="1" applyBorder="1" applyAlignment="1">
      <alignment horizontal="left" vertical="top" wrapText="1"/>
    </xf>
    <xf numFmtId="44" fontId="74" fillId="58"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0" fontId="70" fillId="42" borderId="19" xfId="0" applyFont="1" applyFill="1" applyBorder="1" applyAlignment="1">
      <alignment horizontal="left"/>
    </xf>
    <xf numFmtId="44" fontId="72" fillId="42" borderId="0" xfId="0" applyNumberFormat="1" applyFont="1" applyFill="1" applyBorder="1" applyAlignment="1">
      <alignment horizontal="left"/>
    </xf>
    <xf numFmtId="44" fontId="70" fillId="42" borderId="0" xfId="0" applyNumberFormat="1" applyFont="1" applyFill="1" applyBorder="1" applyAlignment="1">
      <alignment horizontal="center" wrapText="1"/>
    </xf>
    <xf numFmtId="44" fontId="70" fillId="42" borderId="19" xfId="0" applyNumberFormat="1" applyFont="1" applyFill="1" applyBorder="1" applyAlignment="1">
      <alignment horizontal="left" wrapText="1"/>
    </xf>
    <xf numFmtId="0" fontId="61" fillId="39" borderId="0" xfId="0" applyFont="1" applyFill="1" applyBorder="1" applyAlignment="1">
      <alignment horizontal="left"/>
    </xf>
    <xf numFmtId="0" fontId="85" fillId="45" borderId="0" xfId="0" applyFont="1" applyFill="1" applyBorder="1" applyAlignment="1">
      <alignment horizontal="left" vertical="center" wrapText="1"/>
    </xf>
    <xf numFmtId="0" fontId="90" fillId="50" borderId="45" xfId="0" applyFont="1" applyFill="1" applyBorder="1" applyAlignment="1">
      <alignment horizontal="center" vertical="center"/>
    </xf>
    <xf numFmtId="0" fontId="90" fillId="50" borderId="24" xfId="0" applyFont="1" applyFill="1" applyBorder="1" applyAlignment="1">
      <alignment horizontal="center" vertical="center"/>
    </xf>
    <xf numFmtId="0" fontId="90" fillId="50" borderId="23" xfId="0" applyFont="1" applyFill="1" applyBorder="1" applyAlignment="1">
      <alignment horizontal="center" vertical="center"/>
    </xf>
    <xf numFmtId="0" fontId="90" fillId="50" borderId="43" xfId="0" applyFont="1" applyFill="1" applyBorder="1" applyAlignment="1">
      <alignment horizontal="center" vertical="center"/>
    </xf>
    <xf numFmtId="0" fontId="90" fillId="50" borderId="44" xfId="0" applyFont="1" applyFill="1" applyBorder="1" applyAlignment="1">
      <alignment horizontal="center" vertical="center"/>
    </xf>
    <xf numFmtId="0" fontId="90" fillId="50" borderId="48" xfId="0" applyFont="1" applyFill="1" applyBorder="1" applyAlignment="1">
      <alignment horizontal="center" vertical="center"/>
    </xf>
    <xf numFmtId="0" fontId="90" fillId="50" borderId="25" xfId="0" applyFont="1" applyFill="1" applyBorder="1" applyAlignment="1">
      <alignment horizontal="center" vertical="center"/>
    </xf>
    <xf numFmtId="0" fontId="90" fillId="50" borderId="23" xfId="0" applyFont="1" applyFill="1" applyBorder="1" applyAlignment="1">
      <alignment horizontal="center" vertical="center" wrapText="1"/>
    </xf>
    <xf numFmtId="0" fontId="77" fillId="0" borderId="0" xfId="0" applyFont="1"/>
    <xf numFmtId="0" fontId="96" fillId="0" borderId="0" xfId="0" applyFont="1"/>
    <xf numFmtId="0" fontId="0" fillId="0" borderId="0" xfId="0" applyFont="1"/>
    <xf numFmtId="0" fontId="0" fillId="0" borderId="0" xfId="0" quotePrefix="1" applyAlignment="1">
      <alignment wrapText="1"/>
    </xf>
    <xf numFmtId="0" fontId="0" fillId="0" borderId="0" xfId="0" quotePrefix="1"/>
    <xf numFmtId="10" fontId="60" fillId="59" borderId="0" xfId="206" applyNumberFormat="1" applyFont="1" applyFill="1" applyBorder="1" applyAlignment="1">
      <alignment horizontal="center" vertical="center"/>
    </xf>
    <xf numFmtId="0" fontId="67" fillId="59" borderId="0" xfId="0" applyFont="1" applyFill="1" applyBorder="1" applyAlignment="1">
      <alignment horizontal="left"/>
    </xf>
    <xf numFmtId="44" fontId="70" fillId="59" borderId="14" xfId="0" applyNumberFormat="1" applyFont="1" applyFill="1" applyBorder="1" applyAlignment="1">
      <alignment horizontal="center"/>
    </xf>
    <xf numFmtId="44" fontId="69" fillId="59" borderId="40" xfId="0" applyNumberFormat="1" applyFont="1" applyFill="1" applyBorder="1" applyAlignment="1">
      <alignment horizontal="left" vertical="center"/>
    </xf>
    <xf numFmtId="0" fontId="69" fillId="59" borderId="0" xfId="0" applyFont="1" applyFill="1" applyBorder="1" applyAlignment="1">
      <alignment horizontal="center" vertical="center"/>
    </xf>
    <xf numFmtId="44" fontId="73" fillId="59" borderId="40" xfId="0" applyNumberFormat="1" applyFont="1" applyFill="1" applyBorder="1" applyAlignment="1">
      <alignment horizontal="left" vertical="center"/>
    </xf>
    <xf numFmtId="44" fontId="97" fillId="42" borderId="40" xfId="0" applyNumberFormat="1" applyFont="1" applyFill="1" applyBorder="1" applyAlignment="1">
      <alignment horizontal="left" vertical="center"/>
    </xf>
    <xf numFmtId="0" fontId="97" fillId="42" borderId="0" xfId="0" applyFont="1" applyFill="1" applyBorder="1" applyAlignment="1">
      <alignment horizontal="center" vertical="center"/>
    </xf>
    <xf numFmtId="44" fontId="97" fillId="58" borderId="40" xfId="0" applyNumberFormat="1" applyFont="1" applyFill="1" applyBorder="1" applyAlignment="1">
      <alignment horizontal="left" vertical="center"/>
    </xf>
    <xf numFmtId="0" fontId="80" fillId="38" borderId="0" xfId="0" applyFont="1" applyFill="1" applyBorder="1"/>
    <xf numFmtId="44" fontId="62" fillId="38" borderId="0" xfId="0" applyNumberFormat="1" applyFont="1" applyFill="1" applyBorder="1"/>
    <xf numFmtId="2" fontId="0" fillId="59" borderId="23" xfId="0" applyNumberFormat="1" applyFont="1" applyFill="1" applyBorder="1" applyAlignment="1">
      <alignment vertical="top" wrapText="1"/>
    </xf>
    <xf numFmtId="44" fontId="60" fillId="60" borderId="23" xfId="222" applyNumberFormat="1" applyFont="1" applyFill="1" applyBorder="1"/>
  </cellXfs>
  <cellStyles count="64105">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xfId="64104" builtinId="3"/>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20FD%20-%20Ausgrid%20-%20Attachment%208.06.02%20-%20Design%20Related%20Services%20-%20January%202019%20-%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FD method and comparison"/>
      <sheetName val="AER FD AER Summary"/>
      <sheetName val="AER FD Input Data"/>
      <sheetName val="Cover"/>
      <sheetName val="AER Summary"/>
      <sheetName val="Service Description"/>
      <sheetName val="Fee Breakdown"/>
      <sheetName val="Input Data"/>
      <sheetName val="15-19 prices"/>
    </sheetNames>
    <sheetDataSet>
      <sheetData sheetId="0"/>
      <sheetData sheetId="1"/>
      <sheetData sheetId="2"/>
      <sheetData sheetId="3"/>
      <sheetData sheetId="4"/>
      <sheetData sheetId="5"/>
      <sheetData sheetId="6"/>
      <sheetData sheetId="7">
        <row r="37">
          <cell r="B37" t="str">
            <v>R1</v>
          </cell>
        </row>
        <row r="38">
          <cell r="B38" t="str">
            <v>R2</v>
          </cell>
        </row>
        <row r="39">
          <cell r="B39" t="str">
            <v>R3</v>
          </cell>
        </row>
        <row r="40">
          <cell r="B40" t="str">
            <v>R4</v>
          </cell>
        </row>
        <row r="41">
          <cell r="B41" t="str">
            <v>R5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2"/>
  <sheetViews>
    <sheetView workbookViewId="0">
      <selection activeCell="A11" sqref="A11:A12"/>
    </sheetView>
  </sheetViews>
  <sheetFormatPr defaultRowHeight="14.4"/>
  <cols>
    <col min="1" max="1" width="86.33203125" customWidth="1"/>
  </cols>
  <sheetData>
    <row r="1" spans="1:1">
      <c r="A1" s="258" t="s">
        <v>335</v>
      </c>
    </row>
    <row r="2" spans="1:1">
      <c r="A2" s="259" t="s">
        <v>339</v>
      </c>
    </row>
    <row r="3" spans="1:1">
      <c r="A3" s="260" t="s">
        <v>336</v>
      </c>
    </row>
    <row r="5" spans="1:1">
      <c r="A5" s="258" t="s">
        <v>340</v>
      </c>
    </row>
    <row r="6" spans="1:1" ht="28.8">
      <c r="A6" s="261" t="s">
        <v>341</v>
      </c>
    </row>
    <row r="7" spans="1:1" ht="28.8">
      <c r="A7" s="261" t="s">
        <v>337</v>
      </c>
    </row>
    <row r="8" spans="1:1">
      <c r="A8" s="262" t="s">
        <v>338</v>
      </c>
    </row>
    <row r="10" spans="1:1">
      <c r="A10" s="259" t="s">
        <v>346</v>
      </c>
    </row>
    <row r="11" spans="1:1" ht="28.8">
      <c r="A11" s="261" t="s">
        <v>347</v>
      </c>
    </row>
    <row r="12" spans="1:1" ht="28.8">
      <c r="A12" s="261" t="s">
        <v>348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EC327"/>
  <sheetViews>
    <sheetView tabSelected="1" zoomScale="80" zoomScaleNormal="80" workbookViewId="0">
      <selection activeCell="D21" sqref="D21"/>
    </sheetView>
  </sheetViews>
  <sheetFormatPr defaultColWidth="0" defaultRowHeight="14.4" zeroHeight="1"/>
  <cols>
    <col min="1" max="1" width="3.44140625" style="147" bestFit="1" customWidth="1"/>
    <col min="2" max="2" width="55.44140625" customWidth="1"/>
    <col min="3" max="12" width="20.6640625" customWidth="1"/>
    <col min="13" max="17" width="9.109375" hidden="1" customWidth="1"/>
    <col min="18" max="18" width="5.33203125" hidden="1" customWidth="1"/>
    <col min="19" max="19" width="2.44140625" hidden="1" customWidth="1"/>
    <col min="20" max="133" width="0" hidden="1" customWidth="1"/>
    <col min="134" max="16384" width="9.109375" hidden="1"/>
  </cols>
  <sheetData>
    <row r="1" spans="1:13" s="7" customFormat="1"/>
    <row r="2" spans="1:13" s="7" customFormat="1" ht="21">
      <c r="B2" s="27" t="s">
        <v>15</v>
      </c>
      <c r="C2" s="1"/>
      <c r="D2" s="1"/>
      <c r="E2" s="4"/>
      <c r="F2" s="4"/>
      <c r="G2" s="4"/>
      <c r="H2" s="4"/>
      <c r="I2" s="4"/>
      <c r="J2" s="4"/>
    </row>
    <row r="3" spans="1:13" s="7" customFormat="1">
      <c r="B3" s="5" t="s">
        <v>0</v>
      </c>
      <c r="C3" s="24" t="s">
        <v>97</v>
      </c>
      <c r="D3" s="24"/>
      <c r="E3" s="23"/>
      <c r="F3" s="23"/>
      <c r="G3" s="23"/>
      <c r="H3" s="23"/>
      <c r="I3" s="23"/>
      <c r="J3" s="23"/>
    </row>
    <row r="4" spans="1:13" s="7" customFormat="1">
      <c r="B4" s="5" t="s">
        <v>1</v>
      </c>
      <c r="C4" s="23" t="s">
        <v>2</v>
      </c>
      <c r="D4" s="23"/>
      <c r="E4" s="23"/>
      <c r="F4" s="229" t="s">
        <v>3</v>
      </c>
      <c r="G4" s="229"/>
      <c r="H4" s="23"/>
      <c r="I4" s="23"/>
      <c r="J4" s="23"/>
    </row>
    <row r="5" spans="1:13" s="7" customFormat="1">
      <c r="B5" s="5"/>
      <c r="C5" s="23"/>
      <c r="D5" s="23"/>
      <c r="E5" s="23"/>
      <c r="F5" s="23"/>
      <c r="G5" s="23"/>
      <c r="H5" s="23"/>
      <c r="I5" s="23"/>
      <c r="J5" s="23"/>
    </row>
    <row r="6" spans="1:13" s="7" customFormat="1">
      <c r="B6" s="5"/>
      <c r="C6" s="23"/>
      <c r="D6" s="83" t="s">
        <v>93</v>
      </c>
      <c r="E6" s="225" t="s">
        <v>94</v>
      </c>
      <c r="F6" s="233"/>
      <c r="G6" s="233"/>
      <c r="H6" s="233"/>
      <c r="I6" s="226"/>
      <c r="J6" s="23"/>
    </row>
    <row r="7" spans="1:13" s="7" customFormat="1">
      <c r="B7" s="76" t="s">
        <v>17</v>
      </c>
      <c r="C7" s="91"/>
      <c r="D7" s="29" t="s">
        <v>89</v>
      </c>
      <c r="E7" s="29" t="s">
        <v>19</v>
      </c>
      <c r="F7" s="29" t="s">
        <v>20</v>
      </c>
      <c r="G7" s="29" t="s">
        <v>21</v>
      </c>
      <c r="H7" s="29" t="s">
        <v>22</v>
      </c>
      <c r="I7" s="29" t="s">
        <v>23</v>
      </c>
      <c r="J7" s="23"/>
    </row>
    <row r="8" spans="1:13" s="7" customFormat="1">
      <c r="B8" s="76"/>
      <c r="C8" s="23"/>
      <c r="D8" s="23"/>
      <c r="E8" s="23"/>
      <c r="F8" s="23"/>
      <c r="G8" s="23"/>
      <c r="H8" s="23"/>
      <c r="I8" s="23"/>
      <c r="J8" s="23"/>
      <c r="K8" s="272" t="s">
        <v>343</v>
      </c>
    </row>
    <row r="9" spans="1:13" s="7" customFormat="1">
      <c r="B9" s="134" t="s">
        <v>273</v>
      </c>
      <c r="C9" s="23"/>
      <c r="D9" s="23"/>
      <c r="E9" s="264" t="s">
        <v>342</v>
      </c>
      <c r="F9" s="23"/>
      <c r="G9" s="23"/>
      <c r="H9" s="23"/>
      <c r="I9" s="23"/>
      <c r="J9" s="23"/>
      <c r="K9" s="272" t="s">
        <v>344</v>
      </c>
      <c r="L9" s="272" t="s">
        <v>345</v>
      </c>
    </row>
    <row r="10" spans="1:13" s="7" customFormat="1">
      <c r="B10" s="59"/>
      <c r="C10" s="68"/>
      <c r="D10" s="133"/>
      <c r="E10" s="265"/>
      <c r="F10" s="133"/>
      <c r="G10" s="133"/>
      <c r="H10" s="133"/>
      <c r="I10" s="133"/>
      <c r="J10" s="23"/>
    </row>
    <row r="11" spans="1:13" s="7" customFormat="1">
      <c r="A11" s="7">
        <v>1</v>
      </c>
      <c r="B11" s="81" t="s">
        <v>98</v>
      </c>
      <c r="C11" s="144" t="s">
        <v>60</v>
      </c>
      <c r="D11" s="130">
        <f>IF($C11="Fixed",IF(((E49-D49))/D49&lt;='AER FD Input Data'!$C$50,I49,(D49*$H$263)),'AER FD Input Data'!$L$40)</f>
        <v>58.757329959697977</v>
      </c>
      <c r="E11" s="266">
        <f t="shared" ref="E11:I13" si="0">$D11*D$255</f>
        <v>60.182121563337653</v>
      </c>
      <c r="F11" s="269">
        <f t="shared" si="0"/>
        <v>62.034260488080243</v>
      </c>
      <c r="G11" s="269">
        <f t="shared" si="0"/>
        <v>64.20503087406361</v>
      </c>
      <c r="H11" s="269">
        <f t="shared" si="0"/>
        <v>66.606911717115352</v>
      </c>
      <c r="I11" s="269">
        <f t="shared" si="0"/>
        <v>68.998594443661787</v>
      </c>
      <c r="J11" s="144"/>
      <c r="K11" s="273">
        <f>'AER Summary'!E11</f>
        <v>60.38044642914759</v>
      </c>
      <c r="L11" s="273">
        <f>E11-K11</f>
        <v>-0.19832486580993702</v>
      </c>
      <c r="M11" s="10"/>
    </row>
    <row r="12" spans="1:13" s="7" customFormat="1">
      <c r="A12" s="7">
        <v>2</v>
      </c>
      <c r="B12" s="81" t="s">
        <v>99</v>
      </c>
      <c r="C12" s="144" t="s">
        <v>60</v>
      </c>
      <c r="D12" s="130">
        <f>IF($C12="Fixed",IF(((E50-D50))/D50&lt;='AER FD Input Data'!$C$50,I50,(D50*$H$263)),'AER FD Input Data'!$L$40)</f>
        <v>10.86562075018079</v>
      </c>
      <c r="E12" s="266">
        <f t="shared" si="0"/>
        <v>11.129098434136296</v>
      </c>
      <c r="F12" s="269">
        <f t="shared" si="0"/>
        <v>11.47160275056293</v>
      </c>
      <c r="G12" s="269">
        <f t="shared" si="0"/>
        <v>11.873029564306801</v>
      </c>
      <c r="H12" s="269">
        <f t="shared" si="0"/>
        <v>12.317194170588698</v>
      </c>
      <c r="I12" s="269">
        <f t="shared" si="0"/>
        <v>12.759472903799288</v>
      </c>
      <c r="J12" s="144"/>
      <c r="K12" s="273">
        <f>'AER Summary'!E12</f>
        <v>11.165773395008399</v>
      </c>
      <c r="L12" s="273">
        <f t="shared" ref="L12:L41" si="1">E12-K12</f>
        <v>-3.6674960872103313E-2</v>
      </c>
      <c r="M12" s="10"/>
    </row>
    <row r="13" spans="1:13" s="7" customFormat="1">
      <c r="A13" s="7">
        <v>3</v>
      </c>
      <c r="B13" s="81" t="s">
        <v>100</v>
      </c>
      <c r="C13" s="144" t="s">
        <v>61</v>
      </c>
      <c r="D13" s="130">
        <f>IF($C13="Fixed",IF(((E51-D51))/D51&lt;='AER FD Input Data'!$C$50,I51,(D51*$H$263)),'AER FD Input Data'!$L$40)</f>
        <v>147.83000000000001</v>
      </c>
      <c r="E13" s="266">
        <f t="shared" si="0"/>
        <v>151.41469220624091</v>
      </c>
      <c r="F13" s="269">
        <f t="shared" si="0"/>
        <v>156.07456523710357</v>
      </c>
      <c r="G13" s="269">
        <f t="shared" si="0"/>
        <v>161.53609635807234</v>
      </c>
      <c r="H13" s="269">
        <f t="shared" si="0"/>
        <v>167.57908784988936</v>
      </c>
      <c r="I13" s="269">
        <f t="shared" si="0"/>
        <v>173.59642147801489</v>
      </c>
      <c r="J13" s="144" t="s">
        <v>257</v>
      </c>
      <c r="K13" s="273">
        <f>'AER Summary'!E13</f>
        <v>151.91366595016004</v>
      </c>
      <c r="L13" s="273">
        <f t="shared" si="1"/>
        <v>-0.49897374391912308</v>
      </c>
      <c r="M13" s="10"/>
    </row>
    <row r="14" spans="1:13" s="7" customFormat="1" ht="30.75" customHeight="1">
      <c r="A14" s="7">
        <v>4</v>
      </c>
      <c r="B14" s="143" t="s">
        <v>101</v>
      </c>
      <c r="C14" s="144" t="s">
        <v>61</v>
      </c>
      <c r="D14" s="130">
        <f>IF($C14="Fixed",IF(((E52-D52))/D52&lt;='AER FD Input Data'!$C$50,I52,(D52*$H$263)),'AER FD Input Data'!$L$40)</f>
        <v>147.83000000000001</v>
      </c>
      <c r="E14" s="266"/>
      <c r="F14" s="269"/>
      <c r="G14" s="269"/>
      <c r="H14" s="269"/>
      <c r="I14" s="269"/>
      <c r="J14" s="144"/>
      <c r="K14" s="273">
        <f>'AER Summary'!E14</f>
        <v>0</v>
      </c>
      <c r="L14" s="273">
        <f t="shared" si="1"/>
        <v>0</v>
      </c>
      <c r="M14" s="10"/>
    </row>
    <row r="15" spans="1:13" s="7" customFormat="1" ht="30" customHeight="1">
      <c r="A15" s="7">
        <v>5</v>
      </c>
      <c r="B15" s="143" t="s">
        <v>102</v>
      </c>
      <c r="C15" s="144" t="s">
        <v>60</v>
      </c>
      <c r="D15" s="130">
        <f>IF($C15="Fixed",IF(((E53-D53))/D53&lt;='AER FD Input Data'!$C$50,I53,(D53*$H$263)),'AER FD Input Data'!$L$40)</f>
        <v>15.507898346233263</v>
      </c>
      <c r="E15" s="266">
        <f t="shared" ref="E15:I28" si="2">$D15*D$255</f>
        <v>15.883945443148086</v>
      </c>
      <c r="F15" s="269">
        <f t="shared" si="2"/>
        <v>16.372782873094458</v>
      </c>
      <c r="G15" s="269">
        <f t="shared" si="2"/>
        <v>16.945717118097321</v>
      </c>
      <c r="H15" s="269">
        <f t="shared" si="2"/>
        <v>17.579648645948573</v>
      </c>
      <c r="I15" s="269">
        <f t="shared" si="2"/>
        <v>18.210888571676382</v>
      </c>
      <c r="J15" s="144"/>
      <c r="K15" s="273">
        <f>'AER Summary'!E15</f>
        <v>15.936289582349449</v>
      </c>
      <c r="L15" s="273">
        <f t="shared" si="1"/>
        <v>-5.2344139201363049E-2</v>
      </c>
      <c r="M15" s="10"/>
    </row>
    <row r="16" spans="1:13" s="7" customFormat="1" ht="45" customHeight="1">
      <c r="A16" s="7">
        <v>6</v>
      </c>
      <c r="B16" s="143" t="s">
        <v>103</v>
      </c>
      <c r="C16" s="144" t="s">
        <v>60</v>
      </c>
      <c r="D16" s="130">
        <f>IF($C16="Fixed",IF(((E54-D54))/D54&lt;='AER FD Input Data'!$C$50,I54,(D54*$H$263)),'AER FD Input Data'!$L$40)</f>
        <v>175.8010341809437</v>
      </c>
      <c r="E16" s="266">
        <f t="shared" si="2"/>
        <v>180.06398890649004</v>
      </c>
      <c r="F16" s="269">
        <f t="shared" si="2"/>
        <v>185.60556029238973</v>
      </c>
      <c r="G16" s="269">
        <f t="shared" si="2"/>
        <v>192.10047214571935</v>
      </c>
      <c r="H16" s="269">
        <f t="shared" si="2"/>
        <v>199.28686295819361</v>
      </c>
      <c r="I16" s="269">
        <f t="shared" si="2"/>
        <v>206.44274116178045</v>
      </c>
      <c r="J16" s="144"/>
      <c r="K16" s="273">
        <f>'AER Summary'!E16</f>
        <v>180.65737387713284</v>
      </c>
      <c r="L16" s="273">
        <f t="shared" si="1"/>
        <v>-0.59338497064280205</v>
      </c>
      <c r="M16" s="10"/>
    </row>
    <row r="17" spans="1:13" s="7" customFormat="1">
      <c r="A17" s="7">
        <v>7</v>
      </c>
      <c r="B17" s="81" t="s">
        <v>104</v>
      </c>
      <c r="C17" s="144" t="s">
        <v>60</v>
      </c>
      <c r="D17" s="266">
        <f>'AER FD Fee Breakdown'!H57</f>
        <v>147.83000000000001</v>
      </c>
      <c r="E17" s="266">
        <f t="shared" si="2"/>
        <v>151.41469220624091</v>
      </c>
      <c r="F17" s="269">
        <f t="shared" si="2"/>
        <v>156.07456523710357</v>
      </c>
      <c r="G17" s="269">
        <f t="shared" si="2"/>
        <v>161.53609635807234</v>
      </c>
      <c r="H17" s="269">
        <f t="shared" si="2"/>
        <v>167.57908784988936</v>
      </c>
      <c r="I17" s="269">
        <f t="shared" si="2"/>
        <v>173.59642147801489</v>
      </c>
      <c r="J17" s="144"/>
      <c r="K17" s="273">
        <f>'AER Summary'!E17</f>
        <v>228.6045184556983</v>
      </c>
      <c r="L17" s="273">
        <f t="shared" si="1"/>
        <v>-77.189826249457383</v>
      </c>
      <c r="M17" s="10"/>
    </row>
    <row r="18" spans="1:13" s="7" customFormat="1">
      <c r="A18" s="7">
        <v>8</v>
      </c>
      <c r="B18" s="81" t="s">
        <v>105</v>
      </c>
      <c r="C18" s="144" t="s">
        <v>61</v>
      </c>
      <c r="D18" s="130">
        <f>IF($C18="Fixed",IF(((E56-D56))/D56&lt;='AER FD Input Data'!$C$50,I56,(D56*$H$263)),'AER FD Input Data'!$L$40)</f>
        <v>147.83000000000001</v>
      </c>
      <c r="E18" s="266">
        <f t="shared" si="2"/>
        <v>151.41469220624091</v>
      </c>
      <c r="F18" s="269">
        <f t="shared" si="2"/>
        <v>156.07456523710357</v>
      </c>
      <c r="G18" s="269">
        <f t="shared" si="2"/>
        <v>161.53609635807234</v>
      </c>
      <c r="H18" s="269">
        <f t="shared" si="2"/>
        <v>167.57908784988936</v>
      </c>
      <c r="I18" s="269">
        <f t="shared" si="2"/>
        <v>173.59642147801489</v>
      </c>
      <c r="J18" s="144" t="s">
        <v>257</v>
      </c>
      <c r="K18" s="273">
        <f>'AER Summary'!E18</f>
        <v>151.91366595016004</v>
      </c>
      <c r="L18" s="273">
        <f t="shared" si="1"/>
        <v>-0.49897374391912308</v>
      </c>
      <c r="M18" s="10"/>
    </row>
    <row r="19" spans="1:13" s="7" customFormat="1">
      <c r="A19" s="7">
        <v>9</v>
      </c>
      <c r="B19" s="81" t="s">
        <v>106</v>
      </c>
      <c r="C19" s="144" t="s">
        <v>61</v>
      </c>
      <c r="D19" s="130">
        <f>IF($C19="Fixed",IF(((E57-D57))/D57&lt;='AER FD Input Data'!$C$50,I57,(D57*$H$263)),'AER FD Input Data'!$L$40)</f>
        <v>147.83000000000001</v>
      </c>
      <c r="E19" s="266">
        <f t="shared" si="2"/>
        <v>151.41469220624091</v>
      </c>
      <c r="F19" s="269">
        <f t="shared" si="2"/>
        <v>156.07456523710357</v>
      </c>
      <c r="G19" s="269">
        <f t="shared" si="2"/>
        <v>161.53609635807234</v>
      </c>
      <c r="H19" s="269">
        <f t="shared" si="2"/>
        <v>167.57908784988936</v>
      </c>
      <c r="I19" s="269">
        <f t="shared" si="2"/>
        <v>173.59642147801489</v>
      </c>
      <c r="J19" s="144" t="s">
        <v>257</v>
      </c>
      <c r="K19" s="273">
        <f>'AER Summary'!E19</f>
        <v>151.91366595016004</v>
      </c>
      <c r="L19" s="273">
        <f t="shared" si="1"/>
        <v>-0.49897374391912308</v>
      </c>
      <c r="M19" s="10"/>
    </row>
    <row r="20" spans="1:13" s="7" customFormat="1" ht="28.8">
      <c r="A20" s="7">
        <v>10</v>
      </c>
      <c r="B20" s="143" t="s">
        <v>107</v>
      </c>
      <c r="C20" s="144" t="s">
        <v>61</v>
      </c>
      <c r="D20" s="130">
        <f>IF($C20="Fixed",IF(((E58-D58))/D58&lt;='AER FD Input Data'!$C$50,I58,(D58*$H$263)),'AER FD Input Data'!$L$40)</f>
        <v>147.83000000000001</v>
      </c>
      <c r="E20" s="266">
        <f t="shared" si="2"/>
        <v>151.41469220624091</v>
      </c>
      <c r="F20" s="269">
        <f t="shared" si="2"/>
        <v>156.07456523710357</v>
      </c>
      <c r="G20" s="269">
        <f t="shared" si="2"/>
        <v>161.53609635807234</v>
      </c>
      <c r="H20" s="269">
        <f t="shared" si="2"/>
        <v>167.57908784988936</v>
      </c>
      <c r="I20" s="269">
        <f t="shared" si="2"/>
        <v>173.59642147801489</v>
      </c>
      <c r="J20" s="144" t="s">
        <v>257</v>
      </c>
      <c r="K20" s="273">
        <f>'AER Summary'!E20</f>
        <v>151.91366595016004</v>
      </c>
      <c r="L20" s="273">
        <f t="shared" si="1"/>
        <v>-0.49897374391912308</v>
      </c>
      <c r="M20" s="10"/>
    </row>
    <row r="21" spans="1:13" s="7" customFormat="1" ht="30" customHeight="1">
      <c r="A21" s="7">
        <v>11</v>
      </c>
      <c r="B21" s="143" t="s">
        <v>108</v>
      </c>
      <c r="C21" s="144" t="s">
        <v>60</v>
      </c>
      <c r="D21" s="266">
        <f>'AER FD Fee Breakdown'!$H$89</f>
        <v>258.70250000000004</v>
      </c>
      <c r="E21" s="266">
        <f t="shared" si="2"/>
        <v>264.97571136092159</v>
      </c>
      <c r="F21" s="269">
        <f t="shared" si="2"/>
        <v>273.1304891649313</v>
      </c>
      <c r="G21" s="269">
        <f t="shared" si="2"/>
        <v>282.68816862662663</v>
      </c>
      <c r="H21" s="269">
        <f t="shared" si="2"/>
        <v>293.26340373730642</v>
      </c>
      <c r="I21" s="269">
        <f t="shared" si="2"/>
        <v>303.79373758652611</v>
      </c>
      <c r="J21" s="144"/>
      <c r="K21" s="273">
        <f>'AER Summary'!E21</f>
        <v>426.85749189338611</v>
      </c>
      <c r="L21" s="273">
        <f t="shared" si="1"/>
        <v>-161.88178053246452</v>
      </c>
      <c r="M21" s="10"/>
    </row>
    <row r="22" spans="1:13" s="7" customFormat="1">
      <c r="A22" s="7">
        <v>12</v>
      </c>
      <c r="B22" s="81" t="s">
        <v>109</v>
      </c>
      <c r="C22" s="144" t="s">
        <v>60</v>
      </c>
      <c r="D22" s="130">
        <f>IF($C22="Fixed",IF(((E60-D60))/D60&lt;='AER FD Input Data'!$C$50,I60,(D60*$H$263)),'AER FD Input Data'!$L$40)</f>
        <v>346.85887168765976</v>
      </c>
      <c r="E22" s="266">
        <f t="shared" si="2"/>
        <v>355.26976456464183</v>
      </c>
      <c r="F22" s="269">
        <f t="shared" si="2"/>
        <v>366.20339306827969</v>
      </c>
      <c r="G22" s="269">
        <f t="shared" si="2"/>
        <v>379.01798092126131</v>
      </c>
      <c r="H22" s="269">
        <f t="shared" si="2"/>
        <v>393.1968702567803</v>
      </c>
      <c r="I22" s="269">
        <f t="shared" si="2"/>
        <v>407.31555761942548</v>
      </c>
      <c r="J22" s="144"/>
      <c r="K22" s="273">
        <f>'AER Summary'!E22</f>
        <v>356.44052469328665</v>
      </c>
      <c r="L22" s="273">
        <f t="shared" si="1"/>
        <v>-1.1707601286448153</v>
      </c>
      <c r="M22" s="10"/>
    </row>
    <row r="23" spans="1:13" s="7" customFormat="1">
      <c r="A23" s="7">
        <v>13</v>
      </c>
      <c r="B23" s="143" t="s">
        <v>110</v>
      </c>
      <c r="C23" s="144" t="s">
        <v>60</v>
      </c>
      <c r="D23" s="130">
        <f>IF($C23="Fixed",IF(((E61-D61))/D61&lt;='AER FD Input Data'!$C$50,I61,(D61*$H$263)),'AER FD Input Data'!$L$40)</f>
        <v>107.11999486736542</v>
      </c>
      <c r="E23" s="266">
        <f t="shared" si="2"/>
        <v>109.71752047606195</v>
      </c>
      <c r="F23" s="269">
        <f t="shared" si="2"/>
        <v>113.09413939744859</v>
      </c>
      <c r="G23" s="269">
        <f t="shared" si="2"/>
        <v>117.05165266029192</v>
      </c>
      <c r="H23" s="269">
        <f t="shared" si="2"/>
        <v>121.43050145679446</v>
      </c>
      <c r="I23" s="269">
        <f t="shared" si="2"/>
        <v>125.79075815272921</v>
      </c>
      <c r="J23" s="144"/>
      <c r="K23" s="273">
        <f>'AER Summary'!E23</f>
        <v>110.07908487359674</v>
      </c>
      <c r="L23" s="273">
        <f t="shared" si="1"/>
        <v>-0.36156439753479219</v>
      </c>
      <c r="M23" s="10"/>
    </row>
    <row r="24" spans="1:13" s="7" customFormat="1">
      <c r="A24" s="7">
        <v>14</v>
      </c>
      <c r="B24" s="81" t="s">
        <v>111</v>
      </c>
      <c r="C24" s="144" t="s">
        <v>60</v>
      </c>
      <c r="D24" s="130">
        <f>'AER FD Fee Breakdown'!H113</f>
        <v>51.13</v>
      </c>
      <c r="E24" s="266">
        <f t="shared" si="2"/>
        <v>52.369838412400036</v>
      </c>
      <c r="F24" s="269">
        <f t="shared" si="2"/>
        <v>53.981549892262095</v>
      </c>
      <c r="G24" s="269">
        <f t="shared" si="2"/>
        <v>55.870531061274704</v>
      </c>
      <c r="H24" s="269">
        <f t="shared" si="2"/>
        <v>57.960622077824816</v>
      </c>
      <c r="I24" s="269">
        <f t="shared" si="2"/>
        <v>60.041838802481912</v>
      </c>
      <c r="J24" s="144"/>
      <c r="K24" s="273">
        <f>'AER Summary'!E24</f>
        <v>52.542418589134023</v>
      </c>
      <c r="L24" s="273">
        <f t="shared" si="1"/>
        <v>-0.1725801767339874</v>
      </c>
      <c r="M24" s="10"/>
    </row>
    <row r="25" spans="1:13" s="7" customFormat="1">
      <c r="A25" s="7">
        <v>15</v>
      </c>
      <c r="B25" s="143" t="s">
        <v>112</v>
      </c>
      <c r="C25" s="144" t="s">
        <v>60</v>
      </c>
      <c r="D25" s="130">
        <f>IF($C25="Fixed",IF(((E63-D63))/D63&lt;='AER FD Input Data'!$C$50,I63,(D63*$H$263)),'AER FD Input Data'!$L$40)</f>
        <v>27.360283416347908</v>
      </c>
      <c r="E25" s="266">
        <f t="shared" si="2"/>
        <v>28.023735995141955</v>
      </c>
      <c r="F25" s="269">
        <f t="shared" si="2"/>
        <v>28.886182364678579</v>
      </c>
      <c r="G25" s="269">
        <f t="shared" si="2"/>
        <v>29.896999109296789</v>
      </c>
      <c r="H25" s="269">
        <f t="shared" si="2"/>
        <v>31.015432173618592</v>
      </c>
      <c r="I25" s="269">
        <f t="shared" si="2"/>
        <v>32.129116496666931</v>
      </c>
      <c r="J25" s="144"/>
      <c r="K25" s="273">
        <f>'AER Summary'!E25</f>
        <v>28.116085741816811</v>
      </c>
      <c r="L25" s="273">
        <f t="shared" si="1"/>
        <v>-9.2349746674855737E-2</v>
      </c>
      <c r="M25" s="10"/>
    </row>
    <row r="26" spans="1:13" s="7" customFormat="1" ht="28.8">
      <c r="A26" s="7">
        <v>16</v>
      </c>
      <c r="B26" s="143" t="s">
        <v>113</v>
      </c>
      <c r="C26" s="144" t="s">
        <v>60</v>
      </c>
      <c r="D26" s="130">
        <f>IF($C26="Fixed",IF(((E64-D64))/D64&lt;='AER FD Input Data'!$C$50,I64,(D64*$H$263)),'AER FD Input Data'!$L$40)</f>
        <v>84.458055201611657</v>
      </c>
      <c r="E26" s="266">
        <f t="shared" si="2"/>
        <v>86.506057178446397</v>
      </c>
      <c r="F26" s="269">
        <f t="shared" si="2"/>
        <v>89.168330151950428</v>
      </c>
      <c r="G26" s="269">
        <f t="shared" si="2"/>
        <v>92.288605447222707</v>
      </c>
      <c r="H26" s="269">
        <f t="shared" si="2"/>
        <v>95.741079972006247</v>
      </c>
      <c r="I26" s="269">
        <f t="shared" si="2"/>
        <v>99.178895677416122</v>
      </c>
      <c r="J26" s="144"/>
      <c r="K26" s="273">
        <f>'AER Summary'!E26</f>
        <v>86.791130248919757</v>
      </c>
      <c r="L26" s="273">
        <f t="shared" si="1"/>
        <v>-0.28507307047335928</v>
      </c>
      <c r="M26" s="10"/>
    </row>
    <row r="27" spans="1:13" s="7" customFormat="1">
      <c r="A27" s="7">
        <v>17</v>
      </c>
      <c r="B27" s="81" t="s">
        <v>114</v>
      </c>
      <c r="C27" s="144" t="s">
        <v>60</v>
      </c>
      <c r="D27" s="130">
        <f>IF($C27="Fixed",IF(((E65-D65))/D65&lt;='AER FD Input Data'!$C$50,I65,(D65*$H$263)),'AER FD Input Data'!$L$40)</f>
        <v>152.56721973886465</v>
      </c>
      <c r="E27" s="266">
        <f t="shared" si="2"/>
        <v>156.26678358602524</v>
      </c>
      <c r="F27" s="269">
        <f t="shared" si="2"/>
        <v>161.07598248107249</v>
      </c>
      <c r="G27" s="269">
        <f t="shared" si="2"/>
        <v>166.71252863979191</v>
      </c>
      <c r="H27" s="269">
        <f t="shared" si="2"/>
        <v>172.94916809600602</v>
      </c>
      <c r="I27" s="269">
        <f t="shared" si="2"/>
        <v>179.15932748100425</v>
      </c>
      <c r="J27" s="144"/>
      <c r="K27" s="273">
        <f>'AER Summary'!E27</f>
        <v>156.78174696850806</v>
      </c>
      <c r="L27" s="273">
        <f t="shared" si="1"/>
        <v>-0.51496338248281859</v>
      </c>
      <c r="M27" s="10"/>
    </row>
    <row r="28" spans="1:13" s="7" customFormat="1">
      <c r="A28" s="7">
        <v>18</v>
      </c>
      <c r="B28" s="81" t="s">
        <v>115</v>
      </c>
      <c r="C28" s="144" t="s">
        <v>60</v>
      </c>
      <c r="D28" s="130">
        <f>IF($C28="Fixed",IF(((E66-D66))/D66&lt;='AER FD Input Data'!$C$50,I66,(D66*$H$263)),'AER FD Input Data'!$L$40)</f>
        <v>38.94355094466242</v>
      </c>
      <c r="E28" s="266">
        <f t="shared" si="2"/>
        <v>39.887883242265588</v>
      </c>
      <c r="F28" s="269">
        <f t="shared" si="2"/>
        <v>41.11545547234784</v>
      </c>
      <c r="G28" s="269">
        <f t="shared" si="2"/>
        <v>42.554212256798266</v>
      </c>
      <c r="H28" s="269">
        <f t="shared" si="2"/>
        <v>44.146145876630079</v>
      </c>
      <c r="I28" s="269">
        <f t="shared" si="2"/>
        <v>45.731320324968962</v>
      </c>
      <c r="J28" s="144"/>
      <c r="K28" s="273">
        <f>'AER Summary'!E28</f>
        <v>40.019330238249921</v>
      </c>
      <c r="L28" s="273">
        <f t="shared" si="1"/>
        <v>-0.13144699598433363</v>
      </c>
      <c r="M28" s="10"/>
    </row>
    <row r="29" spans="1:13" s="7" customFormat="1">
      <c r="B29" s="88"/>
      <c r="C29" s="67"/>
      <c r="D29" s="142"/>
      <c r="E29" s="267"/>
      <c r="F29" s="270"/>
      <c r="G29" s="270"/>
      <c r="H29" s="270"/>
      <c r="I29" s="270"/>
      <c r="J29" s="67"/>
      <c r="K29" s="273">
        <f>'AER Summary'!E29</f>
        <v>0</v>
      </c>
      <c r="L29" s="273">
        <f t="shared" si="1"/>
        <v>0</v>
      </c>
      <c r="M29" s="10"/>
    </row>
    <row r="30" spans="1:13" s="7" customFormat="1">
      <c r="B30" s="135" t="s">
        <v>274</v>
      </c>
      <c r="C30" s="67"/>
      <c r="D30" s="142"/>
      <c r="E30" s="267"/>
      <c r="F30" s="270"/>
      <c r="G30" s="270"/>
      <c r="H30" s="270"/>
      <c r="I30" s="270"/>
      <c r="J30" s="67"/>
      <c r="K30" s="273">
        <f>'AER Summary'!E30</f>
        <v>0</v>
      </c>
      <c r="L30" s="273">
        <f t="shared" si="1"/>
        <v>0</v>
      </c>
      <c r="M30" s="10"/>
    </row>
    <row r="31" spans="1:13" s="7" customFormat="1">
      <c r="B31" s="135"/>
      <c r="C31" s="67"/>
      <c r="D31" s="142"/>
      <c r="E31" s="267"/>
      <c r="F31" s="270"/>
      <c r="G31" s="270"/>
      <c r="H31" s="270"/>
      <c r="I31" s="270"/>
      <c r="J31" s="67"/>
      <c r="K31" s="273">
        <f>'AER Summary'!E31</f>
        <v>0</v>
      </c>
      <c r="L31" s="273">
        <f t="shared" si="1"/>
        <v>0</v>
      </c>
      <c r="M31" s="10"/>
    </row>
    <row r="32" spans="1:13" s="7" customFormat="1" ht="28.8">
      <c r="A32" s="7">
        <v>19</v>
      </c>
      <c r="B32" s="218" t="s">
        <v>275</v>
      </c>
      <c r="C32" s="144" t="s">
        <v>60</v>
      </c>
      <c r="D32" s="130">
        <f>'AER FD Fee Breakdown'!H155</f>
        <v>238.78833333333333</v>
      </c>
      <c r="E32" s="266">
        <f t="shared" ref="E32:I41" si="3">$D32*D$255</f>
        <v>244.57865111349466</v>
      </c>
      <c r="F32" s="269">
        <f t="shared" si="3"/>
        <v>252.10569781974272</v>
      </c>
      <c r="G32" s="269">
        <f t="shared" si="3"/>
        <v>260.92765489086673</v>
      </c>
      <c r="H32" s="269">
        <f t="shared" si="3"/>
        <v>270.68883913410895</v>
      </c>
      <c r="I32" s="269">
        <f t="shared" si="3"/>
        <v>280.40857848451628</v>
      </c>
      <c r="J32" s="144"/>
      <c r="K32" s="273">
        <f>'AER Summary'!E32</f>
        <v>245.38463845495136</v>
      </c>
      <c r="L32" s="273">
        <f t="shared" si="1"/>
        <v>-0.80598734145669937</v>
      </c>
      <c r="M32" s="10"/>
    </row>
    <row r="33" spans="1:14" s="7" customFormat="1" ht="15" customHeight="1">
      <c r="A33" s="7">
        <v>20</v>
      </c>
      <c r="B33" s="234" t="s">
        <v>276</v>
      </c>
      <c r="C33" s="200" t="s">
        <v>61</v>
      </c>
      <c r="D33" s="139">
        <f>'AER FD Input Data'!L37</f>
        <v>102.26</v>
      </c>
      <c r="E33" s="266">
        <f t="shared" si="3"/>
        <v>104.73967682480007</v>
      </c>
      <c r="F33" s="269">
        <f t="shared" si="3"/>
        <v>107.96309978452419</v>
      </c>
      <c r="G33" s="269">
        <f t="shared" si="3"/>
        <v>111.74106212254941</v>
      </c>
      <c r="H33" s="269">
        <f t="shared" si="3"/>
        <v>115.92124415564963</v>
      </c>
      <c r="I33" s="269">
        <f t="shared" si="3"/>
        <v>120.08367760496382</v>
      </c>
      <c r="J33" s="144" t="s">
        <v>277</v>
      </c>
      <c r="K33" s="273">
        <f>'AER Summary'!E33</f>
        <v>105.08483717826805</v>
      </c>
      <c r="L33" s="273">
        <f t="shared" si="1"/>
        <v>-0.3451603534679748</v>
      </c>
      <c r="M33" s="10"/>
    </row>
    <row r="34" spans="1:14" s="7" customFormat="1">
      <c r="B34" s="234"/>
      <c r="C34" s="201"/>
      <c r="D34" s="130">
        <f>'AER FD Input Data'!L40</f>
        <v>147.83000000000001</v>
      </c>
      <c r="E34" s="266">
        <f t="shared" si="3"/>
        <v>151.41469220624091</v>
      </c>
      <c r="F34" s="269">
        <f t="shared" si="3"/>
        <v>156.07456523710357</v>
      </c>
      <c r="G34" s="269">
        <f t="shared" si="3"/>
        <v>161.53609635807234</v>
      </c>
      <c r="H34" s="269">
        <f t="shared" si="3"/>
        <v>167.57908784988936</v>
      </c>
      <c r="I34" s="269">
        <f t="shared" si="3"/>
        <v>173.59642147801489</v>
      </c>
      <c r="J34" s="144"/>
      <c r="K34" s="273">
        <f>'AER Summary'!E34</f>
        <v>151.91366595016004</v>
      </c>
      <c r="L34" s="273">
        <f t="shared" si="1"/>
        <v>-0.49897374391912308</v>
      </c>
      <c r="M34" s="10"/>
    </row>
    <row r="35" spans="1:14" s="7" customFormat="1" ht="30.75" customHeight="1">
      <c r="A35" s="7">
        <v>21</v>
      </c>
      <c r="B35" s="218" t="s">
        <v>278</v>
      </c>
      <c r="C35" s="144" t="s">
        <v>61</v>
      </c>
      <c r="D35" s="130">
        <f>'AER FD Input Data'!L40</f>
        <v>147.83000000000001</v>
      </c>
      <c r="E35" s="266">
        <f t="shared" si="3"/>
        <v>151.41469220624091</v>
      </c>
      <c r="F35" s="269">
        <f t="shared" si="3"/>
        <v>156.07456523710357</v>
      </c>
      <c r="G35" s="269">
        <f t="shared" si="3"/>
        <v>161.53609635807234</v>
      </c>
      <c r="H35" s="269">
        <f t="shared" si="3"/>
        <v>167.57908784988936</v>
      </c>
      <c r="I35" s="269">
        <f t="shared" si="3"/>
        <v>173.59642147801489</v>
      </c>
      <c r="J35" s="144" t="s">
        <v>257</v>
      </c>
      <c r="K35" s="273">
        <f>'AER Summary'!E35</f>
        <v>151.91366595016004</v>
      </c>
      <c r="L35" s="273">
        <f t="shared" si="1"/>
        <v>-0.49897374391912308</v>
      </c>
      <c r="M35" s="10"/>
    </row>
    <row r="36" spans="1:14" s="7" customFormat="1" ht="30" customHeight="1">
      <c r="A36" s="7">
        <v>22</v>
      </c>
      <c r="B36" s="218" t="s">
        <v>279</v>
      </c>
      <c r="C36" s="144" t="s">
        <v>60</v>
      </c>
      <c r="D36" s="141">
        <f>'AER FD Fee Breakdown'!H181</f>
        <v>51.13</v>
      </c>
      <c r="E36" s="266">
        <f t="shared" si="3"/>
        <v>52.369838412400036</v>
      </c>
      <c r="F36" s="269">
        <f t="shared" si="3"/>
        <v>53.981549892262095</v>
      </c>
      <c r="G36" s="269">
        <f t="shared" si="3"/>
        <v>55.870531061274704</v>
      </c>
      <c r="H36" s="269">
        <f t="shared" si="3"/>
        <v>57.960622077824816</v>
      </c>
      <c r="I36" s="269">
        <f t="shared" si="3"/>
        <v>60.041838802481912</v>
      </c>
      <c r="J36" s="144"/>
      <c r="K36" s="273">
        <f>'AER Summary'!E36</f>
        <v>52.542418589134023</v>
      </c>
      <c r="L36" s="273">
        <f t="shared" si="1"/>
        <v>-0.1725801767339874</v>
      </c>
      <c r="M36" s="10"/>
    </row>
    <row r="37" spans="1:14" s="7" customFormat="1" ht="30" customHeight="1">
      <c r="A37" s="7">
        <v>23</v>
      </c>
      <c r="B37" s="218" t="s">
        <v>280</v>
      </c>
      <c r="C37" s="144" t="s">
        <v>60</v>
      </c>
      <c r="D37" s="141">
        <f>'AER FD Fee Breakdown'!H190</f>
        <v>68.173333333333332</v>
      </c>
      <c r="E37" s="266">
        <f t="shared" si="3"/>
        <v>69.826451216533371</v>
      </c>
      <c r="F37" s="269">
        <f t="shared" si="3"/>
        <v>71.975399856349455</v>
      </c>
      <c r="G37" s="269">
        <f t="shared" si="3"/>
        <v>74.494041415032925</v>
      </c>
      <c r="H37" s="269">
        <f t="shared" si="3"/>
        <v>77.280829437099754</v>
      </c>
      <c r="I37" s="269">
        <f t="shared" si="3"/>
        <v>80.055785069975883</v>
      </c>
      <c r="J37" s="144"/>
      <c r="K37" s="273">
        <f>'AER Summary'!E37</f>
        <v>70.056558118845359</v>
      </c>
      <c r="L37" s="273">
        <f t="shared" si="1"/>
        <v>-0.23010690231198794</v>
      </c>
      <c r="M37" s="10"/>
    </row>
    <row r="38" spans="1:14" s="7" customFormat="1">
      <c r="A38" s="7">
        <v>24</v>
      </c>
      <c r="B38" s="136" t="s">
        <v>281</v>
      </c>
      <c r="C38" s="144" t="s">
        <v>61</v>
      </c>
      <c r="D38" s="140">
        <f>'AER FD Input Data'!L40</f>
        <v>147.83000000000001</v>
      </c>
      <c r="E38" s="266">
        <f t="shared" si="3"/>
        <v>151.41469220624091</v>
      </c>
      <c r="F38" s="269">
        <f t="shared" si="3"/>
        <v>156.07456523710357</v>
      </c>
      <c r="G38" s="269">
        <f t="shared" si="3"/>
        <v>161.53609635807234</v>
      </c>
      <c r="H38" s="269">
        <f t="shared" si="3"/>
        <v>167.57908784988936</v>
      </c>
      <c r="I38" s="269">
        <f t="shared" si="3"/>
        <v>173.59642147801489</v>
      </c>
      <c r="J38" s="144" t="s">
        <v>257</v>
      </c>
      <c r="K38" s="273">
        <f>'AER Summary'!E38</f>
        <v>151.91366595016004</v>
      </c>
      <c r="L38" s="273">
        <f t="shared" si="1"/>
        <v>-0.49897374391912308</v>
      </c>
      <c r="M38" s="10"/>
    </row>
    <row r="39" spans="1:14" s="7" customFormat="1">
      <c r="A39" s="7">
        <v>25</v>
      </c>
      <c r="B39" s="136" t="s">
        <v>282</v>
      </c>
      <c r="C39" s="144" t="s">
        <v>61</v>
      </c>
      <c r="D39" s="140">
        <f>'AER FD Input Data'!L40</f>
        <v>147.83000000000001</v>
      </c>
      <c r="E39" s="266">
        <f t="shared" si="3"/>
        <v>151.41469220624091</v>
      </c>
      <c r="F39" s="269">
        <f t="shared" si="3"/>
        <v>156.07456523710357</v>
      </c>
      <c r="G39" s="269">
        <f t="shared" si="3"/>
        <v>161.53609635807234</v>
      </c>
      <c r="H39" s="269">
        <f t="shared" si="3"/>
        <v>167.57908784988936</v>
      </c>
      <c r="I39" s="269">
        <f t="shared" si="3"/>
        <v>173.59642147801489</v>
      </c>
      <c r="J39" s="144" t="s">
        <v>257</v>
      </c>
      <c r="K39" s="273">
        <f>'AER Summary'!E39</f>
        <v>151.91366595016004</v>
      </c>
      <c r="L39" s="273">
        <f t="shared" si="1"/>
        <v>-0.49897374391912308</v>
      </c>
      <c r="M39" s="10"/>
    </row>
    <row r="40" spans="1:14" s="7" customFormat="1" ht="30" customHeight="1">
      <c r="A40" s="7">
        <v>26</v>
      </c>
      <c r="B40" s="213" t="s">
        <v>313</v>
      </c>
      <c r="C40" s="214" t="s">
        <v>60</v>
      </c>
      <c r="D40" s="215">
        <f>'AER FD Fee Breakdown'!H214</f>
        <v>30.678000000000001</v>
      </c>
      <c r="E40" s="268">
        <f t="shared" si="3"/>
        <v>31.421903047440018</v>
      </c>
      <c r="F40" s="271">
        <f t="shared" si="3"/>
        <v>32.388929935357254</v>
      </c>
      <c r="G40" s="271">
        <f t="shared" si="3"/>
        <v>33.522318636764822</v>
      </c>
      <c r="H40" s="271">
        <f t="shared" si="3"/>
        <v>34.776373246694888</v>
      </c>
      <c r="I40" s="271">
        <f t="shared" si="3"/>
        <v>36.025103281489145</v>
      </c>
      <c r="J40" s="207"/>
      <c r="K40" s="273">
        <f>'AER Summary'!E40</f>
        <v>31.525451153480411</v>
      </c>
      <c r="L40" s="273">
        <f t="shared" si="1"/>
        <v>-0.10354810604039244</v>
      </c>
      <c r="M40" s="10"/>
    </row>
    <row r="41" spans="1:14" s="7" customFormat="1" ht="30" customHeight="1">
      <c r="A41" s="7">
        <v>27</v>
      </c>
      <c r="B41" s="213" t="s">
        <v>310</v>
      </c>
      <c r="C41" s="214" t="s">
        <v>60</v>
      </c>
      <c r="D41" s="215">
        <f>'AER FD Fee Breakdown'!H222</f>
        <v>30.678000000000001</v>
      </c>
      <c r="E41" s="268">
        <f t="shared" si="3"/>
        <v>31.421903047440018</v>
      </c>
      <c r="F41" s="271">
        <f t="shared" si="3"/>
        <v>32.388929935357254</v>
      </c>
      <c r="G41" s="271">
        <f t="shared" si="3"/>
        <v>33.522318636764822</v>
      </c>
      <c r="H41" s="271">
        <f t="shared" si="3"/>
        <v>34.776373246694888</v>
      </c>
      <c r="I41" s="271">
        <f t="shared" si="3"/>
        <v>36.025103281489145</v>
      </c>
      <c r="J41" s="207"/>
      <c r="K41" s="273">
        <f>'AER Summary'!E41</f>
        <v>31.525451153480411</v>
      </c>
      <c r="L41" s="273">
        <f t="shared" si="1"/>
        <v>-0.10354810604039244</v>
      </c>
      <c r="M41" s="10"/>
    </row>
    <row r="42" spans="1:14" s="7" customFormat="1">
      <c r="B42" s="135"/>
      <c r="C42" s="67"/>
      <c r="D42" s="67"/>
      <c r="E42" s="67"/>
      <c r="F42" s="67"/>
      <c r="G42" s="67"/>
      <c r="H42" s="67"/>
      <c r="I42" s="67"/>
      <c r="J42" s="67"/>
      <c r="M42" s="10"/>
    </row>
    <row r="43" spans="1:14" s="7" customFormat="1">
      <c r="B43" s="88"/>
      <c r="C43" s="67"/>
      <c r="D43" s="67"/>
      <c r="E43" s="67"/>
      <c r="F43" s="67"/>
      <c r="G43" s="67"/>
      <c r="H43" s="67"/>
      <c r="I43" s="67"/>
      <c r="J43" s="67"/>
      <c r="M43" s="10"/>
    </row>
    <row r="44" spans="1:14" s="7" customFormat="1">
      <c r="B44" s="81"/>
      <c r="C44" s="85"/>
      <c r="D44" s="70"/>
      <c r="E44" s="70"/>
      <c r="F44" s="70"/>
      <c r="G44" s="70"/>
      <c r="H44" s="70"/>
      <c r="I44" s="70"/>
      <c r="J44" s="67"/>
      <c r="M44" s="10"/>
    </row>
    <row r="45" spans="1:14" s="7" customFormat="1">
      <c r="B45" s="81"/>
      <c r="C45" s="85"/>
      <c r="D45" s="70"/>
      <c r="E45" s="70"/>
      <c r="F45" s="70"/>
      <c r="G45" s="70"/>
      <c r="H45" s="70"/>
      <c r="I45" s="70"/>
      <c r="J45" s="70"/>
      <c r="M45" s="10"/>
    </row>
    <row r="46" spans="1:14" s="7" customFormat="1" ht="15" customHeight="1">
      <c r="B46" s="81"/>
      <c r="C46" s="85"/>
      <c r="D46" s="225" t="s">
        <v>95</v>
      </c>
      <c r="E46" s="226"/>
      <c r="F46" s="225" t="s">
        <v>94</v>
      </c>
      <c r="G46" s="233"/>
      <c r="H46" s="233"/>
      <c r="I46" s="226"/>
      <c r="J46" s="70"/>
      <c r="N46" s="10"/>
    </row>
    <row r="47" spans="1:14" s="7" customFormat="1">
      <c r="B47" s="76" t="s">
        <v>16</v>
      </c>
      <c r="C47" s="85"/>
      <c r="D47" s="29" t="s">
        <v>334</v>
      </c>
      <c r="E47" s="29" t="s">
        <v>88</v>
      </c>
      <c r="F47" s="29" t="s">
        <v>7</v>
      </c>
      <c r="G47" s="29" t="s">
        <v>8</v>
      </c>
      <c r="H47" s="29" t="s">
        <v>9</v>
      </c>
      <c r="I47" s="29" t="s">
        <v>10</v>
      </c>
      <c r="J47" s="70"/>
      <c r="N47" s="10"/>
    </row>
    <row r="48" spans="1:14" s="7" customFormat="1">
      <c r="B48" s="71"/>
      <c r="C48" s="85"/>
      <c r="D48" s="85"/>
      <c r="E48" s="70"/>
      <c r="F48" s="70"/>
      <c r="G48" s="70"/>
      <c r="H48" s="70"/>
      <c r="I48" s="70"/>
      <c r="J48" s="70"/>
      <c r="N48" s="10"/>
    </row>
    <row r="49" spans="2:14" s="7" customFormat="1">
      <c r="B49" s="59" t="s">
        <v>98</v>
      </c>
      <c r="C49" s="144" t="s">
        <v>60</v>
      </c>
      <c r="D49" s="86">
        <v>52.44</v>
      </c>
      <c r="E49" s="72">
        <f>'15-19 prices'!J136</f>
        <v>52.435770314618971</v>
      </c>
      <c r="F49" s="72">
        <f t="shared" ref="F49:I66" si="4">$E49*E$263</f>
        <v>54.288483133832507</v>
      </c>
      <c r="G49" s="72">
        <f t="shared" si="4"/>
        <v>55.697001219370939</v>
      </c>
      <c r="H49" s="72">
        <f t="shared" si="4"/>
        <v>57.034378421949327</v>
      </c>
      <c r="I49" s="72">
        <f t="shared" si="4"/>
        <v>58.757329959697977</v>
      </c>
      <c r="J49" s="144"/>
      <c r="N49" s="10"/>
    </row>
    <row r="50" spans="2:14" s="7" customFormat="1">
      <c r="B50" s="59" t="s">
        <v>99</v>
      </c>
      <c r="C50" s="144" t="s">
        <v>60</v>
      </c>
      <c r="D50" s="86">
        <v>9.73</v>
      </c>
      <c r="E50" s="72">
        <f>'15-19 prices'!J137</f>
        <v>9.6966147776461415</v>
      </c>
      <c r="F50" s="72">
        <f t="shared" si="4"/>
        <v>10.039225220741164</v>
      </c>
      <c r="G50" s="72">
        <f t="shared" si="4"/>
        <v>10.299693546101228</v>
      </c>
      <c r="H50" s="72">
        <f t="shared" si="4"/>
        <v>10.547006238715438</v>
      </c>
      <c r="I50" s="72">
        <f t="shared" si="4"/>
        <v>10.86562075018079</v>
      </c>
      <c r="J50" s="144"/>
      <c r="N50" s="10"/>
    </row>
    <row r="51" spans="2:14" s="7" customFormat="1">
      <c r="B51" s="59" t="s">
        <v>100</v>
      </c>
      <c r="C51" s="144" t="s">
        <v>60</v>
      </c>
      <c r="D51" s="86">
        <v>548.62</v>
      </c>
      <c r="E51" s="72">
        <f>'15-19 prices'!J138</f>
        <v>548.68429811467036</v>
      </c>
      <c r="F51" s="72">
        <f t="shared" si="4"/>
        <v>568.07095776930726</v>
      </c>
      <c r="G51" s="72">
        <f t="shared" si="4"/>
        <v>582.80959424796333</v>
      </c>
      <c r="H51" s="72">
        <f t="shared" si="4"/>
        <v>596.80381741486701</v>
      </c>
      <c r="I51" s="72">
        <f t="shared" si="4"/>
        <v>614.8326639351526</v>
      </c>
      <c r="J51" s="144"/>
      <c r="N51" s="10"/>
    </row>
    <row r="52" spans="2:14" s="7" customFormat="1">
      <c r="B52" s="59" t="s">
        <v>101</v>
      </c>
      <c r="C52" s="144" t="s">
        <v>61</v>
      </c>
      <c r="D52" s="72">
        <v>0</v>
      </c>
      <c r="E52" s="72">
        <f>'15-19 prices'!J139</f>
        <v>0</v>
      </c>
      <c r="F52" s="72">
        <f t="shared" si="4"/>
        <v>0</v>
      </c>
      <c r="G52" s="72">
        <f t="shared" si="4"/>
        <v>0</v>
      </c>
      <c r="H52" s="72">
        <f t="shared" si="4"/>
        <v>0</v>
      </c>
      <c r="I52" s="72">
        <f t="shared" si="4"/>
        <v>0</v>
      </c>
      <c r="J52" s="144"/>
      <c r="N52" s="10"/>
    </row>
    <row r="53" spans="2:14" s="7" customFormat="1">
      <c r="B53" s="59" t="s">
        <v>102</v>
      </c>
      <c r="C53" s="144" t="s">
        <v>60</v>
      </c>
      <c r="D53" s="85">
        <v>13.84</v>
      </c>
      <c r="E53" s="72">
        <f>'15-19 prices'!J140</f>
        <v>13.839440905556877</v>
      </c>
      <c r="F53" s="72">
        <f t="shared" si="4"/>
        <v>14.328429804215716</v>
      </c>
      <c r="G53" s="72">
        <f t="shared" si="4"/>
        <v>14.700181810379771</v>
      </c>
      <c r="H53" s="72">
        <f t="shared" si="4"/>
        <v>15.053157510983954</v>
      </c>
      <c r="I53" s="72">
        <f t="shared" si="4"/>
        <v>15.507898346233263</v>
      </c>
      <c r="J53" s="144"/>
      <c r="N53" s="10"/>
    </row>
    <row r="54" spans="2:14" s="7" customFormat="1" ht="43.5" customHeight="1">
      <c r="B54" s="89" t="s">
        <v>103</v>
      </c>
      <c r="C54" s="144" t="s">
        <v>60</v>
      </c>
      <c r="D54" s="86">
        <v>156.88999999999999</v>
      </c>
      <c r="E54" s="72">
        <f>'15-19 prices'!J141</f>
        <v>156.8870242352283</v>
      </c>
      <c r="F54" s="72">
        <f t="shared" si="4"/>
        <v>162.4303127046233</v>
      </c>
      <c r="G54" s="72">
        <f t="shared" si="4"/>
        <v>166.64457731246137</v>
      </c>
      <c r="H54" s="72">
        <f t="shared" si="4"/>
        <v>170.64598948460335</v>
      </c>
      <c r="I54" s="72">
        <f t="shared" si="4"/>
        <v>175.8010341809437</v>
      </c>
      <c r="J54" s="144"/>
      <c r="N54" s="10"/>
    </row>
    <row r="55" spans="2:14" s="7" customFormat="1">
      <c r="B55" s="59" t="s">
        <v>104</v>
      </c>
      <c r="C55" s="144" t="s">
        <v>60</v>
      </c>
      <c r="D55" s="86">
        <v>198.71</v>
      </c>
      <c r="E55" s="72">
        <f>'15-19 prices'!J142</f>
        <v>198.52542886864995</v>
      </c>
      <c r="F55" s="72">
        <f t="shared" si="4"/>
        <v>205.53992688780593</v>
      </c>
      <c r="G55" s="72">
        <f t="shared" si="4"/>
        <v>210.87267312807251</v>
      </c>
      <c r="H55" s="72">
        <f t="shared" si="4"/>
        <v>215.93607509791082</v>
      </c>
      <c r="I55" s="72">
        <f t="shared" si="4"/>
        <v>222.45928799054354</v>
      </c>
      <c r="J55" s="144"/>
      <c r="N55" s="10"/>
    </row>
    <row r="56" spans="2:14" s="7" customFormat="1">
      <c r="B56" s="59" t="s">
        <v>105</v>
      </c>
      <c r="C56" s="144" t="s">
        <v>60</v>
      </c>
      <c r="D56" s="86">
        <v>42.2</v>
      </c>
      <c r="E56" s="72">
        <f>'15-19 prices'!J143</f>
        <v>41.918595772507423</v>
      </c>
      <c r="F56" s="72">
        <f t="shared" si="4"/>
        <v>43.399705314432133</v>
      </c>
      <c r="G56" s="72">
        <f t="shared" si="4"/>
        <v>44.525713379378793</v>
      </c>
      <c r="H56" s="72">
        <f t="shared" si="4"/>
        <v>45.594849467470567</v>
      </c>
      <c r="I56" s="72">
        <f t="shared" si="4"/>
        <v>46.972224275033369</v>
      </c>
      <c r="J56" s="144"/>
      <c r="N56" s="10"/>
    </row>
    <row r="57" spans="2:14" s="7" customFormat="1">
      <c r="B57" s="59" t="s">
        <v>106</v>
      </c>
      <c r="C57" s="144" t="s">
        <v>60</v>
      </c>
      <c r="D57" s="86">
        <v>138.76</v>
      </c>
      <c r="E57" s="72">
        <f>'15-19 prices'!J144</f>
        <v>138.76466163221778</v>
      </c>
      <c r="F57" s="72">
        <f t="shared" si="4"/>
        <v>143.66763275130825</v>
      </c>
      <c r="G57" s="72">
        <f t="shared" si="4"/>
        <v>147.39509845591922</v>
      </c>
      <c r="H57" s="72">
        <f t="shared" si="4"/>
        <v>150.93429877426931</v>
      </c>
      <c r="I57" s="72">
        <f t="shared" si="4"/>
        <v>155.49387300594117</v>
      </c>
      <c r="J57" s="144"/>
      <c r="N57" s="10"/>
    </row>
    <row r="58" spans="2:14" s="7" customFormat="1" ht="28.8">
      <c r="B58" s="89" t="s">
        <v>107</v>
      </c>
      <c r="C58" s="144" t="s">
        <v>60</v>
      </c>
      <c r="D58" s="86">
        <v>233.2</v>
      </c>
      <c r="E58" s="72">
        <f>'15-19 prices'!J145</f>
        <v>233.35919155284626</v>
      </c>
      <c r="F58" s="72">
        <f t="shared" si="4"/>
        <v>241.6044707406439</v>
      </c>
      <c r="G58" s="72">
        <f t="shared" si="4"/>
        <v>247.87291382361263</v>
      </c>
      <c r="H58" s="72">
        <f t="shared" si="4"/>
        <v>253.82475282440043</v>
      </c>
      <c r="I58" s="72">
        <f t="shared" si="4"/>
        <v>261.49254478247269</v>
      </c>
      <c r="J58" s="144"/>
      <c r="N58" s="10"/>
    </row>
    <row r="59" spans="2:14" s="7" customFormat="1">
      <c r="B59" s="59" t="s">
        <v>108</v>
      </c>
      <c r="C59" s="144" t="s">
        <v>60</v>
      </c>
      <c r="D59" s="86">
        <v>742.07</v>
      </c>
      <c r="E59" s="72">
        <f>'15-19 prices'!J146</f>
        <v>370.69287701044755</v>
      </c>
      <c r="F59" s="72">
        <f t="shared" si="4"/>
        <v>383.79056664307086</v>
      </c>
      <c r="G59" s="72">
        <f t="shared" si="4"/>
        <v>393.74803686457574</v>
      </c>
      <c r="H59" s="72">
        <f t="shared" si="4"/>
        <v>403.20257905776543</v>
      </c>
      <c r="I59" s="72">
        <f t="shared" si="4"/>
        <v>415.38292576852132</v>
      </c>
      <c r="J59" s="144"/>
      <c r="N59" s="10"/>
    </row>
    <row r="60" spans="2:14" s="7" customFormat="1">
      <c r="B60" s="59" t="s">
        <v>109</v>
      </c>
      <c r="C60" s="144" t="s">
        <v>60</v>
      </c>
      <c r="D60" s="73">
        <v>309.33</v>
      </c>
      <c r="E60" s="72">
        <f>'15-19 prices'!J147</f>
        <v>309.54116090498252</v>
      </c>
      <c r="F60" s="72">
        <f t="shared" si="4"/>
        <v>320.47817724787035</v>
      </c>
      <c r="G60" s="72">
        <f t="shared" si="4"/>
        <v>328.79300357229027</v>
      </c>
      <c r="H60" s="72">
        <f t="shared" si="4"/>
        <v>336.68786788667143</v>
      </c>
      <c r="I60" s="72">
        <f t="shared" si="4"/>
        <v>346.85887168765976</v>
      </c>
      <c r="J60" s="144"/>
      <c r="N60" s="10"/>
    </row>
    <row r="61" spans="2:14" s="7" customFormat="1">
      <c r="B61" s="89" t="s">
        <v>110</v>
      </c>
      <c r="C61" s="144" t="s">
        <v>60</v>
      </c>
      <c r="D61" s="74">
        <v>95.595212560220432</v>
      </c>
      <c r="E61" s="72">
        <f>'15-19 prices'!J148</f>
        <v>95.595212560220432</v>
      </c>
      <c r="F61" s="72">
        <f t="shared" si="4"/>
        <v>98.97287774379808</v>
      </c>
      <c r="G61" s="72">
        <f t="shared" si="4"/>
        <v>101.5407352382921</v>
      </c>
      <c r="H61" s="72">
        <f t="shared" si="4"/>
        <v>103.97889638642785</v>
      </c>
      <c r="I61" s="72">
        <f t="shared" si="4"/>
        <v>107.11999486736542</v>
      </c>
      <c r="J61" s="144"/>
      <c r="N61" s="10"/>
    </row>
    <row r="62" spans="2:14" s="7" customFormat="1">
      <c r="B62" s="59" t="s">
        <v>111</v>
      </c>
      <c r="C62" s="144" t="s">
        <v>60</v>
      </c>
      <c r="D62" s="84">
        <v>48.99</v>
      </c>
      <c r="E62" s="72">
        <f>'15-19 prices'!J149</f>
        <v>0</v>
      </c>
      <c r="F62" s="72">
        <f t="shared" si="4"/>
        <v>0</v>
      </c>
      <c r="G62" s="72">
        <f t="shared" si="4"/>
        <v>0</v>
      </c>
      <c r="H62" s="72">
        <f t="shared" si="4"/>
        <v>0</v>
      </c>
      <c r="I62" s="72">
        <f t="shared" si="4"/>
        <v>0</v>
      </c>
      <c r="J62" s="144"/>
      <c r="N62" s="10"/>
    </row>
    <row r="63" spans="2:14" s="7" customFormat="1">
      <c r="B63" s="89" t="s">
        <v>112</v>
      </c>
      <c r="C63" s="144" t="s">
        <v>60</v>
      </c>
      <c r="D63" s="84">
        <v>24.416656406043945</v>
      </c>
      <c r="E63" s="72">
        <f>'15-19 prices'!J150</f>
        <v>24.416656406043945</v>
      </c>
      <c r="F63" s="72">
        <f t="shared" si="4"/>
        <v>25.279370008883834</v>
      </c>
      <c r="G63" s="72">
        <f t="shared" si="4"/>
        <v>25.935244842607837</v>
      </c>
      <c r="H63" s="72">
        <f t="shared" si="4"/>
        <v>26.557993005640522</v>
      </c>
      <c r="I63" s="72">
        <f t="shared" si="4"/>
        <v>27.360283416347908</v>
      </c>
      <c r="J63" s="144"/>
      <c r="N63" s="10"/>
    </row>
    <row r="64" spans="2:14" s="7" customFormat="1" ht="28.8">
      <c r="B64" s="89" t="s">
        <v>113</v>
      </c>
      <c r="C64" s="144" t="s">
        <v>60</v>
      </c>
      <c r="D64" s="70">
        <v>75.3714164140668</v>
      </c>
      <c r="E64" s="72">
        <f>'15-19 prices'!J151</f>
        <v>75.3714164140668</v>
      </c>
      <c r="F64" s="72">
        <f t="shared" si="4"/>
        <v>78.034514306111902</v>
      </c>
      <c r="G64" s="72">
        <f t="shared" si="4"/>
        <v>80.059124653492717</v>
      </c>
      <c r="H64" s="72">
        <f t="shared" si="4"/>
        <v>81.981476769870667</v>
      </c>
      <c r="I64" s="72">
        <f t="shared" si="4"/>
        <v>84.458055201611657</v>
      </c>
      <c r="J64" s="144"/>
      <c r="N64" s="10"/>
    </row>
    <row r="65" spans="1:27" s="7" customFormat="1">
      <c r="B65" s="59" t="s">
        <v>114</v>
      </c>
      <c r="C65" s="144" t="s">
        <v>60</v>
      </c>
      <c r="D65" s="72">
        <v>136.15287994288278</v>
      </c>
      <c r="E65" s="72">
        <f>'15-19 prices'!J152</f>
        <v>136.15287994288278</v>
      </c>
      <c r="F65" s="72">
        <f t="shared" si="4"/>
        <v>140.96356899216127</v>
      </c>
      <c r="G65" s="72">
        <f t="shared" si="4"/>
        <v>144.62087759365667</v>
      </c>
      <c r="H65" s="72">
        <f t="shared" si="4"/>
        <v>148.09346427653483</v>
      </c>
      <c r="I65" s="72">
        <f t="shared" si="4"/>
        <v>152.56721973886465</v>
      </c>
      <c r="J65" s="144"/>
      <c r="N65" s="10"/>
    </row>
    <row r="66" spans="1:27" s="7" customFormat="1">
      <c r="B66" s="59" t="s">
        <v>115</v>
      </c>
      <c r="C66" s="144" t="s">
        <v>60</v>
      </c>
      <c r="D66" s="72">
        <v>34.753708073028946</v>
      </c>
      <c r="E66" s="72">
        <f>'15-19 prices'!J153</f>
        <v>34.753708073028946</v>
      </c>
      <c r="F66" s="72">
        <f t="shared" si="4"/>
        <v>35.98166067248097</v>
      </c>
      <c r="G66" s="72">
        <f t="shared" si="4"/>
        <v>36.915207105892222</v>
      </c>
      <c r="H66" s="72">
        <f t="shared" si="4"/>
        <v>37.801602339585877</v>
      </c>
      <c r="I66" s="72">
        <f t="shared" si="4"/>
        <v>38.94355094466242</v>
      </c>
      <c r="J66" s="144"/>
      <c r="N66" s="10"/>
    </row>
    <row r="67" spans="1:27" s="7" customFormat="1">
      <c r="B67" s="78"/>
      <c r="C67" s="87"/>
      <c r="D67" s="90"/>
      <c r="E67" s="90"/>
      <c r="F67" s="90"/>
      <c r="G67" s="90"/>
      <c r="H67" s="90"/>
      <c r="I67" s="70"/>
      <c r="J67" s="67"/>
      <c r="M67" s="10"/>
    </row>
    <row r="68" spans="1:27" s="7" customFormat="1">
      <c r="B68" s="78"/>
      <c r="C68" s="23"/>
      <c r="D68" s="23"/>
      <c r="E68" s="23"/>
      <c r="F68" s="23"/>
      <c r="G68" s="23"/>
      <c r="H68" s="23"/>
      <c r="I68" s="70"/>
      <c r="J68" s="67"/>
      <c r="M68" s="10"/>
    </row>
    <row r="69" spans="1:27" s="7" customFormat="1">
      <c r="M69" s="10"/>
    </row>
    <row r="70" spans="1:27" s="2" customFormat="1">
      <c r="A70" s="7"/>
      <c r="B70" s="1" t="s">
        <v>66</v>
      </c>
      <c r="C70" s="1"/>
      <c r="D70" s="1"/>
      <c r="E70" s="4"/>
      <c r="F70" s="4"/>
      <c r="G70" s="4"/>
      <c r="H70" s="4"/>
      <c r="I70" s="4"/>
      <c r="J70" s="4"/>
      <c r="K70" s="7"/>
      <c r="L70" s="7"/>
      <c r="M70" s="14"/>
      <c r="N70" s="7"/>
      <c r="O70" s="7"/>
      <c r="P70" s="7"/>
      <c r="Q70" s="7"/>
      <c r="R70" s="7"/>
      <c r="S70" s="7"/>
      <c r="T70" s="7"/>
      <c r="U70" s="7"/>
      <c r="V70" s="7"/>
      <c r="W70" s="7"/>
      <c r="X70" s="7"/>
      <c r="Y70" s="7"/>
      <c r="Z70" s="7"/>
      <c r="AA70" s="7"/>
    </row>
    <row r="71" spans="1:27" s="2" customFormat="1" ht="61.95" customHeight="1">
      <c r="A71" s="7"/>
      <c r="B71" s="230" t="s">
        <v>92</v>
      </c>
      <c r="C71" s="230"/>
      <c r="D71" s="230"/>
      <c r="E71" s="230"/>
      <c r="F71" s="230"/>
      <c r="G71" s="230"/>
      <c r="H71" s="13"/>
      <c r="I71" s="13"/>
      <c r="J71" s="13"/>
      <c r="K71" s="7"/>
      <c r="L71" s="7"/>
      <c r="M71" s="10"/>
      <c r="N71" s="7"/>
      <c r="O71" s="7"/>
      <c r="P71" s="7"/>
      <c r="Q71" s="7"/>
      <c r="R71" s="7"/>
      <c r="S71" s="7"/>
      <c r="T71" s="7"/>
      <c r="U71" s="7"/>
      <c r="V71" s="7"/>
      <c r="W71" s="7"/>
      <c r="X71" s="7"/>
      <c r="Y71" s="7"/>
      <c r="Z71" s="7"/>
      <c r="AA71" s="7"/>
    </row>
    <row r="72" spans="1:27" s="7" customFormat="1">
      <c r="M72" s="10"/>
    </row>
    <row r="73" spans="1:27" s="2" customFormat="1">
      <c r="A73" s="7"/>
      <c r="B73" s="1" t="s">
        <v>4</v>
      </c>
      <c r="C73" s="1"/>
      <c r="D73" s="1"/>
      <c r="E73" s="4"/>
      <c r="F73" s="4"/>
      <c r="G73" s="4"/>
      <c r="H73" s="4"/>
      <c r="I73" s="4"/>
      <c r="J73" s="4"/>
      <c r="K73" s="7"/>
      <c r="L73" s="7"/>
      <c r="M73" s="14"/>
      <c r="N73" s="7"/>
      <c r="O73" s="7"/>
      <c r="P73" s="7"/>
      <c r="Q73" s="7"/>
      <c r="R73" s="7"/>
      <c r="S73" s="7"/>
      <c r="T73" s="7"/>
      <c r="U73" s="7"/>
      <c r="V73" s="7"/>
      <c r="W73" s="7"/>
      <c r="X73" s="7"/>
      <c r="Y73" s="7"/>
      <c r="Z73" s="7"/>
      <c r="AA73" s="7"/>
    </row>
    <row r="74" spans="1:27" s="2" customFormat="1" ht="57" customHeight="1">
      <c r="A74" s="7"/>
      <c r="B74" s="12" t="s">
        <v>289</v>
      </c>
      <c r="C74" s="12"/>
      <c r="D74" s="12"/>
      <c r="E74" s="11"/>
      <c r="F74" s="11"/>
      <c r="G74" s="11"/>
      <c r="H74" s="11"/>
      <c r="I74" s="11"/>
      <c r="J74" s="11"/>
      <c r="K74" s="7"/>
      <c r="L74" s="7"/>
      <c r="M74" s="10"/>
      <c r="N74" s="7"/>
      <c r="O74" s="7"/>
      <c r="P74" s="7"/>
      <c r="Q74" s="7"/>
      <c r="R74" s="7"/>
      <c r="S74" s="7"/>
      <c r="T74" s="7"/>
      <c r="U74" s="7"/>
      <c r="V74" s="7"/>
      <c r="W74" s="7"/>
      <c r="X74" s="7"/>
      <c r="Y74" s="7"/>
      <c r="Z74" s="7"/>
      <c r="AA74" s="7"/>
    </row>
    <row r="75" spans="1:27" s="2" customFormat="1">
      <c r="A75" s="7"/>
      <c r="B75" s="25"/>
      <c r="C75" s="25"/>
      <c r="D75" s="25"/>
      <c r="E75" s="13"/>
      <c r="F75" s="13"/>
      <c r="G75" s="13"/>
      <c r="H75" s="13"/>
      <c r="I75" s="13"/>
      <c r="J75" s="13"/>
      <c r="K75" s="7"/>
      <c r="L75" s="7"/>
      <c r="M75" s="10"/>
      <c r="N75" s="7"/>
      <c r="O75" s="7"/>
      <c r="P75" s="7"/>
      <c r="Q75" s="7"/>
      <c r="R75" s="7"/>
      <c r="S75" s="7"/>
      <c r="T75" s="7"/>
      <c r="U75" s="7"/>
      <c r="V75" s="7"/>
      <c r="W75" s="7"/>
      <c r="X75" s="7"/>
      <c r="Y75" s="7"/>
      <c r="Z75" s="7"/>
      <c r="AA75" s="7"/>
    </row>
    <row r="76" spans="1:27" s="2" customFormat="1" ht="93.6" customHeight="1">
      <c r="A76" s="7"/>
      <c r="B76" s="231" t="s">
        <v>306</v>
      </c>
      <c r="C76" s="232"/>
      <c r="D76" s="232"/>
      <c r="E76" s="232"/>
      <c r="F76" s="232"/>
      <c r="G76" s="232"/>
      <c r="H76" s="13"/>
      <c r="I76" s="13"/>
      <c r="J76" s="13"/>
      <c r="K76" s="7"/>
      <c r="L76" s="7"/>
      <c r="M76" s="10"/>
      <c r="N76" s="7"/>
      <c r="O76" s="7"/>
      <c r="P76" s="7"/>
      <c r="Q76" s="7"/>
      <c r="R76" s="7"/>
      <c r="S76" s="7"/>
      <c r="T76" s="7"/>
      <c r="U76" s="7"/>
      <c r="V76" s="7"/>
      <c r="W76" s="7"/>
      <c r="X76" s="7"/>
      <c r="Y76" s="7"/>
      <c r="Z76" s="7"/>
      <c r="AA76" s="7"/>
    </row>
    <row r="77" spans="1:27" s="2" customFormat="1" ht="15" customHeight="1">
      <c r="A77" s="7"/>
      <c r="B77" s="7"/>
      <c r="C77" s="7"/>
      <c r="D77" s="7"/>
      <c r="E77" s="7"/>
      <c r="F77" s="7"/>
      <c r="G77" s="7"/>
      <c r="H77" s="7"/>
      <c r="I77" s="7"/>
      <c r="J77" s="7"/>
      <c r="K77" s="7"/>
      <c r="L77" s="7"/>
      <c r="M77" s="10"/>
      <c r="N77" s="7"/>
      <c r="O77" s="7"/>
      <c r="P77" s="7"/>
      <c r="Q77" s="7"/>
      <c r="R77" s="7"/>
      <c r="S77" s="7"/>
      <c r="T77" s="7"/>
      <c r="U77" s="7"/>
      <c r="V77" s="7"/>
      <c r="W77" s="7"/>
      <c r="X77" s="7"/>
      <c r="Y77" s="7"/>
      <c r="Z77" s="7"/>
      <c r="AA77" s="7"/>
    </row>
    <row r="78" spans="1:27" s="2" customFormat="1" ht="14.4" customHeight="1">
      <c r="A78" s="7"/>
      <c r="B78" s="1" t="s">
        <v>90</v>
      </c>
      <c r="C78" s="1"/>
      <c r="D78" s="1"/>
      <c r="E78" s="4"/>
      <c r="F78" s="4"/>
      <c r="G78" s="4"/>
      <c r="H78" s="7"/>
      <c r="I78" s="7"/>
      <c r="J78" s="7"/>
      <c r="K78" s="7"/>
      <c r="L78" s="7"/>
      <c r="M78" s="7"/>
      <c r="N78" s="7"/>
      <c r="O78" s="7"/>
      <c r="P78" s="7"/>
      <c r="Q78" s="7"/>
      <c r="R78" s="7"/>
      <c r="S78" s="7"/>
      <c r="T78" s="7"/>
      <c r="U78" s="7"/>
      <c r="V78" s="7"/>
      <c r="W78" s="7"/>
      <c r="X78" s="7"/>
      <c r="Y78" s="7"/>
      <c r="Z78" s="7"/>
    </row>
    <row r="79" spans="1:27" s="7" customFormat="1"/>
    <row r="80" spans="1:27" s="7" customFormat="1">
      <c r="C80" s="222" t="s">
        <v>94</v>
      </c>
      <c r="D80" s="223"/>
      <c r="E80" s="223"/>
      <c r="F80" s="223"/>
      <c r="G80" s="224"/>
    </row>
    <row r="81" spans="1:33" s="2" customFormat="1">
      <c r="A81" s="7"/>
      <c r="B81" s="64" t="s">
        <v>18</v>
      </c>
      <c r="C81" s="29" t="s">
        <v>6</v>
      </c>
      <c r="D81" s="29" t="s">
        <v>7</v>
      </c>
      <c r="E81" s="29" t="s">
        <v>8</v>
      </c>
      <c r="F81" s="29" t="s">
        <v>9</v>
      </c>
      <c r="G81" s="29" t="s">
        <v>10</v>
      </c>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1:33" s="7" customFormat="1">
      <c r="B82" s="77"/>
      <c r="C82" s="70"/>
      <c r="D82" s="227" t="s">
        <v>266</v>
      </c>
      <c r="E82" s="228"/>
      <c r="F82" s="227" t="s">
        <v>267</v>
      </c>
      <c r="G82" s="228"/>
      <c r="I82" s="169"/>
      <c r="L82" s="10"/>
    </row>
    <row r="83" spans="1:33" s="7" customFormat="1">
      <c r="B83" s="167"/>
      <c r="C83" s="168"/>
      <c r="D83" s="168"/>
      <c r="E83" s="168"/>
      <c r="F83" s="168"/>
      <c r="G83" s="168"/>
      <c r="H83" s="168"/>
      <c r="I83" s="169"/>
      <c r="L83" s="10"/>
    </row>
    <row r="84" spans="1:33" s="7" customFormat="1">
      <c r="B84" s="170"/>
      <c r="C84" s="171"/>
      <c r="D84" s="172"/>
      <c r="E84" s="172"/>
      <c r="F84" s="172"/>
      <c r="G84" s="172"/>
      <c r="H84" s="168"/>
      <c r="I84" s="169"/>
      <c r="L84" s="10"/>
    </row>
    <row r="85" spans="1:33" s="7" customFormat="1">
      <c r="B85" s="170" t="s">
        <v>98</v>
      </c>
      <c r="C85" s="182">
        <v>646040</v>
      </c>
      <c r="D85" s="183">
        <v>731034</v>
      </c>
      <c r="E85" s="183">
        <v>1038549.6893527635</v>
      </c>
      <c r="F85" s="183">
        <f>G85/((1-$H$264)*(1+$H$266))</f>
        <v>912550.05475118919</v>
      </c>
      <c r="G85" s="183">
        <f>C126</f>
        <v>940117.27935516764</v>
      </c>
      <c r="H85" s="168"/>
      <c r="I85" s="169"/>
      <c r="L85" s="10"/>
    </row>
    <row r="86" spans="1:33" s="7" customFormat="1">
      <c r="B86" s="170" t="s">
        <v>99</v>
      </c>
      <c r="C86" s="182">
        <v>281948</v>
      </c>
      <c r="D86" s="183">
        <v>3894619.6785019999</v>
      </c>
      <c r="E86" s="183">
        <v>4836883.246993822</v>
      </c>
      <c r="F86" s="183">
        <f>G86/((1-$H$264)*(1+$H$266))</f>
        <v>4482477.6514540613</v>
      </c>
      <c r="G86" s="183">
        <f>C131</f>
        <v>4617888.8188268356</v>
      </c>
      <c r="H86" s="168"/>
      <c r="I86" s="169"/>
      <c r="L86" s="10"/>
    </row>
    <row r="87" spans="1:33" s="7" customFormat="1">
      <c r="B87" s="170" t="s">
        <v>100</v>
      </c>
      <c r="C87" s="182">
        <v>381396</v>
      </c>
      <c r="D87" s="183">
        <v>268391.54684999998</v>
      </c>
      <c r="E87" s="183">
        <v>214999.50834156558</v>
      </c>
      <c r="F87" s="183">
        <f>G87/((1-$H$264)*(1+$H$266))</f>
        <v>645728.1968998526</v>
      </c>
      <c r="G87" s="183">
        <f>C136</f>
        <v>665235</v>
      </c>
      <c r="H87" s="168"/>
      <c r="I87" s="169"/>
      <c r="L87" s="10"/>
    </row>
    <row r="88" spans="1:33" s="7" customFormat="1">
      <c r="B88" s="173" t="s">
        <v>101</v>
      </c>
      <c r="C88" s="182">
        <v>120612</v>
      </c>
      <c r="D88" s="189">
        <v>120759.57230000001</v>
      </c>
      <c r="E88" s="189">
        <v>133275.84993599899</v>
      </c>
      <c r="F88" s="190">
        <f>(E88/2)*(1-G264)*(1+G265)</f>
        <v>68238.011861875872</v>
      </c>
      <c r="G88" s="183">
        <v>0</v>
      </c>
      <c r="H88" s="168"/>
      <c r="I88" s="169"/>
      <c r="L88" s="10"/>
    </row>
    <row r="89" spans="1:33" s="7" customFormat="1">
      <c r="B89" s="170" t="s">
        <v>102</v>
      </c>
      <c r="C89" s="182">
        <v>0</v>
      </c>
      <c r="D89" s="183">
        <v>0</v>
      </c>
      <c r="E89" s="183">
        <v>0</v>
      </c>
      <c r="F89" s="183">
        <v>0</v>
      </c>
      <c r="G89" s="183">
        <v>0</v>
      </c>
      <c r="H89" s="168"/>
      <c r="I89" s="169"/>
      <c r="L89" s="10"/>
    </row>
    <row r="90" spans="1:33" s="7" customFormat="1" ht="28.8">
      <c r="B90" s="173" t="s">
        <v>103</v>
      </c>
      <c r="C90" s="182">
        <v>0</v>
      </c>
      <c r="D90" s="191">
        <v>0</v>
      </c>
      <c r="E90" s="191">
        <v>0</v>
      </c>
      <c r="F90" s="183">
        <v>0</v>
      </c>
      <c r="G90" s="183">
        <v>0</v>
      </c>
      <c r="H90" s="168"/>
      <c r="I90" s="169"/>
      <c r="L90" s="10"/>
    </row>
    <row r="91" spans="1:33" s="7" customFormat="1">
      <c r="B91" s="170" t="s">
        <v>104</v>
      </c>
      <c r="C91" s="182">
        <v>160675</v>
      </c>
      <c r="D91" s="191">
        <v>163736.08914999999</v>
      </c>
      <c r="E91" s="191">
        <v>141208.1768545933</v>
      </c>
      <c r="F91" s="183">
        <f t="shared" ref="F91:F102" si="5">G91/((1-$H$264)*(1+$H$266))</f>
        <v>114796.12389330713</v>
      </c>
      <c r="G91" s="183">
        <f>C156</f>
        <v>118264.00000000001</v>
      </c>
      <c r="H91" s="168"/>
      <c r="I91" s="169"/>
      <c r="L91" s="10"/>
    </row>
    <row r="92" spans="1:33" s="7" customFormat="1">
      <c r="B92" s="170" t="s">
        <v>105</v>
      </c>
      <c r="C92" s="182">
        <v>456085</v>
      </c>
      <c r="D92" s="191">
        <v>500149.90268</v>
      </c>
      <c r="E92" s="191">
        <v>545303.06216730131</v>
      </c>
      <c r="F92" s="183">
        <f t="shared" si="5"/>
        <v>351563.12942325312</v>
      </c>
      <c r="G92" s="183">
        <f>C161</f>
        <v>362183.50000000006</v>
      </c>
      <c r="H92" s="168"/>
      <c r="I92" s="169"/>
      <c r="L92" s="10"/>
    </row>
    <row r="93" spans="1:33" s="7" customFormat="1">
      <c r="B93" s="170" t="s">
        <v>106</v>
      </c>
      <c r="C93" s="182">
        <v>1734522</v>
      </c>
      <c r="D93" s="191">
        <v>1482454.2735019999</v>
      </c>
      <c r="E93" s="191">
        <v>1422792.4202604045</v>
      </c>
      <c r="F93" s="183">
        <f t="shared" si="5"/>
        <v>717475.77433316957</v>
      </c>
      <c r="G93" s="183">
        <f>C166</f>
        <v>739150.00000000012</v>
      </c>
      <c r="H93" s="168"/>
      <c r="I93" s="169"/>
      <c r="L93" s="10"/>
    </row>
    <row r="94" spans="1:33" s="7" customFormat="1" ht="28.8">
      <c r="B94" s="173" t="s">
        <v>107</v>
      </c>
      <c r="C94" s="182">
        <v>255053</v>
      </c>
      <c r="D94" s="191">
        <v>89214.160040000002</v>
      </c>
      <c r="E94" s="191">
        <v>146739.62456616279</v>
      </c>
      <c r="F94" s="183">
        <f t="shared" si="5"/>
        <v>28699.030973326782</v>
      </c>
      <c r="G94" s="183">
        <f>C171</f>
        <v>29566.000000000004</v>
      </c>
      <c r="H94" s="168"/>
      <c r="I94" s="169"/>
      <c r="L94" s="10"/>
    </row>
    <row r="95" spans="1:33" s="7" customFormat="1">
      <c r="B95" s="170" t="s">
        <v>108</v>
      </c>
      <c r="C95" s="182">
        <v>47768</v>
      </c>
      <c r="D95" s="191">
        <v>13224.131465999999</v>
      </c>
      <c r="E95" s="191">
        <v>54727.083587429908</v>
      </c>
      <c r="F95" s="183">
        <f t="shared" si="5"/>
        <v>12555.826050830468</v>
      </c>
      <c r="G95" s="183">
        <f>C176</f>
        <v>12935.125000000002</v>
      </c>
      <c r="H95" s="168"/>
      <c r="I95" s="169"/>
      <c r="L95" s="10"/>
    </row>
    <row r="96" spans="1:33" s="7" customFormat="1">
      <c r="B96" s="170" t="s">
        <v>109</v>
      </c>
      <c r="C96" s="182">
        <v>18586</v>
      </c>
      <c r="D96" s="191">
        <v>11247.848253999997</v>
      </c>
      <c r="E96" s="191">
        <v>11766.144274281651</v>
      </c>
      <c r="F96" s="183">
        <f t="shared" si="5"/>
        <v>11110.699640260156</v>
      </c>
      <c r="G96" s="183">
        <f>C181</f>
        <v>11446.342765692772</v>
      </c>
      <c r="H96" s="168"/>
      <c r="I96" s="169"/>
      <c r="L96" s="10"/>
    </row>
    <row r="97" spans="2:12" s="7" customFormat="1">
      <c r="B97" s="173" t="s">
        <v>110</v>
      </c>
      <c r="C97" s="182">
        <v>333876</v>
      </c>
      <c r="D97" s="191">
        <v>184588.22120000003</v>
      </c>
      <c r="E97" s="191">
        <v>116149.05847331462</v>
      </c>
      <c r="F97" s="183">
        <f t="shared" si="5"/>
        <v>145570.45494099898</v>
      </c>
      <c r="G97" s="183">
        <f>C186</f>
        <v>149967.99281431158</v>
      </c>
      <c r="H97" s="168"/>
      <c r="I97" s="169"/>
      <c r="L97" s="10"/>
    </row>
    <row r="98" spans="2:12" s="7" customFormat="1">
      <c r="B98" s="170" t="s">
        <v>111</v>
      </c>
      <c r="C98" s="182">
        <v>0</v>
      </c>
      <c r="D98" s="191">
        <v>0</v>
      </c>
      <c r="E98" s="191">
        <v>0</v>
      </c>
      <c r="F98" s="183">
        <f t="shared" si="5"/>
        <v>2481.5353001187145</v>
      </c>
      <c r="G98" s="183">
        <f>C191</f>
        <v>2556.5</v>
      </c>
      <c r="H98" s="168"/>
      <c r="I98" s="169"/>
      <c r="L98" s="10"/>
    </row>
    <row r="99" spans="2:12" s="7" customFormat="1">
      <c r="B99" s="173" t="s">
        <v>112</v>
      </c>
      <c r="C99" s="182">
        <v>0</v>
      </c>
      <c r="D99" s="191">
        <v>0</v>
      </c>
      <c r="E99" s="191">
        <v>0</v>
      </c>
      <c r="F99" s="183">
        <f t="shared" si="5"/>
        <v>1327.899650282026</v>
      </c>
      <c r="G99" s="183">
        <f>C196</f>
        <v>1368.0141708173953</v>
      </c>
      <c r="H99" s="168"/>
      <c r="I99" s="169"/>
      <c r="L99" s="10"/>
    </row>
    <row r="100" spans="2:12" s="7" customFormat="1" ht="28.8">
      <c r="B100" s="173" t="s">
        <v>113</v>
      </c>
      <c r="C100" s="182">
        <v>0</v>
      </c>
      <c r="D100" s="191">
        <v>0</v>
      </c>
      <c r="E100" s="191">
        <v>0</v>
      </c>
      <c r="F100" s="183">
        <f t="shared" si="5"/>
        <v>4099.073838493533</v>
      </c>
      <c r="G100" s="183">
        <f>C201</f>
        <v>4222.902760080583</v>
      </c>
      <c r="H100" s="168"/>
      <c r="I100" s="169"/>
      <c r="L100" s="10"/>
    </row>
    <row r="101" spans="2:12" s="7" customFormat="1">
      <c r="B101" s="170" t="s">
        <v>114</v>
      </c>
      <c r="C101" s="182">
        <v>2788242</v>
      </c>
      <c r="D101" s="183">
        <v>2282636.7306559999</v>
      </c>
      <c r="E101" s="183">
        <v>2088865.8585071219</v>
      </c>
      <c r="F101" s="183">
        <f t="shared" si="5"/>
        <v>2591635.6248393599</v>
      </c>
      <c r="G101" s="183">
        <f>C206</f>
        <v>2669926.3454301315</v>
      </c>
      <c r="H101" s="168"/>
      <c r="I101" s="169"/>
      <c r="L101" s="10"/>
    </row>
    <row r="102" spans="2:12" s="7" customFormat="1">
      <c r="B102" s="173" t="s">
        <v>115</v>
      </c>
      <c r="C102" s="182">
        <v>514352</v>
      </c>
      <c r="D102" s="174">
        <v>461035.72715000017</v>
      </c>
      <c r="E102" s="183">
        <v>588173.63668524043</v>
      </c>
      <c r="F102" s="183">
        <f t="shared" si="5"/>
        <v>756032.04679171764</v>
      </c>
      <c r="G102" s="183">
        <f>C211</f>
        <v>778871.0188932484</v>
      </c>
      <c r="H102" s="175"/>
      <c r="I102" s="175"/>
      <c r="L102" s="10"/>
    </row>
    <row r="103" spans="2:12" s="7" customFormat="1" ht="28.8">
      <c r="B103" s="173" t="s">
        <v>275</v>
      </c>
      <c r="C103" s="182" t="s">
        <v>91</v>
      </c>
      <c r="D103" s="182" t="s">
        <v>91</v>
      </c>
      <c r="E103" s="184" t="s">
        <v>91</v>
      </c>
      <c r="F103" s="185">
        <f t="shared" ref="F103:F109" si="6">(G103/2)/(1-$H$264)*(1+$H$266)</f>
        <v>120338.92762940981</v>
      </c>
      <c r="G103" s="185">
        <f>C215</f>
        <v>238788.33333333331</v>
      </c>
      <c r="H103" s="175"/>
      <c r="I103" s="175"/>
      <c r="L103" s="10"/>
    </row>
    <row r="104" spans="2:12" s="7" customFormat="1" ht="28.8">
      <c r="B104" s="173" t="s">
        <v>276</v>
      </c>
      <c r="C104" s="182" t="s">
        <v>91</v>
      </c>
      <c r="D104" s="182" t="s">
        <v>91</v>
      </c>
      <c r="E104" s="184" t="s">
        <v>91</v>
      </c>
      <c r="F104" s="185">
        <f t="shared" si="6"/>
        <v>138963.89919221896</v>
      </c>
      <c r="G104" s="185">
        <f>C219</f>
        <v>275745.83333333337</v>
      </c>
      <c r="H104" s="175"/>
      <c r="I104" s="175"/>
      <c r="L104" s="10"/>
    </row>
    <row r="105" spans="2:12" s="7" customFormat="1" ht="28.8">
      <c r="B105" s="173" t="s">
        <v>278</v>
      </c>
      <c r="C105" s="182" t="s">
        <v>91</v>
      </c>
      <c r="D105" s="182" t="s">
        <v>91</v>
      </c>
      <c r="E105" s="184" t="s">
        <v>91</v>
      </c>
      <c r="F105" s="185">
        <f t="shared" si="6"/>
        <v>5587.4914688427307</v>
      </c>
      <c r="G105" s="185">
        <f>C223</f>
        <v>11087.25</v>
      </c>
      <c r="H105" s="175"/>
      <c r="I105" s="175"/>
      <c r="L105" s="10"/>
    </row>
    <row r="106" spans="2:12" s="7" customFormat="1">
      <c r="B106" s="173" t="s">
        <v>279</v>
      </c>
      <c r="C106" s="182" t="s">
        <v>91</v>
      </c>
      <c r="D106" s="182" t="s">
        <v>91</v>
      </c>
      <c r="E106" s="184" t="s">
        <v>91</v>
      </c>
      <c r="F106" s="185">
        <f t="shared" si="6"/>
        <v>2576.7294757665677</v>
      </c>
      <c r="G106" s="185">
        <f>C227</f>
        <v>5113</v>
      </c>
      <c r="H106" s="175"/>
      <c r="I106" s="175"/>
      <c r="L106" s="10"/>
    </row>
    <row r="107" spans="2:12" s="7" customFormat="1">
      <c r="B107" s="173" t="s">
        <v>280</v>
      </c>
      <c r="C107" s="182" t="s">
        <v>91</v>
      </c>
      <c r="D107" s="182" t="s">
        <v>91</v>
      </c>
      <c r="E107" s="184" t="s">
        <v>91</v>
      </c>
      <c r="F107" s="185">
        <f t="shared" si="6"/>
        <v>34356.393010220905</v>
      </c>
      <c r="G107" s="185">
        <f>C231</f>
        <v>68173.333333333328</v>
      </c>
      <c r="H107" s="175"/>
      <c r="I107" s="175"/>
      <c r="L107" s="10"/>
    </row>
    <row r="108" spans="2:12" s="7" customFormat="1">
      <c r="B108" s="173" t="s">
        <v>281</v>
      </c>
      <c r="C108" s="182" t="s">
        <v>91</v>
      </c>
      <c r="D108" s="182" t="s">
        <v>91</v>
      </c>
      <c r="E108" s="184" t="s">
        <v>91</v>
      </c>
      <c r="F108" s="185">
        <f t="shared" si="6"/>
        <v>297999.5450049456</v>
      </c>
      <c r="G108" s="185">
        <f>C235</f>
        <v>591320</v>
      </c>
      <c r="H108" s="175"/>
      <c r="I108" s="175"/>
      <c r="L108" s="10"/>
    </row>
    <row r="109" spans="2:12" s="7" customFormat="1">
      <c r="B109" s="173" t="s">
        <v>282</v>
      </c>
      <c r="C109" s="182" t="s">
        <v>91</v>
      </c>
      <c r="D109" s="182" t="s">
        <v>91</v>
      </c>
      <c r="E109" s="184" t="s">
        <v>91</v>
      </c>
      <c r="F109" s="185">
        <f t="shared" si="6"/>
        <v>297999.5450049456</v>
      </c>
      <c r="G109" s="185">
        <f>C239</f>
        <v>591320</v>
      </c>
      <c r="H109" s="175"/>
      <c r="I109" s="175"/>
      <c r="L109" s="10"/>
    </row>
    <row r="110" spans="2:12" s="7" customFormat="1">
      <c r="B110" s="208" t="s">
        <v>313</v>
      </c>
      <c r="C110" s="209" t="s">
        <v>91</v>
      </c>
      <c r="D110" s="209" t="s">
        <v>91</v>
      </c>
      <c r="E110" s="210" t="s">
        <v>91</v>
      </c>
      <c r="F110" s="210" t="s">
        <v>91</v>
      </c>
      <c r="G110" s="210" t="s">
        <v>91</v>
      </c>
      <c r="H110" s="175"/>
      <c r="I110" s="175"/>
      <c r="L110" s="10"/>
    </row>
    <row r="111" spans="2:12" s="7" customFormat="1">
      <c r="B111" s="208" t="s">
        <v>310</v>
      </c>
      <c r="C111" s="209" t="s">
        <v>91</v>
      </c>
      <c r="D111" s="209" t="s">
        <v>91</v>
      </c>
      <c r="E111" s="210" t="s">
        <v>91</v>
      </c>
      <c r="F111" s="210" t="s">
        <v>91</v>
      </c>
      <c r="G111" s="210" t="s">
        <v>91</v>
      </c>
      <c r="H111" s="175"/>
      <c r="I111" s="175"/>
      <c r="L111" s="10"/>
    </row>
    <row r="112" spans="2:12" s="7" customFormat="1">
      <c r="B112" s="173"/>
      <c r="C112" s="176"/>
      <c r="D112" s="177"/>
      <c r="E112" s="178"/>
      <c r="F112" s="179"/>
      <c r="G112" s="179"/>
      <c r="I112" s="175"/>
      <c r="L112" s="10"/>
    </row>
    <row r="113" spans="1:71" s="7" customFormat="1">
      <c r="B113" s="173"/>
      <c r="C113" s="176"/>
      <c r="D113" s="177"/>
      <c r="E113" s="178"/>
      <c r="F113" s="179"/>
      <c r="G113" s="179"/>
      <c r="H113" s="175"/>
      <c r="I113" s="175"/>
      <c r="L113" s="10"/>
    </row>
    <row r="114" spans="1:71" s="2" customFormat="1">
      <c r="A114" s="7"/>
      <c r="B114" s="219" t="s">
        <v>14</v>
      </c>
      <c r="C114" s="219"/>
      <c r="D114" s="219"/>
      <c r="E114" s="219"/>
      <c r="F114" s="219"/>
      <c r="G114" s="219"/>
      <c r="H114" s="180"/>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71" s="2" customFormat="1">
      <c r="A115" s="7"/>
      <c r="B115" s="13" t="s">
        <v>309</v>
      </c>
      <c r="C115" s="13"/>
      <c r="D115" s="13"/>
      <c r="E115" s="13"/>
      <c r="F115" s="13"/>
      <c r="G115" s="13"/>
      <c r="H115" s="180"/>
      <c r="I115" s="181"/>
      <c r="J115" s="181"/>
      <c r="K115" s="181"/>
      <c r="L115" s="181"/>
      <c r="M115" s="181"/>
      <c r="N115" s="181"/>
      <c r="O115" s="181"/>
      <c r="P115" s="181"/>
      <c r="Q115" s="7"/>
      <c r="R115" s="7"/>
      <c r="S115" s="7"/>
      <c r="T115" s="7"/>
      <c r="U115" s="7"/>
      <c r="V115" s="7"/>
      <c r="W115" s="7"/>
      <c r="X115" s="7"/>
      <c r="Y115" s="7"/>
      <c r="Z115" s="7"/>
      <c r="AA115" s="7"/>
      <c r="AB115" s="7"/>
      <c r="AC115" s="7"/>
      <c r="AD115" s="7"/>
      <c r="AE115" s="7"/>
      <c r="AF115" s="7"/>
      <c r="AG115" s="7"/>
    </row>
    <row r="116" spans="1:71" s="2" customFormat="1">
      <c r="A116" s="7"/>
      <c r="B116" s="79" t="s">
        <v>295</v>
      </c>
      <c r="C116" s="13"/>
      <c r="D116" s="13"/>
      <c r="E116" s="13"/>
      <c r="F116" s="13"/>
      <c r="G116" s="13"/>
      <c r="H116" s="180"/>
      <c r="I116" s="181"/>
      <c r="J116" s="181"/>
      <c r="K116" s="181"/>
      <c r="L116" s="181"/>
      <c r="M116" s="181"/>
      <c r="N116" s="181"/>
      <c r="O116" s="181"/>
      <c r="P116" s="181"/>
      <c r="Q116" s="7"/>
      <c r="R116" s="7"/>
      <c r="S116" s="7"/>
      <c r="T116" s="7"/>
      <c r="U116" s="7"/>
      <c r="V116" s="7"/>
      <c r="W116" s="7"/>
      <c r="X116" s="7"/>
      <c r="Y116" s="7"/>
      <c r="Z116" s="7"/>
      <c r="AA116" s="7"/>
      <c r="AB116" s="7"/>
      <c r="AC116" s="7"/>
      <c r="AD116" s="7"/>
      <c r="AE116" s="7"/>
      <c r="AF116" s="7"/>
      <c r="AG116" s="7"/>
    </row>
    <row r="117" spans="1:71" s="2" customFormat="1">
      <c r="A117" s="7"/>
      <c r="B117" s="79" t="s">
        <v>296</v>
      </c>
      <c r="C117" s="13"/>
      <c r="D117" s="13"/>
      <c r="E117" s="13"/>
      <c r="F117" s="13"/>
      <c r="G117" s="13"/>
      <c r="H117" s="180"/>
      <c r="I117" s="181"/>
      <c r="J117" s="181"/>
      <c r="K117" s="181"/>
      <c r="L117" s="181"/>
      <c r="M117" s="181"/>
      <c r="N117" s="181"/>
      <c r="O117" s="181"/>
      <c r="P117" s="181"/>
      <c r="Q117" s="7"/>
      <c r="R117" s="7"/>
      <c r="S117" s="7"/>
      <c r="T117" s="7"/>
      <c r="U117" s="7"/>
      <c r="V117" s="7"/>
      <c r="W117" s="7"/>
      <c r="X117" s="7"/>
      <c r="Y117" s="7"/>
      <c r="Z117" s="7"/>
      <c r="AA117" s="7"/>
      <c r="AB117" s="7"/>
      <c r="AC117" s="7"/>
      <c r="AD117" s="7"/>
      <c r="AE117" s="7"/>
      <c r="AF117" s="7"/>
      <c r="AG117" s="7"/>
    </row>
    <row r="118" spans="1:71" s="8" customFormat="1">
      <c r="A118" s="15"/>
      <c r="B118" s="79"/>
      <c r="C118" s="79"/>
      <c r="D118" s="79"/>
      <c r="E118" s="79"/>
      <c r="F118" s="79"/>
      <c r="G118" s="79"/>
      <c r="H118" s="17"/>
      <c r="I118" s="17"/>
      <c r="J118" s="17"/>
      <c r="K118" s="17"/>
      <c r="L118" s="17"/>
      <c r="M118" s="17"/>
      <c r="N118" s="17"/>
      <c r="O118" s="17"/>
      <c r="P118" s="17"/>
      <c r="Q118" s="17"/>
      <c r="R118" s="15"/>
      <c r="S118" s="15"/>
      <c r="T118" s="15"/>
      <c r="U118" s="15"/>
      <c r="V118" s="15"/>
      <c r="W118" s="15"/>
      <c r="X118" s="15"/>
      <c r="Y118" s="15"/>
      <c r="Z118" s="15"/>
      <c r="AA118" s="15"/>
      <c r="AB118" s="15"/>
      <c r="AC118" s="15"/>
      <c r="AD118" s="15"/>
      <c r="AE118" s="15"/>
      <c r="AF118" s="15"/>
      <c r="AG118" s="15"/>
      <c r="AH118" s="15"/>
    </row>
    <row r="119" spans="1:71" s="2" customFormat="1">
      <c r="A119" s="7"/>
      <c r="B119" s="19"/>
      <c r="C119" s="19"/>
      <c r="D119" s="20"/>
      <c r="E119" s="7"/>
      <c r="F119" s="7"/>
      <c r="G119" s="7"/>
      <c r="H119" s="7"/>
      <c r="I119" s="1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71" s="7" customFormat="1">
      <c r="B120" s="1" t="s">
        <v>56</v>
      </c>
      <c r="C120" s="4"/>
      <c r="D120" s="4"/>
      <c r="E120" s="4"/>
      <c r="F120" s="4"/>
      <c r="G120" s="4"/>
      <c r="H120" s="4"/>
      <c r="I120" s="17"/>
      <c r="J120" s="62"/>
      <c r="K120" s="62"/>
    </row>
    <row r="121" spans="1:71" s="7" customFormat="1" ht="7.2" customHeight="1">
      <c r="I121" s="17"/>
    </row>
    <row r="122" spans="1:71" s="7" customFormat="1" ht="15" customHeight="1"/>
    <row r="123" spans="1:71" s="7" customFormat="1">
      <c r="A123" s="15"/>
      <c r="B123" s="64" t="s">
        <v>18</v>
      </c>
      <c r="C123" s="29" t="s">
        <v>19</v>
      </c>
      <c r="D123" s="29" t="s">
        <v>20</v>
      </c>
      <c r="E123" s="29" t="s">
        <v>21</v>
      </c>
      <c r="F123" s="29" t="s">
        <v>22</v>
      </c>
      <c r="G123" s="29" t="s">
        <v>23</v>
      </c>
      <c r="H123" s="29" t="s">
        <v>258</v>
      </c>
      <c r="I123" s="17"/>
    </row>
    <row r="124" spans="1:71" s="8" customFormat="1">
      <c r="A124" s="15"/>
      <c r="B124" s="32" t="str">
        <f>B11</f>
        <v xml:space="preserve">Metering Site Establishment </v>
      </c>
      <c r="C124" s="60"/>
      <c r="D124" s="60"/>
      <c r="E124" s="60"/>
      <c r="F124" s="60"/>
      <c r="G124" s="60"/>
      <c r="H124" s="60"/>
      <c r="I124" s="17"/>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row>
    <row r="125" spans="1:71" s="2" customFormat="1">
      <c r="A125" s="7"/>
      <c r="B125" s="33" t="s">
        <v>24</v>
      </c>
      <c r="C125" s="31">
        <v>16000</v>
      </c>
      <c r="D125" s="31">
        <v>16000</v>
      </c>
      <c r="E125" s="31">
        <v>16000</v>
      </c>
      <c r="F125" s="31">
        <v>16000</v>
      </c>
      <c r="G125" s="31">
        <v>16000</v>
      </c>
      <c r="H125" s="31">
        <f>SUM(C125:G125)</f>
        <v>80000</v>
      </c>
      <c r="I125" s="1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row>
    <row r="126" spans="1:71" s="2" customFormat="1">
      <c r="A126" s="15"/>
      <c r="B126" s="33" t="s">
        <v>259</v>
      </c>
      <c r="C126" s="131">
        <f>VLOOKUP($B124,$B$11:$D$28,3,FALSE)*C125</f>
        <v>940117.27935516764</v>
      </c>
      <c r="D126" s="131">
        <f>VLOOKUP($B$124,$B$11:$D$28,3,FALSE)*D125</f>
        <v>940117.27935516764</v>
      </c>
      <c r="E126" s="131">
        <f>VLOOKUP($B$124,$B$11:$D$28,3,FALSE)*E125</f>
        <v>940117.27935516764</v>
      </c>
      <c r="F126" s="131">
        <f>VLOOKUP($B$124,$B$11:$D$28,3,FALSE)*F125</f>
        <v>940117.27935516764</v>
      </c>
      <c r="G126" s="131">
        <f>VLOOKUP($B$124,$B$11:$D$28,3,FALSE)*G125</f>
        <v>940117.27935516764</v>
      </c>
      <c r="H126" s="131">
        <f>SUM(C126:G126)</f>
        <v>4700586.396775838</v>
      </c>
      <c r="I126" s="1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row>
    <row r="127" spans="1:71" s="8" customFormat="1">
      <c r="A127" s="15"/>
      <c r="B127" s="33"/>
      <c r="C127" s="58"/>
      <c r="D127" s="58"/>
      <c r="E127" s="58"/>
      <c r="F127" s="58"/>
      <c r="G127" s="58"/>
      <c r="H127" s="15"/>
      <c r="I127" s="17"/>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row>
    <row r="128" spans="1:71" s="8" customFormat="1">
      <c r="A128" s="15"/>
      <c r="B128" s="63"/>
      <c r="C128" s="26"/>
      <c r="D128" s="26"/>
      <c r="E128" s="26"/>
      <c r="F128" s="26"/>
      <c r="G128" s="26"/>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row>
    <row r="129" spans="1:71" s="8" customFormat="1">
      <c r="A129" s="15"/>
      <c r="B129" s="32" t="str">
        <f>B12</f>
        <v xml:space="preserve">Special Meter Reading </v>
      </c>
      <c r="C129" s="60"/>
      <c r="D129" s="60"/>
      <c r="E129" s="60"/>
      <c r="F129" s="60"/>
      <c r="G129" s="60"/>
      <c r="H129" s="60"/>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row>
    <row r="130" spans="1:71" s="2" customFormat="1">
      <c r="A130" s="7"/>
      <c r="B130" s="33" t="s">
        <v>24</v>
      </c>
      <c r="C130" s="197">
        <v>425000</v>
      </c>
      <c r="D130" s="197">
        <f>C130*(1+E$273)</f>
        <v>388753.70147666952</v>
      </c>
      <c r="E130" s="197">
        <f>D130*(1+F$273)</f>
        <v>352507.40295333904</v>
      </c>
      <c r="F130" s="197">
        <f>E130*(1+G$273)</f>
        <v>316261.10443000862</v>
      </c>
      <c r="G130" s="197">
        <f>F130*(1+H$273)</f>
        <v>280014.80590667814</v>
      </c>
      <c r="H130" s="31">
        <f>SUM(C130:G130)</f>
        <v>1762537.0147666954</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row>
    <row r="131" spans="1:71" s="2" customFormat="1">
      <c r="A131" s="15"/>
      <c r="B131" s="33" t="s">
        <v>259</v>
      </c>
      <c r="C131" s="131">
        <f>VLOOKUP($B129,$B$11:$D$28,3,FALSE)*C130</f>
        <v>4617888.8188268356</v>
      </c>
      <c r="D131" s="131">
        <f t="shared" ref="D131:G131" si="7">VLOOKUP($B129,$B$11:$D$28,3,FALSE)*D130</f>
        <v>4224050.2854744885</v>
      </c>
      <c r="E131" s="131">
        <f t="shared" si="7"/>
        <v>3830211.7521221419</v>
      </c>
      <c r="F131" s="131">
        <f t="shared" si="7"/>
        <v>3436373.2187697957</v>
      </c>
      <c r="G131" s="131">
        <f t="shared" si="7"/>
        <v>3042534.6854174486</v>
      </c>
      <c r="H131" s="131">
        <f>SUM(C131:G131)</f>
        <v>19151058.760610711</v>
      </c>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row>
    <row r="132" spans="1:71" s="8" customFormat="1">
      <c r="A132" s="15"/>
      <c r="B132" s="33"/>
      <c r="C132" s="58"/>
      <c r="D132" s="58"/>
      <c r="E132" s="58"/>
      <c r="F132" s="58"/>
      <c r="G132" s="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row>
    <row r="133" spans="1:71" s="8" customFormat="1">
      <c r="A133" s="15"/>
      <c r="B133" s="30"/>
      <c r="C133" s="26"/>
      <c r="D133" s="26"/>
      <c r="E133" s="26"/>
      <c r="F133" s="26"/>
      <c r="G133" s="26"/>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row>
    <row r="134" spans="1:71" s="8" customFormat="1">
      <c r="A134" s="15"/>
      <c r="B134" s="32" t="str">
        <f>B13</f>
        <v xml:space="preserve">Type 5-6 Meter Test </v>
      </c>
      <c r="C134" s="60"/>
      <c r="D134" s="60"/>
      <c r="E134" s="60"/>
      <c r="F134" s="60"/>
      <c r="G134" s="60"/>
      <c r="H134" s="6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row>
    <row r="135" spans="1:71" s="2" customFormat="1">
      <c r="A135" s="7"/>
      <c r="B135" s="33" t="s">
        <v>24</v>
      </c>
      <c r="C135" s="197">
        <v>1500</v>
      </c>
      <c r="D135" s="197">
        <f>C135*(1+E$273)</f>
        <v>1372.071887564716</v>
      </c>
      <c r="E135" s="197">
        <f>D135*(1+F$273)</f>
        <v>1244.143775129432</v>
      </c>
      <c r="F135" s="197">
        <f>E135*(1+G$273)</f>
        <v>1116.215662694148</v>
      </c>
      <c r="G135" s="197">
        <f>F135*(1+H$273)</f>
        <v>988.28755025886403</v>
      </c>
      <c r="H135" s="31">
        <f>SUM(C135:G135)</f>
        <v>6220.7188756471605</v>
      </c>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row>
    <row r="136" spans="1:71" s="2" customFormat="1">
      <c r="A136" s="15"/>
      <c r="B136" s="33" t="s">
        <v>259</v>
      </c>
      <c r="C136" s="131">
        <f>'AER FD Fee Breakdown'!$H$25*C135</f>
        <v>665235</v>
      </c>
      <c r="D136" s="131">
        <f>'AER FD Fee Breakdown'!$H$25*D135</f>
        <v>608500.16141607589</v>
      </c>
      <c r="E136" s="131">
        <f>'AER FD Fee Breakdown'!$H$25*E135</f>
        <v>551765.32283215178</v>
      </c>
      <c r="F136" s="131">
        <f>'AER FD Fee Breakdown'!$H$25*F135</f>
        <v>495030.48424822773</v>
      </c>
      <c r="G136" s="131">
        <f>'AER FD Fee Breakdown'!$H$25*G135</f>
        <v>438295.64566430362</v>
      </c>
      <c r="H136" s="131">
        <f>SUM(C136:G136)</f>
        <v>2758826.6141607589</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row>
    <row r="137" spans="1:71" s="8" customFormat="1">
      <c r="A137" s="15"/>
      <c r="B137" s="33"/>
      <c r="C137" s="57"/>
      <c r="D137" s="58"/>
      <c r="E137" s="58"/>
      <c r="F137" s="58"/>
      <c r="G137" s="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row>
    <row r="138" spans="1:71" s="7" customFormat="1" ht="14.4" customHeight="1"/>
    <row r="139" spans="1:71" s="8" customFormat="1" ht="14.4" customHeight="1">
      <c r="A139" s="15"/>
      <c r="B139" s="32" t="str">
        <f>B14</f>
        <v xml:space="preserve">Franchise current transformer (CT) meter install </v>
      </c>
      <c r="C139" s="60"/>
      <c r="D139" s="60"/>
      <c r="E139" s="60"/>
      <c r="F139" s="60"/>
      <c r="G139" s="60"/>
      <c r="H139" s="6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row>
    <row r="140" spans="1:71" s="2" customFormat="1">
      <c r="A140" s="7"/>
      <c r="B140" s="33" t="s">
        <v>24</v>
      </c>
      <c r="C140" s="192"/>
      <c r="D140" s="192"/>
      <c r="E140" s="192"/>
      <c r="F140" s="192"/>
      <c r="G140" s="192"/>
      <c r="H140" s="192"/>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row>
    <row r="141" spans="1:71" s="2" customFormat="1">
      <c r="A141" s="15"/>
      <c r="B141" s="33" t="s">
        <v>259</v>
      </c>
      <c r="C141" s="193" t="s">
        <v>91</v>
      </c>
      <c r="D141" s="193"/>
      <c r="E141" s="193"/>
      <c r="F141" s="193"/>
      <c r="G141" s="193"/>
      <c r="H141" s="193"/>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row>
    <row r="142" spans="1:71" s="8" customFormat="1">
      <c r="A142" s="15"/>
      <c r="B142" s="33"/>
      <c r="C142" s="194"/>
      <c r="D142" s="194"/>
      <c r="E142" s="194"/>
      <c r="F142" s="194"/>
      <c r="G142" s="194"/>
      <c r="H142" s="19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row>
    <row r="143" spans="1:71" s="8" customFormat="1">
      <c r="A143" s="15"/>
      <c r="B143" s="30"/>
      <c r="C143" s="26"/>
      <c r="D143" s="26"/>
      <c r="E143" s="26"/>
      <c r="F143" s="26"/>
      <c r="G143" s="26"/>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row>
    <row r="144" spans="1:71" s="8" customFormat="1">
      <c r="A144" s="15"/>
      <c r="B144" s="32" t="str">
        <f>B15</f>
        <v xml:space="preserve">Types 5-7 non-standard Meter Data Services </v>
      </c>
      <c r="C144" s="60"/>
      <c r="D144" s="60"/>
      <c r="E144" s="60"/>
      <c r="F144" s="60"/>
      <c r="G144" s="60"/>
      <c r="H144" s="6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row>
    <row r="145" spans="1:71" s="2" customFormat="1">
      <c r="A145" s="7"/>
      <c r="B145" s="33" t="s">
        <v>24</v>
      </c>
      <c r="C145" s="198">
        <v>750</v>
      </c>
      <c r="D145" s="197">
        <f>C145*(1+E$273)</f>
        <v>686.035943782358</v>
      </c>
      <c r="E145" s="197">
        <f>D145*(1+F$273)</f>
        <v>622.07188756471601</v>
      </c>
      <c r="F145" s="197">
        <f>E145*(1+G$273)</f>
        <v>558.10783134707401</v>
      </c>
      <c r="G145" s="197">
        <f>F145*(1+H$273)</f>
        <v>494.14377512943202</v>
      </c>
      <c r="H145" s="31">
        <f>SUM(C145:G145)</f>
        <v>3110.3594378235803</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row>
    <row r="146" spans="1:71" s="2" customFormat="1">
      <c r="A146" s="15"/>
      <c r="B146" s="33" t="s">
        <v>259</v>
      </c>
      <c r="C146" s="131">
        <f>VLOOKUP($B144,$B$11:$D$28,3,FALSE)*C145</f>
        <v>11630.923759674948</v>
      </c>
      <c r="D146" s="131">
        <f t="shared" ref="D146:G146" si="8">VLOOKUP($B144,$B$11:$D$28,3,FALSE)*D145</f>
        <v>10638.975678039005</v>
      </c>
      <c r="E146" s="131">
        <f t="shared" si="8"/>
        <v>9647.0275964030643</v>
      </c>
      <c r="F146" s="131">
        <f t="shared" si="8"/>
        <v>8655.0795147671215</v>
      </c>
      <c r="G146" s="131">
        <f t="shared" si="8"/>
        <v>7663.1314331311805</v>
      </c>
      <c r="H146" s="131">
        <f>SUM(C146:G146)</f>
        <v>48235.137982015323</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row>
    <row r="147" spans="1:71" s="8" customFormat="1">
      <c r="A147" s="15"/>
      <c r="B147" s="33"/>
      <c r="C147" s="58"/>
      <c r="D147" s="58"/>
      <c r="E147" s="58"/>
      <c r="F147" s="58"/>
      <c r="G147" s="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row>
    <row r="148" spans="1:71" s="8" customFormat="1">
      <c r="A148" s="15"/>
      <c r="B148" s="30"/>
      <c r="C148" s="26"/>
      <c r="D148" s="26"/>
      <c r="E148" s="26"/>
      <c r="F148" s="26"/>
      <c r="G148" s="26"/>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row>
    <row r="149" spans="1:71" s="8" customFormat="1">
      <c r="A149" s="15"/>
      <c r="B149" s="32" t="str">
        <f>B16</f>
        <v xml:space="preserve">Emergency maintenance of failed metering equipment not owned by the network </v>
      </c>
      <c r="C149" s="60"/>
      <c r="D149" s="60"/>
      <c r="E149" s="60"/>
      <c r="F149" s="60"/>
      <c r="G149" s="60"/>
      <c r="H149" s="6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row>
    <row r="150" spans="1:71" s="2" customFormat="1">
      <c r="A150" s="7"/>
      <c r="B150" s="33" t="s">
        <v>24</v>
      </c>
      <c r="C150" s="31">
        <v>500</v>
      </c>
      <c r="D150" s="31">
        <v>500</v>
      </c>
      <c r="E150" s="31">
        <v>500</v>
      </c>
      <c r="F150" s="31">
        <v>500</v>
      </c>
      <c r="G150" s="31">
        <v>500</v>
      </c>
      <c r="H150" s="31">
        <f>SUM(C150:G150)</f>
        <v>2500</v>
      </c>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row>
    <row r="151" spans="1:71" s="2" customFormat="1">
      <c r="A151" s="15"/>
      <c r="B151" s="33" t="s">
        <v>259</v>
      </c>
      <c r="C151" s="131">
        <f>VLOOKUP($B149,$B$11:$D$28,3,FALSE)*C150</f>
        <v>87900.517090471854</v>
      </c>
      <c r="D151" s="131">
        <f t="shared" ref="D151:G151" si="9">VLOOKUP($B149,$B$11:$D$28,3,FALSE)*D150</f>
        <v>87900.517090471854</v>
      </c>
      <c r="E151" s="131">
        <f t="shared" si="9"/>
        <v>87900.517090471854</v>
      </c>
      <c r="F151" s="131">
        <f t="shared" si="9"/>
        <v>87900.517090471854</v>
      </c>
      <c r="G151" s="131">
        <f t="shared" si="9"/>
        <v>87900.517090471854</v>
      </c>
      <c r="H151" s="131">
        <f>SUM(C151:G151)</f>
        <v>439502.58545235929</v>
      </c>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row>
    <row r="152" spans="1:71" s="8" customFormat="1">
      <c r="A152" s="15"/>
      <c r="B152" s="33"/>
      <c r="C152" s="58"/>
      <c r="D152" s="58"/>
      <c r="E152" s="58"/>
      <c r="F152" s="58"/>
      <c r="G152" s="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row>
    <row r="153" spans="1:71" s="8" customFormat="1">
      <c r="A153" s="15"/>
      <c r="B153" s="30"/>
      <c r="C153" s="26"/>
      <c r="D153" s="26"/>
      <c r="E153" s="26"/>
      <c r="F153" s="26"/>
      <c r="G153" s="26"/>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row>
    <row r="154" spans="1:71" s="8" customFormat="1">
      <c r="A154" s="15"/>
      <c r="B154" s="32" t="str">
        <f>B17</f>
        <v xml:space="preserve">Off peak conversion </v>
      </c>
      <c r="C154" s="60"/>
      <c r="D154" s="60"/>
      <c r="E154" s="60"/>
      <c r="F154" s="60"/>
      <c r="G154" s="60"/>
      <c r="H154" s="6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row>
    <row r="155" spans="1:71" s="2" customFormat="1">
      <c r="A155" s="7"/>
      <c r="B155" s="33" t="s">
        <v>24</v>
      </c>
      <c r="C155" s="197">
        <v>800</v>
      </c>
      <c r="D155" s="197">
        <f>C155*(1+E$273)</f>
        <v>731.77167336784851</v>
      </c>
      <c r="E155" s="197">
        <f>D155*(1+F$273)</f>
        <v>663.54334673569701</v>
      </c>
      <c r="F155" s="197">
        <f>E155*(1+G$273)</f>
        <v>595.31502010354563</v>
      </c>
      <c r="G155" s="197">
        <f>F155*(1+H$273)</f>
        <v>527.08669347139426</v>
      </c>
      <c r="H155" s="31">
        <f>SUM(C155:G155)</f>
        <v>3317.7167336784851</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row>
    <row r="156" spans="1:71" s="2" customFormat="1">
      <c r="A156" s="15"/>
      <c r="B156" s="33" t="s">
        <v>259</v>
      </c>
      <c r="C156" s="131">
        <f>VLOOKUP($B154,$B$11:$D$28,3,FALSE)*C155</f>
        <v>118264.00000000001</v>
      </c>
      <c r="D156" s="131">
        <f t="shared" ref="D156:G156" si="10">VLOOKUP($B154,$B$11:$D$28,3,FALSE)*D155</f>
        <v>108177.80647396906</v>
      </c>
      <c r="E156" s="131">
        <f t="shared" si="10"/>
        <v>98091.612947938091</v>
      </c>
      <c r="F156" s="131">
        <f t="shared" si="10"/>
        <v>88005.419421907165</v>
      </c>
      <c r="G156" s="131">
        <f t="shared" si="10"/>
        <v>77919.225895876225</v>
      </c>
      <c r="H156" s="131">
        <f>SUM(C156:G156)</f>
        <v>490458.06473969057</v>
      </c>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row>
    <row r="157" spans="1:71" s="8" customFormat="1">
      <c r="A157" s="15"/>
      <c r="B157" s="33"/>
      <c r="C157" s="57"/>
      <c r="D157" s="58"/>
      <c r="E157" s="58"/>
      <c r="F157" s="58"/>
      <c r="G157" s="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row>
    <row r="158" spans="1:71" s="8" customFormat="1">
      <c r="A158" s="15"/>
      <c r="B158" s="33"/>
      <c r="C158" s="57"/>
      <c r="D158" s="58"/>
      <c r="E158" s="58"/>
      <c r="F158" s="58"/>
      <c r="G158" s="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row>
    <row r="159" spans="1:71" s="8" customFormat="1">
      <c r="A159" s="15"/>
      <c r="B159" s="32" t="str">
        <f>B18</f>
        <v xml:space="preserve">Disconnection Visit (Site Visit Only) </v>
      </c>
      <c r="C159" s="60"/>
      <c r="D159" s="60"/>
      <c r="E159" s="60"/>
      <c r="F159" s="60"/>
      <c r="G159" s="60"/>
      <c r="H159" s="6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row>
    <row r="160" spans="1:71" s="8" customFormat="1">
      <c r="A160" s="15"/>
      <c r="B160" s="33" t="s">
        <v>24</v>
      </c>
      <c r="C160" s="197">
        <v>3500</v>
      </c>
      <c r="D160" s="197">
        <f>C160*(1+E$273)</f>
        <v>3201.5010709843373</v>
      </c>
      <c r="E160" s="197">
        <f>D160*(1+F$273)</f>
        <v>2903.0021419686746</v>
      </c>
      <c r="F160" s="197">
        <f>E160*(1+G$273)</f>
        <v>2604.5032129530118</v>
      </c>
      <c r="G160" s="197">
        <f>F160*(1+H$273)</f>
        <v>2306.0042839373496</v>
      </c>
      <c r="H160" s="31">
        <f>SUM(C160:G160)</f>
        <v>14515.010709843373</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row>
    <row r="161" spans="1:71" s="8" customFormat="1">
      <c r="A161" s="15"/>
      <c r="B161" s="33" t="s">
        <v>259</v>
      </c>
      <c r="C161" s="131">
        <f>'AER FD Fee Breakdown'!$H$66*C160</f>
        <v>362183.50000000006</v>
      </c>
      <c r="D161" s="131">
        <f>'AER FD Fee Breakdown'!$H$66*D160</f>
        <v>331294.53232653026</v>
      </c>
      <c r="E161" s="131">
        <f>'AER FD Fee Breakdown'!$H$66*E160</f>
        <v>300405.56465306046</v>
      </c>
      <c r="F161" s="131">
        <f>'AER FD Fee Breakdown'!$H$66*F160</f>
        <v>269516.59697959066</v>
      </c>
      <c r="G161" s="131">
        <f>'AER FD Fee Breakdown'!$H$66*G160</f>
        <v>238627.62930612089</v>
      </c>
      <c r="H161" s="131">
        <f>SUM(C161:G161)</f>
        <v>1502027.8232653022</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row>
    <row r="162" spans="1:71" s="8" customFormat="1">
      <c r="A162" s="15"/>
      <c r="B162" s="33"/>
      <c r="C162" s="58"/>
      <c r="D162" s="58"/>
      <c r="E162" s="58"/>
      <c r="F162" s="58"/>
      <c r="G162" s="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row>
    <row r="163" spans="1:71" s="8" customFormat="1">
      <c r="A163" s="15"/>
      <c r="B163" s="63"/>
      <c r="C163" s="26"/>
      <c r="D163" s="26"/>
      <c r="E163" s="26"/>
      <c r="F163" s="26"/>
      <c r="G163" s="26"/>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row>
    <row r="164" spans="1:71" s="8" customFormat="1">
      <c r="A164" s="15"/>
      <c r="B164" s="32" t="str">
        <f>B19</f>
        <v xml:space="preserve">Disconnection Completed </v>
      </c>
      <c r="C164" s="60"/>
      <c r="D164" s="60"/>
      <c r="E164" s="60"/>
      <c r="F164" s="60"/>
      <c r="G164" s="60"/>
      <c r="H164" s="60"/>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row>
    <row r="165" spans="1:71" s="8" customFormat="1">
      <c r="A165" s="15"/>
      <c r="B165" s="33" t="s">
        <v>24</v>
      </c>
      <c r="C165" s="197">
        <v>10000</v>
      </c>
      <c r="D165" s="197">
        <f>C165*(1+E$273)</f>
        <v>9147.145917098107</v>
      </c>
      <c r="E165" s="197">
        <f>D165*(1+F$273)</f>
        <v>8294.291834196214</v>
      </c>
      <c r="F165" s="197">
        <f>E165*(1+G$273)</f>
        <v>7441.4377512943211</v>
      </c>
      <c r="G165" s="197">
        <f>F165*(1+H$273)</f>
        <v>6588.5836683924281</v>
      </c>
      <c r="H165" s="31">
        <f>SUM(C165:G165)</f>
        <v>41471.45917098107</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row>
    <row r="166" spans="1:71" s="8" customFormat="1">
      <c r="A166" s="15"/>
      <c r="B166" s="33" t="s">
        <v>259</v>
      </c>
      <c r="C166" s="131">
        <f>'AER FD Fee Breakdown'!$H$74*C165</f>
        <v>739150.00000000012</v>
      </c>
      <c r="D166" s="131">
        <f>'AER FD Fee Breakdown'!$H$74*D165</f>
        <v>676111.29046230658</v>
      </c>
      <c r="E166" s="131">
        <f>'AER FD Fee Breakdown'!$H$74*E165</f>
        <v>613072.58092461317</v>
      </c>
      <c r="F166" s="131">
        <f>'AER FD Fee Breakdown'!$H$74*F165</f>
        <v>550033.87138691975</v>
      </c>
      <c r="G166" s="131">
        <f>'AER FD Fee Breakdown'!$H$74*G165</f>
        <v>486995.16184922634</v>
      </c>
      <c r="H166" s="131">
        <f>SUM(C166:G166)</f>
        <v>3065362.9046230661</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row>
    <row r="167" spans="1:71" s="8" customFormat="1">
      <c r="A167" s="15"/>
      <c r="B167" s="33"/>
      <c r="C167" s="58"/>
      <c r="D167" s="58"/>
      <c r="E167" s="58"/>
      <c r="F167" s="58"/>
      <c r="G167" s="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row>
    <row r="168" spans="1:71" s="8" customFormat="1">
      <c r="A168" s="15"/>
      <c r="B168" s="30"/>
      <c r="C168" s="26"/>
      <c r="D168" s="26"/>
      <c r="E168" s="26"/>
      <c r="F168" s="26"/>
      <c r="G168" s="26"/>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row>
    <row r="169" spans="1:71" s="8" customFormat="1">
      <c r="A169" s="15"/>
      <c r="B169" s="32" t="str">
        <f>B20</f>
        <v xml:space="preserve">Disconnection Visit (Disconnection Completed- Technical/ Advanced) </v>
      </c>
      <c r="C169" s="60"/>
      <c r="D169" s="60"/>
      <c r="E169" s="60"/>
      <c r="F169" s="60"/>
      <c r="G169" s="60"/>
      <c r="H169" s="60"/>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row>
    <row r="170" spans="1:71" s="8" customFormat="1">
      <c r="A170" s="15"/>
      <c r="B170" s="33" t="s">
        <v>24</v>
      </c>
      <c r="C170" s="197">
        <v>200</v>
      </c>
      <c r="D170" s="197">
        <f>C170*(1+E$273)</f>
        <v>182.94291834196213</v>
      </c>
      <c r="E170" s="197">
        <f>D170*(1+F$273)</f>
        <v>165.88583668392425</v>
      </c>
      <c r="F170" s="197">
        <f>E170*(1+G$273)</f>
        <v>148.82875502588641</v>
      </c>
      <c r="G170" s="197">
        <f>F170*(1+H$273)</f>
        <v>131.77167336784856</v>
      </c>
      <c r="H170" s="31">
        <f>SUM(C170:G170)</f>
        <v>829.42918341962127</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row>
    <row r="171" spans="1:71" s="8" customFormat="1">
      <c r="A171" s="15"/>
      <c r="B171" s="33" t="s">
        <v>259</v>
      </c>
      <c r="C171" s="131">
        <f>'AER FD Fee Breakdown'!$H$82*C170</f>
        <v>29566.000000000004</v>
      </c>
      <c r="D171" s="131">
        <f>'AER FD Fee Breakdown'!$H$82*D170</f>
        <v>27044.451618492265</v>
      </c>
      <c r="E171" s="131">
        <f>'AER FD Fee Breakdown'!$H$82*E170</f>
        <v>24522.903236984523</v>
      </c>
      <c r="F171" s="131">
        <f>'AER FD Fee Breakdown'!$H$82*F170</f>
        <v>22001.354855476791</v>
      </c>
      <c r="G171" s="131">
        <f>'AER FD Fee Breakdown'!$H$82*G170</f>
        <v>19479.806473969056</v>
      </c>
      <c r="H171" s="131">
        <f>SUM(C171:G171)</f>
        <v>122614.51618492264</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row>
    <row r="172" spans="1:71" s="8" customFormat="1">
      <c r="A172" s="15"/>
      <c r="B172" s="33"/>
      <c r="C172" s="57"/>
      <c r="D172" s="58"/>
      <c r="E172" s="58"/>
      <c r="F172" s="58"/>
      <c r="G172" s="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row>
    <row r="173" spans="1:71" s="8" customFormat="1">
      <c r="A173" s="15"/>
      <c r="B173" s="7"/>
      <c r="C173" s="7"/>
      <c r="D173" s="7"/>
      <c r="E173" s="7"/>
      <c r="F173" s="7"/>
      <c r="G173" s="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row>
    <row r="174" spans="1:71" s="8" customFormat="1">
      <c r="A174" s="15"/>
      <c r="B174" s="32" t="str">
        <f>B21</f>
        <v xml:space="preserve">Pillar/ Pole Top Disconnection Completed </v>
      </c>
      <c r="C174" s="60"/>
      <c r="D174" s="60"/>
      <c r="E174" s="60"/>
      <c r="F174" s="60"/>
      <c r="G174" s="60"/>
      <c r="H174" s="6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row>
    <row r="175" spans="1:71" s="8" customFormat="1">
      <c r="A175" s="15"/>
      <c r="B175" s="33" t="s">
        <v>24</v>
      </c>
      <c r="C175" s="197">
        <v>50</v>
      </c>
      <c r="D175" s="197">
        <f>C175*(1+E$273)</f>
        <v>45.735729585490532</v>
      </c>
      <c r="E175" s="197">
        <f>D175*(1+F$273)</f>
        <v>41.471459170981063</v>
      </c>
      <c r="F175" s="197">
        <f>E175*(1+G$273)</f>
        <v>37.207188756471602</v>
      </c>
      <c r="G175" s="197">
        <f>F175*(1+H$273)</f>
        <v>32.942918341962141</v>
      </c>
      <c r="H175" s="31">
        <f>SUM(C175:G175)</f>
        <v>207.35729585490532</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row>
    <row r="176" spans="1:71" s="8" customFormat="1">
      <c r="A176" s="15"/>
      <c r="B176" s="33" t="s">
        <v>259</v>
      </c>
      <c r="C176" s="131">
        <f>VLOOKUP($B174,$B$11:$D$28,3,FALSE)*C175</f>
        <v>12935.125000000002</v>
      </c>
      <c r="D176" s="131">
        <f t="shared" ref="D176:G176" si="11">VLOOKUP($B174,$B$11:$D$28,3,FALSE)*D175</f>
        <v>11831.947583090367</v>
      </c>
      <c r="E176" s="131">
        <f t="shared" si="11"/>
        <v>10728.77016618073</v>
      </c>
      <c r="F176" s="131">
        <f t="shared" si="11"/>
        <v>9625.5927492710962</v>
      </c>
      <c r="G176" s="131">
        <f t="shared" si="11"/>
        <v>8522.4153323614628</v>
      </c>
      <c r="H176" s="131">
        <f>SUM(C176:G176)</f>
        <v>53643.850830903655</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row>
    <row r="177" spans="1:71" s="8" customFormat="1">
      <c r="A177" s="15"/>
      <c r="B177" s="33"/>
      <c r="C177" s="58"/>
      <c r="D177" s="58"/>
      <c r="E177" s="58"/>
      <c r="F177" s="58"/>
      <c r="G177" s="58"/>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row>
    <row r="178" spans="1:71" s="8" customFormat="1">
      <c r="A178" s="15"/>
      <c r="B178" s="30"/>
      <c r="C178" s="26"/>
      <c r="D178" s="26"/>
      <c r="E178" s="26"/>
      <c r="F178" s="26"/>
      <c r="G178" s="26"/>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row>
    <row r="179" spans="1:71" s="8" customFormat="1">
      <c r="A179" s="15"/>
      <c r="B179" s="32" t="str">
        <f>B22</f>
        <v xml:space="preserve">Pillar/Pole Top Site Visit </v>
      </c>
      <c r="C179" s="60"/>
      <c r="D179" s="60"/>
      <c r="E179" s="60"/>
      <c r="F179" s="60"/>
      <c r="G179" s="60"/>
      <c r="H179" s="6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row>
    <row r="180" spans="1:71" s="8" customFormat="1">
      <c r="A180" s="15"/>
      <c r="B180" s="33" t="s">
        <v>24</v>
      </c>
      <c r="C180" s="198">
        <v>33</v>
      </c>
      <c r="D180" s="197">
        <f>C180*(1+E$273)</f>
        <v>30.18558152642375</v>
      </c>
      <c r="E180" s="197">
        <f>D180*(1+F$273)</f>
        <v>27.3711630528475</v>
      </c>
      <c r="F180" s="197">
        <f>E180*(1+G$273)</f>
        <v>24.556744579271253</v>
      </c>
      <c r="G180" s="197">
        <f>F180*(1+H$273)</f>
        <v>21.742326105695007</v>
      </c>
      <c r="H180" s="31">
        <f>SUM(C180:G180)</f>
        <v>136.85581526423752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row>
    <row r="181" spans="1:71" s="8" customFormat="1">
      <c r="A181" s="15"/>
      <c r="B181" s="33" t="s">
        <v>259</v>
      </c>
      <c r="C181" s="131">
        <f>VLOOKUP($B179,$B$11:$D$28,3,FALSE)*C180</f>
        <v>11446.342765692772</v>
      </c>
      <c r="D181" s="131">
        <f t="shared" ref="D181:G181" si="12">VLOOKUP($B179,$B$11:$D$28,3,FALSE)*D180</f>
        <v>10470.136749491208</v>
      </c>
      <c r="E181" s="131">
        <f t="shared" si="12"/>
        <v>9493.9307332896442</v>
      </c>
      <c r="F181" s="131">
        <f t="shared" si="12"/>
        <v>8517.7247170880819</v>
      </c>
      <c r="G181" s="131">
        <f t="shared" si="12"/>
        <v>7541.5187008865196</v>
      </c>
      <c r="H181" s="131">
        <f>SUM(C181:G181)</f>
        <v>47469.653666448219</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row>
    <row r="182" spans="1:71" s="8" customFormat="1">
      <c r="A182" s="15"/>
      <c r="B182" s="33"/>
      <c r="C182" s="58"/>
      <c r="D182" s="58"/>
      <c r="E182" s="58"/>
      <c r="F182" s="58"/>
      <c r="G182" s="58"/>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row>
    <row r="183" spans="1:71" s="8" customFormat="1">
      <c r="A183" s="15"/>
      <c r="B183" s="30"/>
      <c r="C183" s="26"/>
      <c r="D183" s="26"/>
      <c r="E183" s="26"/>
      <c r="F183" s="26"/>
      <c r="G183" s="26"/>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row>
    <row r="184" spans="1:71" s="8" customFormat="1">
      <c r="A184" s="15"/>
      <c r="B184" s="32" t="str">
        <f>B23</f>
        <v xml:space="preserve">Reconnection/ Disconnection Outside Normal Business Hours </v>
      </c>
      <c r="C184" s="60"/>
      <c r="D184" s="60"/>
      <c r="E184" s="60"/>
      <c r="F184" s="60"/>
      <c r="G184" s="60"/>
      <c r="H184" s="6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row>
    <row r="185" spans="1:71" s="8" customFormat="1">
      <c r="A185" s="15"/>
      <c r="B185" s="33" t="s">
        <v>24</v>
      </c>
      <c r="C185" s="197">
        <v>1400</v>
      </c>
      <c r="D185" s="197">
        <f>C185*(1+E$273)</f>
        <v>1280.6004283937348</v>
      </c>
      <c r="E185" s="197">
        <f>D185*(1+F$273)</f>
        <v>1161.2008567874698</v>
      </c>
      <c r="F185" s="197">
        <f>E185*(1+G$273)</f>
        <v>1041.8012851812048</v>
      </c>
      <c r="G185" s="197">
        <f>F185*(1+H$273)</f>
        <v>922.40171357493978</v>
      </c>
      <c r="H185" s="31">
        <f>SUM(C185:G185)</f>
        <v>5806.0042839373491</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row>
    <row r="186" spans="1:71" s="8" customFormat="1">
      <c r="A186" s="15"/>
      <c r="B186" s="33" t="s">
        <v>259</v>
      </c>
      <c r="C186" s="131">
        <f>VLOOKUP($B184,$B$11:$D$28,3,FALSE)*C185</f>
        <v>149967.99281431158</v>
      </c>
      <c r="D186" s="131">
        <f t="shared" ref="D186:G186" si="13">VLOOKUP($B184,$B$11:$D$28,3,FALSE)*D185</f>
        <v>137177.91131668282</v>
      </c>
      <c r="E186" s="131">
        <f t="shared" si="13"/>
        <v>124387.8298190541</v>
      </c>
      <c r="F186" s="131">
        <f t="shared" si="13"/>
        <v>111597.74832142536</v>
      </c>
      <c r="G186" s="131">
        <f t="shared" si="13"/>
        <v>98807.666823796622</v>
      </c>
      <c r="H186" s="131">
        <f>SUM(C186:G186)</f>
        <v>621939.14909527043</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row>
    <row r="187" spans="1:71" s="8" customFormat="1">
      <c r="A187" s="15"/>
      <c r="B187" s="33"/>
      <c r="C187" s="58"/>
      <c r="D187" s="58"/>
      <c r="E187" s="58"/>
      <c r="F187" s="58"/>
      <c r="G187" s="58"/>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row>
    <row r="188" spans="1:71" s="8" customFormat="1">
      <c r="A188" s="15"/>
      <c r="B188" s="30"/>
      <c r="C188" s="26"/>
      <c r="D188" s="26"/>
      <c r="E188" s="26"/>
      <c r="F188" s="26"/>
      <c r="G188" s="26"/>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row>
    <row r="189" spans="1:71" s="7" customFormat="1">
      <c r="B189" s="32" t="str">
        <f>B24</f>
        <v xml:space="preserve">Network Tariff Change Request </v>
      </c>
      <c r="C189" s="60"/>
      <c r="D189" s="60"/>
      <c r="E189" s="60"/>
      <c r="F189" s="60"/>
      <c r="G189" s="60"/>
      <c r="H189" s="60"/>
    </row>
    <row r="190" spans="1:71" s="7" customFormat="1">
      <c r="B190" s="33" t="s">
        <v>24</v>
      </c>
      <c r="C190" s="31">
        <v>50</v>
      </c>
      <c r="D190" s="31">
        <v>50</v>
      </c>
      <c r="E190" s="31">
        <v>50</v>
      </c>
      <c r="F190" s="31">
        <v>50</v>
      </c>
      <c r="G190" s="31">
        <v>50</v>
      </c>
      <c r="H190" s="31">
        <f>SUM(C190:G190)</f>
        <v>250</v>
      </c>
    </row>
    <row r="191" spans="1:71" s="2" customFormat="1">
      <c r="A191" s="7"/>
      <c r="B191" s="33" t="s">
        <v>259</v>
      </c>
      <c r="C191" s="131">
        <f>VLOOKUP($B189,$B$11:$D$28,3,FALSE)*C190</f>
        <v>2556.5</v>
      </c>
      <c r="D191" s="131">
        <f t="shared" ref="D191:G191" si="14">VLOOKUP($B189,$B$11:$D$28,3,FALSE)*D190</f>
        <v>2556.5</v>
      </c>
      <c r="E191" s="131">
        <f t="shared" si="14"/>
        <v>2556.5</v>
      </c>
      <c r="F191" s="131">
        <f t="shared" si="14"/>
        <v>2556.5</v>
      </c>
      <c r="G191" s="131">
        <f t="shared" si="14"/>
        <v>2556.5</v>
      </c>
      <c r="H191" s="131">
        <f>SUM(C191:G191)</f>
        <v>12782.5</v>
      </c>
      <c r="I191" s="61"/>
      <c r="J191" s="181"/>
      <c r="K191" s="181"/>
      <c r="L191" s="181"/>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row>
    <row r="192" spans="1:71" s="2" customFormat="1">
      <c r="A192" s="7"/>
      <c r="B192" s="33"/>
      <c r="C192" s="57"/>
      <c r="D192" s="58"/>
      <c r="E192" s="58"/>
      <c r="F192" s="58"/>
      <c r="G192" s="58"/>
      <c r="H192" s="181"/>
      <c r="I192" s="181"/>
      <c r="J192" s="181"/>
      <c r="K192" s="181"/>
      <c r="L192" s="181"/>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row>
    <row r="193" spans="1:71" s="2" customFormat="1">
      <c r="A193" s="7"/>
      <c r="B193" s="33"/>
      <c r="C193" s="57"/>
      <c r="D193" s="58"/>
      <c r="E193" s="58"/>
      <c r="F193" s="58"/>
      <c r="G193" s="58"/>
      <c r="H193" s="181"/>
      <c r="I193" s="181"/>
      <c r="J193" s="181"/>
      <c r="K193" s="181"/>
      <c r="L193" s="181"/>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row>
    <row r="194" spans="1:71" s="2" customFormat="1">
      <c r="A194" s="7"/>
      <c r="B194" s="32" t="str">
        <f>B25</f>
        <v xml:space="preserve">Recovery of Debt Collection Costs- Dishonoured Transactions </v>
      </c>
      <c r="C194" s="13"/>
      <c r="D194" s="13"/>
      <c r="E194" s="13"/>
      <c r="F194" s="13"/>
      <c r="G194" s="13"/>
      <c r="H194" s="13"/>
      <c r="I194" s="61"/>
      <c r="J194" s="181"/>
      <c r="K194" s="181"/>
      <c r="L194" s="181"/>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row>
    <row r="195" spans="1:71" s="2" customFormat="1">
      <c r="A195" s="7"/>
      <c r="B195" s="33" t="s">
        <v>24</v>
      </c>
      <c r="C195" s="31">
        <v>50</v>
      </c>
      <c r="D195" s="31">
        <v>50</v>
      </c>
      <c r="E195" s="31">
        <v>50</v>
      </c>
      <c r="F195" s="31">
        <v>50</v>
      </c>
      <c r="G195" s="31">
        <v>50</v>
      </c>
      <c r="H195" s="31">
        <f>SUM(C195:G195)</f>
        <v>250</v>
      </c>
      <c r="I195" s="7"/>
      <c r="J195" s="181"/>
      <c r="K195" s="181"/>
      <c r="L195" s="181"/>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row>
    <row r="196" spans="1:71" s="2" customFormat="1">
      <c r="A196" s="7"/>
      <c r="B196" s="33" t="s">
        <v>259</v>
      </c>
      <c r="C196" s="131">
        <f>VLOOKUP($B194,$B$11:$D$28,3,FALSE)*C195</f>
        <v>1368.0141708173953</v>
      </c>
      <c r="D196" s="131">
        <f t="shared" ref="D196:G196" si="15">VLOOKUP($B194,$B$11:$D$28,3,FALSE)*D195</f>
        <v>1368.0141708173953</v>
      </c>
      <c r="E196" s="131">
        <f t="shared" si="15"/>
        <v>1368.0141708173953</v>
      </c>
      <c r="F196" s="131">
        <f t="shared" si="15"/>
        <v>1368.0141708173953</v>
      </c>
      <c r="G196" s="131">
        <f t="shared" si="15"/>
        <v>1368.0141708173953</v>
      </c>
      <c r="H196" s="131">
        <f>SUM(C196:G196)</f>
        <v>6840.0708540869764</v>
      </c>
      <c r="I196" s="7"/>
      <c r="J196" s="181"/>
      <c r="K196" s="181"/>
      <c r="L196" s="181"/>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row>
    <row r="197" spans="1:71" s="2" customFormat="1">
      <c r="A197" s="7"/>
      <c r="B197" s="33"/>
      <c r="C197" s="7"/>
      <c r="D197" s="7"/>
      <c r="E197" s="7"/>
      <c r="F197" s="7"/>
      <c r="G197" s="7"/>
      <c r="H197" s="7"/>
      <c r="I197" s="7"/>
      <c r="J197" s="181"/>
      <c r="K197" s="181"/>
      <c r="L197" s="181"/>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row>
    <row r="198" spans="1:71" s="2" customFormat="1">
      <c r="A198" s="7"/>
      <c r="B198" s="33"/>
      <c r="C198" s="7"/>
      <c r="D198" s="7"/>
      <c r="E198" s="7"/>
      <c r="F198" s="7"/>
      <c r="G198" s="7"/>
      <c r="H198" s="7"/>
      <c r="I198" s="7"/>
      <c r="J198" s="181"/>
      <c r="K198" s="181"/>
      <c r="L198" s="181"/>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row>
    <row r="199" spans="1:71" s="2" customFormat="1">
      <c r="A199" s="7"/>
      <c r="B199" s="32" t="str">
        <f>B26</f>
        <v xml:space="preserve">Attendance at customers' premises to perform a statutory right where access is prevented  </v>
      </c>
      <c r="C199" s="13"/>
      <c r="D199" s="13"/>
      <c r="E199" s="13"/>
      <c r="F199" s="13"/>
      <c r="G199" s="13"/>
      <c r="H199" s="13"/>
      <c r="I199" s="7"/>
      <c r="J199" s="181"/>
      <c r="K199" s="181"/>
      <c r="L199" s="181"/>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row>
    <row r="200" spans="1:71" s="2" customFormat="1">
      <c r="A200" s="7"/>
      <c r="B200" s="33" t="s">
        <v>24</v>
      </c>
      <c r="C200" s="31">
        <v>50</v>
      </c>
      <c r="D200" s="31">
        <v>50</v>
      </c>
      <c r="E200" s="31">
        <v>50</v>
      </c>
      <c r="F200" s="31">
        <v>50</v>
      </c>
      <c r="G200" s="31">
        <v>50</v>
      </c>
      <c r="H200" s="31">
        <f>SUM(C200:G200)</f>
        <v>250</v>
      </c>
      <c r="I200" s="7"/>
      <c r="J200" s="181"/>
      <c r="K200" s="181"/>
      <c r="L200" s="181"/>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row>
    <row r="201" spans="1:71" s="2" customFormat="1">
      <c r="A201" s="7"/>
      <c r="B201" s="33" t="s">
        <v>259</v>
      </c>
      <c r="C201" s="131">
        <f>VLOOKUP($B199,$B$11:$D$28,3,FALSE)*C200</f>
        <v>4222.902760080583</v>
      </c>
      <c r="D201" s="131">
        <f t="shared" ref="D201:G201" si="16">VLOOKUP($B199,$B$11:$D$28,3,FALSE)*D200</f>
        <v>4222.902760080583</v>
      </c>
      <c r="E201" s="131">
        <f t="shared" si="16"/>
        <v>4222.902760080583</v>
      </c>
      <c r="F201" s="131">
        <f t="shared" si="16"/>
        <v>4222.902760080583</v>
      </c>
      <c r="G201" s="131">
        <f t="shared" si="16"/>
        <v>4222.902760080583</v>
      </c>
      <c r="H201" s="131">
        <f>SUM(C201:G201)</f>
        <v>21114.513800402914</v>
      </c>
      <c r="I201" s="7"/>
      <c r="J201" s="181"/>
      <c r="K201" s="181"/>
      <c r="L201" s="181"/>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row>
    <row r="202" spans="1:71" s="2" customFormat="1">
      <c r="A202" s="7"/>
      <c r="B202" s="33"/>
      <c r="C202" s="7"/>
      <c r="D202" s="7"/>
      <c r="E202" s="7"/>
      <c r="F202" s="7"/>
      <c r="G202" s="7"/>
      <c r="H202" s="7"/>
      <c r="I202" s="7"/>
      <c r="J202" s="181"/>
      <c r="K202" s="181"/>
      <c r="L202" s="181"/>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row>
    <row r="203" spans="1:71" s="2" customFormat="1">
      <c r="A203" s="7"/>
      <c r="B203" s="33"/>
      <c r="C203" s="7"/>
      <c r="D203" s="7"/>
      <c r="E203" s="7"/>
      <c r="F203" s="7"/>
      <c r="G203" s="7"/>
      <c r="H203" s="7"/>
      <c r="I203" s="7"/>
      <c r="J203" s="181"/>
      <c r="K203" s="181"/>
      <c r="L203" s="181"/>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row>
    <row r="204" spans="1:71" s="2" customFormat="1">
      <c r="A204" s="7"/>
      <c r="B204" s="32" t="str">
        <f>B27</f>
        <v xml:space="preserve">Vacant Property Disconnection </v>
      </c>
      <c r="C204" s="13"/>
      <c r="D204" s="13"/>
      <c r="E204" s="13"/>
      <c r="F204" s="13"/>
      <c r="G204" s="13"/>
      <c r="H204" s="13"/>
      <c r="I204" s="7"/>
      <c r="J204" s="181"/>
      <c r="K204" s="181"/>
      <c r="L204" s="181"/>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row>
    <row r="205" spans="1:71" s="2" customFormat="1">
      <c r="A205" s="7"/>
      <c r="B205" s="33" t="s">
        <v>24</v>
      </c>
      <c r="C205" s="197">
        <v>17500</v>
      </c>
      <c r="D205" s="197">
        <f>C205*(1+E$273)</f>
        <v>16007.505354921686</v>
      </c>
      <c r="E205" s="197">
        <f>D205*(1+F$273)</f>
        <v>14515.010709843373</v>
      </c>
      <c r="F205" s="197">
        <f>E205*(1+G$273)</f>
        <v>13022.516064765061</v>
      </c>
      <c r="G205" s="197">
        <f>F205*(1+H$273)</f>
        <v>11530.021419686749</v>
      </c>
      <c r="H205" s="31">
        <f>SUM(C205:G205)</f>
        <v>72575.053549216871</v>
      </c>
      <c r="I205" s="7"/>
      <c r="J205" s="181"/>
      <c r="K205" s="181"/>
      <c r="L205" s="181"/>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row>
    <row r="206" spans="1:71" s="2" customFormat="1">
      <c r="A206" s="7"/>
      <c r="B206" s="33" t="s">
        <v>259</v>
      </c>
      <c r="C206" s="131">
        <f>VLOOKUP($B204,$B$11:$D$28,3,FALSE)*C205</f>
        <v>2669926.3454301315</v>
      </c>
      <c r="D206" s="131">
        <f t="shared" ref="D206:G206" si="17">VLOOKUP($B204,$B$11:$D$28,3,FALSE)*D205</f>
        <v>2442220.5869553895</v>
      </c>
      <c r="E206" s="131">
        <f t="shared" si="17"/>
        <v>2214514.8284806474</v>
      </c>
      <c r="F206" s="131">
        <f t="shared" si="17"/>
        <v>1986809.070005906</v>
      </c>
      <c r="G206" s="131">
        <f t="shared" si="17"/>
        <v>1759103.3115311645</v>
      </c>
      <c r="H206" s="131">
        <f>SUM(C206:G206)</f>
        <v>11072574.142403239</v>
      </c>
      <c r="I206" s="7"/>
      <c r="J206" s="181"/>
      <c r="K206" s="181"/>
      <c r="L206" s="181"/>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row>
    <row r="207" spans="1:71" s="2" customFormat="1">
      <c r="A207" s="7"/>
      <c r="B207" s="33"/>
      <c r="C207" s="7"/>
      <c r="D207" s="7"/>
      <c r="E207" s="7"/>
      <c r="F207" s="7"/>
      <c r="G207" s="7"/>
      <c r="H207" s="7"/>
      <c r="I207" s="7"/>
      <c r="J207" s="181"/>
      <c r="K207" s="181"/>
      <c r="L207" s="181"/>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row>
    <row r="208" spans="1:71" s="2" customFormat="1">
      <c r="A208" s="7"/>
      <c r="B208" s="33"/>
      <c r="C208" s="7"/>
      <c r="D208" s="7"/>
      <c r="E208" s="7"/>
      <c r="F208" s="7"/>
      <c r="G208" s="7"/>
      <c r="H208" s="7"/>
      <c r="I208" s="7"/>
      <c r="J208" s="181"/>
      <c r="K208" s="181"/>
      <c r="L208" s="181"/>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row>
    <row r="209" spans="1:71" s="2" customFormat="1">
      <c r="A209" s="7"/>
      <c r="B209" s="32" t="str">
        <f>B28</f>
        <v xml:space="preserve">Vacant Property Site Visit </v>
      </c>
      <c r="C209" s="13"/>
      <c r="D209" s="13"/>
      <c r="E209" s="13"/>
      <c r="F209" s="13"/>
      <c r="G209" s="13"/>
      <c r="H209" s="13"/>
      <c r="I209" s="7"/>
      <c r="J209" s="181"/>
      <c r="K209" s="181"/>
      <c r="L209" s="181"/>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row>
    <row r="210" spans="1:71" s="2" customFormat="1">
      <c r="A210" s="7"/>
      <c r="B210" s="33" t="s">
        <v>24</v>
      </c>
      <c r="C210" s="197">
        <v>20000</v>
      </c>
      <c r="D210" s="197">
        <f>C210*(1+E$273)</f>
        <v>18294.291834196214</v>
      </c>
      <c r="E210" s="197">
        <f>D210*(1+F$273)</f>
        <v>16588.583668392428</v>
      </c>
      <c r="F210" s="197">
        <f>E210*(1+G$273)</f>
        <v>14882.875502588642</v>
      </c>
      <c r="G210" s="197">
        <f>F210*(1+H$273)</f>
        <v>13177.167336784856</v>
      </c>
      <c r="H210" s="31">
        <f>SUM(C210:G210)</f>
        <v>82942.91834196214</v>
      </c>
      <c r="I210" s="7"/>
      <c r="J210" s="181"/>
      <c r="K210" s="181"/>
      <c r="L210" s="181"/>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row>
    <row r="211" spans="1:71" s="2" customFormat="1">
      <c r="A211" s="7"/>
      <c r="B211" s="33" t="s">
        <v>259</v>
      </c>
      <c r="C211" s="131">
        <f>VLOOKUP($B209,$B$11:$D$28,3,FALSE)*C210</f>
        <v>778871.0188932484</v>
      </c>
      <c r="D211" s="131">
        <f t="shared" ref="D211:G211" si="18">VLOOKUP($B209,$B$11:$D$28,3,FALSE)*D210</f>
        <v>712444.68604154198</v>
      </c>
      <c r="E211" s="131">
        <f t="shared" si="18"/>
        <v>646018.35318983556</v>
      </c>
      <c r="F211" s="131">
        <f t="shared" si="18"/>
        <v>579592.02033812914</v>
      </c>
      <c r="G211" s="131">
        <f t="shared" si="18"/>
        <v>513165.68748642266</v>
      </c>
      <c r="H211" s="131">
        <f>SUM(C211:G211)</f>
        <v>3230091.765949178</v>
      </c>
      <c r="I211" s="7"/>
      <c r="J211" s="181"/>
      <c r="K211" s="181"/>
      <c r="L211" s="181"/>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row>
    <row r="212" spans="1:71" s="2" customFormat="1">
      <c r="A212" s="7"/>
      <c r="B212" s="33"/>
      <c r="C212" s="131"/>
      <c r="D212" s="131"/>
      <c r="E212" s="131"/>
      <c r="F212" s="131"/>
      <c r="G212" s="131"/>
      <c r="H212" s="131"/>
      <c r="I212" s="7"/>
      <c r="J212" s="181"/>
      <c r="K212" s="181"/>
      <c r="L212" s="181"/>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row>
    <row r="213" spans="1:71" s="2" customFormat="1">
      <c r="A213" s="7"/>
      <c r="B213" s="32" t="str">
        <f>B32</f>
        <v>Distributor arranged outage for purpose of replacing metering - Simple</v>
      </c>
      <c r="C213" s="13"/>
      <c r="D213" s="13"/>
      <c r="E213" s="13"/>
      <c r="F213" s="13"/>
      <c r="G213" s="13"/>
      <c r="H213" s="13"/>
      <c r="I213" s="7"/>
      <c r="J213" s="181"/>
      <c r="K213" s="181"/>
      <c r="L213" s="181"/>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row>
    <row r="214" spans="1:71" s="2" customFormat="1">
      <c r="A214" s="7"/>
      <c r="B214" s="33" t="s">
        <v>24</v>
      </c>
      <c r="C214" s="31">
        <v>1000</v>
      </c>
      <c r="D214" s="31">
        <v>1000</v>
      </c>
      <c r="E214" s="31">
        <v>1000</v>
      </c>
      <c r="F214" s="31">
        <v>1000</v>
      </c>
      <c r="G214" s="31">
        <v>1000</v>
      </c>
      <c r="H214" s="31">
        <f>SUM(C214:G214)</f>
        <v>5000</v>
      </c>
      <c r="I214" s="7"/>
      <c r="J214" s="181"/>
      <c r="K214" s="181"/>
      <c r="L214" s="181"/>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row>
    <row r="215" spans="1:71" s="2" customFormat="1">
      <c r="A215" s="7"/>
      <c r="B215" s="33" t="s">
        <v>259</v>
      </c>
      <c r="C215" s="131">
        <f>VLOOKUP($B213,$B$32:$D$39,3,FALSE)*C214</f>
        <v>238788.33333333331</v>
      </c>
      <c r="D215" s="131">
        <f>VLOOKUP($B213,$B$32:$D$39,3,FALSE)*D214</f>
        <v>238788.33333333331</v>
      </c>
      <c r="E215" s="131">
        <f>VLOOKUP($B213,$B$32:$D$39,3,FALSE)*E214</f>
        <v>238788.33333333331</v>
      </c>
      <c r="F215" s="131">
        <f>VLOOKUP($B213,$B$32:$D$39,3,FALSE)*F214</f>
        <v>238788.33333333331</v>
      </c>
      <c r="G215" s="131">
        <f>VLOOKUP($B213,$B$32:$D$39,3,FALSE)*G214</f>
        <v>238788.33333333331</v>
      </c>
      <c r="H215" s="131">
        <f>SUM(C215:G215)</f>
        <v>1193941.6666666665</v>
      </c>
      <c r="I215" s="7"/>
      <c r="J215" s="181"/>
      <c r="K215" s="181"/>
      <c r="L215" s="181"/>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row>
    <row r="216" spans="1:71" s="2" customFormat="1">
      <c r="A216" s="7"/>
      <c r="B216" s="33"/>
      <c r="C216" s="131"/>
      <c r="D216" s="131"/>
      <c r="E216" s="131"/>
      <c r="F216" s="131"/>
      <c r="G216" s="131"/>
      <c r="H216" s="131"/>
      <c r="I216" s="7"/>
      <c r="J216" s="181"/>
      <c r="K216" s="181"/>
      <c r="L216" s="181"/>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row>
    <row r="217" spans="1:71" s="2" customFormat="1">
      <c r="A217" s="7"/>
      <c r="B217" s="32" t="str">
        <f>B33</f>
        <v>Distributor arranged outage for purpose of replacing metering - Complex</v>
      </c>
      <c r="C217" s="13"/>
      <c r="D217" s="13"/>
      <c r="E217" s="13"/>
      <c r="F217" s="13"/>
      <c r="G217" s="13"/>
      <c r="H217" s="13"/>
      <c r="I217" s="7"/>
      <c r="J217" s="181"/>
      <c r="K217" s="181"/>
      <c r="L217" s="181"/>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row>
    <row r="218" spans="1:71" s="2" customFormat="1">
      <c r="A218" s="7"/>
      <c r="B218" s="33" t="s">
        <v>24</v>
      </c>
      <c r="C218" s="31">
        <v>1000</v>
      </c>
      <c r="D218" s="31">
        <v>1000</v>
      </c>
      <c r="E218" s="31">
        <v>1000</v>
      </c>
      <c r="F218" s="31">
        <v>1000</v>
      </c>
      <c r="G218" s="31">
        <v>1000</v>
      </c>
      <c r="H218" s="31">
        <f>SUM(C218:G218)</f>
        <v>5000</v>
      </c>
      <c r="I218" s="7"/>
      <c r="J218" s="181"/>
      <c r="K218" s="181"/>
      <c r="L218" s="181"/>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row>
    <row r="219" spans="1:71" s="2" customFormat="1">
      <c r="A219" s="7"/>
      <c r="B219" s="33" t="s">
        <v>259</v>
      </c>
      <c r="C219" s="131">
        <f>'AER FD Fee Breakdown'!$H$164*C218</f>
        <v>275745.83333333337</v>
      </c>
      <c r="D219" s="131">
        <f>'AER FD Fee Breakdown'!$H$164*D218</f>
        <v>275745.83333333337</v>
      </c>
      <c r="E219" s="131">
        <f>'AER FD Fee Breakdown'!$H$164*E218</f>
        <v>275745.83333333337</v>
      </c>
      <c r="F219" s="131">
        <f>'AER FD Fee Breakdown'!$H$164*F218</f>
        <v>275745.83333333337</v>
      </c>
      <c r="G219" s="131">
        <f>'AER FD Fee Breakdown'!$H$164*G218</f>
        <v>275745.83333333337</v>
      </c>
      <c r="H219" s="131">
        <f>SUM(C219:G219)</f>
        <v>1378729.166666667</v>
      </c>
      <c r="I219" s="7"/>
      <c r="J219" s="181"/>
      <c r="K219" s="181"/>
      <c r="L219" s="181"/>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row>
    <row r="220" spans="1:71" s="2" customFormat="1">
      <c r="A220" s="7"/>
      <c r="B220" s="33"/>
      <c r="C220" s="131"/>
      <c r="D220" s="131"/>
      <c r="E220" s="131"/>
      <c r="F220" s="131"/>
      <c r="G220" s="131"/>
      <c r="H220" s="131"/>
      <c r="I220" s="7"/>
      <c r="J220" s="181"/>
      <c r="K220" s="181"/>
      <c r="L220" s="181"/>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row>
    <row r="221" spans="1:71" s="2" customFormat="1">
      <c r="A221" s="7"/>
      <c r="B221" s="32" t="str">
        <f>B35</f>
        <v>Distributor arranged outage for purpose of replacing metering - Site visit only</v>
      </c>
      <c r="C221" s="13"/>
      <c r="D221" s="13"/>
      <c r="E221" s="13"/>
      <c r="F221" s="13"/>
      <c r="G221" s="13"/>
      <c r="H221" s="13"/>
      <c r="I221" s="7"/>
      <c r="J221" s="181"/>
      <c r="K221" s="181"/>
      <c r="L221" s="181"/>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row>
    <row r="222" spans="1:71" s="2" customFormat="1">
      <c r="A222" s="7"/>
      <c r="B222" s="33" t="s">
        <v>24</v>
      </c>
      <c r="C222" s="31">
        <v>100</v>
      </c>
      <c r="D222" s="31">
        <v>100</v>
      </c>
      <c r="E222" s="31">
        <v>100</v>
      </c>
      <c r="F222" s="31">
        <v>100</v>
      </c>
      <c r="G222" s="31">
        <v>100</v>
      </c>
      <c r="H222" s="31">
        <f>SUM(C222:G222)</f>
        <v>500</v>
      </c>
      <c r="I222" s="7"/>
      <c r="J222" s="181"/>
      <c r="K222" s="181"/>
      <c r="L222" s="181"/>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row>
    <row r="223" spans="1:71" s="2" customFormat="1">
      <c r="A223" s="7"/>
      <c r="B223" s="33" t="s">
        <v>259</v>
      </c>
      <c r="C223" s="131">
        <f>'AER FD Fee Breakdown'!$H$173*C222</f>
        <v>11087.25</v>
      </c>
      <c r="D223" s="131">
        <f>'AER FD Fee Breakdown'!$H$173*D222</f>
        <v>11087.25</v>
      </c>
      <c r="E223" s="131">
        <f>'AER FD Fee Breakdown'!$H$173*E222</f>
        <v>11087.25</v>
      </c>
      <c r="F223" s="131">
        <f>'AER FD Fee Breakdown'!$H$173*F222</f>
        <v>11087.25</v>
      </c>
      <c r="G223" s="131">
        <f>'AER FD Fee Breakdown'!$H$173*G222</f>
        <v>11087.25</v>
      </c>
      <c r="H223" s="131">
        <f>SUM(C223:G223)</f>
        <v>55436.25</v>
      </c>
      <c r="I223" s="7"/>
      <c r="J223" s="181"/>
      <c r="K223" s="181"/>
      <c r="L223" s="181"/>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row>
    <row r="224" spans="1:71" s="2" customFormat="1">
      <c r="A224" s="7"/>
      <c r="B224" s="33"/>
      <c r="C224" s="131"/>
      <c r="D224" s="131"/>
      <c r="E224" s="131"/>
      <c r="F224" s="131"/>
      <c r="G224" s="131"/>
      <c r="H224" s="131"/>
      <c r="I224" s="7"/>
      <c r="J224" s="181"/>
      <c r="K224" s="181"/>
      <c r="L224" s="181"/>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row>
    <row r="225" spans="1:71" s="2" customFormat="1">
      <c r="A225" s="7"/>
      <c r="B225" s="32" t="str">
        <f>B36</f>
        <v>Correction of metering and market billing data</v>
      </c>
      <c r="C225" s="13"/>
      <c r="D225" s="13"/>
      <c r="E225" s="13"/>
      <c r="F225" s="13"/>
      <c r="G225" s="13"/>
      <c r="H225" s="13"/>
      <c r="I225" s="7"/>
      <c r="J225" s="181"/>
      <c r="K225" s="181"/>
      <c r="L225" s="181"/>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row>
    <row r="226" spans="1:71" s="2" customFormat="1">
      <c r="A226" s="7"/>
      <c r="B226" s="33" t="s">
        <v>24</v>
      </c>
      <c r="C226" s="31">
        <v>100</v>
      </c>
      <c r="D226" s="31">
        <v>100</v>
      </c>
      <c r="E226" s="31">
        <v>100</v>
      </c>
      <c r="F226" s="31">
        <v>100</v>
      </c>
      <c r="G226" s="31">
        <v>100</v>
      </c>
      <c r="H226" s="31">
        <f>SUM(C226:G226)</f>
        <v>500</v>
      </c>
      <c r="I226" s="7"/>
      <c r="J226" s="181"/>
      <c r="K226" s="181"/>
      <c r="L226" s="181"/>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row>
    <row r="227" spans="1:71" s="2" customFormat="1">
      <c r="A227" s="7"/>
      <c r="B227" s="33" t="s">
        <v>259</v>
      </c>
      <c r="C227" s="131">
        <f>VLOOKUP($B225,$B$32:$D$39,3,FALSE)*C226</f>
        <v>5113</v>
      </c>
      <c r="D227" s="131">
        <f>VLOOKUP($B225,$B$32:$D$39,3,FALSE)*D226</f>
        <v>5113</v>
      </c>
      <c r="E227" s="131">
        <f>VLOOKUP($B225,$B$32:$D$39,3,FALSE)*E226</f>
        <v>5113</v>
      </c>
      <c r="F227" s="131">
        <f>VLOOKUP($B225,$B$32:$D$39,3,FALSE)*F226</f>
        <v>5113</v>
      </c>
      <c r="G227" s="131">
        <f>VLOOKUP($B225,$B$32:$D$39,3,FALSE)*G226</f>
        <v>5113</v>
      </c>
      <c r="H227" s="131">
        <f>SUM(C227:G227)</f>
        <v>25565</v>
      </c>
      <c r="I227" s="7"/>
      <c r="J227" s="181"/>
      <c r="K227" s="181"/>
      <c r="L227" s="181"/>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row>
    <row r="228" spans="1:71" s="2" customFormat="1">
      <c r="A228" s="7"/>
      <c r="B228" s="33"/>
      <c r="C228" s="131"/>
      <c r="D228" s="131"/>
      <c r="E228" s="131"/>
      <c r="F228" s="131"/>
      <c r="G228" s="131"/>
      <c r="H228" s="131"/>
      <c r="I228" s="7"/>
      <c r="J228" s="181"/>
      <c r="K228" s="181"/>
      <c r="L228" s="181"/>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row>
    <row r="229" spans="1:71" s="2" customFormat="1">
      <c r="A229" s="7"/>
      <c r="B229" s="32" t="str">
        <f>B37</f>
        <v>Final read after type 5 meter equipment removed</v>
      </c>
      <c r="C229" s="13"/>
      <c r="D229" s="13"/>
      <c r="E229" s="13"/>
      <c r="F229" s="13"/>
      <c r="G229" s="13"/>
      <c r="H229" s="13"/>
      <c r="I229" s="7"/>
      <c r="J229" s="181"/>
      <c r="K229" s="181"/>
      <c r="L229" s="181"/>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row>
    <row r="230" spans="1:71" s="2" customFormat="1">
      <c r="A230" s="7"/>
      <c r="B230" s="33" t="s">
        <v>24</v>
      </c>
      <c r="C230" s="31">
        <v>1000</v>
      </c>
      <c r="D230" s="31">
        <v>1000</v>
      </c>
      <c r="E230" s="31">
        <v>1000</v>
      </c>
      <c r="F230" s="31">
        <v>1000</v>
      </c>
      <c r="G230" s="31">
        <v>1000</v>
      </c>
      <c r="H230" s="31">
        <f>SUM(C230:G230)</f>
        <v>5000</v>
      </c>
      <c r="I230" s="7"/>
      <c r="J230" s="181"/>
      <c r="K230" s="181"/>
      <c r="L230" s="181"/>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row>
    <row r="231" spans="1:71" s="2" customFormat="1">
      <c r="A231" s="7"/>
      <c r="B231" s="33" t="s">
        <v>259</v>
      </c>
      <c r="C231" s="131">
        <f>VLOOKUP($B229,$B$32:$D$39,3,FALSE)*C230</f>
        <v>68173.333333333328</v>
      </c>
      <c r="D231" s="131">
        <f>VLOOKUP($B229,$B$32:$D$39,3,FALSE)*D230</f>
        <v>68173.333333333328</v>
      </c>
      <c r="E231" s="131">
        <f>VLOOKUP($B229,$B$32:$D$39,3,FALSE)*E230</f>
        <v>68173.333333333328</v>
      </c>
      <c r="F231" s="131">
        <f>VLOOKUP($B229,$B$32:$D$39,3,FALSE)*F230</f>
        <v>68173.333333333328</v>
      </c>
      <c r="G231" s="131">
        <f>VLOOKUP($B229,$B$32:$D$39,3,FALSE)*G230</f>
        <v>68173.333333333328</v>
      </c>
      <c r="H231" s="131">
        <f>SUM(C231:G231)</f>
        <v>340866.66666666663</v>
      </c>
      <c r="I231" s="7"/>
      <c r="J231" s="181"/>
      <c r="K231" s="181"/>
      <c r="L231" s="181"/>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row>
    <row r="232" spans="1:71" s="2" customFormat="1">
      <c r="A232" s="7"/>
      <c r="B232" s="33"/>
      <c r="C232" s="131"/>
      <c r="D232" s="131"/>
      <c r="E232" s="131"/>
      <c r="F232" s="131"/>
      <c r="G232" s="131"/>
      <c r="H232" s="131"/>
      <c r="I232" s="7"/>
      <c r="J232" s="181"/>
      <c r="K232" s="181"/>
      <c r="L232" s="181"/>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row>
    <row r="233" spans="1:71" s="2" customFormat="1">
      <c r="A233" s="7"/>
      <c r="B233" s="32" t="str">
        <f>B38</f>
        <v>Type 5 and 6 CT testing</v>
      </c>
      <c r="C233" s="13"/>
      <c r="D233" s="13"/>
      <c r="E233" s="13"/>
      <c r="F233" s="13"/>
      <c r="G233" s="13"/>
      <c r="H233" s="13"/>
      <c r="I233" s="7"/>
      <c r="J233" s="181"/>
      <c r="K233" s="181"/>
      <c r="L233" s="181"/>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row>
    <row r="234" spans="1:71" s="2" customFormat="1">
      <c r="A234" s="7"/>
      <c r="B234" s="33" t="s">
        <v>24</v>
      </c>
      <c r="C234" s="31">
        <v>1000</v>
      </c>
      <c r="D234" s="31">
        <v>1000</v>
      </c>
      <c r="E234" s="31">
        <v>1000</v>
      </c>
      <c r="F234" s="31">
        <v>1000</v>
      </c>
      <c r="G234" s="31">
        <v>1000</v>
      </c>
      <c r="H234" s="31">
        <f>SUM(C234:G234)</f>
        <v>5000</v>
      </c>
      <c r="I234" s="7"/>
      <c r="J234" s="181"/>
      <c r="K234" s="181"/>
      <c r="L234" s="181"/>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row>
    <row r="235" spans="1:71" s="2" customFormat="1">
      <c r="A235" s="7"/>
      <c r="B235" s="33" t="s">
        <v>259</v>
      </c>
      <c r="C235" s="131">
        <f>'AER FD Fee Breakdown'!$H$198*C234</f>
        <v>591320</v>
      </c>
      <c r="D235" s="131">
        <f>'AER FD Fee Breakdown'!$H$198*D234</f>
        <v>591320</v>
      </c>
      <c r="E235" s="131">
        <f>'AER FD Fee Breakdown'!$H$198*E234</f>
        <v>591320</v>
      </c>
      <c r="F235" s="131">
        <f>'AER FD Fee Breakdown'!$H$198*F234</f>
        <v>591320</v>
      </c>
      <c r="G235" s="131">
        <f>'AER FD Fee Breakdown'!$H$198*G234</f>
        <v>591320</v>
      </c>
      <c r="H235" s="131">
        <f>SUM(C235:G235)</f>
        <v>2956600</v>
      </c>
      <c r="I235" s="7"/>
      <c r="J235" s="181"/>
      <c r="K235" s="181"/>
      <c r="L235" s="181"/>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row>
    <row r="236" spans="1:71" s="2" customFormat="1">
      <c r="A236" s="7"/>
      <c r="B236" s="33"/>
      <c r="C236" s="58"/>
      <c r="D236" s="131"/>
      <c r="E236" s="131"/>
      <c r="F236" s="131"/>
      <c r="G236" s="131"/>
      <c r="H236" s="131"/>
      <c r="I236" s="7"/>
      <c r="J236" s="181"/>
      <c r="K236" s="181"/>
      <c r="L236" s="181"/>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row>
    <row r="237" spans="1:71" s="2" customFormat="1">
      <c r="A237" s="7"/>
      <c r="B237" s="32" t="str">
        <f>B39</f>
        <v>Type 5 and 6 CT recovery</v>
      </c>
      <c r="C237" s="13"/>
      <c r="D237" s="13"/>
      <c r="E237" s="13"/>
      <c r="F237" s="13"/>
      <c r="G237" s="13"/>
      <c r="H237" s="13"/>
      <c r="I237" s="7"/>
      <c r="J237" s="181"/>
      <c r="K237" s="181"/>
      <c r="L237" s="181"/>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row>
    <row r="238" spans="1:71" s="2" customFormat="1">
      <c r="A238" s="7"/>
      <c r="B238" s="33" t="s">
        <v>24</v>
      </c>
      <c r="C238" s="31">
        <v>1000</v>
      </c>
      <c r="D238" s="31">
        <v>1000</v>
      </c>
      <c r="E238" s="31">
        <v>1000</v>
      </c>
      <c r="F238" s="31">
        <v>1000</v>
      </c>
      <c r="G238" s="31">
        <v>1000</v>
      </c>
      <c r="H238" s="31">
        <f>SUM(C238:G238)</f>
        <v>5000</v>
      </c>
      <c r="I238" s="7"/>
      <c r="J238" s="181"/>
      <c r="K238" s="181"/>
      <c r="L238" s="181"/>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row>
    <row r="239" spans="1:71" s="2" customFormat="1">
      <c r="A239" s="7"/>
      <c r="B239" s="33" t="s">
        <v>259</v>
      </c>
      <c r="C239" s="131">
        <f>'AER FD Fee Breakdown'!$H$206*C238</f>
        <v>591320</v>
      </c>
      <c r="D239" s="131">
        <f>'AER FD Fee Breakdown'!$H$206*D238</f>
        <v>591320</v>
      </c>
      <c r="E239" s="131">
        <f>'AER FD Fee Breakdown'!$H$206*E238</f>
        <v>591320</v>
      </c>
      <c r="F239" s="131">
        <f>'AER FD Fee Breakdown'!$H$206*F238</f>
        <v>591320</v>
      </c>
      <c r="G239" s="131">
        <f>'AER FD Fee Breakdown'!$H$206*G238</f>
        <v>591320</v>
      </c>
      <c r="H239" s="131">
        <f>SUM(C239:G239)</f>
        <v>2956600</v>
      </c>
      <c r="I239" s="7"/>
      <c r="J239" s="181"/>
      <c r="K239" s="181"/>
      <c r="L239" s="181"/>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row>
    <row r="240" spans="1:71" s="2" customFormat="1">
      <c r="A240" s="7"/>
      <c r="B240" s="33"/>
      <c r="C240" s="58"/>
      <c r="D240" s="131"/>
      <c r="E240" s="131"/>
      <c r="F240" s="131"/>
      <c r="G240" s="131"/>
      <c r="H240" s="131"/>
      <c r="I240" s="7"/>
      <c r="J240" s="181"/>
      <c r="K240" s="181"/>
      <c r="L240" s="181"/>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row>
    <row r="241" spans="1:71" s="2" customFormat="1">
      <c r="A241" s="7"/>
      <c r="B241" s="220" t="str">
        <f>B40</f>
        <v>Metering Site Alteration</v>
      </c>
      <c r="C241" s="13"/>
      <c r="D241" s="13"/>
      <c r="E241" s="13"/>
      <c r="F241" s="13"/>
      <c r="G241" s="13"/>
      <c r="H241" s="13"/>
      <c r="I241" s="7"/>
      <c r="J241" s="181"/>
      <c r="K241" s="181"/>
      <c r="L241" s="181"/>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row>
    <row r="242" spans="1:71" s="2" customFormat="1">
      <c r="A242" s="7"/>
      <c r="B242" s="33" t="s">
        <v>24</v>
      </c>
      <c r="C242" s="31">
        <v>28000</v>
      </c>
      <c r="D242" s="31">
        <v>28000</v>
      </c>
      <c r="E242" s="31">
        <v>28000</v>
      </c>
      <c r="F242" s="31">
        <v>28000</v>
      </c>
      <c r="G242" s="31">
        <v>28000</v>
      </c>
      <c r="H242" s="31">
        <f>SUM(C242:G242)</f>
        <v>140000</v>
      </c>
      <c r="I242" s="7"/>
      <c r="J242" s="181"/>
      <c r="K242" s="181"/>
      <c r="L242" s="181"/>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row>
    <row r="243" spans="1:71" s="2" customFormat="1">
      <c r="A243" s="7"/>
      <c r="B243" s="33" t="s">
        <v>259</v>
      </c>
      <c r="C243" s="131">
        <f>'AER FD Fee Breakdown'!$H$214*C242</f>
        <v>858984</v>
      </c>
      <c r="D243" s="131">
        <f>'AER FD Fee Breakdown'!$H$214*D242</f>
        <v>858984</v>
      </c>
      <c r="E243" s="131">
        <f>'AER FD Fee Breakdown'!$H$214*E242</f>
        <v>858984</v>
      </c>
      <c r="F243" s="131">
        <f>'AER FD Fee Breakdown'!$H$214*F242</f>
        <v>858984</v>
      </c>
      <c r="G243" s="131">
        <f>'AER FD Fee Breakdown'!$H$214*G242</f>
        <v>858984</v>
      </c>
      <c r="H243" s="131">
        <f>SUM(C243:G243)</f>
        <v>4294920</v>
      </c>
      <c r="I243" s="7"/>
      <c r="J243" s="181"/>
      <c r="K243" s="181"/>
      <c r="L243" s="181"/>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row>
    <row r="244" spans="1:71" s="2" customFormat="1">
      <c r="A244" s="7"/>
      <c r="B244" s="33"/>
      <c r="C244" s="58"/>
      <c r="D244" s="131"/>
      <c r="E244" s="131"/>
      <c r="F244" s="131"/>
      <c r="G244" s="131"/>
      <c r="H244" s="131"/>
      <c r="I244" s="7"/>
      <c r="J244" s="181"/>
      <c r="K244" s="181"/>
      <c r="L244" s="181"/>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row>
    <row r="245" spans="1:71" s="2" customFormat="1">
      <c r="A245" s="7"/>
      <c r="B245" s="220" t="str">
        <f>B111</f>
        <v>NMI Extinction</v>
      </c>
      <c r="C245" s="13"/>
      <c r="D245" s="13"/>
      <c r="E245" s="13"/>
      <c r="F245" s="13"/>
      <c r="G245" s="13"/>
      <c r="H245" s="13"/>
      <c r="I245" s="7"/>
      <c r="J245" s="181"/>
      <c r="K245" s="181"/>
      <c r="L245" s="181"/>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row>
    <row r="246" spans="1:71" s="2" customFormat="1">
      <c r="A246" s="7"/>
      <c r="B246" s="33" t="s">
        <v>24</v>
      </c>
      <c r="C246" s="31">
        <v>6000</v>
      </c>
      <c r="D246" s="31">
        <v>6000</v>
      </c>
      <c r="E246" s="31">
        <v>6000</v>
      </c>
      <c r="F246" s="31">
        <v>6000</v>
      </c>
      <c r="G246" s="31">
        <v>6000</v>
      </c>
      <c r="H246" s="31">
        <f>SUM(C246:G246)</f>
        <v>30000</v>
      </c>
      <c r="I246" s="7"/>
      <c r="J246" s="181"/>
      <c r="K246" s="181"/>
      <c r="L246" s="181"/>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row>
    <row r="247" spans="1:71" s="2" customFormat="1">
      <c r="A247" s="7"/>
      <c r="B247" s="33" t="s">
        <v>259</v>
      </c>
      <c r="C247" s="131">
        <f>'AER FD Fee Breakdown'!$H$222*C246</f>
        <v>184068</v>
      </c>
      <c r="D247" s="131">
        <f>'AER FD Fee Breakdown'!$H$222*D246</f>
        <v>184068</v>
      </c>
      <c r="E247" s="131">
        <f>'AER FD Fee Breakdown'!$H$222*E246</f>
        <v>184068</v>
      </c>
      <c r="F247" s="131">
        <f>'AER FD Fee Breakdown'!$H$222*F246</f>
        <v>184068</v>
      </c>
      <c r="G247" s="131">
        <f>'AER FD Fee Breakdown'!$H$222*G246</f>
        <v>184068</v>
      </c>
      <c r="H247" s="131">
        <f>SUM(C247:G247)</f>
        <v>920340</v>
      </c>
      <c r="I247" s="7"/>
      <c r="J247" s="181"/>
      <c r="K247" s="181"/>
      <c r="L247" s="181"/>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row>
    <row r="248" spans="1:71" s="2" customFormat="1">
      <c r="A248" s="7"/>
      <c r="B248" s="33"/>
      <c r="C248" s="131"/>
      <c r="D248" s="131"/>
      <c r="E248" s="131"/>
      <c r="F248" s="131"/>
      <c r="G248" s="131"/>
      <c r="H248" s="131"/>
      <c r="I248" s="7"/>
      <c r="J248" s="181"/>
      <c r="K248" s="181"/>
      <c r="L248" s="181"/>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row>
    <row r="249" spans="1:71" s="2" customFormat="1">
      <c r="A249" s="7"/>
      <c r="B249" s="219" t="s">
        <v>14</v>
      </c>
      <c r="C249" s="219"/>
      <c r="D249" s="219"/>
      <c r="E249" s="219"/>
      <c r="F249" s="219"/>
      <c r="G249" s="219"/>
      <c r="H249" s="131"/>
      <c r="I249" s="7"/>
      <c r="J249" s="181"/>
      <c r="K249" s="181"/>
      <c r="L249" s="181"/>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row>
    <row r="250" spans="1:71" s="2" customFormat="1">
      <c r="A250" s="7"/>
      <c r="B250" s="79" t="s">
        <v>307</v>
      </c>
      <c r="C250" s="13"/>
      <c r="D250" s="13"/>
      <c r="E250" s="13"/>
      <c r="F250" s="13"/>
      <c r="G250" s="13"/>
      <c r="H250" s="131"/>
      <c r="I250" s="7"/>
      <c r="J250" s="181"/>
      <c r="K250" s="181"/>
      <c r="L250" s="181"/>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row>
    <row r="251" spans="1:71" s="2" customFormat="1">
      <c r="A251" s="7"/>
      <c r="B251" s="33" t="s">
        <v>314</v>
      </c>
      <c r="C251" s="217">
        <f>C126+C131+C136+C146+C151+C156+C161+C166+C171+++C176+++C181+C186+C191+C196+C201+C206+C211+C215+C219+C223+C227+C231+C235+C239+C243+C247</f>
        <v>14027830.030866435</v>
      </c>
      <c r="D251" s="217">
        <f t="shared" ref="D251:H251" si="19">D126+D131+D136+D146+D151+D156+D161+D166+D171+++D176+++D181+D186+D191+D196+D201+D206+D211+D215+D219+D223+D227+D231+D235+D239+D243+D247</f>
        <v>13160727.735472636</v>
      </c>
      <c r="E251" s="217">
        <f t="shared" si="19"/>
        <v>12293625.44007884</v>
      </c>
      <c r="F251" s="217">
        <f t="shared" si="19"/>
        <v>11426523.144685045</v>
      </c>
      <c r="G251" s="217">
        <f t="shared" si="19"/>
        <v>10559420.849291245</v>
      </c>
      <c r="H251" s="217">
        <f t="shared" si="19"/>
        <v>61468127.200394176</v>
      </c>
      <c r="I251" s="7"/>
      <c r="J251" s="181"/>
      <c r="K251" s="181"/>
      <c r="L251" s="181"/>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row>
    <row r="252" spans="1:71" s="8" customFormat="1">
      <c r="A252" s="15"/>
      <c r="B252" s="1" t="s">
        <v>297</v>
      </c>
      <c r="C252" s="1"/>
      <c r="D252" s="1"/>
      <c r="E252" s="1"/>
      <c r="F252" s="4"/>
      <c r="G252" s="4"/>
      <c r="H252" s="4"/>
      <c r="I252" s="21"/>
      <c r="J252" s="21"/>
      <c r="K252" s="21"/>
      <c r="L252" s="21"/>
      <c r="M252" s="16"/>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row>
    <row r="253" spans="1:71" s="15" customFormat="1">
      <c r="B253" s="37"/>
    </row>
    <row r="254" spans="1:71" s="8" customFormat="1">
      <c r="A254" s="15"/>
      <c r="B254" s="3" t="s">
        <v>5</v>
      </c>
      <c r="C254" s="6" t="s">
        <v>10</v>
      </c>
      <c r="D254" s="29" t="s">
        <v>19</v>
      </c>
      <c r="E254" s="29" t="s">
        <v>20</v>
      </c>
      <c r="F254" s="29" t="s">
        <v>21</v>
      </c>
      <c r="G254" s="29" t="s">
        <v>22</v>
      </c>
      <c r="H254" s="29" t="s">
        <v>23</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row>
    <row r="255" spans="1:71" s="8" customFormat="1">
      <c r="A255" s="15"/>
      <c r="B255" s="8" t="s">
        <v>11</v>
      </c>
      <c r="C255" s="65">
        <f>'AER FD Input Data'!G13</f>
        <v>1</v>
      </c>
      <c r="D255" s="65">
        <f>'AER FD Input Data'!H13</f>
        <v>1.0242487465753967</v>
      </c>
      <c r="E255" s="65">
        <f>'AER FD Input Data'!I13</f>
        <v>1.0557705826767474</v>
      </c>
      <c r="F255" s="65">
        <f>'AER FD Input Data'!J13</f>
        <v>1.0927152564301721</v>
      </c>
      <c r="G255" s="65">
        <f>'AER FD Input Data'!K13</f>
        <v>1.1335932344577511</v>
      </c>
      <c r="H255" s="65">
        <f>'AER FD Input Data'!L13</f>
        <v>1.1742976491782107</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row>
    <row r="256" spans="1:71" s="8" customFormat="1">
      <c r="A256" s="15"/>
      <c r="B256" s="8" t="s">
        <v>12</v>
      </c>
      <c r="C256" s="65">
        <f>'AER FD Input Data'!G14</f>
        <v>1</v>
      </c>
      <c r="D256" s="65">
        <f>'AER FD Input Data'!H14</f>
        <v>1.0242487465753967</v>
      </c>
      <c r="E256" s="65">
        <f>'AER FD Input Data'!I14</f>
        <v>1.0490854948612711</v>
      </c>
      <c r="F256" s="65">
        <f>'AER FD Input Data'!J14</f>
        <v>1.0745245031620867</v>
      </c>
      <c r="G256" s="65">
        <f>'AER FD Input Data'!K14</f>
        <v>1.1005803755283181</v>
      </c>
      <c r="H256" s="65">
        <f>'AER FD Input Data'!L14</f>
        <v>1.1272680701403592</v>
      </c>
      <c r="I256" s="15"/>
      <c r="J256" s="18"/>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row>
    <row r="257" spans="1:133" s="8" customFormat="1">
      <c r="A257" s="15"/>
      <c r="B257" s="8" t="s">
        <v>13</v>
      </c>
      <c r="C257" s="65">
        <f>'AER FD Input Data'!G15</f>
        <v>1</v>
      </c>
      <c r="D257" s="65">
        <f>'AER FD Input Data'!H15</f>
        <v>1</v>
      </c>
      <c r="E257" s="65">
        <f>'AER FD Input Data'!I15</f>
        <v>1.0063723003017597</v>
      </c>
      <c r="F257" s="65">
        <f>'AER FD Input Data'!J15</f>
        <v>1.016929119079699</v>
      </c>
      <c r="G257" s="65">
        <f>'AER FD Input Data'!K15</f>
        <v>1.0299958636947215</v>
      </c>
      <c r="H257" s="65">
        <f>'AER FD Input Data'!L15</f>
        <v>1.0417199602149607</v>
      </c>
      <c r="I257" s="15"/>
      <c r="J257" s="18"/>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row>
    <row r="258" spans="1:133" s="15" customFormat="1">
      <c r="E258" s="18"/>
      <c r="F258" s="18"/>
      <c r="G258" s="18"/>
      <c r="H258" s="18"/>
      <c r="I258" s="18"/>
      <c r="J258" s="18"/>
      <c r="K258" s="18"/>
      <c r="L258" s="18"/>
      <c r="M258" s="18"/>
      <c r="N258" s="18"/>
      <c r="O258" s="18"/>
    </row>
    <row r="259" spans="1:133" s="7" customFormat="1"/>
    <row r="260" spans="1:133">
      <c r="B260" s="1" t="s">
        <v>116</v>
      </c>
      <c r="C260" s="1"/>
      <c r="D260" s="1"/>
      <c r="E260" s="1"/>
      <c r="F260" s="4"/>
      <c r="G260" s="4"/>
      <c r="H260" s="4"/>
      <c r="I260" s="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row>
    <row r="261" spans="1:133">
      <c r="B261" s="7"/>
      <c r="C261" s="7"/>
      <c r="D261" s="7"/>
      <c r="E261" s="7"/>
      <c r="F261" s="7"/>
      <c r="G261" s="7"/>
      <c r="H261" s="7"/>
      <c r="I261" s="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row>
    <row r="262" spans="1:133">
      <c r="B262" s="3" t="s">
        <v>5</v>
      </c>
      <c r="C262" s="6" t="s">
        <v>269</v>
      </c>
      <c r="D262" s="29" t="s">
        <v>268</v>
      </c>
      <c r="E262" s="6" t="s">
        <v>119</v>
      </c>
      <c r="F262" s="29" t="s">
        <v>120</v>
      </c>
      <c r="G262" s="29" t="s">
        <v>121</v>
      </c>
      <c r="H262" s="29" t="s">
        <v>122</v>
      </c>
      <c r="I262" s="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row>
    <row r="263" spans="1:133">
      <c r="B263" s="8" t="s">
        <v>123</v>
      </c>
      <c r="C263" s="92"/>
      <c r="D263" s="92">
        <v>1</v>
      </c>
      <c r="E263" s="92">
        <f>D263*(1+E265)*(1-E264)</f>
        <v>1.0353329951690822</v>
      </c>
      <c r="F263" s="92">
        <f t="shared" ref="F263:G263" si="20">E263*(1+F265)*(1-F264)</f>
        <v>1.0621947743913041</v>
      </c>
      <c r="G263" s="92">
        <f t="shared" si="20"/>
        <v>1.0876998293290692</v>
      </c>
      <c r="H263" s="92">
        <f>G263*(1+H266)*(1-H264)</f>
        <v>1.1205581534732707</v>
      </c>
      <c r="I263" s="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row>
    <row r="264" spans="1:133">
      <c r="B264" s="8" t="s">
        <v>272</v>
      </c>
      <c r="C264" s="92"/>
      <c r="D264" s="92"/>
      <c r="E264" s="92">
        <f>-'AER FD Input Data'!D19</f>
        <v>-1.0200000000000001E-2</v>
      </c>
      <c r="F264" s="92">
        <f>-'AER FD Input Data'!E19</f>
        <v>-1.0699999999999999E-2</v>
      </c>
      <c r="G264" s="92">
        <f>-'AER FD Input Data'!F19</f>
        <v>-1.11E-2</v>
      </c>
      <c r="H264" s="92">
        <f>-'AER FD Input Data'!G19</f>
        <v>-1.0999999999999999E-2</v>
      </c>
      <c r="I264" s="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row>
    <row r="265" spans="1:133">
      <c r="B265" s="8" t="s">
        <v>117</v>
      </c>
      <c r="C265" s="92">
        <v>1.76278015613196E-2</v>
      </c>
      <c r="D265" s="92">
        <v>2.4498886414253906E-2</v>
      </c>
      <c r="E265" s="92">
        <v>2.4879227053140163E-2</v>
      </c>
      <c r="F265" s="92">
        <v>1.5083667216591934E-2</v>
      </c>
      <c r="G265" s="92">
        <v>1.2769909449732886E-2</v>
      </c>
      <c r="H265" s="65"/>
      <c r="I265" s="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row>
    <row r="266" spans="1:133">
      <c r="B266" s="8" t="s">
        <v>118</v>
      </c>
      <c r="C266" s="92"/>
      <c r="D266" s="92"/>
      <c r="E266" s="92"/>
      <c r="F266" s="92"/>
      <c r="G266" s="65"/>
      <c r="H266" s="65">
        <f>'AER FD Input Data'!G18</f>
        <v>1.9E-2</v>
      </c>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row>
    <row r="267" spans="1:133" s="147" customFormat="1"/>
    <row r="268" spans="1:133" s="147" customFormat="1">
      <c r="B268" s="1" t="s">
        <v>290</v>
      </c>
      <c r="C268" s="1"/>
      <c r="D268" s="1"/>
      <c r="E268" s="1"/>
      <c r="F268" s="4"/>
      <c r="G268" s="4"/>
      <c r="H268" s="4"/>
    </row>
    <row r="269" spans="1:133" s="147" customFormat="1"/>
    <row r="270" spans="1:133" s="147" customFormat="1"/>
    <row r="271" spans="1:133" s="147" customFormat="1">
      <c r="B271" s="3"/>
      <c r="C271" s="29" t="s">
        <v>10</v>
      </c>
      <c r="D271" s="6" t="s">
        <v>19</v>
      </c>
      <c r="E271" s="29" t="s">
        <v>20</v>
      </c>
      <c r="F271" s="29" t="s">
        <v>21</v>
      </c>
      <c r="G271" s="29" t="s">
        <v>22</v>
      </c>
      <c r="H271" s="3" t="s">
        <v>23</v>
      </c>
    </row>
    <row r="272" spans="1:133" s="147" customFormat="1">
      <c r="B272" s="8" t="s">
        <v>291</v>
      </c>
      <c r="C272" s="205">
        <v>1425098</v>
      </c>
      <c r="D272" s="206">
        <v>1430490.894584063</v>
      </c>
      <c r="E272" s="206">
        <v>1308490.894584063</v>
      </c>
      <c r="F272" s="206">
        <v>1186490.894584063</v>
      </c>
      <c r="G272" s="206">
        <v>1064490.894584063</v>
      </c>
      <c r="H272" s="206">
        <v>942490.89458406297</v>
      </c>
      <c r="I272" s="211"/>
      <c r="J272" s="211"/>
      <c r="K272" s="211"/>
    </row>
    <row r="273" spans="2:8" s="147" customFormat="1">
      <c r="B273" s="8" t="s">
        <v>292</v>
      </c>
      <c r="C273" s="186"/>
      <c r="D273" s="187">
        <f>(D272-C272)/C272</f>
        <v>3.7842271788066329E-3</v>
      </c>
      <c r="E273" s="187">
        <f t="shared" ref="E273:H273" si="21">(E272-D272)/D272</f>
        <v>-8.5285408290189338E-2</v>
      </c>
      <c r="F273" s="187">
        <f t="shared" si="21"/>
        <v>-9.3237179184789659E-2</v>
      </c>
      <c r="G273" s="187">
        <f t="shared" si="21"/>
        <v>-0.10282421934874468</v>
      </c>
      <c r="H273" s="187">
        <f t="shared" si="21"/>
        <v>-0.11460877741718029</v>
      </c>
    </row>
    <row r="274" spans="2:8" s="147" customFormat="1"/>
    <row r="275" spans="2:8" s="147" customFormat="1"/>
    <row r="276" spans="2:8" s="147" customFormat="1"/>
    <row r="277" spans="2:8" s="147" customFormat="1">
      <c r="D277" s="188"/>
    </row>
    <row r="278" spans="2:8" s="147" customFormat="1" hidden="1"/>
    <row r="279" spans="2:8" s="147" customFormat="1" hidden="1"/>
    <row r="280" spans="2:8" s="147" customFormat="1" hidden="1"/>
    <row r="281" spans="2:8" s="147" customFormat="1" hidden="1"/>
    <row r="282" spans="2:8" s="147" customFormat="1" hidden="1"/>
    <row r="283" spans="2:8" s="147" customFormat="1" hidden="1"/>
    <row r="284" spans="2:8" s="147" customFormat="1" hidden="1"/>
    <row r="285" spans="2:8" s="147" customFormat="1" hidden="1"/>
    <row r="286" spans="2:8" s="147" customFormat="1" hidden="1"/>
    <row r="287" spans="2:8" s="147" customFormat="1" hidden="1"/>
    <row r="288" spans="2: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row r="326"/>
    <row r="327"/>
  </sheetData>
  <mergeCells count="10">
    <mergeCell ref="B76:G76"/>
    <mergeCell ref="C80:G80"/>
    <mergeCell ref="D82:E82"/>
    <mergeCell ref="F82:G82"/>
    <mergeCell ref="F4:G4"/>
    <mergeCell ref="E6:I6"/>
    <mergeCell ref="B33:B34"/>
    <mergeCell ref="D46:E46"/>
    <mergeCell ref="F46:I46"/>
    <mergeCell ref="B71:G7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N375"/>
  <sheetViews>
    <sheetView topLeftCell="A67" workbookViewId="0">
      <selection activeCell="G89" sqref="G89"/>
    </sheetView>
  </sheetViews>
  <sheetFormatPr defaultColWidth="0" defaultRowHeight="14.4" zeroHeight="1"/>
  <cols>
    <col min="1" max="1" width="2.44140625" style="147" customWidth="1"/>
    <col min="2" max="2" width="12.33203125" style="34" customWidth="1"/>
    <col min="3" max="3" width="5.6640625" style="34" customWidth="1"/>
    <col min="4" max="4" width="30.6640625" style="34" customWidth="1"/>
    <col min="5" max="8" width="15.6640625" style="34" customWidth="1"/>
    <col min="9" max="9" width="2.33203125" style="34" customWidth="1"/>
    <col min="10" max="12" width="15.6640625" style="34" customWidth="1"/>
    <col min="13" max="13" width="15.6640625" style="147" customWidth="1"/>
    <col min="14" max="14" width="9.109375" style="147" customWidth="1"/>
    <col min="15" max="66" width="0" style="147" hidden="1" customWidth="1"/>
    <col min="67" max="16384" width="9.109375" hidden="1"/>
  </cols>
  <sheetData>
    <row r="1" spans="1:66" s="147" customFormat="1">
      <c r="B1" s="163"/>
      <c r="C1" s="163"/>
      <c r="D1" s="163"/>
      <c r="E1" s="163"/>
      <c r="F1" s="163"/>
      <c r="G1" s="163"/>
      <c r="H1" s="163"/>
      <c r="I1" s="163"/>
      <c r="J1" s="163"/>
      <c r="K1" s="163"/>
      <c r="L1" s="163"/>
    </row>
    <row r="2" spans="1:66" s="35" customFormat="1" ht="21" customHeight="1">
      <c r="A2" s="162"/>
      <c r="B2" s="27" t="s">
        <v>25</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row>
    <row r="3" spans="1:66">
      <c r="B3" s="5" t="s">
        <v>0</v>
      </c>
      <c r="C3" s="245" t="str">
        <f>'AER FD AER Summary'!C3</f>
        <v>Metering related</v>
      </c>
      <c r="D3" s="245"/>
      <c r="E3" s="245"/>
      <c r="F3" s="245"/>
      <c r="G3" s="245"/>
      <c r="H3" s="245"/>
      <c r="I3" s="245"/>
      <c r="J3" s="245"/>
      <c r="K3" s="245"/>
      <c r="L3" s="245"/>
    </row>
    <row r="4" spans="1:66" s="147" customFormat="1">
      <c r="B4" s="163"/>
      <c r="C4" s="163"/>
      <c r="D4" s="163"/>
      <c r="E4" s="163"/>
      <c r="F4" s="163"/>
      <c r="G4" s="163"/>
      <c r="H4" s="163"/>
      <c r="I4" s="163"/>
      <c r="J4" s="163"/>
      <c r="K4" s="163"/>
      <c r="L4" s="163"/>
    </row>
    <row r="5" spans="1:66" s="147" customFormat="1">
      <c r="B5" s="163"/>
      <c r="C5" s="163"/>
      <c r="D5" s="163"/>
      <c r="E5" s="163"/>
      <c r="F5" s="163"/>
      <c r="G5" s="163"/>
      <c r="H5" s="163"/>
      <c r="I5" s="163"/>
      <c r="J5" s="163"/>
      <c r="K5" s="163"/>
      <c r="L5" s="163"/>
    </row>
    <row r="6" spans="1:66" ht="14.4" customHeight="1">
      <c r="B6" s="42" t="s">
        <v>51</v>
      </c>
      <c r="C6" s="245" t="str">
        <f>'AER FD AER Summary'!B11</f>
        <v xml:space="preserve">Metering Site Establishment </v>
      </c>
      <c r="D6" s="245"/>
      <c r="E6" s="245"/>
      <c r="F6" s="245"/>
      <c r="G6" s="245"/>
      <c r="H6" s="245"/>
      <c r="I6" s="245"/>
      <c r="J6" s="245"/>
      <c r="K6" s="245"/>
      <c r="L6" s="245"/>
    </row>
    <row r="7" spans="1:66" ht="48" customHeight="1">
      <c r="B7" s="43"/>
      <c r="C7" s="241" t="s">
        <v>55</v>
      </c>
      <c r="D7" s="242"/>
      <c r="E7" s="45" t="s">
        <v>58</v>
      </c>
      <c r="F7" s="45" t="s">
        <v>96</v>
      </c>
      <c r="G7" s="45" t="s">
        <v>57</v>
      </c>
      <c r="H7" s="45" t="s">
        <v>65</v>
      </c>
      <c r="I7" s="85"/>
      <c r="J7" s="47" t="s">
        <v>54</v>
      </c>
      <c r="K7" s="47" t="s">
        <v>31</v>
      </c>
      <c r="L7" s="47" t="s">
        <v>52</v>
      </c>
    </row>
    <row r="8" spans="1:66">
      <c r="B8" s="41"/>
      <c r="C8" s="44" t="s">
        <v>47</v>
      </c>
      <c r="D8" s="53" t="str">
        <f>VLOOKUP($C8,'AER FD Input Data'!$B$37:$C$41,2,FALSE)</f>
        <v>Field Worker R4</v>
      </c>
      <c r="E8" s="54">
        <f>VLOOKUP($C8,'AER FD Input Data'!$B$37:$L$41,11,FALSE)</f>
        <v>147.83000000000001</v>
      </c>
      <c r="F8" s="54">
        <v>1</v>
      </c>
      <c r="G8" s="49">
        <f>H8/E8</f>
        <v>0.39746553446322108</v>
      </c>
      <c r="H8" s="55">
        <f>VLOOKUP(C6,'AER FD AER Summary'!$B$11:$I$28,3,FALSE)</f>
        <v>58.757329959697977</v>
      </c>
      <c r="I8" s="41"/>
      <c r="J8" s="54">
        <f>VLOOKUP($C8,'AER FD Input Data'!$B$37:$L$41,3,FALSE)*G8</f>
        <v>20.933012532266574</v>
      </c>
      <c r="K8" s="54">
        <f>VLOOKUP($C8,'AER FD Input Data'!$B$37:$L$41,6,FALSE)*G8</f>
        <v>10.933736504032881</v>
      </c>
      <c r="L8" s="54">
        <f>VLOOKUP($C8,'AER FD Input Data'!$B$37:$L$41,8,FALSE)*G8</f>
        <v>27.724071661580531</v>
      </c>
    </row>
    <row r="9" spans="1:66">
      <c r="B9" s="41"/>
      <c r="C9" s="48"/>
      <c r="D9" s="48"/>
      <c r="E9" s="48"/>
      <c r="F9" s="80"/>
      <c r="G9" s="50" t="s">
        <v>53</v>
      </c>
      <c r="H9" s="56">
        <f>SUM(H8:H8)</f>
        <v>58.757329959697977</v>
      </c>
      <c r="I9" s="41"/>
      <c r="J9" s="56">
        <f>SUM(J8:J8)</f>
        <v>20.933012532266574</v>
      </c>
      <c r="K9" s="56">
        <f>SUM(K8:K8)</f>
        <v>10.933736504032881</v>
      </c>
      <c r="L9" s="56">
        <f>SUM(L8:L8)</f>
        <v>27.724071661580531</v>
      </c>
      <c r="M9" s="166"/>
    </row>
    <row r="10" spans="1:66" s="147" customFormat="1" ht="7.2" customHeight="1">
      <c r="B10" s="163"/>
      <c r="C10" s="163"/>
      <c r="D10" s="163"/>
      <c r="E10" s="163"/>
      <c r="F10" s="163"/>
      <c r="G10" s="163"/>
      <c r="H10" s="163"/>
      <c r="I10" s="163"/>
      <c r="J10" s="163"/>
      <c r="K10" s="163"/>
      <c r="L10" s="163"/>
    </row>
    <row r="11" spans="1:66" s="7" customFormat="1">
      <c r="B11" s="243" t="s">
        <v>14</v>
      </c>
      <c r="C11" s="243"/>
      <c r="D11" s="243"/>
      <c r="E11" s="243"/>
      <c r="F11" s="243"/>
      <c r="G11" s="243"/>
      <c r="H11" s="243"/>
      <c r="I11" s="243"/>
      <c r="J11" s="243"/>
      <c r="K11" s="243"/>
      <c r="L11" s="243"/>
      <c r="N11" s="147"/>
    </row>
    <row r="12" spans="1:66" s="7" customFormat="1">
      <c r="B12" s="244" t="s">
        <v>308</v>
      </c>
      <c r="C12" s="244"/>
      <c r="D12" s="244"/>
      <c r="E12" s="244"/>
      <c r="F12" s="244"/>
      <c r="G12" s="244"/>
      <c r="H12" s="244"/>
      <c r="I12" s="244"/>
      <c r="J12" s="244"/>
      <c r="K12" s="244"/>
      <c r="L12" s="244"/>
      <c r="N12" s="147"/>
    </row>
    <row r="13" spans="1:66" s="147" customFormat="1">
      <c r="B13" s="163"/>
      <c r="C13" s="163"/>
      <c r="D13" s="163"/>
      <c r="E13" s="163"/>
      <c r="F13" s="163"/>
      <c r="G13" s="163"/>
      <c r="H13" s="163"/>
      <c r="I13" s="163"/>
      <c r="J13" s="163"/>
      <c r="K13" s="163"/>
      <c r="L13" s="163"/>
    </row>
    <row r="14" spans="1:66" ht="14.4" customHeight="1">
      <c r="B14" s="42" t="s">
        <v>51</v>
      </c>
      <c r="C14" s="245" t="str">
        <f>'AER FD AER Summary'!B12</f>
        <v xml:space="preserve">Special Meter Reading </v>
      </c>
      <c r="D14" s="245"/>
      <c r="E14" s="245"/>
      <c r="F14" s="245"/>
      <c r="G14" s="245"/>
      <c r="H14" s="245"/>
      <c r="I14" s="245"/>
      <c r="J14" s="245"/>
      <c r="K14" s="245"/>
      <c r="L14" s="245"/>
    </row>
    <row r="15" spans="1:66" ht="48" customHeight="1">
      <c r="B15" s="43"/>
      <c r="C15" s="241" t="s">
        <v>55</v>
      </c>
      <c r="D15" s="242"/>
      <c r="E15" s="45" t="s">
        <v>58</v>
      </c>
      <c r="F15" s="45" t="s">
        <v>96</v>
      </c>
      <c r="G15" s="45" t="s">
        <v>57</v>
      </c>
      <c r="H15" s="45" t="s">
        <v>65</v>
      </c>
      <c r="I15" s="85"/>
      <c r="J15" s="47" t="s">
        <v>54</v>
      </c>
      <c r="K15" s="47" t="s">
        <v>31</v>
      </c>
      <c r="L15" s="47" t="s">
        <v>52</v>
      </c>
    </row>
    <row r="16" spans="1:66">
      <c r="B16" s="41"/>
      <c r="C16" s="44" t="s">
        <v>47</v>
      </c>
      <c r="D16" s="53" t="str">
        <f>VLOOKUP($C16,'AER FD Input Data'!$B$37:$C$41,2,FALSE)</f>
        <v>Field Worker R4</v>
      </c>
      <c r="E16" s="54">
        <f>VLOOKUP($C16,'AER FD Input Data'!$B$37:$L$41,11,FALSE)</f>
        <v>147.83000000000001</v>
      </c>
      <c r="F16" s="54">
        <v>1</v>
      </c>
      <c r="G16" s="49">
        <f>H16/E16</f>
        <v>7.3500782995202518E-2</v>
      </c>
      <c r="H16" s="55">
        <f>VLOOKUP(C14,'AER FD AER Summary'!$B$11:$I$28,3,FALSE)</f>
        <v>10.86562075018079</v>
      </c>
      <c r="I16" s="41"/>
      <c r="J16" s="54">
        <f>VLOOKUP($C16,'AER FD Input Data'!$B$37:$L$41,3,FALSE)*G16</f>
        <v>3.8710093785813569</v>
      </c>
      <c r="K16" s="54">
        <f>VLOOKUP($C16,'AER FD Input Data'!$B$37:$L$41,6,FALSE)*G16</f>
        <v>2.0219066168717292</v>
      </c>
      <c r="L16" s="54">
        <f>VLOOKUP($C16,'AER FD Input Data'!$B$37:$L$41,8,FALSE)*G16</f>
        <v>5.1268369160441853</v>
      </c>
    </row>
    <row r="17" spans="2:14">
      <c r="B17" s="41"/>
      <c r="C17" s="48"/>
      <c r="D17" s="48"/>
      <c r="E17" s="48"/>
      <c r="F17" s="80"/>
      <c r="G17" s="50" t="s">
        <v>53</v>
      </c>
      <c r="H17" s="56">
        <f>SUM(H16:H16)</f>
        <v>10.86562075018079</v>
      </c>
      <c r="I17" s="41"/>
      <c r="J17" s="56">
        <f>SUM(J16:J16)</f>
        <v>3.8710093785813569</v>
      </c>
      <c r="K17" s="56">
        <f>SUM(K16:K16)</f>
        <v>2.0219066168717292</v>
      </c>
      <c r="L17" s="56">
        <f>SUM(L16:L16)</f>
        <v>5.1268369160441853</v>
      </c>
      <c r="M17" s="166"/>
    </row>
    <row r="18" spans="2:14" s="147" customFormat="1" ht="7.2" customHeight="1">
      <c r="B18" s="163"/>
      <c r="C18" s="163"/>
      <c r="D18" s="163"/>
      <c r="E18" s="163"/>
      <c r="F18" s="163"/>
      <c r="G18" s="163"/>
      <c r="H18" s="163"/>
      <c r="I18" s="163"/>
      <c r="J18" s="163"/>
      <c r="K18" s="163"/>
      <c r="L18" s="163"/>
    </row>
    <row r="19" spans="2:14" s="7" customFormat="1">
      <c r="B19" s="243" t="s">
        <v>14</v>
      </c>
      <c r="C19" s="243"/>
      <c r="D19" s="243"/>
      <c r="E19" s="243"/>
      <c r="F19" s="243"/>
      <c r="G19" s="243"/>
      <c r="H19" s="243"/>
      <c r="I19" s="243"/>
      <c r="J19" s="243"/>
      <c r="K19" s="243"/>
      <c r="L19" s="243"/>
      <c r="N19" s="147"/>
    </row>
    <row r="20" spans="2:14" s="7" customFormat="1">
      <c r="B20" s="244" t="s">
        <v>308</v>
      </c>
      <c r="C20" s="244"/>
      <c r="D20" s="244"/>
      <c r="E20" s="244"/>
      <c r="F20" s="244"/>
      <c r="G20" s="244"/>
      <c r="H20" s="244"/>
      <c r="I20" s="244"/>
      <c r="J20" s="244"/>
      <c r="K20" s="244"/>
      <c r="L20" s="244"/>
      <c r="N20" s="147"/>
    </row>
    <row r="21" spans="2:14" s="147" customFormat="1">
      <c r="B21" s="163"/>
      <c r="C21" s="163"/>
      <c r="D21" s="163"/>
      <c r="E21" s="163"/>
      <c r="F21" s="163"/>
      <c r="G21" s="163"/>
      <c r="H21" s="163"/>
      <c r="I21" s="163"/>
      <c r="J21" s="163"/>
      <c r="K21" s="163"/>
      <c r="L21" s="163"/>
    </row>
    <row r="22" spans="2:14" ht="14.4" customHeight="1">
      <c r="B22" s="42" t="s">
        <v>51</v>
      </c>
      <c r="C22" s="245" t="str">
        <f>'AER FD AER Summary'!B13</f>
        <v xml:space="preserve">Type 5-6 Meter Test </v>
      </c>
      <c r="D22" s="245"/>
      <c r="E22" s="245"/>
      <c r="F22" s="245"/>
      <c r="G22" s="245"/>
      <c r="H22" s="245"/>
      <c r="I22" s="245"/>
      <c r="J22" s="245"/>
      <c r="K22" s="245"/>
      <c r="L22" s="245"/>
    </row>
    <row r="23" spans="2:14" ht="48" customHeight="1">
      <c r="B23" s="43"/>
      <c r="C23" s="241" t="s">
        <v>55</v>
      </c>
      <c r="D23" s="242"/>
      <c r="E23" s="45" t="s">
        <v>58</v>
      </c>
      <c r="F23" s="45" t="s">
        <v>96</v>
      </c>
      <c r="G23" s="45" t="s">
        <v>57</v>
      </c>
      <c r="H23" s="45" t="s">
        <v>65</v>
      </c>
      <c r="I23" s="85"/>
      <c r="J23" s="47" t="s">
        <v>54</v>
      </c>
      <c r="K23" s="47" t="s">
        <v>31</v>
      </c>
      <c r="L23" s="47" t="s">
        <v>52</v>
      </c>
    </row>
    <row r="24" spans="2:14">
      <c r="B24" s="41"/>
      <c r="C24" s="44" t="s">
        <v>47</v>
      </c>
      <c r="D24" s="53" t="str">
        <f>VLOOKUP($C24,'AER FD Input Data'!$B$37:$C$41,2,FALSE)</f>
        <v>Field Worker R4</v>
      </c>
      <c r="E24" s="54">
        <f>VLOOKUP($C24,'AER FD Input Data'!$B$37:$L$41,11,FALSE)</f>
        <v>147.83000000000001</v>
      </c>
      <c r="F24" s="54">
        <v>1</v>
      </c>
      <c r="G24" s="49">
        <v>3</v>
      </c>
      <c r="H24" s="55">
        <f>E24*F24*G24</f>
        <v>443.49</v>
      </c>
      <c r="I24" s="41"/>
      <c r="J24" s="54">
        <f>VLOOKUP($C24,'AER FD Input Data'!$B$37:$L$41,3,FALSE)*G24</f>
        <v>157.99869963973129</v>
      </c>
      <c r="K24" s="54">
        <f>VLOOKUP($C24,'AER FD Input Data'!$B$37:$L$41,6,FALSE)*G24</f>
        <v>82.525921540333854</v>
      </c>
      <c r="L24" s="54">
        <f>VLOOKUP($C24,'AER FD Input Data'!$B$37:$L$41,8,FALSE)*G24</f>
        <v>209.25642042665669</v>
      </c>
    </row>
    <row r="25" spans="2:14">
      <c r="B25" s="41"/>
      <c r="C25" s="48"/>
      <c r="D25" s="48"/>
      <c r="E25" s="48"/>
      <c r="F25" s="80"/>
      <c r="G25" s="50" t="s">
        <v>53</v>
      </c>
      <c r="H25" s="56">
        <f>SUM(H24:H24)</f>
        <v>443.49</v>
      </c>
      <c r="I25" s="41"/>
      <c r="J25" s="56">
        <f>SUM(J24:J24)</f>
        <v>157.99869963973129</v>
      </c>
      <c r="K25" s="56">
        <f>SUM(K24:K24)</f>
        <v>82.525921540333854</v>
      </c>
      <c r="L25" s="56">
        <f>SUM(L24:L24)</f>
        <v>209.25642042665669</v>
      </c>
      <c r="M25" s="166"/>
    </row>
    <row r="26" spans="2:14" s="147" customFormat="1" ht="7.2" customHeight="1">
      <c r="B26" s="163"/>
      <c r="C26" s="163"/>
      <c r="D26" s="163"/>
      <c r="E26" s="163"/>
      <c r="F26" s="163"/>
      <c r="G26" s="163"/>
      <c r="H26" s="163"/>
      <c r="I26" s="163"/>
      <c r="J26" s="163"/>
      <c r="K26" s="163"/>
      <c r="L26" s="163"/>
    </row>
    <row r="27" spans="2:14" s="7" customFormat="1">
      <c r="B27" s="243" t="s">
        <v>14</v>
      </c>
      <c r="C27" s="243"/>
      <c r="D27" s="243"/>
      <c r="E27" s="243"/>
      <c r="F27" s="243"/>
      <c r="G27" s="243"/>
      <c r="H27" s="243"/>
      <c r="I27" s="243"/>
      <c r="J27" s="243"/>
      <c r="K27" s="243"/>
      <c r="L27" s="243"/>
      <c r="N27" s="147"/>
    </row>
    <row r="28" spans="2:14" s="7" customFormat="1">
      <c r="B28" s="244" t="s">
        <v>64</v>
      </c>
      <c r="C28" s="244"/>
      <c r="D28" s="244"/>
      <c r="E28" s="244"/>
      <c r="F28" s="244"/>
      <c r="G28" s="244"/>
      <c r="H28" s="244"/>
      <c r="I28" s="244"/>
      <c r="J28" s="244"/>
      <c r="K28" s="244"/>
      <c r="L28" s="244"/>
      <c r="N28" s="147"/>
    </row>
    <row r="29" spans="2:14" s="147" customFormat="1" ht="7.2" customHeight="1">
      <c r="B29" s="163"/>
      <c r="C29" s="163"/>
      <c r="D29" s="163"/>
      <c r="E29" s="163"/>
      <c r="F29" s="163"/>
      <c r="G29" s="163"/>
      <c r="H29" s="163"/>
      <c r="I29" s="163"/>
      <c r="J29" s="163"/>
      <c r="K29" s="163"/>
      <c r="L29" s="163"/>
    </row>
    <row r="30" spans="2:14">
      <c r="B30" s="42" t="s">
        <v>51</v>
      </c>
      <c r="C30" s="245" t="str">
        <f>'AER FD AER Summary'!B14</f>
        <v xml:space="preserve">Franchise current transformer (CT) meter install </v>
      </c>
      <c r="D30" s="245"/>
      <c r="E30" s="245"/>
      <c r="F30" s="245"/>
      <c r="G30" s="245"/>
      <c r="H30" s="245"/>
      <c r="I30" s="245"/>
      <c r="J30" s="245"/>
      <c r="K30" s="245"/>
      <c r="L30" s="245"/>
    </row>
    <row r="31" spans="2:14" ht="48" customHeight="1">
      <c r="B31" s="246" t="s">
        <v>91</v>
      </c>
      <c r="C31" s="246"/>
      <c r="D31" s="246"/>
      <c r="E31" s="246"/>
      <c r="F31" s="246"/>
      <c r="G31" s="246"/>
      <c r="H31" s="246"/>
      <c r="I31" s="246"/>
      <c r="J31" s="246"/>
      <c r="K31" s="246"/>
      <c r="L31" s="246"/>
    </row>
    <row r="32" spans="2:14">
      <c r="B32" s="41"/>
      <c r="C32" s="41"/>
      <c r="D32" s="127"/>
      <c r="E32" s="128"/>
      <c r="F32" s="128"/>
      <c r="G32" s="129"/>
      <c r="H32" s="56"/>
      <c r="I32" s="41"/>
      <c r="J32" s="128"/>
      <c r="K32" s="128"/>
      <c r="L32" s="128"/>
    </row>
    <row r="33" spans="2:14">
      <c r="B33" s="41"/>
      <c r="C33" s="41"/>
      <c r="D33" s="41"/>
      <c r="E33" s="41"/>
      <c r="F33" s="41"/>
      <c r="G33" s="51"/>
      <c r="H33" s="56"/>
      <c r="I33" s="41"/>
      <c r="J33" s="56"/>
      <c r="K33" s="56"/>
      <c r="L33" s="56"/>
      <c r="M33" s="166"/>
    </row>
    <row r="34" spans="2:14">
      <c r="B34" s="41"/>
      <c r="C34" s="41"/>
      <c r="D34" s="41"/>
      <c r="E34" s="41"/>
      <c r="F34" s="41"/>
      <c r="G34" s="51"/>
      <c r="H34" s="52"/>
      <c r="I34" s="41"/>
      <c r="J34" s="85"/>
      <c r="K34" s="85"/>
      <c r="L34" s="85"/>
    </row>
    <row r="35" spans="2:14" ht="7.2" customHeight="1"/>
    <row r="36" spans="2:14" s="7" customFormat="1">
      <c r="B36" s="243" t="s">
        <v>14</v>
      </c>
      <c r="C36" s="243"/>
      <c r="D36" s="243"/>
      <c r="E36" s="243"/>
      <c r="F36" s="243"/>
      <c r="G36" s="243"/>
      <c r="H36" s="243"/>
      <c r="I36" s="243"/>
      <c r="J36" s="243"/>
      <c r="K36" s="243"/>
      <c r="L36" s="243"/>
      <c r="N36" s="147"/>
    </row>
    <row r="37" spans="2:14" s="7" customFormat="1">
      <c r="B37" s="247" t="s">
        <v>265</v>
      </c>
      <c r="C37" s="247"/>
      <c r="D37" s="247"/>
      <c r="E37" s="247"/>
      <c r="F37" s="247"/>
      <c r="G37" s="247"/>
      <c r="H37" s="247"/>
      <c r="I37" s="247"/>
      <c r="J37" s="247"/>
      <c r="K37" s="247"/>
      <c r="L37" s="247"/>
      <c r="N37" s="147"/>
    </row>
    <row r="38" spans="2:14" s="147" customFormat="1">
      <c r="B38" s="163"/>
      <c r="C38" s="163"/>
      <c r="D38" s="163"/>
      <c r="E38" s="163"/>
      <c r="F38" s="163"/>
      <c r="G38" s="163"/>
      <c r="H38" s="163"/>
      <c r="I38" s="163"/>
      <c r="J38" s="163"/>
      <c r="K38" s="163"/>
      <c r="L38" s="163"/>
    </row>
    <row r="39" spans="2:14" ht="14.4" customHeight="1">
      <c r="B39" s="42" t="s">
        <v>51</v>
      </c>
      <c r="C39" s="245" t="str">
        <f>'AER FD AER Summary'!B15</f>
        <v xml:space="preserve">Types 5-7 non-standard Meter Data Services </v>
      </c>
      <c r="D39" s="245"/>
      <c r="E39" s="245"/>
      <c r="F39" s="245"/>
      <c r="G39" s="245"/>
      <c r="H39" s="245"/>
      <c r="I39" s="245"/>
      <c r="J39" s="245"/>
      <c r="K39" s="245"/>
      <c r="L39" s="245"/>
    </row>
    <row r="40" spans="2:14" ht="48" customHeight="1">
      <c r="B40" s="43"/>
      <c r="C40" s="241" t="s">
        <v>55</v>
      </c>
      <c r="D40" s="242"/>
      <c r="E40" s="45" t="s">
        <v>58</v>
      </c>
      <c r="F40" s="45" t="s">
        <v>96</v>
      </c>
      <c r="G40" s="45" t="s">
        <v>57</v>
      </c>
      <c r="H40" s="45" t="s">
        <v>65</v>
      </c>
      <c r="I40" s="85"/>
      <c r="J40" s="47" t="s">
        <v>54</v>
      </c>
      <c r="K40" s="47" t="s">
        <v>31</v>
      </c>
      <c r="L40" s="47" t="s">
        <v>52</v>
      </c>
    </row>
    <row r="41" spans="2:14">
      <c r="B41" s="41"/>
      <c r="C41" s="44" t="s">
        <v>47</v>
      </c>
      <c r="D41" s="53" t="str">
        <f>VLOOKUP($C41,'AER FD Input Data'!$B$37:$C$41,2,FALSE)</f>
        <v>Field Worker R4</v>
      </c>
      <c r="E41" s="54">
        <f>VLOOKUP($C41,'AER FD Input Data'!$B$37:$L$41,11,FALSE)</f>
        <v>147.83000000000001</v>
      </c>
      <c r="F41" s="54">
        <v>1</v>
      </c>
      <c r="G41" s="49">
        <f>H41/E41</f>
        <v>0.10490359430584632</v>
      </c>
      <c r="H41" s="55">
        <f>VLOOKUP(C39,'AER FD AER Summary'!$B$11:$I$28,3,FALSE)</f>
        <v>15.507898346233263</v>
      </c>
      <c r="I41" s="41"/>
      <c r="J41" s="54">
        <f>VLOOKUP($C41,'AER FD Input Data'!$B$37:$L$41,3,FALSE)*G41</f>
        <v>5.5248771626192124</v>
      </c>
      <c r="K41" s="54">
        <f>VLOOKUP($C41,'AER FD Input Data'!$B$37:$L$41,6,FALSE)*G41</f>
        <v>2.8857552643277624</v>
      </c>
      <c r="L41" s="54">
        <f>VLOOKUP($C41,'AER FD Input Data'!$B$37:$L$41,8,FALSE)*G41</f>
        <v>7.3172502114438682</v>
      </c>
    </row>
    <row r="42" spans="2:14">
      <c r="B42" s="41"/>
      <c r="C42" s="48"/>
      <c r="D42" s="48"/>
      <c r="E42" s="48"/>
      <c r="F42" s="80"/>
      <c r="G42" s="50" t="s">
        <v>53</v>
      </c>
      <c r="H42" s="56">
        <f>SUM(H41:H41)</f>
        <v>15.507898346233263</v>
      </c>
      <c r="I42" s="41"/>
      <c r="J42" s="56">
        <f>SUM(J41:J41)</f>
        <v>5.5248771626192124</v>
      </c>
      <c r="K42" s="56">
        <f>SUM(K41:K41)</f>
        <v>2.8857552643277624</v>
      </c>
      <c r="L42" s="56">
        <f>SUM(L41:L41)</f>
        <v>7.3172502114438682</v>
      </c>
      <c r="M42" s="166"/>
    </row>
    <row r="43" spans="2:14" s="147" customFormat="1" ht="7.2" customHeight="1">
      <c r="B43" s="163"/>
      <c r="C43" s="163"/>
      <c r="D43" s="163"/>
      <c r="E43" s="163"/>
      <c r="F43" s="163"/>
      <c r="G43" s="163"/>
      <c r="H43" s="163"/>
      <c r="I43" s="163"/>
      <c r="J43" s="163"/>
      <c r="K43" s="163"/>
      <c r="L43" s="163"/>
    </row>
    <row r="44" spans="2:14" s="7" customFormat="1">
      <c r="B44" s="243" t="s">
        <v>14</v>
      </c>
      <c r="C44" s="243"/>
      <c r="D44" s="243"/>
      <c r="E44" s="243"/>
      <c r="F44" s="243"/>
      <c r="G44" s="243"/>
      <c r="H44" s="243"/>
      <c r="I44" s="243"/>
      <c r="J44" s="243"/>
      <c r="K44" s="243"/>
      <c r="L44" s="243"/>
      <c r="N44" s="147"/>
    </row>
    <row r="45" spans="2:14" s="7" customFormat="1">
      <c r="B45" s="244" t="s">
        <v>308</v>
      </c>
      <c r="C45" s="244"/>
      <c r="D45" s="244"/>
      <c r="E45" s="244"/>
      <c r="F45" s="244"/>
      <c r="G45" s="244"/>
      <c r="H45" s="244"/>
      <c r="I45" s="244"/>
      <c r="J45" s="244"/>
      <c r="K45" s="244"/>
      <c r="L45" s="244"/>
      <c r="M45" s="147"/>
      <c r="N45" s="147"/>
    </row>
    <row r="46" spans="2:14" s="147" customFormat="1">
      <c r="B46" s="163"/>
      <c r="C46" s="163"/>
      <c r="D46" s="163"/>
      <c r="E46" s="163"/>
      <c r="F46" s="163"/>
      <c r="G46" s="163"/>
      <c r="H46" s="163"/>
      <c r="I46" s="163"/>
      <c r="J46" s="163"/>
      <c r="K46" s="163"/>
      <c r="L46" s="163"/>
    </row>
    <row r="47" spans="2:14" ht="14.4" customHeight="1">
      <c r="B47" s="42" t="s">
        <v>51</v>
      </c>
      <c r="C47" s="245" t="str">
        <f>'AER FD AER Summary'!B16</f>
        <v xml:space="preserve">Emergency maintenance of failed metering equipment not owned by the network </v>
      </c>
      <c r="D47" s="245"/>
      <c r="E47" s="245"/>
      <c r="F47" s="245"/>
      <c r="G47" s="245"/>
      <c r="H47" s="245"/>
      <c r="I47" s="245"/>
      <c r="J47" s="245"/>
      <c r="K47" s="245"/>
      <c r="L47" s="245"/>
    </row>
    <row r="48" spans="2:14" ht="48" customHeight="1">
      <c r="B48" s="43"/>
      <c r="C48" s="241" t="s">
        <v>55</v>
      </c>
      <c r="D48" s="242"/>
      <c r="E48" s="45" t="s">
        <v>58</v>
      </c>
      <c r="F48" s="45" t="s">
        <v>96</v>
      </c>
      <c r="G48" s="45" t="s">
        <v>57</v>
      </c>
      <c r="H48" s="45" t="s">
        <v>65</v>
      </c>
      <c r="I48" s="85"/>
      <c r="J48" s="47" t="s">
        <v>54</v>
      </c>
      <c r="K48" s="47" t="s">
        <v>31</v>
      </c>
      <c r="L48" s="47" t="s">
        <v>52</v>
      </c>
    </row>
    <row r="49" spans="2:14">
      <c r="B49" s="41"/>
      <c r="C49" s="44" t="s">
        <v>47</v>
      </c>
      <c r="D49" s="53" t="str">
        <f>VLOOKUP($C49,'AER FD Input Data'!$B$37:$C$41,2,FALSE)</f>
        <v>Field Worker R4</v>
      </c>
      <c r="E49" s="54">
        <f>VLOOKUP($C49,'AER FD Input Data'!$B$37:$L$41,11,FALSE)</f>
        <v>147.83000000000001</v>
      </c>
      <c r="F49" s="54">
        <v>1</v>
      </c>
      <c r="G49" s="49">
        <f>H49/E49</f>
        <v>1.189210810937859</v>
      </c>
      <c r="H49" s="55">
        <f>VLOOKUP(C47,'AER FD AER Summary'!$B$11:$I$28,3,FALSE)</f>
        <v>175.8010341809437</v>
      </c>
      <c r="I49" s="41"/>
      <c r="J49" s="54">
        <f>VLOOKUP($C49,'AER FD Input Data'!$B$37:$L$41,3,FALSE)*G49</f>
        <v>62.631253908564013</v>
      </c>
      <c r="K49" s="54">
        <f>VLOOKUP($C49,'AER FD Input Data'!$B$37:$L$41,6,FALSE)*G49</f>
        <v>32.713572692791516</v>
      </c>
      <c r="L49" s="54">
        <f>VLOOKUP($C49,'AER FD Input Data'!$B$37:$L$41,8,FALSE)*G49</f>
        <v>82.949999143179312</v>
      </c>
    </row>
    <row r="50" spans="2:14">
      <c r="B50" s="41"/>
      <c r="C50" s="48"/>
      <c r="D50" s="48"/>
      <c r="E50" s="48"/>
      <c r="F50" s="80"/>
      <c r="G50" s="50" t="s">
        <v>53</v>
      </c>
      <c r="H50" s="56">
        <f>SUM(H49:H49)</f>
        <v>175.8010341809437</v>
      </c>
      <c r="I50" s="41"/>
      <c r="J50" s="56">
        <f>SUM(J49:J49)</f>
        <v>62.631253908564013</v>
      </c>
      <c r="K50" s="56">
        <f>SUM(K49:K49)</f>
        <v>32.713572692791516</v>
      </c>
      <c r="L50" s="56">
        <f>SUM(L49:L49)</f>
        <v>82.949999143179312</v>
      </c>
      <c r="M50" s="166"/>
    </row>
    <row r="51" spans="2:14" s="147" customFormat="1" ht="7.2" customHeight="1">
      <c r="B51" s="163"/>
      <c r="C51" s="163"/>
      <c r="D51" s="163"/>
      <c r="E51" s="163"/>
      <c r="F51" s="163"/>
      <c r="G51" s="163"/>
      <c r="H51" s="163"/>
      <c r="I51" s="163"/>
      <c r="J51" s="163"/>
      <c r="K51" s="163"/>
      <c r="L51" s="163"/>
    </row>
    <row r="52" spans="2:14" s="7" customFormat="1">
      <c r="B52" s="243" t="s">
        <v>14</v>
      </c>
      <c r="C52" s="243"/>
      <c r="D52" s="243"/>
      <c r="E52" s="243"/>
      <c r="F52" s="243"/>
      <c r="G52" s="243"/>
      <c r="H52" s="243"/>
      <c r="I52" s="243"/>
      <c r="J52" s="243"/>
      <c r="K52" s="243"/>
      <c r="L52" s="243"/>
      <c r="N52" s="147"/>
    </row>
    <row r="53" spans="2:14" s="7" customFormat="1">
      <c r="B53" s="244" t="s">
        <v>308</v>
      </c>
      <c r="C53" s="244"/>
      <c r="D53" s="244"/>
      <c r="E53" s="244"/>
      <c r="F53" s="244"/>
      <c r="G53" s="244"/>
      <c r="H53" s="244"/>
      <c r="I53" s="244"/>
      <c r="J53" s="244"/>
      <c r="K53" s="244"/>
      <c r="L53" s="244"/>
      <c r="N53" s="147"/>
    </row>
    <row r="54" spans="2:14" s="147" customFormat="1">
      <c r="B54" s="163"/>
      <c r="C54" s="163"/>
      <c r="D54" s="163"/>
      <c r="E54" s="163"/>
      <c r="F54" s="163"/>
      <c r="G54" s="163"/>
      <c r="H54" s="163"/>
      <c r="I54" s="163"/>
      <c r="J54" s="163"/>
      <c r="K54" s="163"/>
      <c r="L54" s="163"/>
    </row>
    <row r="55" spans="2:14" ht="14.4" customHeight="1">
      <c r="B55" s="42" t="s">
        <v>51</v>
      </c>
      <c r="C55" s="245" t="str">
        <f>'AER FD AER Summary'!B17</f>
        <v xml:space="preserve">Off peak conversion </v>
      </c>
      <c r="D55" s="245"/>
      <c r="E55" s="245"/>
      <c r="F55" s="245"/>
      <c r="G55" s="245"/>
      <c r="H55" s="245"/>
      <c r="I55" s="245"/>
      <c r="J55" s="245"/>
      <c r="K55" s="245"/>
      <c r="L55" s="245"/>
    </row>
    <row r="56" spans="2:14" ht="48" customHeight="1">
      <c r="B56" s="43"/>
      <c r="C56" s="241" t="s">
        <v>55</v>
      </c>
      <c r="D56" s="242"/>
      <c r="E56" s="45" t="s">
        <v>58</v>
      </c>
      <c r="F56" s="45" t="s">
        <v>96</v>
      </c>
      <c r="G56" s="45" t="s">
        <v>57</v>
      </c>
      <c r="H56" s="45" t="s">
        <v>65</v>
      </c>
      <c r="I56" s="85"/>
      <c r="J56" s="47" t="s">
        <v>54</v>
      </c>
      <c r="K56" s="47" t="s">
        <v>31</v>
      </c>
      <c r="L56" s="47" t="s">
        <v>52</v>
      </c>
    </row>
    <row r="57" spans="2:14">
      <c r="B57" s="41"/>
      <c r="C57" s="44" t="s">
        <v>47</v>
      </c>
      <c r="D57" s="53" t="str">
        <f>VLOOKUP($C57,'AER FD Input Data'!$B$37:$C$41,2,FALSE)</f>
        <v>Field Worker R4</v>
      </c>
      <c r="E57" s="54">
        <f>VLOOKUP($C57,'AER FD Input Data'!$B$37:$L$41,11,FALSE)</f>
        <v>147.83000000000001</v>
      </c>
      <c r="F57" s="54">
        <v>1</v>
      </c>
      <c r="G57" s="274">
        <v>1</v>
      </c>
      <c r="H57" s="275">
        <f>E57*F57*G57</f>
        <v>147.83000000000001</v>
      </c>
      <c r="I57" s="41"/>
      <c r="J57" s="54">
        <f>VLOOKUP($C57,'AER FD Input Data'!$B$37:$L$41,3,FALSE)*G57</f>
        <v>52.666233213243757</v>
      </c>
      <c r="K57" s="54">
        <f>VLOOKUP($C57,'AER FD Input Data'!$B$37:$L$41,6,FALSE)*G57</f>
        <v>27.508640513444618</v>
      </c>
      <c r="L57" s="54">
        <f>VLOOKUP($C57,'AER FD Input Data'!$B$37:$L$41,8,FALSE)*G57</f>
        <v>69.752140142218892</v>
      </c>
    </row>
    <row r="58" spans="2:14">
      <c r="B58" s="41"/>
      <c r="C58" s="48"/>
      <c r="D58" s="48"/>
      <c r="E58" s="48"/>
      <c r="F58" s="80"/>
      <c r="G58" s="50" t="s">
        <v>53</v>
      </c>
      <c r="H58" s="56">
        <f>SUM(H57:H57)</f>
        <v>147.83000000000001</v>
      </c>
      <c r="I58" s="41"/>
      <c r="J58" s="56">
        <f>SUM(J57:J57)</f>
        <v>52.666233213243757</v>
      </c>
      <c r="K58" s="56">
        <f>SUM(K57:K57)</f>
        <v>27.508640513444618</v>
      </c>
      <c r="L58" s="56">
        <f>SUM(L57:L57)</f>
        <v>69.752140142218892</v>
      </c>
      <c r="M58" s="166"/>
    </row>
    <row r="59" spans="2:14" ht="7.2" customHeight="1"/>
    <row r="60" spans="2:14" s="7" customFormat="1">
      <c r="B60" s="243" t="s">
        <v>14</v>
      </c>
      <c r="C60" s="243"/>
      <c r="D60" s="243"/>
      <c r="E60" s="243"/>
      <c r="F60" s="243"/>
      <c r="G60" s="243"/>
      <c r="H60" s="243"/>
      <c r="I60" s="243"/>
      <c r="J60" s="243"/>
      <c r="K60" s="243"/>
      <c r="L60" s="243"/>
    </row>
    <row r="61" spans="2:14" s="7" customFormat="1">
      <c r="B61" s="244" t="s">
        <v>308</v>
      </c>
      <c r="C61" s="244"/>
      <c r="D61" s="244"/>
      <c r="E61" s="244"/>
      <c r="F61" s="244"/>
      <c r="G61" s="244"/>
      <c r="H61" s="244"/>
      <c r="I61" s="244"/>
      <c r="J61" s="244"/>
      <c r="K61" s="244"/>
      <c r="L61" s="244"/>
    </row>
    <row r="62" spans="2:14" s="147" customFormat="1">
      <c r="B62" s="163"/>
      <c r="C62" s="163"/>
      <c r="D62" s="163"/>
      <c r="E62" s="163"/>
      <c r="F62" s="163"/>
      <c r="G62" s="163"/>
      <c r="H62" s="163"/>
      <c r="I62" s="163"/>
      <c r="J62" s="163"/>
      <c r="K62" s="163"/>
      <c r="L62" s="163"/>
    </row>
    <row r="63" spans="2:14">
      <c r="B63" s="42" t="s">
        <v>51</v>
      </c>
      <c r="C63" s="245" t="str">
        <f>'AER FD AER Summary'!B18</f>
        <v xml:space="preserve">Disconnection Visit (Site Visit Only) </v>
      </c>
      <c r="D63" s="245"/>
      <c r="E63" s="245"/>
      <c r="F63" s="245"/>
      <c r="G63" s="245"/>
      <c r="H63" s="245"/>
      <c r="I63" s="245"/>
      <c r="J63" s="245"/>
      <c r="K63" s="245"/>
      <c r="L63" s="245"/>
    </row>
    <row r="64" spans="2:14" ht="28.8">
      <c r="B64" s="43"/>
      <c r="C64" s="241" t="s">
        <v>55</v>
      </c>
      <c r="D64" s="242"/>
      <c r="E64" s="45" t="s">
        <v>58</v>
      </c>
      <c r="F64" s="45" t="s">
        <v>96</v>
      </c>
      <c r="G64" s="45" t="s">
        <v>57</v>
      </c>
      <c r="H64" s="45" t="s">
        <v>65</v>
      </c>
      <c r="I64" s="85"/>
      <c r="J64" s="47" t="s">
        <v>54</v>
      </c>
      <c r="K64" s="47" t="s">
        <v>31</v>
      </c>
      <c r="L64" s="47" t="s">
        <v>52</v>
      </c>
    </row>
    <row r="65" spans="2:13">
      <c r="B65" s="41"/>
      <c r="C65" s="44" t="s">
        <v>47</v>
      </c>
      <c r="D65" s="53" t="str">
        <f>VLOOKUP($C65,'AER FD Input Data'!$B$37:$C$41,2,FALSE)</f>
        <v>Field Worker R4</v>
      </c>
      <c r="E65" s="54">
        <f>VLOOKUP($C65,'AER FD Input Data'!$B$37:$L$41,11,FALSE)</f>
        <v>147.83000000000001</v>
      </c>
      <c r="F65" s="54">
        <v>1</v>
      </c>
      <c r="G65" s="49">
        <v>0.7</v>
      </c>
      <c r="H65" s="55">
        <f>E65*F65*G65</f>
        <v>103.48100000000001</v>
      </c>
      <c r="I65" s="41"/>
      <c r="J65" s="54">
        <f>VLOOKUP($C65,'AER FD Input Data'!$B$37:$L$41,3,FALSE)*G65</f>
        <v>36.866363249270627</v>
      </c>
      <c r="K65" s="54">
        <f>VLOOKUP($C65,'AER FD Input Data'!$B$37:$L$41,6,FALSE)*G65</f>
        <v>19.256048359411231</v>
      </c>
      <c r="L65" s="54">
        <f>VLOOKUP($C65,'AER FD Input Data'!$B$37:$L$41,8,FALSE)*G65</f>
        <v>48.82649809955322</v>
      </c>
    </row>
    <row r="66" spans="2:13">
      <c r="B66" s="41"/>
      <c r="C66" s="48"/>
      <c r="D66" s="48"/>
      <c r="E66" s="48"/>
      <c r="F66" s="80"/>
      <c r="G66" s="50" t="s">
        <v>53</v>
      </c>
      <c r="H66" s="56">
        <f>SUM(H65:H65)</f>
        <v>103.48100000000001</v>
      </c>
      <c r="I66" s="41"/>
      <c r="J66" s="56">
        <f>SUM(J65:J65)</f>
        <v>36.866363249270627</v>
      </c>
      <c r="K66" s="56">
        <f>SUM(K65:K65)</f>
        <v>19.256048359411231</v>
      </c>
      <c r="L66" s="56">
        <f>SUM(L65:L65)</f>
        <v>48.82649809955322</v>
      </c>
      <c r="M66" s="166"/>
    </row>
    <row r="67" spans="2:13" s="147" customFormat="1">
      <c r="B67" s="163"/>
      <c r="C67" s="163"/>
      <c r="D67" s="163"/>
      <c r="E67" s="163"/>
      <c r="F67" s="163"/>
      <c r="G67" s="163"/>
      <c r="H67" s="163"/>
      <c r="I67" s="163"/>
      <c r="J67" s="163"/>
      <c r="K67" s="163"/>
      <c r="L67" s="163"/>
    </row>
    <row r="68" spans="2:13">
      <c r="B68" s="243" t="s">
        <v>14</v>
      </c>
      <c r="C68" s="243"/>
      <c r="D68" s="243"/>
      <c r="E68" s="243"/>
      <c r="F68" s="243"/>
      <c r="G68" s="243"/>
      <c r="H68" s="243"/>
      <c r="I68" s="243"/>
      <c r="J68" s="243"/>
      <c r="K68" s="243"/>
      <c r="L68" s="243"/>
    </row>
    <row r="69" spans="2:13">
      <c r="B69" s="244" t="s">
        <v>64</v>
      </c>
      <c r="C69" s="244"/>
      <c r="D69" s="244"/>
      <c r="E69" s="244"/>
      <c r="F69" s="244"/>
      <c r="G69" s="244"/>
      <c r="H69" s="244"/>
      <c r="I69" s="244"/>
      <c r="J69" s="244"/>
      <c r="K69" s="244"/>
      <c r="L69" s="244"/>
    </row>
    <row r="70" spans="2:13" s="147" customFormat="1">
      <c r="B70" s="163"/>
      <c r="C70" s="163"/>
      <c r="D70" s="163"/>
      <c r="E70" s="163"/>
      <c r="F70" s="163"/>
      <c r="G70" s="163"/>
      <c r="H70" s="163"/>
      <c r="I70" s="163"/>
      <c r="J70" s="163"/>
      <c r="K70" s="163"/>
      <c r="L70" s="163"/>
    </row>
    <row r="71" spans="2:13">
      <c r="B71" s="42" t="s">
        <v>51</v>
      </c>
      <c r="C71" s="245" t="str">
        <f>'AER FD AER Summary'!B19</f>
        <v xml:space="preserve">Disconnection Completed </v>
      </c>
      <c r="D71" s="245"/>
      <c r="E71" s="245"/>
      <c r="F71" s="245"/>
      <c r="G71" s="245"/>
      <c r="H71" s="245"/>
      <c r="I71" s="245"/>
      <c r="J71" s="245"/>
      <c r="K71" s="245"/>
      <c r="L71" s="245"/>
    </row>
    <row r="72" spans="2:13" ht="28.8">
      <c r="B72" s="43"/>
      <c r="C72" s="241" t="s">
        <v>55</v>
      </c>
      <c r="D72" s="242"/>
      <c r="E72" s="45" t="s">
        <v>58</v>
      </c>
      <c r="F72" s="45" t="s">
        <v>96</v>
      </c>
      <c r="G72" s="45" t="s">
        <v>57</v>
      </c>
      <c r="H72" s="45" t="s">
        <v>65</v>
      </c>
      <c r="I72" s="85"/>
      <c r="J72" s="47" t="s">
        <v>54</v>
      </c>
      <c r="K72" s="47" t="s">
        <v>31</v>
      </c>
      <c r="L72" s="47" t="s">
        <v>52</v>
      </c>
    </row>
    <row r="73" spans="2:13">
      <c r="B73" s="41"/>
      <c r="C73" s="44" t="s">
        <v>47</v>
      </c>
      <c r="D73" s="53" t="str">
        <f>VLOOKUP($C73,'AER FD Input Data'!$B$37:$C$41,2,FALSE)</f>
        <v>Field Worker R4</v>
      </c>
      <c r="E73" s="54">
        <f>VLOOKUP($C73,'AER FD Input Data'!$B$37:$L$41,11,FALSE)</f>
        <v>147.83000000000001</v>
      </c>
      <c r="F73" s="54">
        <v>1</v>
      </c>
      <c r="G73" s="49">
        <v>0.5</v>
      </c>
      <c r="H73" s="55">
        <f>E73*F73*G73</f>
        <v>73.915000000000006</v>
      </c>
      <c r="I73" s="41"/>
      <c r="J73" s="54">
        <f>VLOOKUP($C73,'AER FD Input Data'!$B$37:$L$41,3,FALSE)*G73</f>
        <v>26.333116606621878</v>
      </c>
      <c r="K73" s="54">
        <f>VLOOKUP($C73,'AER FD Input Data'!$B$37:$L$41,6,FALSE)*G73</f>
        <v>13.754320256722309</v>
      </c>
      <c r="L73" s="54">
        <f>VLOOKUP($C73,'AER FD Input Data'!$B$37:$L$41,8,FALSE)*G73</f>
        <v>34.876070071109446</v>
      </c>
    </row>
    <row r="74" spans="2:13">
      <c r="B74" s="41"/>
      <c r="C74" s="48"/>
      <c r="D74" s="48"/>
      <c r="E74" s="48"/>
      <c r="F74" s="80"/>
      <c r="G74" s="50" t="s">
        <v>53</v>
      </c>
      <c r="H74" s="56">
        <f>SUM(H73:H73)</f>
        <v>73.915000000000006</v>
      </c>
      <c r="I74" s="41"/>
      <c r="J74" s="56">
        <f>SUM(J73:J73)</f>
        <v>26.333116606621878</v>
      </c>
      <c r="K74" s="56">
        <f>SUM(K73:K73)</f>
        <v>13.754320256722309</v>
      </c>
      <c r="L74" s="56">
        <f>SUM(L73:L73)</f>
        <v>34.876070071109446</v>
      </c>
      <c r="M74" s="166"/>
    </row>
    <row r="75" spans="2:13" s="147" customFormat="1">
      <c r="B75" s="163"/>
      <c r="C75" s="163"/>
      <c r="D75" s="163"/>
      <c r="E75" s="163"/>
      <c r="F75" s="163"/>
      <c r="G75" s="163"/>
      <c r="H75" s="163"/>
      <c r="I75" s="163"/>
      <c r="J75" s="163"/>
      <c r="K75" s="163"/>
      <c r="L75" s="163"/>
    </row>
    <row r="76" spans="2:13">
      <c r="B76" s="243" t="s">
        <v>14</v>
      </c>
      <c r="C76" s="243"/>
      <c r="D76" s="243"/>
      <c r="E76" s="243"/>
      <c r="F76" s="243"/>
      <c r="G76" s="243"/>
      <c r="H76" s="243"/>
      <c r="I76" s="243"/>
      <c r="J76" s="243"/>
      <c r="K76" s="243"/>
      <c r="L76" s="243"/>
    </row>
    <row r="77" spans="2:13">
      <c r="B77" s="244" t="s">
        <v>64</v>
      </c>
      <c r="C77" s="244"/>
      <c r="D77" s="244"/>
      <c r="E77" s="244"/>
      <c r="F77" s="244"/>
      <c r="G77" s="244"/>
      <c r="H77" s="244"/>
      <c r="I77" s="244"/>
      <c r="J77" s="244"/>
      <c r="K77" s="244"/>
      <c r="L77" s="244"/>
    </row>
    <row r="78" spans="2:13" s="147" customFormat="1">
      <c r="B78" s="163"/>
      <c r="C78" s="163"/>
      <c r="D78" s="163"/>
      <c r="E78" s="163"/>
      <c r="F78" s="163"/>
      <c r="G78" s="163"/>
      <c r="H78" s="163"/>
      <c r="I78" s="163"/>
      <c r="J78" s="163"/>
      <c r="K78" s="163"/>
      <c r="L78" s="163"/>
    </row>
    <row r="79" spans="2:13">
      <c r="B79" s="42" t="s">
        <v>51</v>
      </c>
      <c r="C79" s="245" t="str">
        <f>'AER FD AER Summary'!B20</f>
        <v xml:space="preserve">Disconnection Visit (Disconnection Completed- Technical/ Advanced) </v>
      </c>
      <c r="D79" s="245"/>
      <c r="E79" s="245"/>
      <c r="F79" s="245"/>
      <c r="G79" s="245"/>
      <c r="H79" s="245"/>
      <c r="I79" s="245"/>
      <c r="J79" s="245"/>
      <c r="K79" s="245"/>
      <c r="L79" s="245"/>
    </row>
    <row r="80" spans="2:13" ht="28.8">
      <c r="B80" s="43"/>
      <c r="C80" s="241" t="s">
        <v>55</v>
      </c>
      <c r="D80" s="242"/>
      <c r="E80" s="45" t="s">
        <v>58</v>
      </c>
      <c r="F80" s="45" t="s">
        <v>96</v>
      </c>
      <c r="G80" s="45" t="s">
        <v>57</v>
      </c>
      <c r="H80" s="45" t="s">
        <v>65</v>
      </c>
      <c r="I80" s="85"/>
      <c r="J80" s="47" t="s">
        <v>54</v>
      </c>
      <c r="K80" s="47" t="s">
        <v>31</v>
      </c>
      <c r="L80" s="47" t="s">
        <v>52</v>
      </c>
    </row>
    <row r="81" spans="2:13">
      <c r="B81" s="41"/>
      <c r="C81" s="44" t="s">
        <v>47</v>
      </c>
      <c r="D81" s="53" t="str">
        <f>VLOOKUP($C81,'AER FD Input Data'!$B$37:$C$41,2,FALSE)</f>
        <v>Field Worker R4</v>
      </c>
      <c r="E81" s="54">
        <f>VLOOKUP($C81,'AER FD Input Data'!$B$37:$L$41,11,FALSE)</f>
        <v>147.83000000000001</v>
      </c>
      <c r="F81" s="54">
        <v>1</v>
      </c>
      <c r="G81" s="49">
        <f>H81/E81</f>
        <v>1</v>
      </c>
      <c r="H81" s="55">
        <f>VLOOKUP(C79,'AER FD AER Summary'!$B$11:$I$28,3,FALSE)</f>
        <v>147.83000000000001</v>
      </c>
      <c r="I81" s="41"/>
      <c r="J81" s="54">
        <f>VLOOKUP($C81,'AER FD Input Data'!$B$37:$L$41,3,FALSE)*G81</f>
        <v>52.666233213243757</v>
      </c>
      <c r="K81" s="54">
        <f>VLOOKUP($C81,'AER FD Input Data'!$B$37:$L$41,6,FALSE)*G81</f>
        <v>27.508640513444618</v>
      </c>
      <c r="L81" s="54">
        <f>VLOOKUP($C81,'AER FD Input Data'!$B$37:$L$41,8,FALSE)*G81</f>
        <v>69.752140142218892</v>
      </c>
    </row>
    <row r="82" spans="2:13">
      <c r="B82" s="41"/>
      <c r="C82" s="48"/>
      <c r="D82" s="48"/>
      <c r="E82" s="48"/>
      <c r="F82" s="80"/>
      <c r="G82" s="50" t="s">
        <v>53</v>
      </c>
      <c r="H82" s="56">
        <f>SUM(H81:H81)</f>
        <v>147.83000000000001</v>
      </c>
      <c r="I82" s="41"/>
      <c r="J82" s="56">
        <f>SUM(J81:J81)</f>
        <v>52.666233213243757</v>
      </c>
      <c r="K82" s="56">
        <f>SUM(K81:K81)</f>
        <v>27.508640513444618</v>
      </c>
      <c r="L82" s="56">
        <f>SUM(L81:L81)</f>
        <v>69.752140142218892</v>
      </c>
      <c r="M82" s="166"/>
    </row>
    <row r="83" spans="2:13" s="147" customFormat="1">
      <c r="B83" s="163"/>
      <c r="C83" s="163"/>
      <c r="D83" s="163"/>
      <c r="E83" s="163"/>
      <c r="F83" s="163"/>
      <c r="G83" s="163"/>
      <c r="H83" s="163"/>
      <c r="I83" s="163"/>
      <c r="J83" s="163"/>
      <c r="K83" s="163"/>
      <c r="L83" s="163"/>
    </row>
    <row r="84" spans="2:13">
      <c r="B84" s="243" t="s">
        <v>14</v>
      </c>
      <c r="C84" s="243"/>
      <c r="D84" s="243"/>
      <c r="E84" s="243"/>
      <c r="F84" s="243"/>
      <c r="G84" s="243"/>
      <c r="H84" s="243"/>
      <c r="I84" s="243"/>
      <c r="J84" s="243"/>
      <c r="K84" s="243"/>
      <c r="L84" s="243"/>
    </row>
    <row r="85" spans="2:13">
      <c r="B85" s="244" t="s">
        <v>64</v>
      </c>
      <c r="C85" s="244"/>
      <c r="D85" s="244"/>
      <c r="E85" s="244"/>
      <c r="F85" s="244"/>
      <c r="G85" s="244"/>
      <c r="H85" s="244"/>
      <c r="I85" s="244"/>
      <c r="J85" s="244"/>
      <c r="K85" s="244"/>
      <c r="L85" s="244"/>
    </row>
    <row r="86" spans="2:13" s="147" customFormat="1">
      <c r="B86" s="163"/>
      <c r="C86" s="163"/>
      <c r="D86" s="163"/>
      <c r="E86" s="163"/>
      <c r="F86" s="163"/>
      <c r="G86" s="163"/>
      <c r="H86" s="163"/>
      <c r="I86" s="163"/>
      <c r="J86" s="163"/>
      <c r="K86" s="163"/>
      <c r="L86" s="163"/>
    </row>
    <row r="87" spans="2:13">
      <c r="B87" s="42" t="s">
        <v>51</v>
      </c>
      <c r="C87" s="245" t="str">
        <f>'AER FD AER Summary'!B21</f>
        <v xml:space="preserve">Pillar/ Pole Top Disconnection Completed </v>
      </c>
      <c r="D87" s="245"/>
      <c r="E87" s="245"/>
      <c r="F87" s="245"/>
      <c r="G87" s="245"/>
      <c r="H87" s="245"/>
      <c r="I87" s="245"/>
      <c r="J87" s="245"/>
      <c r="K87" s="245"/>
      <c r="L87" s="245"/>
    </row>
    <row r="88" spans="2:13" ht="28.8">
      <c r="B88" s="43"/>
      <c r="C88" s="241" t="s">
        <v>55</v>
      </c>
      <c r="D88" s="242"/>
      <c r="E88" s="45" t="s">
        <v>58</v>
      </c>
      <c r="F88" s="45" t="s">
        <v>96</v>
      </c>
      <c r="G88" s="45" t="s">
        <v>57</v>
      </c>
      <c r="H88" s="45" t="s">
        <v>65</v>
      </c>
      <c r="I88" s="85"/>
      <c r="J88" s="47" t="s">
        <v>54</v>
      </c>
      <c r="K88" s="47" t="s">
        <v>31</v>
      </c>
      <c r="L88" s="47" t="s">
        <v>52</v>
      </c>
    </row>
    <row r="89" spans="2:13" ht="15" customHeight="1">
      <c r="B89" s="41"/>
      <c r="C89" s="44" t="s">
        <v>47</v>
      </c>
      <c r="D89" s="53" t="str">
        <f>VLOOKUP($C89,'AER FD Input Data'!$B$37:$C$41,2,FALSE)</f>
        <v>Field Worker R4</v>
      </c>
      <c r="E89" s="54">
        <f>VLOOKUP($C89,'AER FD Input Data'!$B$37:$L$41,11,FALSE)</f>
        <v>147.83000000000001</v>
      </c>
      <c r="F89" s="54">
        <v>1</v>
      </c>
      <c r="G89" s="274">
        <v>1.75</v>
      </c>
      <c r="H89" s="275">
        <f>E89*F89*G89</f>
        <v>258.70250000000004</v>
      </c>
      <c r="I89" s="41"/>
      <c r="J89" s="54">
        <f>VLOOKUP($C89,'AER FD Input Data'!$B$37:$L$41,3,FALSE)*G89</f>
        <v>92.165908123176578</v>
      </c>
      <c r="K89" s="54">
        <f>VLOOKUP($C89,'AER FD Input Data'!$B$37:$L$41,6,FALSE)*G89</f>
        <v>48.140120898528082</v>
      </c>
      <c r="L89" s="54">
        <f>VLOOKUP($C89,'AER FD Input Data'!$B$37:$L$41,8,FALSE)*G89</f>
        <v>122.06624524888306</v>
      </c>
    </row>
    <row r="90" spans="2:13">
      <c r="B90" s="41"/>
      <c r="C90" s="48"/>
      <c r="D90" s="48"/>
      <c r="E90" s="48"/>
      <c r="F90" s="80"/>
      <c r="G90" s="50" t="s">
        <v>53</v>
      </c>
      <c r="H90" s="56">
        <f>SUM(H89:H89)</f>
        <v>258.70250000000004</v>
      </c>
      <c r="I90" s="41"/>
      <c r="J90" s="56">
        <f>SUM(J89:J89)</f>
        <v>92.165908123176578</v>
      </c>
      <c r="K90" s="56">
        <f>SUM(K89:K89)</f>
        <v>48.140120898528082</v>
      </c>
      <c r="L90" s="56">
        <f>SUM(L89:L89)</f>
        <v>122.06624524888306</v>
      </c>
      <c r="M90" s="166"/>
    </row>
    <row r="91" spans="2:13" s="147" customFormat="1">
      <c r="B91" s="163"/>
      <c r="C91" s="163"/>
      <c r="D91" s="163"/>
      <c r="E91" s="163"/>
      <c r="F91" s="163"/>
      <c r="G91" s="163"/>
      <c r="H91" s="163"/>
      <c r="I91" s="163"/>
      <c r="J91" s="163"/>
      <c r="K91" s="163"/>
      <c r="L91" s="163"/>
    </row>
    <row r="92" spans="2:13">
      <c r="B92" s="243" t="s">
        <v>14</v>
      </c>
      <c r="C92" s="243"/>
      <c r="D92" s="243"/>
      <c r="E92" s="243"/>
      <c r="F92" s="243"/>
      <c r="G92" s="243"/>
      <c r="H92" s="243"/>
      <c r="I92" s="243"/>
      <c r="J92" s="243"/>
      <c r="K92" s="243"/>
      <c r="L92" s="243"/>
    </row>
    <row r="93" spans="2:13">
      <c r="B93" s="244" t="s">
        <v>308</v>
      </c>
      <c r="C93" s="244"/>
      <c r="D93" s="244"/>
      <c r="E93" s="244"/>
      <c r="F93" s="244"/>
      <c r="G93" s="244"/>
      <c r="H93" s="244"/>
      <c r="I93" s="244"/>
      <c r="J93" s="244"/>
      <c r="K93" s="244"/>
      <c r="L93" s="244"/>
    </row>
    <row r="94" spans="2:13" s="147" customFormat="1">
      <c r="B94" s="163"/>
      <c r="C94" s="163"/>
      <c r="D94" s="163"/>
      <c r="E94" s="163"/>
      <c r="F94" s="163"/>
      <c r="G94" s="163"/>
      <c r="H94" s="163"/>
      <c r="I94" s="163"/>
      <c r="J94" s="163"/>
      <c r="K94" s="163"/>
      <c r="L94" s="163"/>
    </row>
    <row r="95" spans="2:13">
      <c r="B95" s="42" t="s">
        <v>51</v>
      </c>
      <c r="C95" s="245" t="str">
        <f>'AER FD AER Summary'!B22</f>
        <v xml:space="preserve">Pillar/Pole Top Site Visit </v>
      </c>
      <c r="D95" s="245"/>
      <c r="E95" s="245"/>
      <c r="F95" s="245"/>
      <c r="G95" s="245"/>
      <c r="H95" s="245"/>
      <c r="I95" s="245"/>
      <c r="J95" s="245"/>
      <c r="K95" s="245"/>
      <c r="L95" s="245"/>
    </row>
    <row r="96" spans="2:13" ht="28.8">
      <c r="B96" s="43"/>
      <c r="C96" s="241" t="s">
        <v>55</v>
      </c>
      <c r="D96" s="242"/>
      <c r="E96" s="45" t="s">
        <v>58</v>
      </c>
      <c r="F96" s="45" t="s">
        <v>96</v>
      </c>
      <c r="G96" s="45" t="s">
        <v>57</v>
      </c>
      <c r="H96" s="45" t="s">
        <v>65</v>
      </c>
      <c r="I96" s="85"/>
      <c r="J96" s="47" t="s">
        <v>54</v>
      </c>
      <c r="K96" s="47" t="s">
        <v>31</v>
      </c>
      <c r="L96" s="47" t="s">
        <v>52</v>
      </c>
    </row>
    <row r="97" spans="2:13">
      <c r="B97" s="41"/>
      <c r="C97" s="44" t="s">
        <v>47</v>
      </c>
      <c r="D97" s="53" t="str">
        <f>VLOOKUP($C97,'AER FD Input Data'!$B$37:$C$41,2,FALSE)</f>
        <v>Field Worker R4</v>
      </c>
      <c r="E97" s="54">
        <f>VLOOKUP($C97,'AER FD Input Data'!$B$37:$L$41,11,FALSE)</f>
        <v>147.83000000000001</v>
      </c>
      <c r="F97" s="54">
        <v>1</v>
      </c>
      <c r="G97" s="49">
        <f>H97/E97</f>
        <v>2.3463361407539725</v>
      </c>
      <c r="H97" s="55">
        <f>VLOOKUP(C95,'AER FD AER Summary'!$B$11:$I$28,3,FALSE)</f>
        <v>346.85887168765976</v>
      </c>
      <c r="I97" s="41"/>
      <c r="J97" s="54">
        <f>VLOOKUP($C97,'AER FD Input Data'!$B$37:$L$41,3,FALSE)*G97</f>
        <v>123.57268638561105</v>
      </c>
      <c r="K97" s="54">
        <f>VLOOKUP($C97,'AER FD Input Data'!$B$37:$L$41,6,FALSE)*G97</f>
        <v>64.544517419704022</v>
      </c>
      <c r="L97" s="54">
        <f>VLOOKUP($C97,'AER FD Input Data'!$B$37:$L$41,8,FALSE)*G97</f>
        <v>163.66196731062411</v>
      </c>
    </row>
    <row r="98" spans="2:13">
      <c r="B98" s="41"/>
      <c r="C98" s="48"/>
      <c r="D98" s="48"/>
      <c r="E98" s="48"/>
      <c r="F98" s="80"/>
      <c r="G98" s="50" t="s">
        <v>53</v>
      </c>
      <c r="H98" s="56">
        <f>SUM(H97:H97)</f>
        <v>346.85887168765976</v>
      </c>
      <c r="I98" s="41"/>
      <c r="J98" s="56">
        <f>SUM(J97:J97)</f>
        <v>123.57268638561105</v>
      </c>
      <c r="K98" s="56">
        <f>SUM(K97:K97)</f>
        <v>64.544517419704022</v>
      </c>
      <c r="L98" s="56">
        <f>SUM(L97:L97)</f>
        <v>163.66196731062411</v>
      </c>
      <c r="M98" s="166"/>
    </row>
    <row r="99" spans="2:13" s="147" customFormat="1">
      <c r="B99" s="163"/>
      <c r="C99" s="163"/>
      <c r="D99" s="163"/>
      <c r="E99" s="163"/>
      <c r="F99" s="163"/>
      <c r="G99" s="163"/>
      <c r="H99" s="163"/>
      <c r="I99" s="163"/>
      <c r="J99" s="163"/>
      <c r="K99" s="163"/>
      <c r="L99" s="163"/>
    </row>
    <row r="100" spans="2:13">
      <c r="B100" s="243" t="s">
        <v>14</v>
      </c>
      <c r="C100" s="243"/>
      <c r="D100" s="243"/>
      <c r="E100" s="243"/>
      <c r="F100" s="243"/>
      <c r="G100" s="243"/>
      <c r="H100" s="243"/>
      <c r="I100" s="243"/>
      <c r="J100" s="243"/>
      <c r="K100" s="243"/>
      <c r="L100" s="243"/>
    </row>
    <row r="101" spans="2:13">
      <c r="B101" s="244" t="s">
        <v>308</v>
      </c>
      <c r="C101" s="244"/>
      <c r="D101" s="244"/>
      <c r="E101" s="244"/>
      <c r="F101" s="244"/>
      <c r="G101" s="244"/>
      <c r="H101" s="244"/>
      <c r="I101" s="244"/>
      <c r="J101" s="244"/>
      <c r="K101" s="244"/>
      <c r="L101" s="244"/>
    </row>
    <row r="102" spans="2:13" s="147" customFormat="1">
      <c r="B102" s="163"/>
      <c r="C102" s="163"/>
      <c r="D102" s="163"/>
      <c r="E102" s="163"/>
      <c r="F102" s="163"/>
      <c r="G102" s="163"/>
      <c r="H102" s="163"/>
      <c r="I102" s="163"/>
      <c r="J102" s="163"/>
      <c r="K102" s="163"/>
      <c r="L102" s="163"/>
    </row>
    <row r="103" spans="2:13">
      <c r="B103" s="42" t="s">
        <v>51</v>
      </c>
      <c r="C103" s="245" t="str">
        <f>'AER FD AER Summary'!B23</f>
        <v xml:space="preserve">Reconnection/ Disconnection Outside Normal Business Hours </v>
      </c>
      <c r="D103" s="245"/>
      <c r="E103" s="245"/>
      <c r="F103" s="245"/>
      <c r="G103" s="245"/>
      <c r="H103" s="245"/>
      <c r="I103" s="245"/>
      <c r="J103" s="245"/>
      <c r="K103" s="245"/>
      <c r="L103" s="245"/>
    </row>
    <row r="104" spans="2:13" ht="28.8">
      <c r="B104" s="43"/>
      <c r="C104" s="241" t="s">
        <v>55</v>
      </c>
      <c r="D104" s="242"/>
      <c r="E104" s="45" t="s">
        <v>58</v>
      </c>
      <c r="F104" s="45" t="s">
        <v>96</v>
      </c>
      <c r="G104" s="45" t="s">
        <v>57</v>
      </c>
      <c r="H104" s="45" t="s">
        <v>65</v>
      </c>
      <c r="I104" s="85"/>
      <c r="J104" s="47" t="s">
        <v>54</v>
      </c>
      <c r="K104" s="47" t="s">
        <v>31</v>
      </c>
      <c r="L104" s="47" t="s">
        <v>52</v>
      </c>
    </row>
    <row r="105" spans="2:13">
      <c r="B105" s="41"/>
      <c r="C105" s="44" t="s">
        <v>47</v>
      </c>
      <c r="D105" s="53" t="str">
        <f>VLOOKUP($C105,'AER FD Input Data'!$B$37:$C$41,2,FALSE)</f>
        <v>Field Worker R4</v>
      </c>
      <c r="E105" s="54">
        <f>VLOOKUP($C105,'AER FD Input Data'!$B$37:$L$41,11,FALSE)</f>
        <v>147.83000000000001</v>
      </c>
      <c r="F105" s="54">
        <v>1</v>
      </c>
      <c r="G105" s="49">
        <f>H105/E105</f>
        <v>0.72461607838304409</v>
      </c>
      <c r="H105" s="55">
        <f>VLOOKUP(C103,'AER FD AER Summary'!$B$11:$I$28,3,FALSE)</f>
        <v>107.11999486736542</v>
      </c>
      <c r="I105" s="41"/>
      <c r="J105" s="54">
        <f>VLOOKUP($C105,'AER FD Input Data'!$B$37:$L$41,3,FALSE)*G105</f>
        <v>38.162799374187522</v>
      </c>
      <c r="K105" s="54">
        <f>VLOOKUP($C105,'AER FD Input Data'!$B$37:$L$41,6,FALSE)*G105</f>
        <v>19.933203210501169</v>
      </c>
      <c r="L105" s="54">
        <f>VLOOKUP($C105,'AER FD Input Data'!$B$37:$L$41,8,FALSE)*G105</f>
        <v>50.54352224867916</v>
      </c>
    </row>
    <row r="106" spans="2:13">
      <c r="B106" s="41"/>
      <c r="C106" s="48"/>
      <c r="D106" s="48"/>
      <c r="E106" s="48"/>
      <c r="F106" s="80"/>
      <c r="G106" s="50" t="s">
        <v>53</v>
      </c>
      <c r="H106" s="56">
        <f>SUM(H105:H105)</f>
        <v>107.11999486736542</v>
      </c>
      <c r="I106" s="41"/>
      <c r="J106" s="56">
        <f>SUM(J105:J105)</f>
        <v>38.162799374187522</v>
      </c>
      <c r="K106" s="56">
        <f>SUM(K105:K105)</f>
        <v>19.933203210501169</v>
      </c>
      <c r="L106" s="56">
        <f>SUM(L105:L105)</f>
        <v>50.54352224867916</v>
      </c>
      <c r="M106" s="166"/>
    </row>
    <row r="107" spans="2:13" s="147" customFormat="1">
      <c r="B107" s="163"/>
      <c r="C107" s="163"/>
      <c r="D107" s="163"/>
      <c r="E107" s="163"/>
      <c r="F107" s="163"/>
      <c r="G107" s="163"/>
      <c r="H107" s="163"/>
      <c r="I107" s="163"/>
      <c r="J107" s="163"/>
      <c r="K107" s="163"/>
      <c r="L107" s="163"/>
    </row>
    <row r="108" spans="2:13">
      <c r="B108" s="243" t="s">
        <v>14</v>
      </c>
      <c r="C108" s="243"/>
      <c r="D108" s="243"/>
      <c r="E108" s="243"/>
      <c r="F108" s="243"/>
      <c r="G108" s="243"/>
      <c r="H108" s="243"/>
      <c r="I108" s="243"/>
      <c r="J108" s="243"/>
      <c r="K108" s="243"/>
      <c r="L108" s="243"/>
    </row>
    <row r="109" spans="2:13">
      <c r="B109" s="244" t="s">
        <v>308</v>
      </c>
      <c r="C109" s="244"/>
      <c r="D109" s="244"/>
      <c r="E109" s="244"/>
      <c r="F109" s="244"/>
      <c r="G109" s="244"/>
      <c r="H109" s="244"/>
      <c r="I109" s="244"/>
      <c r="J109" s="244"/>
      <c r="K109" s="244"/>
      <c r="L109" s="244"/>
    </row>
    <row r="110" spans="2:13" s="147" customFormat="1">
      <c r="B110" s="163"/>
      <c r="C110" s="163"/>
      <c r="D110" s="163"/>
      <c r="E110" s="163"/>
      <c r="F110" s="163"/>
      <c r="G110" s="163"/>
      <c r="H110" s="163"/>
      <c r="I110" s="163"/>
      <c r="J110" s="163"/>
      <c r="K110" s="163"/>
      <c r="L110" s="163"/>
    </row>
    <row r="111" spans="2:13">
      <c r="B111" s="42" t="s">
        <v>51</v>
      </c>
      <c r="C111" s="245" t="str">
        <f>'AER FD AER Summary'!B24</f>
        <v xml:space="preserve">Network Tariff Change Request </v>
      </c>
      <c r="D111" s="245"/>
      <c r="E111" s="245"/>
      <c r="F111" s="245"/>
      <c r="G111" s="245"/>
      <c r="H111" s="245"/>
      <c r="I111" s="245"/>
      <c r="J111" s="245"/>
      <c r="K111" s="245"/>
      <c r="L111" s="245"/>
    </row>
    <row r="112" spans="2:13" ht="28.8">
      <c r="B112" s="43"/>
      <c r="C112" s="241" t="s">
        <v>55</v>
      </c>
      <c r="D112" s="242"/>
      <c r="E112" s="45" t="s">
        <v>58</v>
      </c>
      <c r="F112" s="45" t="s">
        <v>96</v>
      </c>
      <c r="G112" s="45" t="s">
        <v>57</v>
      </c>
      <c r="H112" s="45" t="s">
        <v>65</v>
      </c>
      <c r="I112" s="85"/>
      <c r="J112" s="47" t="s">
        <v>54</v>
      </c>
      <c r="K112" s="47" t="s">
        <v>31</v>
      </c>
      <c r="L112" s="47" t="s">
        <v>52</v>
      </c>
    </row>
    <row r="113" spans="2:13">
      <c r="B113" s="41"/>
      <c r="C113" s="44" t="s">
        <v>41</v>
      </c>
      <c r="D113" s="53" t="str">
        <f>VLOOKUP($C113,'AER FD Input Data'!$B$37:$C$41,2,FALSE)</f>
        <v>Admin Support</v>
      </c>
      <c r="E113" s="54">
        <f>VLOOKUP($C113,'AER FD Input Data'!$B$37:$L$41,11,FALSE)</f>
        <v>102.26</v>
      </c>
      <c r="F113" s="54">
        <v>1</v>
      </c>
      <c r="G113" s="49">
        <v>0.5</v>
      </c>
      <c r="H113" s="55">
        <f>E113*F113*G113</f>
        <v>51.13</v>
      </c>
      <c r="I113" s="41"/>
      <c r="J113" s="54">
        <f>VLOOKUP($C113,'AER FD Input Data'!$B$37:$L$41,3,FALSE)*G113</f>
        <v>21.850883992728793</v>
      </c>
      <c r="K113" s="54">
        <f>VLOOKUP($C113,'AER FD Input Data'!$B$37:$L$41,6,FALSE)*G113</f>
        <v>11.413159361961064</v>
      </c>
      <c r="L113" s="54">
        <f>VLOOKUP($C113,'AER FD Input Data'!$B$37:$L$41,8,FALSE)*G113</f>
        <v>16.63202167734493</v>
      </c>
    </row>
    <row r="114" spans="2:13">
      <c r="B114" s="41"/>
      <c r="C114" s="48"/>
      <c r="D114" s="48"/>
      <c r="E114" s="48"/>
      <c r="F114" s="80"/>
      <c r="G114" s="50" t="s">
        <v>53</v>
      </c>
      <c r="H114" s="56">
        <f>SUM(H113:H113)</f>
        <v>51.13</v>
      </c>
      <c r="I114" s="41"/>
      <c r="J114" s="56">
        <f>SUM(J113:J113)</f>
        <v>21.850883992728793</v>
      </c>
      <c r="K114" s="56">
        <f>SUM(K113:K113)</f>
        <v>11.413159361961064</v>
      </c>
      <c r="L114" s="56">
        <f>SUM(L113:L113)</f>
        <v>16.63202167734493</v>
      </c>
      <c r="M114" s="166"/>
    </row>
    <row r="115" spans="2:13" s="147" customFormat="1">
      <c r="B115" s="163"/>
      <c r="C115" s="163"/>
      <c r="D115" s="163"/>
      <c r="E115" s="163"/>
      <c r="F115" s="163"/>
      <c r="G115" s="163"/>
      <c r="H115" s="163"/>
      <c r="I115" s="163"/>
      <c r="J115" s="163"/>
      <c r="K115" s="163"/>
      <c r="L115" s="163"/>
    </row>
    <row r="116" spans="2:13">
      <c r="B116" s="243" t="s">
        <v>14</v>
      </c>
      <c r="C116" s="243"/>
      <c r="D116" s="243"/>
      <c r="E116" s="243"/>
      <c r="F116" s="243"/>
      <c r="G116" s="243"/>
      <c r="H116" s="243"/>
      <c r="I116" s="243"/>
      <c r="J116" s="243"/>
      <c r="K116" s="243"/>
      <c r="L116" s="243"/>
    </row>
    <row r="117" spans="2:13">
      <c r="B117" s="244" t="s">
        <v>308</v>
      </c>
      <c r="C117" s="244"/>
      <c r="D117" s="244"/>
      <c r="E117" s="244"/>
      <c r="F117" s="244"/>
      <c r="G117" s="244"/>
      <c r="H117" s="244"/>
      <c r="I117" s="244"/>
      <c r="J117" s="244"/>
      <c r="K117" s="244"/>
      <c r="L117" s="244"/>
    </row>
    <row r="118" spans="2:13" s="147" customFormat="1">
      <c r="B118" s="163"/>
      <c r="C118" s="163"/>
      <c r="D118" s="163"/>
      <c r="E118" s="163"/>
      <c r="F118" s="163"/>
      <c r="G118" s="163"/>
      <c r="H118" s="163"/>
      <c r="I118" s="163"/>
      <c r="J118" s="163"/>
      <c r="K118" s="163"/>
      <c r="L118" s="163"/>
    </row>
    <row r="119" spans="2:13">
      <c r="B119" s="42" t="s">
        <v>51</v>
      </c>
      <c r="C119" s="245" t="str">
        <f>'AER FD AER Summary'!B25</f>
        <v xml:space="preserve">Recovery of Debt Collection Costs- Dishonoured Transactions </v>
      </c>
      <c r="D119" s="245"/>
      <c r="E119" s="245"/>
      <c r="F119" s="245"/>
      <c r="G119" s="245"/>
      <c r="H119" s="245"/>
      <c r="I119" s="245"/>
      <c r="J119" s="245"/>
      <c r="K119" s="245"/>
      <c r="L119" s="245"/>
    </row>
    <row r="120" spans="2:13" ht="28.8">
      <c r="B120" s="43"/>
      <c r="C120" s="241" t="s">
        <v>55</v>
      </c>
      <c r="D120" s="242"/>
      <c r="E120" s="45" t="s">
        <v>58</v>
      </c>
      <c r="F120" s="45" t="s">
        <v>96</v>
      </c>
      <c r="G120" s="45" t="s">
        <v>57</v>
      </c>
      <c r="H120" s="45" t="s">
        <v>65</v>
      </c>
      <c r="I120" s="85"/>
      <c r="J120" s="47" t="s">
        <v>54</v>
      </c>
      <c r="K120" s="47" t="s">
        <v>31</v>
      </c>
      <c r="L120" s="47" t="s">
        <v>52</v>
      </c>
    </row>
    <row r="121" spans="2:13">
      <c r="B121" s="41"/>
      <c r="C121" s="44" t="s">
        <v>47</v>
      </c>
      <c r="D121" s="53" t="str">
        <f>VLOOKUP($C121,'AER FD Input Data'!$B$37:$C$41,2,FALSE)</f>
        <v>Field Worker R4</v>
      </c>
      <c r="E121" s="54">
        <f>VLOOKUP($C121,'AER FD Input Data'!$B$37:$L$41,11,FALSE)</f>
        <v>147.83000000000001</v>
      </c>
      <c r="F121" s="54">
        <v>1</v>
      </c>
      <c r="G121" s="49">
        <f>H121/E121</f>
        <v>0.18507937100959146</v>
      </c>
      <c r="H121" s="55">
        <f>VLOOKUP(C119,'AER FD AER Summary'!$B$11:$I$28,3,FALSE)</f>
        <v>27.360283416347908</v>
      </c>
      <c r="I121" s="41"/>
      <c r="J121" s="54">
        <f>VLOOKUP($C121,'AER FD Input Data'!$B$37:$L$41,3,FALSE)*G121</f>
        <v>9.7474333165516089</v>
      </c>
      <c r="K121" s="54">
        <f>VLOOKUP($C121,'AER FD Input Data'!$B$37:$L$41,6,FALSE)*G121</f>
        <v>5.0912818835572953</v>
      </c>
      <c r="L121" s="54">
        <f>VLOOKUP($C121,'AER FD Input Data'!$B$37:$L$41,8,FALSE)*G121</f>
        <v>12.909682224094748</v>
      </c>
    </row>
    <row r="122" spans="2:13">
      <c r="B122" s="41"/>
      <c r="C122" s="48"/>
      <c r="D122" s="48"/>
      <c r="E122" s="48"/>
      <c r="F122" s="80"/>
      <c r="G122" s="50" t="s">
        <v>53</v>
      </c>
      <c r="H122" s="56">
        <f>SUM(H121:H121)</f>
        <v>27.360283416347908</v>
      </c>
      <c r="I122" s="41"/>
      <c r="J122" s="56">
        <f>SUM(J121:J121)</f>
        <v>9.7474333165516089</v>
      </c>
      <c r="K122" s="56">
        <f>SUM(K121:K121)</f>
        <v>5.0912818835572953</v>
      </c>
      <c r="L122" s="56">
        <f>SUM(L121:L121)</f>
        <v>12.909682224094748</v>
      </c>
      <c r="M122" s="166"/>
    </row>
    <row r="123" spans="2:13" s="147" customFormat="1">
      <c r="B123" s="163"/>
      <c r="C123" s="163"/>
      <c r="D123" s="163"/>
      <c r="E123" s="163"/>
      <c r="F123" s="163"/>
      <c r="G123" s="163"/>
      <c r="H123" s="163"/>
      <c r="I123" s="163"/>
      <c r="J123" s="163"/>
      <c r="K123" s="163"/>
      <c r="L123" s="163"/>
    </row>
    <row r="124" spans="2:13">
      <c r="B124" s="243" t="s">
        <v>14</v>
      </c>
      <c r="C124" s="243"/>
      <c r="D124" s="243"/>
      <c r="E124" s="243"/>
      <c r="F124" s="243"/>
      <c r="G124" s="243"/>
      <c r="H124" s="243"/>
      <c r="I124" s="243"/>
      <c r="J124" s="243"/>
      <c r="K124" s="243"/>
      <c r="L124" s="243"/>
    </row>
    <row r="125" spans="2:13">
      <c r="B125" s="244" t="s">
        <v>308</v>
      </c>
      <c r="C125" s="244"/>
      <c r="D125" s="244"/>
      <c r="E125" s="244"/>
      <c r="F125" s="244"/>
      <c r="G125" s="244"/>
      <c r="H125" s="244"/>
      <c r="I125" s="244"/>
      <c r="J125" s="244"/>
      <c r="K125" s="244"/>
      <c r="L125" s="244"/>
    </row>
    <row r="126" spans="2:13" s="147" customFormat="1">
      <c r="B126" s="163"/>
      <c r="C126" s="163"/>
      <c r="D126" s="163"/>
      <c r="E126" s="163"/>
      <c r="F126" s="163"/>
      <c r="G126" s="163"/>
      <c r="H126" s="163"/>
      <c r="I126" s="163"/>
      <c r="J126" s="163"/>
      <c r="K126" s="163"/>
      <c r="L126" s="163"/>
    </row>
    <row r="127" spans="2:13">
      <c r="B127" s="42" t="s">
        <v>51</v>
      </c>
      <c r="C127" s="245" t="str">
        <f>'AER FD AER Summary'!B26</f>
        <v xml:space="preserve">Attendance at customers' premises to perform a statutory right where access is prevented  </v>
      </c>
      <c r="D127" s="245"/>
      <c r="E127" s="245"/>
      <c r="F127" s="245"/>
      <c r="G127" s="245"/>
      <c r="H127" s="245"/>
      <c r="I127" s="245"/>
      <c r="J127" s="245"/>
      <c r="K127" s="245"/>
      <c r="L127" s="245"/>
    </row>
    <row r="128" spans="2:13" ht="28.8">
      <c r="B128" s="43"/>
      <c r="C128" s="241" t="s">
        <v>55</v>
      </c>
      <c r="D128" s="242"/>
      <c r="E128" s="45" t="s">
        <v>58</v>
      </c>
      <c r="F128" s="45" t="s">
        <v>96</v>
      </c>
      <c r="G128" s="45" t="s">
        <v>57</v>
      </c>
      <c r="H128" s="45" t="s">
        <v>65</v>
      </c>
      <c r="I128" s="85"/>
      <c r="J128" s="47" t="s">
        <v>54</v>
      </c>
      <c r="K128" s="47" t="s">
        <v>31</v>
      </c>
      <c r="L128" s="47" t="s">
        <v>52</v>
      </c>
    </row>
    <row r="129" spans="2:13">
      <c r="B129" s="41"/>
      <c r="C129" s="44" t="s">
        <v>47</v>
      </c>
      <c r="D129" s="53" t="str">
        <f>VLOOKUP($C129,'AER FD Input Data'!$B$37:$C$41,2,FALSE)</f>
        <v>Field Worker R4</v>
      </c>
      <c r="E129" s="54">
        <f>VLOOKUP($C129,'AER FD Input Data'!$B$37:$L$41,11,FALSE)</f>
        <v>147.83000000000001</v>
      </c>
      <c r="F129" s="54">
        <v>1</v>
      </c>
      <c r="G129" s="49">
        <f>H129/E129</f>
        <v>0.57131877969026346</v>
      </c>
      <c r="H129" s="55">
        <f>VLOOKUP(C127,'AER FD AER Summary'!$B$11:$I$28,3,FALSE)</f>
        <v>84.458055201611657</v>
      </c>
      <c r="I129" s="41"/>
      <c r="J129" s="54">
        <f>VLOOKUP($C129,'AER FD Input Data'!$B$37:$L$41,3,FALSE)*G129</f>
        <v>30.089208090273246</v>
      </c>
      <c r="K129" s="54">
        <f>VLOOKUP($C129,'AER FD Input Data'!$B$37:$L$41,6,FALSE)*G129</f>
        <v>15.716202929079321</v>
      </c>
      <c r="L129" s="54">
        <f>VLOOKUP($C129,'AER FD Input Data'!$B$37:$L$41,8,FALSE)*G129</f>
        <v>39.850707586836734</v>
      </c>
    </row>
    <row r="130" spans="2:13">
      <c r="B130" s="41"/>
      <c r="C130" s="48"/>
      <c r="D130" s="48"/>
      <c r="E130" s="48"/>
      <c r="F130" s="80"/>
      <c r="G130" s="50" t="s">
        <v>53</v>
      </c>
      <c r="H130" s="56">
        <f>SUM(H129:H129)</f>
        <v>84.458055201611657</v>
      </c>
      <c r="I130" s="41"/>
      <c r="J130" s="56">
        <f>SUM(J129:J129)</f>
        <v>30.089208090273246</v>
      </c>
      <c r="K130" s="56">
        <f>SUM(K129:K129)</f>
        <v>15.716202929079321</v>
      </c>
      <c r="L130" s="56">
        <f>SUM(L129:L129)</f>
        <v>39.850707586836734</v>
      </c>
      <c r="M130" s="166"/>
    </row>
    <row r="131" spans="2:13" s="147" customFormat="1">
      <c r="B131" s="163"/>
      <c r="C131" s="163"/>
      <c r="D131" s="163"/>
      <c r="E131" s="163"/>
      <c r="F131" s="163"/>
      <c r="G131" s="163"/>
      <c r="H131" s="163"/>
      <c r="I131" s="163"/>
      <c r="J131" s="163"/>
      <c r="K131" s="163"/>
      <c r="L131" s="163"/>
    </row>
    <row r="132" spans="2:13">
      <c r="B132" s="243" t="s">
        <v>14</v>
      </c>
      <c r="C132" s="243"/>
      <c r="D132" s="243"/>
      <c r="E132" s="243"/>
      <c r="F132" s="243"/>
      <c r="G132" s="243"/>
      <c r="H132" s="243"/>
      <c r="I132" s="243"/>
      <c r="J132" s="243"/>
      <c r="K132" s="243"/>
      <c r="L132" s="243"/>
    </row>
    <row r="133" spans="2:13">
      <c r="B133" s="244" t="s">
        <v>308</v>
      </c>
      <c r="C133" s="244"/>
      <c r="D133" s="244"/>
      <c r="E133" s="244"/>
      <c r="F133" s="244"/>
      <c r="G133" s="244"/>
      <c r="H133" s="244"/>
      <c r="I133" s="244"/>
      <c r="J133" s="244"/>
      <c r="K133" s="244"/>
      <c r="L133" s="244"/>
    </row>
    <row r="134" spans="2:13" s="147" customFormat="1">
      <c r="B134" s="163"/>
      <c r="C134" s="163"/>
      <c r="D134" s="163"/>
      <c r="E134" s="163"/>
      <c r="F134" s="163"/>
      <c r="G134" s="163"/>
      <c r="H134" s="163"/>
      <c r="I134" s="163"/>
      <c r="J134" s="163"/>
      <c r="K134" s="163"/>
      <c r="L134" s="163"/>
    </row>
    <row r="135" spans="2:13">
      <c r="B135" s="42" t="s">
        <v>51</v>
      </c>
      <c r="C135" s="245" t="str">
        <f>'AER FD AER Summary'!B27</f>
        <v xml:space="preserve">Vacant Property Disconnection </v>
      </c>
      <c r="D135" s="245"/>
      <c r="E135" s="245"/>
      <c r="F135" s="245"/>
      <c r="G135" s="245"/>
      <c r="H135" s="245"/>
      <c r="I135" s="245"/>
      <c r="J135" s="245"/>
      <c r="K135" s="245"/>
      <c r="L135" s="245"/>
    </row>
    <row r="136" spans="2:13" ht="28.8">
      <c r="B136" s="43"/>
      <c r="C136" s="241" t="s">
        <v>55</v>
      </c>
      <c r="D136" s="242"/>
      <c r="E136" s="45" t="s">
        <v>58</v>
      </c>
      <c r="F136" s="45" t="s">
        <v>96</v>
      </c>
      <c r="G136" s="45" t="s">
        <v>57</v>
      </c>
      <c r="H136" s="45" t="s">
        <v>65</v>
      </c>
      <c r="I136" s="85"/>
      <c r="J136" s="47" t="s">
        <v>54</v>
      </c>
      <c r="K136" s="47" t="s">
        <v>31</v>
      </c>
      <c r="L136" s="47" t="s">
        <v>52</v>
      </c>
    </row>
    <row r="137" spans="2:13">
      <c r="B137" s="41"/>
      <c r="C137" s="44" t="s">
        <v>47</v>
      </c>
      <c r="D137" s="53" t="str">
        <f>VLOOKUP($C137,'AER FD Input Data'!$B$37:$C$41,2,FALSE)</f>
        <v>Field Worker R4</v>
      </c>
      <c r="E137" s="54">
        <f>VLOOKUP($C137,'AER FD Input Data'!$B$37:$L$41,11,FALSE)</f>
        <v>147.83000000000001</v>
      </c>
      <c r="F137" s="54">
        <v>1</v>
      </c>
      <c r="G137" s="49">
        <f>H137/E137</f>
        <v>1.0320450499821729</v>
      </c>
      <c r="H137" s="55">
        <f>VLOOKUP(C135,'AER FD AER Summary'!$B$11:$I$28,3,FALSE)</f>
        <v>152.56721973886465</v>
      </c>
      <c r="I137" s="41"/>
      <c r="J137" s="54">
        <f>VLOOKUP($C137,'AER FD Input Data'!$B$37:$L$41,3,FALSE)*G137</f>
        <v>54.353925288934931</v>
      </c>
      <c r="K137" s="54">
        <f>VLOOKUP($C137,'AER FD Input Data'!$B$37:$L$41,6,FALSE)*G137</f>
        <v>28.39015627363958</v>
      </c>
      <c r="L137" s="54">
        <f>VLOOKUP($C137,'AER FD Input Data'!$B$37:$L$41,8,FALSE)*G137</f>
        <v>71.987350959439823</v>
      </c>
    </row>
    <row r="138" spans="2:13">
      <c r="B138" s="41"/>
      <c r="C138" s="48"/>
      <c r="D138" s="48"/>
      <c r="E138" s="48"/>
      <c r="F138" s="80"/>
      <c r="G138" s="50" t="s">
        <v>53</v>
      </c>
      <c r="H138" s="56">
        <f>SUM(H137:H137)</f>
        <v>152.56721973886465</v>
      </c>
      <c r="I138" s="41"/>
      <c r="J138" s="56">
        <f>SUM(J137:J137)</f>
        <v>54.353925288934931</v>
      </c>
      <c r="K138" s="56">
        <f>SUM(K137:K137)</f>
        <v>28.39015627363958</v>
      </c>
      <c r="L138" s="56">
        <f>SUM(L137:L137)</f>
        <v>71.987350959439823</v>
      </c>
      <c r="M138" s="166"/>
    </row>
    <row r="139" spans="2:13" s="147" customFormat="1">
      <c r="B139" s="163"/>
      <c r="C139" s="163"/>
      <c r="D139" s="163"/>
      <c r="E139" s="163"/>
      <c r="F139" s="163"/>
      <c r="G139" s="163"/>
      <c r="H139" s="163"/>
      <c r="I139" s="163"/>
      <c r="J139" s="163"/>
      <c r="K139" s="163"/>
      <c r="L139" s="163"/>
    </row>
    <row r="140" spans="2:13">
      <c r="B140" s="243" t="s">
        <v>14</v>
      </c>
      <c r="C140" s="243"/>
      <c r="D140" s="243"/>
      <c r="E140" s="243"/>
      <c r="F140" s="243"/>
      <c r="G140" s="243"/>
      <c r="H140" s="243"/>
      <c r="I140" s="243"/>
      <c r="J140" s="243"/>
      <c r="K140" s="243"/>
      <c r="L140" s="243"/>
    </row>
    <row r="141" spans="2:13">
      <c r="B141" s="244" t="s">
        <v>308</v>
      </c>
      <c r="C141" s="244"/>
      <c r="D141" s="244"/>
      <c r="E141" s="244"/>
      <c r="F141" s="244"/>
      <c r="G141" s="244"/>
      <c r="H141" s="244"/>
      <c r="I141" s="244"/>
      <c r="J141" s="244"/>
      <c r="K141" s="244"/>
      <c r="L141" s="244"/>
    </row>
    <row r="142" spans="2:13" s="147" customFormat="1">
      <c r="B142" s="163"/>
      <c r="C142" s="163"/>
      <c r="D142" s="163"/>
      <c r="E142" s="163"/>
      <c r="F142" s="163"/>
      <c r="G142" s="163"/>
      <c r="H142" s="163"/>
      <c r="I142" s="163"/>
      <c r="J142" s="163"/>
      <c r="K142" s="163"/>
      <c r="L142" s="163"/>
    </row>
    <row r="143" spans="2:13">
      <c r="B143" s="42" t="s">
        <v>51</v>
      </c>
      <c r="C143" s="245" t="str">
        <f>'AER FD AER Summary'!B28</f>
        <v xml:space="preserve">Vacant Property Site Visit </v>
      </c>
      <c r="D143" s="245"/>
      <c r="E143" s="245"/>
      <c r="F143" s="245"/>
      <c r="G143" s="245"/>
      <c r="H143" s="245"/>
      <c r="I143" s="245"/>
      <c r="J143" s="245"/>
      <c r="K143" s="245"/>
      <c r="L143" s="245"/>
    </row>
    <row r="144" spans="2:13" ht="28.8">
      <c r="B144" s="43"/>
      <c r="C144" s="241" t="s">
        <v>55</v>
      </c>
      <c r="D144" s="242"/>
      <c r="E144" s="45" t="s">
        <v>58</v>
      </c>
      <c r="F144" s="45" t="s">
        <v>96</v>
      </c>
      <c r="G144" s="45" t="s">
        <v>57</v>
      </c>
      <c r="H144" s="45" t="s">
        <v>65</v>
      </c>
      <c r="I144" s="85"/>
      <c r="J144" s="47" t="s">
        <v>54</v>
      </c>
      <c r="K144" s="47" t="s">
        <v>31</v>
      </c>
      <c r="L144" s="47" t="s">
        <v>52</v>
      </c>
    </row>
    <row r="145" spans="2:13">
      <c r="B145" s="41"/>
      <c r="C145" s="44" t="s">
        <v>47</v>
      </c>
      <c r="D145" s="53" t="str">
        <f>VLOOKUP($C145,'AER FD Input Data'!$B$37:$C$41,2,FALSE)</f>
        <v>Field Worker R4</v>
      </c>
      <c r="E145" s="54">
        <f>VLOOKUP($C145,'AER FD Input Data'!$B$37:$L$41,11,FALSE)</f>
        <v>147.83000000000001</v>
      </c>
      <c r="F145" s="54">
        <v>1</v>
      </c>
      <c r="G145" s="49">
        <f>H145/E145</f>
        <v>0.26343469488373411</v>
      </c>
      <c r="H145" s="55">
        <f>VLOOKUP(C143,'AER FD AER Summary'!$B$11:$I$28,3,FALSE)</f>
        <v>38.94355094466242</v>
      </c>
      <c r="I145" s="41"/>
      <c r="J145" s="54">
        <f>VLOOKUP($C145,'AER FD Input Data'!$B$37:$L$41,3,FALSE)*G145</f>
        <v>13.874113077206452</v>
      </c>
      <c r="K145" s="54">
        <f>VLOOKUP($C145,'AER FD Input Data'!$B$37:$L$41,6,FALSE)*G145</f>
        <v>7.2467303203256099</v>
      </c>
      <c r="L145" s="54">
        <f>VLOOKUP($C145,'AER FD Input Data'!$B$37:$L$41,8,FALSE)*G145</f>
        <v>18.375133755852897</v>
      </c>
    </row>
    <row r="146" spans="2:13">
      <c r="B146" s="41"/>
      <c r="C146" s="48"/>
      <c r="D146" s="48"/>
      <c r="E146" s="48"/>
      <c r="F146" s="80"/>
      <c r="G146" s="50" t="s">
        <v>53</v>
      </c>
      <c r="H146" s="56">
        <f>SUM(H145:H145)</f>
        <v>38.94355094466242</v>
      </c>
      <c r="I146" s="41"/>
      <c r="J146" s="56">
        <f>SUM(J145:J145)</f>
        <v>13.874113077206452</v>
      </c>
      <c r="K146" s="56">
        <f>SUM(K145:K145)</f>
        <v>7.2467303203256099</v>
      </c>
      <c r="L146" s="56">
        <f>SUM(L145:L145)</f>
        <v>18.375133755852897</v>
      </c>
      <c r="M146" s="166"/>
    </row>
    <row r="147" spans="2:13" s="147" customFormat="1">
      <c r="B147" s="163"/>
      <c r="C147" s="163"/>
      <c r="D147" s="163"/>
      <c r="E147" s="163"/>
      <c r="F147" s="163"/>
      <c r="G147" s="163"/>
      <c r="H147" s="163"/>
      <c r="I147" s="163"/>
      <c r="J147" s="163"/>
      <c r="K147" s="163"/>
      <c r="L147" s="163"/>
    </row>
    <row r="148" spans="2:13">
      <c r="B148" s="243" t="s">
        <v>14</v>
      </c>
      <c r="C148" s="243"/>
      <c r="D148" s="243"/>
      <c r="E148" s="243"/>
      <c r="F148" s="243"/>
      <c r="G148" s="243"/>
      <c r="H148" s="243"/>
      <c r="I148" s="243"/>
      <c r="J148" s="243"/>
      <c r="K148" s="243"/>
      <c r="L148" s="243"/>
    </row>
    <row r="149" spans="2:13">
      <c r="B149" s="244" t="s">
        <v>308</v>
      </c>
      <c r="C149" s="244"/>
      <c r="D149" s="244"/>
      <c r="E149" s="244"/>
      <c r="F149" s="244"/>
      <c r="G149" s="244"/>
      <c r="H149" s="244"/>
      <c r="I149" s="244"/>
      <c r="J149" s="244"/>
      <c r="K149" s="244"/>
      <c r="L149" s="244"/>
    </row>
    <row r="150" spans="2:13" s="147" customFormat="1">
      <c r="B150" s="163"/>
      <c r="C150" s="163"/>
      <c r="D150" s="163"/>
      <c r="E150" s="163"/>
      <c r="F150" s="163"/>
      <c r="G150" s="163"/>
      <c r="H150" s="163"/>
      <c r="I150" s="163"/>
      <c r="J150" s="163"/>
      <c r="K150" s="163"/>
      <c r="L150" s="163"/>
    </row>
    <row r="151" spans="2:13">
      <c r="B151" s="42" t="s">
        <v>51</v>
      </c>
      <c r="C151" s="245" t="str">
        <f>'AER FD AER Summary'!B32</f>
        <v>Distributor arranged outage for purpose of replacing metering - Simple</v>
      </c>
      <c r="D151" s="245"/>
      <c r="E151" s="245"/>
      <c r="F151" s="245"/>
      <c r="G151" s="245"/>
      <c r="H151" s="245"/>
      <c r="I151" s="245"/>
      <c r="J151" s="245"/>
      <c r="K151" s="245"/>
      <c r="L151" s="245"/>
    </row>
    <row r="152" spans="2:13" ht="28.8">
      <c r="B152" s="43"/>
      <c r="C152" s="241" t="s">
        <v>55</v>
      </c>
      <c r="D152" s="242"/>
      <c r="E152" s="45" t="s">
        <v>58</v>
      </c>
      <c r="F152" s="45" t="s">
        <v>96</v>
      </c>
      <c r="G152" s="45" t="s">
        <v>57</v>
      </c>
      <c r="H152" s="45" t="s">
        <v>65</v>
      </c>
      <c r="I152" s="85"/>
      <c r="J152" s="47" t="s">
        <v>54</v>
      </c>
      <c r="K152" s="47" t="s">
        <v>31</v>
      </c>
      <c r="L152" s="47" t="s">
        <v>52</v>
      </c>
    </row>
    <row r="153" spans="2:13">
      <c r="B153" s="43"/>
      <c r="C153" s="44" t="s">
        <v>41</v>
      </c>
      <c r="D153" s="138" t="str">
        <f>VLOOKUP($C153,'AER FD Input Data'!$B$37:$C$41,2,FALSE)</f>
        <v>Admin Support</v>
      </c>
      <c r="E153" s="54">
        <f>VLOOKUP($C153,'AER FD Input Data'!$B$37:$L$41,11,FALSE)</f>
        <v>102.26</v>
      </c>
      <c r="F153" s="54">
        <v>1</v>
      </c>
      <c r="G153" s="49">
        <f>10/60</f>
        <v>0.16666666666666666</v>
      </c>
      <c r="H153" s="55">
        <f t="shared" ref="H153" si="0">E153*F153*G153</f>
        <v>17.043333333333333</v>
      </c>
      <c r="I153" s="85"/>
      <c r="J153" s="54">
        <f>VLOOKUP($C153,'AER FD Input Data'!$B$37:$L$41,3,FALSE)*G153</f>
        <v>7.2836279975762643</v>
      </c>
      <c r="K153" s="54">
        <f>VLOOKUP($C153,'AER FD Input Data'!$B$37:$L$41,6,FALSE)*G153</f>
        <v>3.8043864539870214</v>
      </c>
      <c r="L153" s="54">
        <f>VLOOKUP($C153,'AER FD Input Data'!$B$37:$L$41,8,FALSE)*G153</f>
        <v>5.5440072257816428</v>
      </c>
    </row>
    <row r="154" spans="2:13">
      <c r="B154" s="41"/>
      <c r="C154" s="44" t="s">
        <v>47</v>
      </c>
      <c r="D154" s="138" t="str">
        <f>VLOOKUP($C154,'AER FD Input Data'!$B$37:$C$41,2,FALSE)</f>
        <v>Field Worker R4</v>
      </c>
      <c r="E154" s="54">
        <f>VLOOKUP($C154,'AER FD Input Data'!$B$37:$L$41,11,FALSE)</f>
        <v>147.83000000000001</v>
      </c>
      <c r="F154" s="54">
        <v>1</v>
      </c>
      <c r="G154" s="49">
        <f>90/60</f>
        <v>1.5</v>
      </c>
      <c r="H154" s="55">
        <f>E154*F154*G154</f>
        <v>221.745</v>
      </c>
      <c r="I154" s="41"/>
      <c r="J154" s="54">
        <f>VLOOKUP($C154,'AER FD Input Data'!$B$37:$L$41,3,FALSE)*G154</f>
        <v>78.999349819865643</v>
      </c>
      <c r="K154" s="54">
        <f>VLOOKUP($C154,'AER FD Input Data'!$B$37:$L$41,6,FALSE)*G154</f>
        <v>41.262960770166927</v>
      </c>
      <c r="L154" s="54">
        <f>VLOOKUP($C154,'AER FD Input Data'!$B$37:$L$41,8,FALSE)*G154</f>
        <v>104.62821021332834</v>
      </c>
    </row>
    <row r="155" spans="2:13">
      <c r="B155" s="41"/>
      <c r="C155" s="48"/>
      <c r="D155" s="48"/>
      <c r="E155" s="48"/>
      <c r="F155" s="80"/>
      <c r="G155" s="50" t="s">
        <v>53</v>
      </c>
      <c r="H155" s="56">
        <f>SUM(H153:H154)</f>
        <v>238.78833333333333</v>
      </c>
      <c r="I155" s="41"/>
      <c r="J155" s="56">
        <f>SUM(J153:J154)</f>
        <v>86.282977817441903</v>
      </c>
      <c r="K155" s="56">
        <f t="shared" ref="K155:L155" si="1">SUM(K153:K154)</f>
        <v>45.067347224153949</v>
      </c>
      <c r="L155" s="56">
        <f t="shared" si="1"/>
        <v>110.17221743910999</v>
      </c>
      <c r="M155" s="166"/>
    </row>
    <row r="156" spans="2:13" s="147" customFormat="1">
      <c r="B156" s="163"/>
      <c r="C156" s="163"/>
      <c r="D156" s="163"/>
      <c r="E156" s="163"/>
      <c r="F156" s="163"/>
      <c r="G156" s="163"/>
      <c r="H156" s="163"/>
      <c r="I156" s="163"/>
      <c r="J156" s="163"/>
      <c r="K156" s="163"/>
      <c r="L156" s="163"/>
    </row>
    <row r="157" spans="2:13">
      <c r="B157" s="243" t="s">
        <v>14</v>
      </c>
      <c r="C157" s="243"/>
      <c r="D157" s="243"/>
      <c r="E157" s="243"/>
      <c r="F157" s="243"/>
      <c r="G157" s="243"/>
      <c r="H157" s="243"/>
      <c r="I157" s="243"/>
      <c r="J157" s="243"/>
      <c r="K157" s="243"/>
      <c r="L157" s="243"/>
    </row>
    <row r="158" spans="2:13">
      <c r="B158" s="244" t="s">
        <v>308</v>
      </c>
      <c r="C158" s="244"/>
      <c r="D158" s="244"/>
      <c r="E158" s="244"/>
      <c r="F158" s="244"/>
      <c r="G158" s="244"/>
      <c r="H158" s="244"/>
      <c r="I158" s="244"/>
      <c r="J158" s="244"/>
      <c r="K158" s="244"/>
      <c r="L158" s="244"/>
    </row>
    <row r="159" spans="2:13" s="147" customFormat="1">
      <c r="B159" s="163"/>
      <c r="C159" s="163"/>
      <c r="D159" s="163"/>
      <c r="E159" s="163"/>
      <c r="F159" s="163"/>
      <c r="G159" s="163"/>
      <c r="H159" s="163"/>
      <c r="I159" s="163"/>
      <c r="J159" s="163"/>
      <c r="K159" s="163"/>
      <c r="L159" s="163"/>
    </row>
    <row r="160" spans="2:13">
      <c r="B160" s="42" t="s">
        <v>51</v>
      </c>
      <c r="C160" s="245" t="str">
        <f>'AER FD AER Summary'!B33</f>
        <v>Distributor arranged outage for purpose of replacing metering - Complex</v>
      </c>
      <c r="D160" s="245"/>
      <c r="E160" s="245"/>
      <c r="F160" s="245"/>
      <c r="G160" s="245"/>
      <c r="H160" s="245"/>
      <c r="I160" s="245"/>
      <c r="J160" s="245"/>
      <c r="K160" s="245"/>
      <c r="L160" s="245"/>
    </row>
    <row r="161" spans="2:13" ht="28.8">
      <c r="B161" s="43"/>
      <c r="C161" s="241" t="s">
        <v>55</v>
      </c>
      <c r="D161" s="242"/>
      <c r="E161" s="45" t="s">
        <v>58</v>
      </c>
      <c r="F161" s="45" t="s">
        <v>96</v>
      </c>
      <c r="G161" s="45" t="s">
        <v>57</v>
      </c>
      <c r="H161" s="45" t="s">
        <v>65</v>
      </c>
      <c r="I161" s="85"/>
      <c r="J161" s="47" t="s">
        <v>54</v>
      </c>
      <c r="K161" s="47" t="s">
        <v>31</v>
      </c>
      <c r="L161" s="47" t="s">
        <v>52</v>
      </c>
    </row>
    <row r="162" spans="2:13">
      <c r="B162" s="43"/>
      <c r="C162" s="44" t="s">
        <v>41</v>
      </c>
      <c r="D162" s="53" t="str">
        <f>VLOOKUP($C162,'AER FD Input Data'!$B$37:$C$41,2,FALSE)</f>
        <v>Admin Support</v>
      </c>
      <c r="E162" s="54">
        <f>VLOOKUP($C162,'AER FD Input Data'!$B$37:$L$41,11,FALSE)</f>
        <v>102.26</v>
      </c>
      <c r="F162" s="54">
        <v>1</v>
      </c>
      <c r="G162" s="49">
        <f>10/60</f>
        <v>0.16666666666666666</v>
      </c>
      <c r="H162" s="55">
        <f t="shared" ref="H162" si="2">E162*F162*G162</f>
        <v>17.043333333333333</v>
      </c>
      <c r="I162" s="41"/>
      <c r="J162" s="54">
        <f>VLOOKUP($C162,'AER FD Input Data'!$B$37:$L$41,3,FALSE)*G162</f>
        <v>7.2836279975762643</v>
      </c>
      <c r="K162" s="54">
        <f>VLOOKUP($C162,'AER FD Input Data'!$B$37:$L$41,6,FALSE)*G162</f>
        <v>3.8043864539870214</v>
      </c>
      <c r="L162" s="54">
        <f>VLOOKUP($C162,'AER FD Input Data'!$B$37:$L$41,8,FALSE)*G162</f>
        <v>5.5440072257816428</v>
      </c>
    </row>
    <row r="163" spans="2:13">
      <c r="B163" s="41"/>
      <c r="C163" s="44" t="s">
        <v>47</v>
      </c>
      <c r="D163" s="53" t="str">
        <f>VLOOKUP($C163,'AER FD Input Data'!$B$37:$C$41,2,FALSE)</f>
        <v>Field Worker R4</v>
      </c>
      <c r="E163" s="54">
        <f>VLOOKUP($C163,'AER FD Input Data'!$B$37:$L$41,11,FALSE)</f>
        <v>147.83000000000001</v>
      </c>
      <c r="F163" s="54">
        <v>1</v>
      </c>
      <c r="G163" s="49">
        <f>105/60</f>
        <v>1.75</v>
      </c>
      <c r="H163" s="55">
        <f>E163*F163*G163</f>
        <v>258.70250000000004</v>
      </c>
      <c r="I163" s="41"/>
      <c r="J163" s="54">
        <f>VLOOKUP($C163,'AER FD Input Data'!$B$37:$L$41,3,FALSE)*G163</f>
        <v>92.165908123176578</v>
      </c>
      <c r="K163" s="54">
        <f>VLOOKUP($C163,'AER FD Input Data'!$B$37:$L$41,6,FALSE)*G163</f>
        <v>48.140120898528082</v>
      </c>
      <c r="L163" s="54">
        <f>VLOOKUP($C163,'AER FD Input Data'!$B$37:$L$41,8,FALSE)*G163</f>
        <v>122.06624524888306</v>
      </c>
    </row>
    <row r="164" spans="2:13">
      <c r="B164" s="41"/>
      <c r="C164" s="48"/>
      <c r="D164" s="48"/>
      <c r="E164" s="48"/>
      <c r="F164" s="80"/>
      <c r="G164" s="50" t="s">
        <v>53</v>
      </c>
      <c r="H164" s="56">
        <f>SUM(H162:H163)</f>
        <v>275.74583333333339</v>
      </c>
      <c r="I164" s="41"/>
      <c r="J164" s="56">
        <f>SUM(J162:J163)</f>
        <v>99.449536120752839</v>
      </c>
      <c r="K164" s="56">
        <f t="shared" ref="K164:L164" si="3">SUM(K162:K163)</f>
        <v>51.944507352515103</v>
      </c>
      <c r="L164" s="56">
        <f t="shared" si="3"/>
        <v>127.6102524746647</v>
      </c>
      <c r="M164" s="166"/>
    </row>
    <row r="165" spans="2:13" s="147" customFormat="1">
      <c r="B165" s="163"/>
      <c r="C165" s="163"/>
      <c r="D165" s="163"/>
      <c r="E165" s="163"/>
      <c r="F165" s="163"/>
      <c r="G165" s="163"/>
      <c r="H165" s="163"/>
      <c r="I165" s="163"/>
      <c r="J165" s="163"/>
      <c r="K165" s="163"/>
      <c r="L165" s="163"/>
    </row>
    <row r="166" spans="2:13">
      <c r="B166" s="243" t="s">
        <v>14</v>
      </c>
      <c r="C166" s="243"/>
      <c r="D166" s="243"/>
      <c r="E166" s="243"/>
      <c r="F166" s="243"/>
      <c r="G166" s="243"/>
      <c r="H166" s="243"/>
      <c r="I166" s="243"/>
      <c r="J166" s="243"/>
      <c r="K166" s="243"/>
      <c r="L166" s="243"/>
    </row>
    <row r="167" spans="2:13">
      <c r="B167" s="244" t="s">
        <v>64</v>
      </c>
      <c r="C167" s="244"/>
      <c r="D167" s="244"/>
      <c r="E167" s="244"/>
      <c r="F167" s="244"/>
      <c r="G167" s="244"/>
      <c r="H167" s="244"/>
      <c r="I167" s="244"/>
      <c r="J167" s="244"/>
      <c r="K167" s="244"/>
      <c r="L167" s="244"/>
    </row>
    <row r="168" spans="2:13" s="147" customFormat="1">
      <c r="B168" s="163"/>
      <c r="C168" s="163"/>
      <c r="D168" s="163"/>
      <c r="E168" s="163"/>
      <c r="F168" s="163"/>
      <c r="G168" s="163"/>
      <c r="H168" s="163"/>
      <c r="I168" s="163"/>
      <c r="J168" s="163"/>
      <c r="K168" s="163"/>
      <c r="L168" s="163"/>
    </row>
    <row r="169" spans="2:13">
      <c r="B169" s="42" t="s">
        <v>51</v>
      </c>
      <c r="C169" s="245" t="str">
        <f>'AER FD AER Summary'!B35</f>
        <v>Distributor arranged outage for purpose of replacing metering - Site visit only</v>
      </c>
      <c r="D169" s="245"/>
      <c r="E169" s="245"/>
      <c r="F169" s="245"/>
      <c r="G169" s="245"/>
      <c r="H169" s="245"/>
      <c r="I169" s="245"/>
      <c r="J169" s="245"/>
      <c r="K169" s="245"/>
      <c r="L169" s="245"/>
    </row>
    <row r="170" spans="2:13" ht="28.8">
      <c r="B170" s="43"/>
      <c r="C170" s="241" t="s">
        <v>55</v>
      </c>
      <c r="D170" s="242"/>
      <c r="E170" s="45" t="s">
        <v>58</v>
      </c>
      <c r="F170" s="45" t="s">
        <v>96</v>
      </c>
      <c r="G170" s="45" t="s">
        <v>57</v>
      </c>
      <c r="H170" s="45" t="s">
        <v>65</v>
      </c>
      <c r="I170" s="85"/>
      <c r="J170" s="47" t="s">
        <v>54</v>
      </c>
      <c r="K170" s="47" t="s">
        <v>31</v>
      </c>
      <c r="L170" s="47" t="s">
        <v>52</v>
      </c>
    </row>
    <row r="171" spans="2:13">
      <c r="B171" s="43"/>
      <c r="C171" s="44" t="s">
        <v>41</v>
      </c>
      <c r="D171" s="53" t="str">
        <f>VLOOKUP($C171,'AER FD Input Data'!$B$37:$C$41,2,FALSE)</f>
        <v>Admin Support</v>
      </c>
      <c r="E171" s="54">
        <f>VLOOKUP($C171,'AER FD Input Data'!$B$37:$L$41,11,FALSE)</f>
        <v>102.26</v>
      </c>
      <c r="F171" s="54">
        <v>1</v>
      </c>
      <c r="G171" s="49">
        <f>10/60</f>
        <v>0.16666666666666666</v>
      </c>
      <c r="H171" s="55">
        <f t="shared" ref="H171" si="4">E171*F171*G171</f>
        <v>17.043333333333333</v>
      </c>
      <c r="I171" s="41"/>
      <c r="J171" s="54">
        <f>VLOOKUP($C171,'AER FD Input Data'!$B$37:$L$41,3,FALSE)*G171</f>
        <v>7.2836279975762643</v>
      </c>
      <c r="K171" s="54">
        <f>VLOOKUP($C171,'AER FD Input Data'!$B$37:$L$41,6,FALSE)*G171</f>
        <v>3.8043864539870214</v>
      </c>
      <c r="L171" s="54">
        <f>VLOOKUP($C171,'AER FD Input Data'!$B$37:$L$41,8,FALSE)*G171</f>
        <v>5.5440072257816428</v>
      </c>
    </row>
    <row r="172" spans="2:13">
      <c r="B172" s="41"/>
      <c r="C172" s="44" t="s">
        <v>47</v>
      </c>
      <c r="D172" s="53" t="str">
        <f>VLOOKUP($C172,'AER FD Input Data'!$B$37:$C$41,2,FALSE)</f>
        <v>Field Worker R4</v>
      </c>
      <c r="E172" s="54">
        <f>VLOOKUP($C172,'AER FD Input Data'!$B$37:$L$41,11,FALSE)</f>
        <v>147.83000000000001</v>
      </c>
      <c r="F172" s="54">
        <v>1</v>
      </c>
      <c r="G172" s="49">
        <f>45/60</f>
        <v>0.75</v>
      </c>
      <c r="H172" s="55">
        <f>E172*F172*G172</f>
        <v>110.8725</v>
      </c>
      <c r="I172" s="41"/>
      <c r="J172" s="54">
        <f>VLOOKUP($C172,'AER FD Input Data'!$B$37:$L$41,3,FALSE)*G172</f>
        <v>39.499674909932821</v>
      </c>
      <c r="K172" s="54">
        <f>VLOOKUP($C172,'AER FD Input Data'!$B$37:$L$41,6,FALSE)*G172</f>
        <v>20.631480385083464</v>
      </c>
      <c r="L172" s="54">
        <f>VLOOKUP($C172,'AER FD Input Data'!$B$37:$L$41,8,FALSE)*G172</f>
        <v>52.314105106664172</v>
      </c>
    </row>
    <row r="173" spans="2:13">
      <c r="B173" s="41"/>
      <c r="C173" s="48"/>
      <c r="D173" s="48"/>
      <c r="E173" s="48"/>
      <c r="F173" s="80"/>
      <c r="G173" s="50" t="s">
        <v>53</v>
      </c>
      <c r="H173" s="56">
        <f>SUM(H172:H172)</f>
        <v>110.8725</v>
      </c>
      <c r="I173" s="41"/>
      <c r="J173" s="56">
        <f>SUM(J172:J172)</f>
        <v>39.499674909932821</v>
      </c>
      <c r="K173" s="56">
        <f>SUM(K172:K172)</f>
        <v>20.631480385083464</v>
      </c>
      <c r="L173" s="56">
        <f>SUM(L172:L172)</f>
        <v>52.314105106664172</v>
      </c>
      <c r="M173" s="166"/>
    </row>
    <row r="174" spans="2:13" s="147" customFormat="1">
      <c r="B174" s="163"/>
      <c r="C174" s="163"/>
      <c r="D174" s="163"/>
      <c r="E174" s="163"/>
      <c r="F174" s="163"/>
      <c r="G174" s="163"/>
      <c r="H174" s="163"/>
      <c r="I174" s="163"/>
      <c r="J174" s="163"/>
      <c r="K174" s="163"/>
      <c r="L174" s="163"/>
    </row>
    <row r="175" spans="2:13">
      <c r="B175" s="243" t="s">
        <v>14</v>
      </c>
      <c r="C175" s="243"/>
      <c r="D175" s="243"/>
      <c r="E175" s="243"/>
      <c r="F175" s="243"/>
      <c r="G175" s="243"/>
      <c r="H175" s="243"/>
      <c r="I175" s="243"/>
      <c r="J175" s="243"/>
      <c r="K175" s="243"/>
      <c r="L175" s="243"/>
    </row>
    <row r="176" spans="2:13">
      <c r="B176" s="244" t="s">
        <v>64</v>
      </c>
      <c r="C176" s="244"/>
      <c r="D176" s="244"/>
      <c r="E176" s="244"/>
      <c r="F176" s="244"/>
      <c r="G176" s="244"/>
      <c r="H176" s="244"/>
      <c r="I176" s="244"/>
      <c r="J176" s="244"/>
      <c r="K176" s="244"/>
      <c r="L176" s="244"/>
    </row>
    <row r="177" spans="2:13" s="147" customFormat="1">
      <c r="B177" s="163"/>
      <c r="C177" s="163"/>
      <c r="D177" s="163"/>
      <c r="E177" s="163"/>
      <c r="F177" s="163"/>
      <c r="G177" s="163"/>
      <c r="H177" s="163"/>
      <c r="I177" s="163"/>
      <c r="J177" s="163"/>
      <c r="K177" s="163"/>
      <c r="L177" s="163"/>
    </row>
    <row r="178" spans="2:13">
      <c r="B178" s="42" t="s">
        <v>51</v>
      </c>
      <c r="C178" s="245" t="str">
        <f>'AER FD AER Summary'!B36</f>
        <v>Correction of metering and market billing data</v>
      </c>
      <c r="D178" s="245"/>
      <c r="E178" s="245"/>
      <c r="F178" s="245"/>
      <c r="G178" s="245"/>
      <c r="H178" s="245"/>
      <c r="I178" s="245"/>
      <c r="J178" s="245"/>
      <c r="K178" s="245"/>
      <c r="L178" s="245"/>
    </row>
    <row r="179" spans="2:13" ht="28.8">
      <c r="B179" s="43"/>
      <c r="C179" s="241" t="s">
        <v>55</v>
      </c>
      <c r="D179" s="242"/>
      <c r="E179" s="45" t="s">
        <v>58</v>
      </c>
      <c r="F179" s="45" t="s">
        <v>96</v>
      </c>
      <c r="G179" s="45" t="s">
        <v>57</v>
      </c>
      <c r="H179" s="45" t="s">
        <v>65</v>
      </c>
      <c r="I179" s="85"/>
      <c r="J179" s="47" t="s">
        <v>54</v>
      </c>
      <c r="K179" s="47" t="s">
        <v>31</v>
      </c>
      <c r="L179" s="47" t="s">
        <v>52</v>
      </c>
    </row>
    <row r="180" spans="2:13">
      <c r="B180" s="41"/>
      <c r="C180" s="44" t="s">
        <v>41</v>
      </c>
      <c r="D180" s="53" t="str">
        <f>VLOOKUP($C180,'AER FD Input Data'!$B$37:$C$41,2,FALSE)</f>
        <v>Admin Support</v>
      </c>
      <c r="E180" s="54">
        <f>VLOOKUP($C180,'AER FD Input Data'!$B$37:$L$41,11,FALSE)</f>
        <v>102.26</v>
      </c>
      <c r="F180" s="54">
        <v>1</v>
      </c>
      <c r="G180" s="49">
        <f>30/60</f>
        <v>0.5</v>
      </c>
      <c r="H180" s="55">
        <f>E180*F180*G180</f>
        <v>51.13</v>
      </c>
      <c r="I180" s="41"/>
      <c r="J180" s="54">
        <f>VLOOKUP($C180,'AER FD Input Data'!$B$37:$L$41,3,FALSE)*G180</f>
        <v>21.850883992728793</v>
      </c>
      <c r="K180" s="54">
        <f>VLOOKUP($C180,'AER FD Input Data'!$B$37:$L$41,6,FALSE)*G180</f>
        <v>11.413159361961064</v>
      </c>
      <c r="L180" s="54">
        <f>VLOOKUP($C180,'AER FD Input Data'!$B$37:$L$41,8,FALSE)*G180</f>
        <v>16.63202167734493</v>
      </c>
    </row>
    <row r="181" spans="2:13">
      <c r="B181" s="41"/>
      <c r="C181" s="48"/>
      <c r="D181" s="48"/>
      <c r="E181" s="48"/>
      <c r="F181" s="80"/>
      <c r="G181" s="50" t="s">
        <v>53</v>
      </c>
      <c r="H181" s="56">
        <f>SUM(H180:H180)</f>
        <v>51.13</v>
      </c>
      <c r="I181" s="41"/>
      <c r="J181" s="56">
        <f>SUM(J180:J180)</f>
        <v>21.850883992728793</v>
      </c>
      <c r="K181" s="56">
        <f>SUM(K180:K180)</f>
        <v>11.413159361961064</v>
      </c>
      <c r="L181" s="56">
        <f>SUM(L180:L180)</f>
        <v>16.63202167734493</v>
      </c>
      <c r="M181" s="166"/>
    </row>
    <row r="182" spans="2:13" s="147" customFormat="1">
      <c r="B182" s="163"/>
      <c r="C182" s="163"/>
      <c r="D182" s="163"/>
      <c r="E182" s="163"/>
      <c r="F182" s="163"/>
      <c r="G182" s="163"/>
      <c r="H182" s="163"/>
      <c r="I182" s="163"/>
      <c r="J182" s="163"/>
      <c r="K182" s="163"/>
      <c r="L182" s="163"/>
    </row>
    <row r="183" spans="2:13">
      <c r="B183" s="243" t="s">
        <v>14</v>
      </c>
      <c r="C183" s="243"/>
      <c r="D183" s="243"/>
      <c r="E183" s="243"/>
      <c r="F183" s="243"/>
      <c r="G183" s="243"/>
      <c r="H183" s="243"/>
      <c r="I183" s="243"/>
      <c r="J183" s="243"/>
      <c r="K183" s="243"/>
      <c r="L183" s="243"/>
    </row>
    <row r="184" spans="2:13">
      <c r="B184" s="244" t="s">
        <v>308</v>
      </c>
      <c r="C184" s="244"/>
      <c r="D184" s="244"/>
      <c r="E184" s="244"/>
      <c r="F184" s="244"/>
      <c r="G184" s="244"/>
      <c r="H184" s="244"/>
      <c r="I184" s="244"/>
      <c r="J184" s="244"/>
      <c r="K184" s="244"/>
      <c r="L184" s="244"/>
    </row>
    <row r="185" spans="2:13" s="147" customFormat="1">
      <c r="B185" s="163"/>
      <c r="C185" s="163"/>
      <c r="D185" s="163"/>
      <c r="E185" s="163"/>
      <c r="F185" s="163"/>
      <c r="G185" s="163"/>
      <c r="H185" s="163"/>
      <c r="I185" s="163"/>
      <c r="J185" s="163"/>
      <c r="K185" s="163"/>
      <c r="L185" s="163"/>
    </row>
    <row r="186" spans="2:13">
      <c r="B186" s="42" t="s">
        <v>51</v>
      </c>
      <c r="C186" s="245" t="str">
        <f>'AER FD AER Summary'!B37</f>
        <v>Final read after type 5 meter equipment removed</v>
      </c>
      <c r="D186" s="245"/>
      <c r="E186" s="245"/>
      <c r="F186" s="245"/>
      <c r="G186" s="245"/>
      <c r="H186" s="245"/>
      <c r="I186" s="245"/>
      <c r="J186" s="245"/>
      <c r="K186" s="245"/>
      <c r="L186" s="245"/>
    </row>
    <row r="187" spans="2:13" ht="28.8">
      <c r="B187" s="43"/>
      <c r="C187" s="241" t="s">
        <v>55</v>
      </c>
      <c r="D187" s="242"/>
      <c r="E187" s="45" t="s">
        <v>58</v>
      </c>
      <c r="F187" s="45" t="s">
        <v>96</v>
      </c>
      <c r="G187" s="45" t="s">
        <v>57</v>
      </c>
      <c r="H187" s="45" t="s">
        <v>65</v>
      </c>
      <c r="I187" s="85"/>
      <c r="J187" s="47" t="s">
        <v>54</v>
      </c>
      <c r="K187" s="47" t="s">
        <v>31</v>
      </c>
      <c r="L187" s="47" t="s">
        <v>52</v>
      </c>
    </row>
    <row r="188" spans="2:13">
      <c r="B188" s="43"/>
      <c r="C188" s="44" t="s">
        <v>41</v>
      </c>
      <c r="D188" s="53" t="str">
        <f>VLOOKUP($C188,'AER FD Input Data'!$B$37:$C$41,2,FALSE)</f>
        <v>Admin Support</v>
      </c>
      <c r="E188" s="54">
        <f>VLOOKUP($C188,'AER FD Input Data'!$B$37:$L$41,11,FALSE)</f>
        <v>102.26</v>
      </c>
      <c r="F188" s="54">
        <v>1</v>
      </c>
      <c r="G188" s="49">
        <f>10/60</f>
        <v>0.16666666666666666</v>
      </c>
      <c r="H188" s="55">
        <f>E188*F188*G188</f>
        <v>17.043333333333333</v>
      </c>
      <c r="I188" s="41"/>
      <c r="J188" s="54">
        <f>VLOOKUP($C188,'AER FD Input Data'!$B$37:$L$41,3,FALSE)*G188</f>
        <v>7.2836279975762643</v>
      </c>
      <c r="K188" s="54">
        <f>VLOOKUP($C188,'AER FD Input Data'!$B$37:$L$41,6,FALSE)*G188</f>
        <v>3.8043864539870214</v>
      </c>
      <c r="L188" s="54">
        <f>VLOOKUP($C188,'AER FD Input Data'!$B$37:$L$41,8,FALSE)*G188</f>
        <v>5.5440072257816428</v>
      </c>
    </row>
    <row r="189" spans="2:13">
      <c r="B189" s="41"/>
      <c r="C189" s="44" t="s">
        <v>43</v>
      </c>
      <c r="D189" s="53" t="str">
        <f>VLOOKUP($C189,'AER FD Input Data'!$B$37:$C$41,2,FALSE)</f>
        <v>Technical Specialist R2</v>
      </c>
      <c r="E189" s="54">
        <f>VLOOKUP($C189,'AER FD Input Data'!$B$37:$L$41,11,FALSE)</f>
        <v>153.38999999999999</v>
      </c>
      <c r="F189" s="54">
        <v>1</v>
      </c>
      <c r="G189" s="49">
        <v>0.33333333333333331</v>
      </c>
      <c r="H189" s="55">
        <f>E189*F189*G189</f>
        <v>51.129999999999995</v>
      </c>
      <c r="I189" s="41"/>
      <c r="J189" s="54">
        <f>VLOOKUP($C189,'AER FD Input Data'!$B$37:$L$41,3,FALSE)*G189</f>
        <v>22.037643684974334</v>
      </c>
      <c r="K189" s="54">
        <f>VLOOKUP($C189,'AER FD Input Data'!$B$37:$L$41,6,FALSE)*G189</f>
        <v>11.510707732576115</v>
      </c>
      <c r="L189" s="54">
        <f>VLOOKUP($C189,'AER FD Input Data'!$B$37:$L$41,8,FALSE)*G189</f>
        <v>19.793527336354764</v>
      </c>
    </row>
    <row r="190" spans="2:13">
      <c r="B190" s="41"/>
      <c r="C190" s="48"/>
      <c r="D190" s="48"/>
      <c r="E190" s="48"/>
      <c r="F190" s="80"/>
      <c r="G190" s="50" t="s">
        <v>53</v>
      </c>
      <c r="H190" s="56">
        <f>SUM(H188:H189)</f>
        <v>68.173333333333332</v>
      </c>
      <c r="I190" s="41"/>
      <c r="J190" s="56">
        <f>SUM(J188:J189)</f>
        <v>29.321271682550599</v>
      </c>
      <c r="K190" s="56">
        <f t="shared" ref="K190:L190" si="5">SUM(K188:K189)</f>
        <v>15.315094186563137</v>
      </c>
      <c r="L190" s="56">
        <f t="shared" si="5"/>
        <v>25.337534562136405</v>
      </c>
      <c r="M190" s="166"/>
    </row>
    <row r="191" spans="2:13" s="147" customFormat="1">
      <c r="B191" s="163"/>
      <c r="C191" s="163"/>
      <c r="D191" s="163"/>
      <c r="E191" s="163"/>
      <c r="F191" s="163"/>
      <c r="G191" s="163"/>
      <c r="H191" s="163"/>
      <c r="I191" s="163"/>
      <c r="J191" s="163"/>
      <c r="K191" s="163"/>
      <c r="L191" s="163"/>
    </row>
    <row r="192" spans="2:13">
      <c r="B192" s="243" t="s">
        <v>14</v>
      </c>
      <c r="C192" s="243"/>
      <c r="D192" s="243"/>
      <c r="E192" s="243"/>
      <c r="F192" s="243"/>
      <c r="G192" s="243"/>
      <c r="H192" s="243"/>
      <c r="I192" s="243"/>
      <c r="J192" s="243"/>
      <c r="K192" s="243"/>
      <c r="L192" s="243"/>
    </row>
    <row r="193" spans="2:13">
      <c r="B193" s="244" t="s">
        <v>308</v>
      </c>
      <c r="C193" s="244"/>
      <c r="D193" s="244"/>
      <c r="E193" s="244"/>
      <c r="F193" s="244"/>
      <c r="G193" s="244"/>
      <c r="H193" s="244"/>
      <c r="I193" s="244"/>
      <c r="J193" s="244"/>
      <c r="K193" s="244"/>
      <c r="L193" s="244"/>
    </row>
    <row r="194" spans="2:13" s="147" customFormat="1">
      <c r="B194" s="163"/>
      <c r="C194" s="163"/>
      <c r="D194" s="163"/>
      <c r="E194" s="163"/>
      <c r="F194" s="163"/>
      <c r="G194" s="163"/>
      <c r="H194" s="163"/>
      <c r="I194" s="163"/>
      <c r="J194" s="163"/>
      <c r="K194" s="163"/>
      <c r="L194" s="163"/>
    </row>
    <row r="195" spans="2:13">
      <c r="B195" s="42" t="s">
        <v>51</v>
      </c>
      <c r="C195" s="245" t="str">
        <f>'AER FD AER Summary'!B38</f>
        <v>Type 5 and 6 CT testing</v>
      </c>
      <c r="D195" s="245"/>
      <c r="E195" s="245"/>
      <c r="F195" s="245"/>
      <c r="G195" s="245"/>
      <c r="H195" s="245"/>
      <c r="I195" s="245"/>
      <c r="J195" s="245"/>
      <c r="K195" s="245"/>
      <c r="L195" s="245"/>
    </row>
    <row r="196" spans="2:13" ht="28.8">
      <c r="B196" s="43"/>
      <c r="C196" s="241" t="s">
        <v>55</v>
      </c>
      <c r="D196" s="242"/>
      <c r="E196" s="45" t="s">
        <v>58</v>
      </c>
      <c r="F196" s="45" t="s">
        <v>96</v>
      </c>
      <c r="G196" s="45" t="s">
        <v>57</v>
      </c>
      <c r="H196" s="45" t="s">
        <v>65</v>
      </c>
      <c r="I196" s="85"/>
      <c r="J196" s="47" t="s">
        <v>54</v>
      </c>
      <c r="K196" s="47" t="s">
        <v>31</v>
      </c>
      <c r="L196" s="47" t="s">
        <v>52</v>
      </c>
    </row>
    <row r="197" spans="2:13">
      <c r="B197" s="41"/>
      <c r="C197" s="44" t="s">
        <v>47</v>
      </c>
      <c r="D197" s="53" t="str">
        <f>VLOOKUP($C197,'AER FD Input Data'!$B$37:$C$41,2,FALSE)</f>
        <v>Field Worker R4</v>
      </c>
      <c r="E197" s="54">
        <f>VLOOKUP($C197,'AER FD Input Data'!$B$37:$L$41,11,FALSE)</f>
        <v>147.83000000000001</v>
      </c>
      <c r="F197" s="54">
        <v>2</v>
      </c>
      <c r="G197" s="49">
        <v>2</v>
      </c>
      <c r="H197" s="55">
        <f>E197*F197*G197</f>
        <v>591.32000000000005</v>
      </c>
      <c r="I197" s="41"/>
      <c r="J197" s="54">
        <f>VLOOKUP($C197,'AER FD Input Data'!$B$37:$L$41,3,FALSE)*G197*F197</f>
        <v>210.66493285297503</v>
      </c>
      <c r="K197" s="54">
        <f>VLOOKUP($C197,'AER FD Input Data'!$B$37:$L$41,6,FALSE)*G197*F197</f>
        <v>110.03456205377847</v>
      </c>
      <c r="L197" s="54">
        <f>VLOOKUP($C197,'AER FD Input Data'!$B$37:$L$41,8,FALSE)*G197*F197</f>
        <v>279.00856056887557</v>
      </c>
    </row>
    <row r="198" spans="2:13">
      <c r="B198" s="41"/>
      <c r="C198" s="48"/>
      <c r="D198" s="48"/>
      <c r="E198" s="48"/>
      <c r="F198" s="80"/>
      <c r="G198" s="50" t="s">
        <v>53</v>
      </c>
      <c r="H198" s="56">
        <f>SUM(H197:H197)</f>
        <v>591.32000000000005</v>
      </c>
      <c r="I198" s="41"/>
      <c r="J198" s="56">
        <f>SUM(J197:J197)</f>
        <v>210.66493285297503</v>
      </c>
      <c r="K198" s="56">
        <f>SUM(K197:K197)</f>
        <v>110.03456205377847</v>
      </c>
      <c r="L198" s="56">
        <f>SUM(L197:L197)</f>
        <v>279.00856056887557</v>
      </c>
      <c r="M198" s="166"/>
    </row>
    <row r="199" spans="2:13" s="147" customFormat="1">
      <c r="B199" s="163"/>
      <c r="C199" s="163"/>
      <c r="D199" s="163"/>
      <c r="E199" s="163"/>
      <c r="F199" s="163"/>
      <c r="G199" s="163"/>
      <c r="H199" s="163"/>
      <c r="I199" s="163"/>
      <c r="J199" s="163"/>
      <c r="K199" s="163"/>
      <c r="L199" s="163"/>
    </row>
    <row r="200" spans="2:13">
      <c r="B200" s="243" t="s">
        <v>14</v>
      </c>
      <c r="C200" s="243"/>
      <c r="D200" s="243"/>
      <c r="E200" s="243"/>
      <c r="F200" s="243"/>
      <c r="G200" s="243"/>
      <c r="H200" s="243"/>
      <c r="I200" s="243"/>
      <c r="J200" s="243"/>
      <c r="K200" s="243"/>
      <c r="L200" s="243"/>
      <c r="M200" s="7"/>
    </row>
    <row r="201" spans="2:13">
      <c r="B201" s="244" t="s">
        <v>64</v>
      </c>
      <c r="C201" s="244"/>
      <c r="D201" s="244"/>
      <c r="E201" s="244"/>
      <c r="F201" s="244"/>
      <c r="G201" s="244"/>
      <c r="H201" s="244"/>
      <c r="I201" s="244"/>
      <c r="J201" s="244"/>
      <c r="K201" s="244"/>
      <c r="L201" s="244"/>
      <c r="M201" s="7"/>
    </row>
    <row r="202" spans="2:13" s="147" customFormat="1">
      <c r="B202" s="163"/>
      <c r="C202" s="163"/>
      <c r="D202" s="163"/>
      <c r="E202" s="163"/>
      <c r="F202" s="163"/>
      <c r="G202" s="163"/>
      <c r="H202" s="163"/>
      <c r="I202" s="163"/>
      <c r="J202" s="163"/>
      <c r="K202" s="163"/>
      <c r="L202" s="163"/>
    </row>
    <row r="203" spans="2:13">
      <c r="B203" s="42" t="s">
        <v>51</v>
      </c>
      <c r="C203" s="245" t="str">
        <f>'AER FD AER Summary'!B39</f>
        <v>Type 5 and 6 CT recovery</v>
      </c>
      <c r="D203" s="245"/>
      <c r="E203" s="245"/>
      <c r="F203" s="245"/>
      <c r="G203" s="245"/>
      <c r="H203" s="245"/>
      <c r="I203" s="245"/>
      <c r="J203" s="245"/>
      <c r="K203" s="245"/>
      <c r="L203" s="245"/>
    </row>
    <row r="204" spans="2:13" ht="28.8">
      <c r="B204" s="43"/>
      <c r="C204" s="241" t="s">
        <v>55</v>
      </c>
      <c r="D204" s="242"/>
      <c r="E204" s="45" t="s">
        <v>58</v>
      </c>
      <c r="F204" s="45" t="s">
        <v>96</v>
      </c>
      <c r="G204" s="45" t="s">
        <v>57</v>
      </c>
      <c r="H204" s="45" t="s">
        <v>65</v>
      </c>
      <c r="I204" s="85"/>
      <c r="J204" s="47" t="s">
        <v>54</v>
      </c>
      <c r="K204" s="47" t="s">
        <v>31</v>
      </c>
      <c r="L204" s="47" t="s">
        <v>52</v>
      </c>
    </row>
    <row r="205" spans="2:13">
      <c r="B205" s="41"/>
      <c r="C205" s="44" t="s">
        <v>47</v>
      </c>
      <c r="D205" s="53" t="str">
        <f>VLOOKUP($C205,'AER FD Input Data'!$B$37:$C$41,2,FALSE)</f>
        <v>Field Worker R4</v>
      </c>
      <c r="E205" s="54">
        <f>VLOOKUP($C205,'AER FD Input Data'!$B$37:$L$41,11,FALSE)</f>
        <v>147.83000000000001</v>
      </c>
      <c r="F205" s="54">
        <v>2</v>
      </c>
      <c r="G205" s="49">
        <v>2</v>
      </c>
      <c r="H205" s="55">
        <f>E205*F205*G205</f>
        <v>591.32000000000005</v>
      </c>
      <c r="I205" s="41"/>
      <c r="J205" s="54">
        <f>VLOOKUP($C205,'AER FD Input Data'!$B$37:$L$41,3,FALSE)*G205*F205</f>
        <v>210.66493285297503</v>
      </c>
      <c r="K205" s="54">
        <f>VLOOKUP($C205,'AER FD Input Data'!$B$37:$L$41,6,FALSE)*G205*F205</f>
        <v>110.03456205377847</v>
      </c>
      <c r="L205" s="54">
        <f>VLOOKUP($C205,'AER FD Input Data'!$B$37:$L$41,8,FALSE)*G205*F205</f>
        <v>279.00856056887557</v>
      </c>
    </row>
    <row r="206" spans="2:13">
      <c r="B206" s="41"/>
      <c r="C206" s="48"/>
      <c r="D206" s="48"/>
      <c r="E206" s="48"/>
      <c r="F206" s="80"/>
      <c r="G206" s="50" t="s">
        <v>53</v>
      </c>
      <c r="H206" s="56">
        <f>SUM(H205:H205)</f>
        <v>591.32000000000005</v>
      </c>
      <c r="I206" s="41"/>
      <c r="J206" s="56">
        <f>SUM(J205:J205)</f>
        <v>210.66493285297503</v>
      </c>
      <c r="K206" s="56">
        <f>SUM(K205:K205)</f>
        <v>110.03456205377847</v>
      </c>
      <c r="L206" s="56">
        <f>SUM(L205:L205)</f>
        <v>279.00856056887557</v>
      </c>
      <c r="M206" s="166"/>
    </row>
    <row r="207" spans="2:13" s="147" customFormat="1">
      <c r="B207" s="163"/>
      <c r="C207" s="163"/>
      <c r="D207" s="163"/>
      <c r="E207" s="163"/>
      <c r="F207" s="163"/>
      <c r="G207" s="163"/>
      <c r="H207" s="163"/>
      <c r="I207" s="163"/>
      <c r="J207" s="163"/>
      <c r="K207" s="163"/>
      <c r="L207" s="163"/>
    </row>
    <row r="208" spans="2:13">
      <c r="B208" s="243" t="s">
        <v>14</v>
      </c>
      <c r="C208" s="243"/>
      <c r="D208" s="243"/>
      <c r="E208" s="243"/>
      <c r="F208" s="243"/>
      <c r="G208" s="243"/>
      <c r="H208" s="243"/>
      <c r="I208" s="243"/>
      <c r="J208" s="243"/>
      <c r="K208" s="243"/>
      <c r="L208" s="243"/>
      <c r="M208" s="7"/>
    </row>
    <row r="209" spans="2:13">
      <c r="B209" s="244" t="s">
        <v>64</v>
      </c>
      <c r="C209" s="244"/>
      <c r="D209" s="244"/>
      <c r="E209" s="244"/>
      <c r="F209" s="244"/>
      <c r="G209" s="244"/>
      <c r="H209" s="244"/>
      <c r="I209" s="244"/>
      <c r="J209" s="244"/>
      <c r="K209" s="244"/>
      <c r="L209" s="244"/>
      <c r="M209" s="7"/>
    </row>
    <row r="210" spans="2:13" s="147" customFormat="1">
      <c r="B210" s="163"/>
      <c r="C210" s="163"/>
      <c r="D210" s="163"/>
      <c r="E210" s="163"/>
      <c r="F210" s="163"/>
      <c r="G210" s="163"/>
      <c r="H210" s="163"/>
      <c r="I210" s="163"/>
      <c r="J210" s="163"/>
      <c r="K210" s="163"/>
      <c r="L210" s="163"/>
    </row>
    <row r="211" spans="2:13">
      <c r="B211" s="42" t="s">
        <v>51</v>
      </c>
      <c r="C211" s="240" t="str">
        <f>'AER FD AER Summary'!B40</f>
        <v>Metering Site Alteration</v>
      </c>
      <c r="D211" s="240"/>
      <c r="E211" s="240"/>
      <c r="F211" s="240"/>
      <c r="G211" s="240"/>
      <c r="H211" s="240"/>
      <c r="I211" s="240"/>
      <c r="J211" s="240"/>
      <c r="K211" s="240"/>
      <c r="L211" s="240"/>
    </row>
    <row r="212" spans="2:13" ht="28.8">
      <c r="B212" s="43"/>
      <c r="C212" s="241" t="s">
        <v>55</v>
      </c>
      <c r="D212" s="242"/>
      <c r="E212" s="45" t="s">
        <v>58</v>
      </c>
      <c r="F212" s="45" t="s">
        <v>96</v>
      </c>
      <c r="G212" s="45" t="s">
        <v>57</v>
      </c>
      <c r="H212" s="45" t="s">
        <v>65</v>
      </c>
      <c r="I212" s="85"/>
      <c r="J212" s="47" t="s">
        <v>54</v>
      </c>
      <c r="K212" s="47" t="s">
        <v>31</v>
      </c>
      <c r="L212" s="47" t="s">
        <v>52</v>
      </c>
    </row>
    <row r="213" spans="2:13">
      <c r="B213" s="41"/>
      <c r="C213" s="44" t="s">
        <v>41</v>
      </c>
      <c r="D213" s="53" t="str">
        <f>VLOOKUP($C213,'AER FD Input Data'!$B$37:$C$41,2,FALSE)</f>
        <v>Admin Support</v>
      </c>
      <c r="E213" s="54">
        <f>VLOOKUP($C213,'AER FD Input Data'!$B$37:$L$41,11,FALSE)</f>
        <v>102.26</v>
      </c>
      <c r="F213" s="54">
        <v>1</v>
      </c>
      <c r="G213" s="49">
        <v>0.3</v>
      </c>
      <c r="H213" s="55">
        <f>E213*F213*G213</f>
        <v>30.678000000000001</v>
      </c>
      <c r="I213" s="41"/>
      <c r="J213" s="54">
        <f>VLOOKUP($C213,'AER FD Input Data'!$B$37:$L$41,3,FALSE)*G213*F213</f>
        <v>13.110530395637275</v>
      </c>
      <c r="K213" s="54">
        <f>VLOOKUP($C213,'AER FD Input Data'!$B$37:$L$41,6,FALSE)*G213*F213</f>
        <v>6.8478956171766381</v>
      </c>
      <c r="L213" s="54">
        <f>VLOOKUP($C213,'AER FD Input Data'!$B$37:$L$41,8,FALSE)*G213*F213</f>
        <v>9.9792130064069582</v>
      </c>
    </row>
    <row r="214" spans="2:13">
      <c r="B214" s="41"/>
      <c r="C214" s="48"/>
      <c r="D214" s="48"/>
      <c r="E214" s="48"/>
      <c r="F214" s="80"/>
      <c r="G214" s="50" t="s">
        <v>53</v>
      </c>
      <c r="H214" s="56">
        <f>SUM(H213:H213)</f>
        <v>30.678000000000001</v>
      </c>
      <c r="I214" s="41"/>
      <c r="J214" s="56">
        <f>SUM(J213:J213)</f>
        <v>13.110530395637275</v>
      </c>
      <c r="K214" s="56">
        <f>SUM(K213:K213)</f>
        <v>6.8478956171766381</v>
      </c>
      <c r="L214" s="56">
        <f>SUM(L213:L213)</f>
        <v>9.9792130064069582</v>
      </c>
      <c r="M214" s="166"/>
    </row>
    <row r="215" spans="2:13" s="147" customFormat="1">
      <c r="B215" s="163"/>
      <c r="C215" s="163"/>
      <c r="D215" s="163"/>
      <c r="E215" s="163"/>
      <c r="F215" s="163"/>
      <c r="G215" s="163"/>
      <c r="H215" s="163"/>
      <c r="I215" s="163"/>
      <c r="J215" s="163"/>
      <c r="K215" s="163"/>
      <c r="L215" s="163"/>
    </row>
    <row r="216" spans="2:13">
      <c r="B216" s="243" t="s">
        <v>14</v>
      </c>
      <c r="C216" s="243"/>
      <c r="D216" s="243"/>
      <c r="E216" s="243"/>
      <c r="F216" s="243"/>
      <c r="G216" s="243"/>
      <c r="H216" s="243"/>
      <c r="I216" s="243"/>
      <c r="J216" s="243"/>
      <c r="K216" s="243"/>
      <c r="L216" s="243"/>
    </row>
    <row r="217" spans="2:13">
      <c r="B217" s="244" t="s">
        <v>308</v>
      </c>
      <c r="C217" s="244"/>
      <c r="D217" s="244"/>
      <c r="E217" s="244"/>
      <c r="F217" s="244"/>
      <c r="G217" s="244"/>
      <c r="H217" s="244"/>
      <c r="I217" s="244"/>
      <c r="J217" s="244"/>
      <c r="K217" s="244"/>
      <c r="L217" s="244"/>
    </row>
    <row r="218" spans="2:13" s="147" customFormat="1">
      <c r="B218" s="163"/>
      <c r="C218" s="163"/>
      <c r="D218" s="163"/>
      <c r="E218" s="163"/>
      <c r="F218" s="163"/>
      <c r="G218" s="163"/>
      <c r="H218" s="163"/>
      <c r="I218" s="163"/>
      <c r="J218" s="163"/>
      <c r="K218" s="163"/>
      <c r="L218" s="163"/>
    </row>
    <row r="219" spans="2:13">
      <c r="B219" s="42" t="s">
        <v>51</v>
      </c>
      <c r="C219" s="240" t="str">
        <f>'AER FD AER Summary'!B41</f>
        <v>NMI Extinction</v>
      </c>
      <c r="D219" s="240"/>
      <c r="E219" s="240"/>
      <c r="F219" s="240"/>
      <c r="G219" s="240"/>
      <c r="H219" s="240"/>
      <c r="I219" s="240"/>
      <c r="J219" s="240"/>
      <c r="K219" s="240"/>
      <c r="L219" s="240"/>
    </row>
    <row r="220" spans="2:13" ht="28.8">
      <c r="B220" s="43"/>
      <c r="C220" s="241" t="s">
        <v>55</v>
      </c>
      <c r="D220" s="242"/>
      <c r="E220" s="45" t="s">
        <v>58</v>
      </c>
      <c r="F220" s="45" t="s">
        <v>96</v>
      </c>
      <c r="G220" s="45" t="s">
        <v>57</v>
      </c>
      <c r="H220" s="45" t="s">
        <v>65</v>
      </c>
      <c r="I220" s="85"/>
      <c r="J220" s="47" t="s">
        <v>54</v>
      </c>
      <c r="K220" s="47" t="s">
        <v>31</v>
      </c>
      <c r="L220" s="47" t="s">
        <v>52</v>
      </c>
    </row>
    <row r="221" spans="2:13">
      <c r="B221" s="41"/>
      <c r="C221" s="44" t="s">
        <v>41</v>
      </c>
      <c r="D221" s="53" t="str">
        <f>VLOOKUP($C221,'AER FD Input Data'!$B$37:$C$41,2,FALSE)</f>
        <v>Admin Support</v>
      </c>
      <c r="E221" s="54">
        <f>VLOOKUP($C221,'AER FD Input Data'!$B$37:$L$41,11,FALSE)</f>
        <v>102.26</v>
      </c>
      <c r="F221" s="54">
        <v>1</v>
      </c>
      <c r="G221" s="49">
        <v>0.3</v>
      </c>
      <c r="H221" s="55">
        <f>E221*F221*G221</f>
        <v>30.678000000000001</v>
      </c>
      <c r="I221" s="41"/>
      <c r="J221" s="54">
        <f>VLOOKUP($C221,'AER FD Input Data'!$B$37:$L$41,3,FALSE)*G221*F221</f>
        <v>13.110530395637275</v>
      </c>
      <c r="K221" s="54">
        <f>VLOOKUP($C221,'AER FD Input Data'!$B$37:$L$41,6,FALSE)*G221*F221</f>
        <v>6.8478956171766381</v>
      </c>
      <c r="L221" s="54">
        <f>VLOOKUP($C221,'AER FD Input Data'!$B$37:$L$41,8,FALSE)*G221*F221</f>
        <v>9.9792130064069582</v>
      </c>
    </row>
    <row r="222" spans="2:13">
      <c r="B222" s="41"/>
      <c r="C222" s="48"/>
      <c r="D222" s="48"/>
      <c r="E222" s="48"/>
      <c r="F222" s="80"/>
      <c r="G222" s="50" t="s">
        <v>53</v>
      </c>
      <c r="H222" s="56">
        <f>SUM(H221:H221)</f>
        <v>30.678000000000001</v>
      </c>
      <c r="I222" s="41"/>
      <c r="J222" s="56">
        <f>SUM(J221:J221)</f>
        <v>13.110530395637275</v>
      </c>
      <c r="K222" s="56">
        <f>SUM(K221:K221)</f>
        <v>6.8478956171766381</v>
      </c>
      <c r="L222" s="56">
        <f>SUM(L221:L221)</f>
        <v>9.9792130064069582</v>
      </c>
      <c r="M222" s="166"/>
    </row>
    <row r="223" spans="2:13" s="147" customFormat="1">
      <c r="B223" s="163"/>
      <c r="C223" s="163"/>
      <c r="D223" s="163"/>
      <c r="E223" s="163"/>
      <c r="F223" s="163"/>
      <c r="G223" s="163"/>
      <c r="H223" s="163"/>
      <c r="I223" s="163"/>
      <c r="J223" s="163"/>
      <c r="K223" s="163"/>
      <c r="L223" s="163"/>
    </row>
    <row r="224" spans="2:13">
      <c r="B224" s="243" t="s">
        <v>14</v>
      </c>
      <c r="C224" s="243"/>
      <c r="D224" s="243"/>
      <c r="E224" s="243"/>
      <c r="F224" s="243"/>
      <c r="G224" s="243"/>
      <c r="H224" s="243"/>
      <c r="I224" s="243"/>
      <c r="J224" s="243"/>
      <c r="K224" s="243"/>
      <c r="L224" s="243"/>
    </row>
    <row r="225" spans="2:12">
      <c r="B225" s="244" t="s">
        <v>308</v>
      </c>
      <c r="C225" s="244"/>
      <c r="D225" s="244"/>
      <c r="E225" s="244"/>
      <c r="F225" s="244"/>
      <c r="G225" s="244"/>
      <c r="H225" s="244"/>
      <c r="I225" s="244"/>
      <c r="J225" s="244"/>
      <c r="K225" s="244"/>
      <c r="L225" s="244"/>
    </row>
    <row r="226" spans="2:12" s="147" customFormat="1">
      <c r="B226" s="163"/>
      <c r="C226" s="163"/>
      <c r="D226" s="163"/>
      <c r="E226" s="163"/>
      <c r="F226" s="163"/>
      <c r="G226" s="163"/>
      <c r="H226" s="163"/>
      <c r="I226" s="163"/>
      <c r="J226" s="163"/>
      <c r="K226" s="163"/>
      <c r="L226" s="163"/>
    </row>
    <row r="227" spans="2:12" s="147" customFormat="1">
      <c r="B227" s="163"/>
      <c r="C227" s="163"/>
      <c r="D227" s="163"/>
      <c r="E227" s="163"/>
      <c r="F227" s="163"/>
      <c r="G227" s="163"/>
      <c r="H227" s="163"/>
      <c r="I227" s="163"/>
      <c r="J227" s="163"/>
      <c r="K227" s="163"/>
      <c r="L227" s="163"/>
    </row>
    <row r="228" spans="2:12" s="147" customFormat="1">
      <c r="B228" s="163"/>
      <c r="C228" s="163"/>
      <c r="D228" s="163"/>
      <c r="E228" s="163"/>
      <c r="F228" s="163"/>
      <c r="G228" s="163"/>
      <c r="H228" s="163"/>
      <c r="I228" s="163"/>
      <c r="J228" s="163"/>
      <c r="K228" s="163"/>
      <c r="L228" s="163"/>
    </row>
    <row r="229" spans="2:12" s="147" customFormat="1">
      <c r="B229" s="163"/>
      <c r="C229" s="163"/>
      <c r="D229" s="163"/>
      <c r="E229" s="163"/>
      <c r="F229" s="163"/>
      <c r="G229" s="163"/>
      <c r="H229" s="163"/>
      <c r="I229" s="163"/>
      <c r="J229" s="163"/>
      <c r="K229" s="163"/>
      <c r="L229" s="163"/>
    </row>
    <row r="230" spans="2:12" s="147" customFormat="1">
      <c r="B230" s="163"/>
      <c r="C230" s="163"/>
      <c r="D230" s="163"/>
      <c r="E230" s="163"/>
      <c r="F230" s="163"/>
      <c r="G230" s="163"/>
      <c r="H230" s="163"/>
      <c r="I230" s="163"/>
      <c r="J230" s="163"/>
      <c r="K230" s="163"/>
      <c r="L230" s="163"/>
    </row>
    <row r="231" spans="2:12" s="147" customFormat="1" hidden="1">
      <c r="B231" s="163"/>
      <c r="C231" s="163"/>
      <c r="D231" s="163"/>
      <c r="E231" s="163"/>
      <c r="F231" s="163"/>
      <c r="G231" s="163"/>
      <c r="H231" s="163"/>
      <c r="I231" s="163"/>
      <c r="J231" s="163"/>
      <c r="K231" s="163"/>
      <c r="L231" s="163"/>
    </row>
    <row r="232" spans="2:12" s="147" customFormat="1" hidden="1">
      <c r="B232" s="163"/>
      <c r="C232" s="163"/>
      <c r="D232" s="163"/>
      <c r="E232" s="163"/>
      <c r="F232" s="163"/>
      <c r="G232" s="163"/>
      <c r="H232" s="163"/>
      <c r="I232" s="163"/>
      <c r="J232" s="163"/>
      <c r="K232" s="163"/>
      <c r="L232" s="163"/>
    </row>
    <row r="233" spans="2:12" s="147" customFormat="1" hidden="1">
      <c r="B233" s="163"/>
      <c r="C233" s="163"/>
      <c r="D233" s="163"/>
      <c r="E233" s="163"/>
      <c r="F233" s="163"/>
      <c r="G233" s="163"/>
      <c r="H233" s="163"/>
      <c r="I233" s="163"/>
      <c r="J233" s="163"/>
      <c r="K233" s="163"/>
      <c r="L233" s="163"/>
    </row>
    <row r="234" spans="2:12" s="147" customFormat="1" hidden="1">
      <c r="B234" s="163"/>
      <c r="C234" s="163"/>
      <c r="D234" s="163"/>
      <c r="E234" s="163"/>
      <c r="F234" s="163"/>
      <c r="G234" s="163"/>
      <c r="H234" s="163"/>
      <c r="I234" s="163"/>
      <c r="J234" s="163"/>
      <c r="K234" s="163"/>
      <c r="L234" s="163"/>
    </row>
    <row r="235" spans="2:12" s="147" customFormat="1" hidden="1">
      <c r="B235" s="163"/>
      <c r="C235" s="163"/>
      <c r="D235" s="163"/>
      <c r="E235" s="163"/>
      <c r="F235" s="163"/>
      <c r="G235" s="163"/>
      <c r="H235" s="163"/>
      <c r="I235" s="163"/>
      <c r="J235" s="163"/>
      <c r="K235" s="163"/>
      <c r="L235" s="163"/>
    </row>
    <row r="236" spans="2:12" s="147" customFormat="1" hidden="1">
      <c r="B236" s="163"/>
      <c r="C236" s="163"/>
      <c r="D236" s="163"/>
      <c r="E236" s="163"/>
      <c r="F236" s="163"/>
      <c r="G236" s="163"/>
      <c r="H236" s="163"/>
      <c r="I236" s="163"/>
      <c r="J236" s="163"/>
      <c r="K236" s="163"/>
      <c r="L236" s="163"/>
    </row>
    <row r="237" spans="2:12" s="147" customFormat="1" hidden="1">
      <c r="B237" s="163"/>
      <c r="C237" s="163"/>
      <c r="D237" s="163"/>
      <c r="E237" s="163"/>
      <c r="F237" s="163"/>
      <c r="G237" s="163"/>
      <c r="H237" s="163"/>
      <c r="I237" s="163"/>
      <c r="J237" s="163"/>
      <c r="K237" s="163"/>
      <c r="L237" s="163"/>
    </row>
    <row r="238" spans="2:12" s="147" customFormat="1" hidden="1">
      <c r="B238" s="163"/>
      <c r="C238" s="163"/>
      <c r="D238" s="163"/>
      <c r="E238" s="163"/>
      <c r="F238" s="163"/>
      <c r="G238" s="163"/>
      <c r="H238" s="163"/>
      <c r="I238" s="163"/>
      <c r="J238" s="163"/>
      <c r="K238" s="163"/>
      <c r="L238" s="163"/>
    </row>
    <row r="239" spans="2:12" s="147" customFormat="1" hidden="1">
      <c r="B239" s="163"/>
      <c r="C239" s="163"/>
      <c r="D239" s="163"/>
      <c r="E239" s="163"/>
      <c r="F239" s="163"/>
      <c r="G239" s="163"/>
      <c r="H239" s="163"/>
      <c r="I239" s="163"/>
      <c r="J239" s="163"/>
      <c r="K239" s="163"/>
      <c r="L239" s="163"/>
    </row>
    <row r="240" spans="2:12" s="147" customFormat="1" hidden="1">
      <c r="B240" s="163"/>
      <c r="C240" s="163"/>
      <c r="D240" s="163"/>
      <c r="E240" s="163"/>
      <c r="F240" s="163"/>
      <c r="G240" s="163"/>
      <c r="H240" s="163"/>
      <c r="I240" s="163"/>
      <c r="J240" s="163"/>
      <c r="K240" s="163"/>
      <c r="L240" s="163"/>
    </row>
    <row r="241" spans="2:12" s="147" customFormat="1" hidden="1">
      <c r="B241" s="163"/>
      <c r="C241" s="163"/>
      <c r="D241" s="163"/>
      <c r="E241" s="163"/>
      <c r="F241" s="163"/>
      <c r="G241" s="163"/>
      <c r="H241" s="163"/>
      <c r="I241" s="163"/>
      <c r="J241" s="163"/>
      <c r="K241" s="163"/>
      <c r="L241" s="163"/>
    </row>
    <row r="242" spans="2:12" s="147" customFormat="1" hidden="1">
      <c r="B242" s="163"/>
      <c r="C242" s="163"/>
      <c r="D242" s="163"/>
      <c r="E242" s="163"/>
      <c r="F242" s="163"/>
      <c r="G242" s="163"/>
      <c r="H242" s="163"/>
      <c r="I242" s="163"/>
      <c r="J242" s="163"/>
      <c r="K242" s="163"/>
      <c r="L242" s="163"/>
    </row>
    <row r="243" spans="2:12" s="147" customFormat="1" hidden="1">
      <c r="B243" s="163"/>
      <c r="C243" s="163"/>
      <c r="D243" s="163"/>
      <c r="E243" s="163"/>
      <c r="F243" s="163"/>
      <c r="G243" s="163"/>
      <c r="H243" s="163"/>
      <c r="I243" s="163"/>
      <c r="J243" s="163"/>
      <c r="K243" s="163"/>
      <c r="L243" s="163"/>
    </row>
    <row r="244" spans="2:12" s="147" customFormat="1" hidden="1">
      <c r="B244" s="163"/>
      <c r="C244" s="163"/>
      <c r="D244" s="163"/>
      <c r="E244" s="163"/>
      <c r="F244" s="163"/>
      <c r="G244" s="163"/>
      <c r="H244" s="163"/>
      <c r="I244" s="163"/>
      <c r="J244" s="163"/>
      <c r="K244" s="163"/>
      <c r="L244" s="163"/>
    </row>
    <row r="245" spans="2:12" s="147" customFormat="1" hidden="1">
      <c r="B245" s="163"/>
      <c r="C245" s="163"/>
      <c r="D245" s="163"/>
      <c r="E245" s="163"/>
      <c r="F245" s="163"/>
      <c r="G245" s="163"/>
      <c r="H245" s="163"/>
      <c r="I245" s="163"/>
      <c r="J245" s="163"/>
      <c r="K245" s="163"/>
      <c r="L245" s="163"/>
    </row>
    <row r="246" spans="2:12" s="147" customFormat="1" hidden="1">
      <c r="B246" s="163"/>
      <c r="C246" s="163"/>
      <c r="D246" s="163"/>
      <c r="E246" s="163"/>
      <c r="F246" s="163"/>
      <c r="G246" s="163"/>
      <c r="H246" s="163"/>
      <c r="I246" s="163"/>
      <c r="J246" s="163"/>
      <c r="K246" s="163"/>
      <c r="L246" s="163"/>
    </row>
    <row r="247" spans="2:12" s="147" customFormat="1" hidden="1">
      <c r="B247" s="163"/>
      <c r="C247" s="163"/>
      <c r="D247" s="163"/>
      <c r="E247" s="163"/>
      <c r="F247" s="163"/>
      <c r="G247" s="163"/>
      <c r="H247" s="163"/>
      <c r="I247" s="163"/>
      <c r="J247" s="163"/>
      <c r="K247" s="163"/>
      <c r="L247" s="163"/>
    </row>
    <row r="248" spans="2:12" s="147" customFormat="1" hidden="1">
      <c r="B248" s="163"/>
      <c r="C248" s="163"/>
      <c r="D248" s="163"/>
      <c r="E248" s="163"/>
      <c r="F248" s="163"/>
      <c r="G248" s="163"/>
      <c r="H248" s="163"/>
      <c r="I248" s="163"/>
      <c r="J248" s="163"/>
      <c r="K248" s="163"/>
      <c r="L248" s="163"/>
    </row>
    <row r="249" spans="2:12" s="147" customFormat="1" hidden="1">
      <c r="B249" s="163"/>
      <c r="C249" s="163"/>
      <c r="D249" s="163"/>
      <c r="E249" s="163"/>
      <c r="F249" s="163"/>
      <c r="G249" s="163"/>
      <c r="H249" s="163"/>
      <c r="I249" s="163"/>
      <c r="J249" s="163"/>
      <c r="K249" s="163"/>
      <c r="L249" s="163"/>
    </row>
    <row r="250" spans="2:12" s="147" customFormat="1" hidden="1">
      <c r="B250" s="163"/>
      <c r="C250" s="163"/>
      <c r="D250" s="163"/>
      <c r="E250" s="163"/>
      <c r="F250" s="163"/>
      <c r="G250" s="163"/>
      <c r="H250" s="163"/>
      <c r="I250" s="163"/>
      <c r="J250" s="163"/>
      <c r="K250" s="163"/>
      <c r="L250" s="163"/>
    </row>
    <row r="251" spans="2:12" s="147" customFormat="1" hidden="1">
      <c r="B251" s="163"/>
      <c r="C251" s="163"/>
      <c r="D251" s="163"/>
      <c r="E251" s="163"/>
      <c r="F251" s="163"/>
      <c r="G251" s="163"/>
      <c r="H251" s="163"/>
      <c r="I251" s="163"/>
      <c r="J251" s="163"/>
      <c r="K251" s="163"/>
      <c r="L251" s="163"/>
    </row>
    <row r="252" spans="2:12" s="147" customFormat="1" hidden="1">
      <c r="B252" s="163"/>
      <c r="C252" s="163"/>
      <c r="D252" s="163"/>
      <c r="E252" s="163"/>
      <c r="F252" s="163"/>
      <c r="G252" s="163"/>
      <c r="H252" s="163"/>
      <c r="I252" s="163"/>
      <c r="J252" s="163"/>
      <c r="K252" s="163"/>
      <c r="L252" s="163"/>
    </row>
    <row r="253" spans="2:12" s="147" customFormat="1" hidden="1">
      <c r="B253" s="163"/>
      <c r="C253" s="163"/>
      <c r="D253" s="163"/>
      <c r="E253" s="163"/>
      <c r="F253" s="163"/>
      <c r="G253" s="163"/>
      <c r="H253" s="163"/>
      <c r="I253" s="163"/>
      <c r="J253" s="163"/>
      <c r="K253" s="163"/>
      <c r="L253" s="163"/>
    </row>
    <row r="254" spans="2:12" s="147" customFormat="1" hidden="1">
      <c r="B254" s="163"/>
      <c r="C254" s="163"/>
      <c r="D254" s="163"/>
      <c r="E254" s="163"/>
      <c r="F254" s="163"/>
      <c r="G254" s="163"/>
      <c r="H254" s="163"/>
      <c r="I254" s="163"/>
      <c r="J254" s="163"/>
      <c r="K254" s="163"/>
      <c r="L254" s="163"/>
    </row>
    <row r="255" spans="2:12" s="147" customFormat="1" hidden="1">
      <c r="B255" s="163"/>
      <c r="C255" s="163"/>
      <c r="D255" s="163"/>
      <c r="E255" s="163"/>
      <c r="F255" s="163"/>
      <c r="G255" s="163"/>
      <c r="H255" s="163"/>
      <c r="I255" s="163"/>
      <c r="J255" s="163"/>
      <c r="K255" s="163"/>
      <c r="L255" s="163"/>
    </row>
    <row r="256" spans="2:12" s="147" customFormat="1" hidden="1">
      <c r="B256" s="163"/>
      <c r="C256" s="163"/>
      <c r="D256" s="163"/>
      <c r="E256" s="163"/>
      <c r="F256" s="163"/>
      <c r="G256" s="163"/>
      <c r="H256" s="163"/>
      <c r="I256" s="163"/>
      <c r="J256" s="163"/>
      <c r="K256" s="163"/>
      <c r="L256" s="163"/>
    </row>
    <row r="257" spans="2:12" s="147" customFormat="1" hidden="1">
      <c r="B257" s="163"/>
      <c r="C257" s="163"/>
      <c r="D257" s="163"/>
      <c r="E257" s="163"/>
      <c r="F257" s="163"/>
      <c r="G257" s="163"/>
      <c r="H257" s="163"/>
      <c r="I257" s="163"/>
      <c r="J257" s="163"/>
      <c r="K257" s="163"/>
      <c r="L257" s="163"/>
    </row>
    <row r="258" spans="2:12" s="147" customFormat="1" hidden="1">
      <c r="B258" s="163"/>
      <c r="C258" s="163"/>
      <c r="D258" s="163"/>
      <c r="E258" s="163"/>
      <c r="F258" s="163"/>
      <c r="G258" s="163"/>
      <c r="H258" s="163"/>
      <c r="I258" s="163"/>
      <c r="J258" s="163"/>
      <c r="K258" s="163"/>
      <c r="L258" s="163"/>
    </row>
    <row r="259" spans="2:12" s="147" customFormat="1" hidden="1">
      <c r="B259" s="163"/>
      <c r="C259" s="163"/>
      <c r="D259" s="163"/>
      <c r="E259" s="163"/>
      <c r="F259" s="163"/>
      <c r="G259" s="163"/>
      <c r="H259" s="163"/>
      <c r="I259" s="163"/>
      <c r="J259" s="163"/>
      <c r="K259" s="163"/>
      <c r="L259" s="163"/>
    </row>
    <row r="260" spans="2:12" s="147" customFormat="1" hidden="1">
      <c r="B260" s="163"/>
      <c r="C260" s="163"/>
      <c r="D260" s="163"/>
      <c r="E260" s="163"/>
      <c r="F260" s="163"/>
      <c r="G260" s="163"/>
      <c r="H260" s="163"/>
      <c r="I260" s="163"/>
      <c r="J260" s="163"/>
      <c r="K260" s="163"/>
      <c r="L260" s="163"/>
    </row>
    <row r="261" spans="2:12" s="147" customFormat="1" hidden="1">
      <c r="B261" s="163"/>
      <c r="C261" s="163"/>
      <c r="D261" s="163"/>
      <c r="E261" s="163"/>
      <c r="F261" s="163"/>
      <c r="G261" s="163"/>
      <c r="H261" s="163"/>
      <c r="I261" s="163"/>
      <c r="J261" s="163"/>
      <c r="K261" s="163"/>
      <c r="L261" s="163"/>
    </row>
    <row r="262" spans="2:12" s="147" customFormat="1" hidden="1">
      <c r="B262" s="163"/>
      <c r="C262" s="163"/>
      <c r="D262" s="163"/>
      <c r="E262" s="163"/>
      <c r="F262" s="163"/>
      <c r="G262" s="163"/>
      <c r="H262" s="163"/>
      <c r="I262" s="163"/>
      <c r="J262" s="163"/>
      <c r="K262" s="163"/>
      <c r="L262" s="163"/>
    </row>
    <row r="263" spans="2:12" s="147" customFormat="1" hidden="1">
      <c r="B263" s="163"/>
      <c r="C263" s="163"/>
      <c r="D263" s="163"/>
      <c r="E263" s="163"/>
      <c r="F263" s="163"/>
      <c r="G263" s="163"/>
      <c r="H263" s="163"/>
      <c r="I263" s="163"/>
      <c r="J263" s="163"/>
      <c r="K263" s="163"/>
      <c r="L263" s="163"/>
    </row>
    <row r="264" spans="2:12" s="147" customFormat="1" hidden="1">
      <c r="B264" s="163"/>
      <c r="C264" s="163"/>
      <c r="D264" s="163"/>
      <c r="E264" s="163"/>
      <c r="F264" s="163"/>
      <c r="G264" s="163"/>
      <c r="H264" s="163"/>
      <c r="I264" s="163"/>
      <c r="J264" s="163"/>
      <c r="K264" s="163"/>
      <c r="L264" s="163"/>
    </row>
    <row r="265" spans="2:12" s="147" customFormat="1" hidden="1">
      <c r="B265" s="163"/>
      <c r="C265" s="163"/>
      <c r="D265" s="163"/>
      <c r="E265" s="163"/>
      <c r="F265" s="163"/>
      <c r="G265" s="163"/>
      <c r="H265" s="163"/>
      <c r="I265" s="163"/>
      <c r="J265" s="163"/>
      <c r="K265" s="163"/>
      <c r="L265" s="163"/>
    </row>
    <row r="266" spans="2:12" s="147" customFormat="1" hidden="1">
      <c r="B266" s="163"/>
      <c r="C266" s="163"/>
      <c r="D266" s="163"/>
      <c r="E266" s="163"/>
      <c r="F266" s="163"/>
      <c r="G266" s="163"/>
      <c r="H266" s="163"/>
      <c r="I266" s="163"/>
      <c r="J266" s="163"/>
      <c r="K266" s="163"/>
      <c r="L266" s="163"/>
    </row>
    <row r="267" spans="2:12" s="147" customFormat="1" hidden="1">
      <c r="B267" s="163"/>
      <c r="C267" s="163"/>
      <c r="D267" s="163"/>
      <c r="E267" s="163"/>
      <c r="F267" s="163"/>
      <c r="G267" s="163"/>
      <c r="H267" s="163"/>
      <c r="I267" s="163"/>
      <c r="J267" s="163"/>
      <c r="K267" s="163"/>
      <c r="L267" s="163"/>
    </row>
    <row r="268" spans="2:12" s="147" customFormat="1" hidden="1">
      <c r="B268" s="163"/>
      <c r="C268" s="163"/>
      <c r="D268" s="163"/>
      <c r="E268" s="163"/>
      <c r="F268" s="163"/>
      <c r="G268" s="163"/>
      <c r="H268" s="163"/>
      <c r="I268" s="163"/>
      <c r="J268" s="163"/>
      <c r="K268" s="163"/>
      <c r="L268" s="163"/>
    </row>
    <row r="269" spans="2:12" s="147" customFormat="1" hidden="1">
      <c r="B269" s="163"/>
      <c r="C269" s="163"/>
      <c r="D269" s="163"/>
      <c r="E269" s="163"/>
      <c r="F269" s="163"/>
      <c r="G269" s="163"/>
      <c r="H269" s="163"/>
      <c r="I269" s="163"/>
      <c r="J269" s="163"/>
      <c r="K269" s="163"/>
      <c r="L269" s="163"/>
    </row>
    <row r="270" spans="2:12" s="147" customFormat="1" hidden="1">
      <c r="B270" s="163"/>
      <c r="C270" s="163"/>
      <c r="D270" s="163"/>
      <c r="E270" s="163"/>
      <c r="F270" s="163"/>
      <c r="G270" s="163"/>
      <c r="H270" s="163"/>
      <c r="I270" s="163"/>
      <c r="J270" s="163"/>
      <c r="K270" s="163"/>
      <c r="L270" s="163"/>
    </row>
    <row r="271" spans="2:12" s="147" customFormat="1" hidden="1">
      <c r="B271" s="163"/>
      <c r="C271" s="163"/>
      <c r="D271" s="163"/>
      <c r="E271" s="163"/>
      <c r="F271" s="163"/>
      <c r="G271" s="163"/>
      <c r="H271" s="163"/>
      <c r="I271" s="163"/>
      <c r="J271" s="163"/>
      <c r="K271" s="163"/>
      <c r="L271" s="163"/>
    </row>
    <row r="272" spans="2:12" s="147" customFormat="1" hidden="1">
      <c r="B272" s="163"/>
      <c r="C272" s="163"/>
      <c r="D272" s="163"/>
      <c r="E272" s="163"/>
      <c r="F272" s="163"/>
      <c r="G272" s="163"/>
      <c r="H272" s="163"/>
      <c r="I272" s="163"/>
      <c r="J272" s="163"/>
      <c r="K272" s="163"/>
      <c r="L272" s="163"/>
    </row>
    <row r="273" spans="2:12" s="147" customFormat="1" hidden="1">
      <c r="B273" s="163"/>
      <c r="C273" s="163"/>
      <c r="D273" s="163"/>
      <c r="E273" s="163"/>
      <c r="F273" s="163"/>
      <c r="G273" s="163"/>
      <c r="H273" s="163"/>
      <c r="I273" s="163"/>
      <c r="J273" s="163"/>
      <c r="K273" s="163"/>
      <c r="L273" s="163"/>
    </row>
    <row r="274" spans="2:12" s="147" customFormat="1" hidden="1">
      <c r="B274" s="163"/>
      <c r="C274" s="163"/>
      <c r="D274" s="163"/>
      <c r="E274" s="163"/>
      <c r="F274" s="163"/>
      <c r="G274" s="163"/>
      <c r="H274" s="163"/>
      <c r="I274" s="163"/>
      <c r="J274" s="163"/>
      <c r="K274" s="163"/>
      <c r="L274" s="163"/>
    </row>
    <row r="275" spans="2:12" s="147" customFormat="1" hidden="1">
      <c r="B275" s="163"/>
      <c r="C275" s="163"/>
      <c r="D275" s="163"/>
      <c r="E275" s="163"/>
      <c r="F275" s="163"/>
      <c r="G275" s="163"/>
      <c r="H275" s="163"/>
      <c r="I275" s="163"/>
      <c r="J275" s="163"/>
      <c r="K275" s="163"/>
      <c r="L275" s="163"/>
    </row>
    <row r="276" spans="2:12" s="147" customFormat="1" hidden="1">
      <c r="B276" s="163"/>
      <c r="C276" s="163"/>
      <c r="D276" s="163"/>
      <c r="E276" s="163"/>
      <c r="F276" s="163"/>
      <c r="G276" s="163"/>
      <c r="H276" s="163"/>
      <c r="I276" s="163"/>
      <c r="J276" s="163"/>
      <c r="K276" s="163"/>
      <c r="L276" s="163"/>
    </row>
    <row r="277" spans="2:12" s="147" customFormat="1" hidden="1">
      <c r="B277" s="163"/>
      <c r="C277" s="163"/>
      <c r="D277" s="163"/>
      <c r="E277" s="163"/>
      <c r="F277" s="163"/>
      <c r="G277" s="163"/>
      <c r="H277" s="163"/>
      <c r="I277" s="163"/>
      <c r="J277" s="163"/>
      <c r="K277" s="163"/>
      <c r="L277" s="163"/>
    </row>
    <row r="278" spans="2:12" s="147" customFormat="1" hidden="1">
      <c r="B278" s="163"/>
      <c r="C278" s="163"/>
      <c r="D278" s="163"/>
      <c r="E278" s="163"/>
      <c r="F278" s="163"/>
      <c r="G278" s="163"/>
      <c r="H278" s="163"/>
      <c r="I278" s="163"/>
      <c r="J278" s="163"/>
      <c r="K278" s="163"/>
      <c r="L278" s="163"/>
    </row>
    <row r="279" spans="2:12" s="147" customFormat="1" hidden="1">
      <c r="B279" s="163"/>
      <c r="C279" s="163"/>
      <c r="D279" s="163"/>
      <c r="E279" s="163"/>
      <c r="F279" s="163"/>
      <c r="G279" s="163"/>
      <c r="H279" s="163"/>
      <c r="I279" s="163"/>
      <c r="J279" s="163"/>
      <c r="K279" s="163"/>
      <c r="L279" s="163"/>
    </row>
    <row r="280" spans="2:12" s="147" customFormat="1" hidden="1">
      <c r="B280" s="163"/>
      <c r="C280" s="163"/>
      <c r="D280" s="163"/>
      <c r="E280" s="163"/>
      <c r="F280" s="163"/>
      <c r="G280" s="163"/>
      <c r="H280" s="163"/>
      <c r="I280" s="163"/>
      <c r="J280" s="163"/>
      <c r="K280" s="163"/>
      <c r="L280" s="163"/>
    </row>
    <row r="281" spans="2:12" s="147" customFormat="1" hidden="1">
      <c r="B281" s="163"/>
      <c r="C281" s="163"/>
      <c r="D281" s="163"/>
      <c r="E281" s="163"/>
      <c r="F281" s="163"/>
      <c r="G281" s="163"/>
      <c r="H281" s="163"/>
      <c r="I281" s="163"/>
      <c r="J281" s="163"/>
      <c r="K281" s="163"/>
      <c r="L281" s="163"/>
    </row>
    <row r="282" spans="2:12" s="147" customFormat="1" hidden="1">
      <c r="B282" s="163"/>
      <c r="C282" s="163"/>
      <c r="D282" s="163"/>
      <c r="E282" s="163"/>
      <c r="F282" s="163"/>
      <c r="G282" s="163"/>
      <c r="H282" s="163"/>
      <c r="I282" s="163"/>
      <c r="J282" s="163"/>
      <c r="K282" s="163"/>
      <c r="L282" s="163"/>
    </row>
    <row r="283" spans="2:12" s="147" customFormat="1" hidden="1">
      <c r="B283" s="163"/>
      <c r="C283" s="163"/>
      <c r="D283" s="163"/>
      <c r="E283" s="163"/>
      <c r="F283" s="163"/>
      <c r="G283" s="163"/>
      <c r="H283" s="163"/>
      <c r="I283" s="163"/>
      <c r="J283" s="163"/>
      <c r="K283" s="163"/>
      <c r="L283" s="163"/>
    </row>
    <row r="284" spans="2:12" s="147" customFormat="1" hidden="1">
      <c r="B284" s="163"/>
      <c r="C284" s="163"/>
      <c r="D284" s="163"/>
      <c r="E284" s="163"/>
      <c r="F284" s="163"/>
      <c r="G284" s="163"/>
      <c r="H284" s="163"/>
      <c r="I284" s="163"/>
      <c r="J284" s="163"/>
      <c r="K284" s="163"/>
      <c r="L284" s="163"/>
    </row>
    <row r="285" spans="2:12" s="147" customFormat="1" hidden="1">
      <c r="B285" s="163"/>
      <c r="C285" s="163"/>
      <c r="D285" s="163"/>
      <c r="E285" s="163"/>
      <c r="F285" s="163"/>
      <c r="G285" s="163"/>
      <c r="H285" s="163"/>
      <c r="I285" s="163"/>
      <c r="J285" s="163"/>
      <c r="K285" s="163"/>
      <c r="L285" s="163"/>
    </row>
    <row r="286" spans="2:12" s="147" customFormat="1" hidden="1">
      <c r="B286" s="163"/>
      <c r="C286" s="163"/>
      <c r="D286" s="163"/>
      <c r="E286" s="163"/>
      <c r="F286" s="163"/>
      <c r="G286" s="163"/>
      <c r="H286" s="163"/>
      <c r="I286" s="163"/>
      <c r="J286" s="163"/>
      <c r="K286" s="163"/>
      <c r="L286" s="163"/>
    </row>
    <row r="287" spans="2:12" s="147" customFormat="1" hidden="1">
      <c r="B287" s="163"/>
      <c r="C287" s="163"/>
      <c r="D287" s="163"/>
      <c r="E287" s="163"/>
      <c r="F287" s="163"/>
      <c r="G287" s="163"/>
      <c r="H287" s="163"/>
      <c r="I287" s="163"/>
      <c r="J287" s="163"/>
      <c r="K287" s="163"/>
      <c r="L287" s="163"/>
    </row>
    <row r="288" spans="2:12" s="147" customFormat="1" hidden="1">
      <c r="B288" s="163"/>
      <c r="C288" s="163"/>
      <c r="D288" s="163"/>
      <c r="E288" s="163"/>
      <c r="F288" s="163"/>
      <c r="G288" s="163"/>
      <c r="H288" s="163"/>
      <c r="I288" s="163"/>
      <c r="J288" s="163"/>
      <c r="K288" s="163"/>
      <c r="L288" s="163"/>
    </row>
    <row r="289" spans="2:12" s="147" customFormat="1" hidden="1">
      <c r="B289" s="163"/>
      <c r="C289" s="163"/>
      <c r="D289" s="163"/>
      <c r="E289" s="163"/>
      <c r="F289" s="163"/>
      <c r="G289" s="163"/>
      <c r="H289" s="163"/>
      <c r="I289" s="163"/>
      <c r="J289" s="163"/>
      <c r="K289" s="163"/>
      <c r="L289" s="163"/>
    </row>
    <row r="290" spans="2:12" s="147" customFormat="1" hidden="1">
      <c r="B290" s="163"/>
      <c r="C290" s="163"/>
      <c r="D290" s="163"/>
      <c r="E290" s="163"/>
      <c r="F290" s="163"/>
      <c r="G290" s="163"/>
      <c r="H290" s="163"/>
      <c r="I290" s="163"/>
      <c r="J290" s="163"/>
      <c r="K290" s="163"/>
      <c r="L290" s="163"/>
    </row>
    <row r="291" spans="2:12" s="147" customFormat="1" hidden="1">
      <c r="B291" s="163"/>
      <c r="C291" s="163"/>
      <c r="D291" s="163"/>
      <c r="E291" s="163"/>
      <c r="F291" s="163"/>
      <c r="G291" s="163"/>
      <c r="H291" s="163"/>
      <c r="I291" s="163"/>
      <c r="J291" s="163"/>
      <c r="K291" s="163"/>
      <c r="L291" s="163"/>
    </row>
    <row r="292" spans="2:12" s="147" customFormat="1" hidden="1">
      <c r="B292" s="163"/>
      <c r="C292" s="163"/>
      <c r="D292" s="163"/>
      <c r="E292" s="163"/>
      <c r="F292" s="163"/>
      <c r="G292" s="163"/>
      <c r="H292" s="163"/>
      <c r="I292" s="163"/>
      <c r="J292" s="163"/>
      <c r="K292" s="163"/>
      <c r="L292" s="163"/>
    </row>
    <row r="293" spans="2:12" s="147" customFormat="1" hidden="1">
      <c r="B293" s="163"/>
      <c r="C293" s="163"/>
      <c r="D293" s="163"/>
      <c r="E293" s="163"/>
      <c r="F293" s="163"/>
      <c r="G293" s="163"/>
      <c r="H293" s="163"/>
      <c r="I293" s="163"/>
      <c r="J293" s="163"/>
      <c r="K293" s="163"/>
      <c r="L293" s="163"/>
    </row>
    <row r="294" spans="2:12" s="147" customFormat="1" hidden="1">
      <c r="B294" s="163"/>
      <c r="C294" s="163"/>
      <c r="D294" s="163"/>
      <c r="E294" s="163"/>
      <c r="F294" s="163"/>
      <c r="G294" s="163"/>
      <c r="H294" s="163"/>
      <c r="I294" s="163"/>
      <c r="J294" s="163"/>
      <c r="K294" s="163"/>
      <c r="L294" s="163"/>
    </row>
    <row r="295" spans="2:12" s="147" customFormat="1" hidden="1">
      <c r="B295" s="163"/>
      <c r="C295" s="163"/>
      <c r="D295" s="163"/>
      <c r="E295" s="163"/>
      <c r="F295" s="163"/>
      <c r="G295" s="163"/>
      <c r="H295" s="163"/>
      <c r="I295" s="163"/>
      <c r="J295" s="163"/>
      <c r="K295" s="163"/>
      <c r="L295" s="163"/>
    </row>
    <row r="296" spans="2:12" s="147" customFormat="1" hidden="1">
      <c r="B296" s="163"/>
      <c r="C296" s="163"/>
      <c r="D296" s="163"/>
      <c r="E296" s="163"/>
      <c r="F296" s="163"/>
      <c r="G296" s="163"/>
      <c r="H296" s="163"/>
      <c r="I296" s="163"/>
      <c r="J296" s="163"/>
      <c r="K296" s="163"/>
      <c r="L296" s="163"/>
    </row>
    <row r="297" spans="2:12" s="147" customFormat="1" hidden="1">
      <c r="B297" s="163"/>
      <c r="C297" s="163"/>
      <c r="D297" s="163"/>
      <c r="E297" s="163"/>
      <c r="F297" s="163"/>
      <c r="G297" s="163"/>
      <c r="H297" s="163"/>
      <c r="I297" s="163"/>
      <c r="J297" s="163"/>
      <c r="K297" s="163"/>
      <c r="L297" s="163"/>
    </row>
    <row r="298" spans="2:12" s="147" customFormat="1" hidden="1">
      <c r="B298" s="163"/>
      <c r="C298" s="163"/>
      <c r="D298" s="163"/>
      <c r="E298" s="163"/>
      <c r="F298" s="163"/>
      <c r="G298" s="163"/>
      <c r="H298" s="163"/>
      <c r="I298" s="163"/>
      <c r="J298" s="163"/>
      <c r="K298" s="163"/>
      <c r="L298" s="163"/>
    </row>
    <row r="299" spans="2:12" s="147" customFormat="1" hidden="1">
      <c r="B299" s="163"/>
      <c r="C299" s="163"/>
      <c r="D299" s="163"/>
      <c r="E299" s="163"/>
      <c r="F299" s="163"/>
      <c r="G299" s="163"/>
      <c r="H299" s="163"/>
      <c r="I299" s="163"/>
      <c r="J299" s="163"/>
      <c r="K299" s="163"/>
      <c r="L299" s="163"/>
    </row>
    <row r="300" spans="2:12" s="147" customFormat="1" hidden="1">
      <c r="B300" s="163"/>
      <c r="C300" s="163"/>
      <c r="D300" s="163"/>
      <c r="E300" s="163"/>
      <c r="F300" s="163"/>
      <c r="G300" s="163"/>
      <c r="H300" s="163"/>
      <c r="I300" s="163"/>
      <c r="J300" s="163"/>
      <c r="K300" s="163"/>
      <c r="L300" s="163"/>
    </row>
    <row r="301" spans="2:12" s="147" customFormat="1" hidden="1">
      <c r="B301" s="163"/>
      <c r="C301" s="163"/>
      <c r="D301" s="163"/>
      <c r="E301" s="163"/>
      <c r="F301" s="163"/>
      <c r="G301" s="163"/>
      <c r="H301" s="163"/>
      <c r="I301" s="163"/>
      <c r="J301" s="163"/>
      <c r="K301" s="163"/>
      <c r="L301" s="163"/>
    </row>
    <row r="302" spans="2:12" s="147" customFormat="1" hidden="1">
      <c r="B302" s="163"/>
      <c r="C302" s="163"/>
      <c r="D302" s="163"/>
      <c r="E302" s="163"/>
      <c r="F302" s="163"/>
      <c r="G302" s="163"/>
      <c r="H302" s="163"/>
      <c r="I302" s="163"/>
      <c r="J302" s="163"/>
      <c r="K302" s="163"/>
      <c r="L302" s="163"/>
    </row>
    <row r="303" spans="2:12" s="147" customFormat="1" hidden="1">
      <c r="B303" s="163"/>
      <c r="C303" s="163"/>
      <c r="D303" s="163"/>
      <c r="E303" s="163"/>
      <c r="F303" s="163"/>
      <c r="G303" s="163"/>
      <c r="H303" s="163"/>
      <c r="I303" s="163"/>
      <c r="J303" s="163"/>
      <c r="K303" s="163"/>
      <c r="L303" s="163"/>
    </row>
    <row r="304" spans="2:12" s="147" customFormat="1" hidden="1">
      <c r="B304" s="163"/>
      <c r="C304" s="163"/>
      <c r="D304" s="163"/>
      <c r="E304" s="163"/>
      <c r="F304" s="163"/>
      <c r="G304" s="163"/>
      <c r="H304" s="163"/>
      <c r="I304" s="163"/>
      <c r="J304" s="163"/>
      <c r="K304" s="163"/>
      <c r="L304" s="163"/>
    </row>
    <row r="305" spans="2:12" s="147" customFormat="1" hidden="1">
      <c r="B305" s="163"/>
      <c r="C305" s="163"/>
      <c r="D305" s="163"/>
      <c r="E305" s="163"/>
      <c r="F305" s="163"/>
      <c r="G305" s="163"/>
      <c r="H305" s="163"/>
      <c r="I305" s="163"/>
      <c r="J305" s="163"/>
      <c r="K305" s="163"/>
      <c r="L305" s="163"/>
    </row>
    <row r="306" spans="2:12" s="147" customFormat="1" hidden="1">
      <c r="B306" s="163"/>
      <c r="C306" s="163"/>
      <c r="D306" s="163"/>
      <c r="E306" s="163"/>
      <c r="F306" s="163"/>
      <c r="G306" s="163"/>
      <c r="H306" s="163"/>
      <c r="I306" s="163"/>
      <c r="J306" s="163"/>
      <c r="K306" s="163"/>
      <c r="L306" s="163"/>
    </row>
    <row r="307" spans="2:12" s="147" customFormat="1" hidden="1">
      <c r="B307" s="163"/>
      <c r="C307" s="163"/>
      <c r="D307" s="163"/>
      <c r="E307" s="163"/>
      <c r="F307" s="163"/>
      <c r="G307" s="163"/>
      <c r="H307" s="163"/>
      <c r="I307" s="163"/>
      <c r="J307" s="163"/>
      <c r="K307" s="163"/>
      <c r="L307" s="163"/>
    </row>
    <row r="308" spans="2:12" s="147" customFormat="1" hidden="1">
      <c r="B308" s="163"/>
      <c r="C308" s="163"/>
      <c r="D308" s="163"/>
      <c r="E308" s="163"/>
      <c r="F308" s="163"/>
      <c r="G308" s="163"/>
      <c r="H308" s="163"/>
      <c r="I308" s="163"/>
      <c r="J308" s="163"/>
      <c r="K308" s="163"/>
      <c r="L308" s="163"/>
    </row>
    <row r="309" spans="2:12" s="147" customFormat="1" hidden="1">
      <c r="B309" s="163"/>
      <c r="C309" s="163"/>
      <c r="D309" s="163"/>
      <c r="E309" s="163"/>
      <c r="F309" s="163"/>
      <c r="G309" s="163"/>
      <c r="H309" s="163"/>
      <c r="I309" s="163"/>
      <c r="J309" s="163"/>
      <c r="K309" s="163"/>
      <c r="L309" s="163"/>
    </row>
    <row r="310" spans="2:12" s="147" customFormat="1" hidden="1">
      <c r="B310" s="163"/>
      <c r="C310" s="163"/>
      <c r="D310" s="163"/>
      <c r="E310" s="163"/>
      <c r="F310" s="163"/>
      <c r="G310" s="163"/>
      <c r="H310" s="163"/>
      <c r="I310" s="163"/>
      <c r="J310" s="163"/>
      <c r="K310" s="163"/>
      <c r="L310" s="163"/>
    </row>
    <row r="311" spans="2:12" s="147" customFormat="1" hidden="1">
      <c r="B311" s="163"/>
      <c r="C311" s="163"/>
      <c r="D311" s="163"/>
      <c r="E311" s="163"/>
      <c r="F311" s="163"/>
      <c r="G311" s="163"/>
      <c r="H311" s="163"/>
      <c r="I311" s="163"/>
      <c r="J311" s="163"/>
      <c r="K311" s="163"/>
      <c r="L311" s="163"/>
    </row>
    <row r="312" spans="2:12" s="147" customFormat="1" hidden="1">
      <c r="B312" s="163"/>
      <c r="C312" s="163"/>
      <c r="D312" s="163"/>
      <c r="E312" s="163"/>
      <c r="F312" s="163"/>
      <c r="G312" s="163"/>
      <c r="H312" s="163"/>
      <c r="I312" s="163"/>
      <c r="J312" s="163"/>
      <c r="K312" s="163"/>
      <c r="L312" s="163"/>
    </row>
    <row r="313" spans="2:12" s="147" customFormat="1" hidden="1">
      <c r="B313" s="163"/>
      <c r="C313" s="163"/>
      <c r="D313" s="163"/>
      <c r="E313" s="163"/>
      <c r="F313" s="163"/>
      <c r="G313" s="163"/>
      <c r="H313" s="163"/>
      <c r="I313" s="163"/>
      <c r="J313" s="163"/>
      <c r="K313" s="163"/>
      <c r="L313" s="163"/>
    </row>
    <row r="314" spans="2:12" s="147" customFormat="1" hidden="1">
      <c r="B314" s="163"/>
      <c r="C314" s="163"/>
      <c r="D314" s="163"/>
      <c r="E314" s="163"/>
      <c r="F314" s="163"/>
      <c r="G314" s="163"/>
      <c r="H314" s="163"/>
      <c r="I314" s="163"/>
      <c r="J314" s="163"/>
      <c r="K314" s="163"/>
      <c r="L314" s="163"/>
    </row>
    <row r="315" spans="2:12" s="147" customFormat="1" hidden="1">
      <c r="B315" s="163"/>
      <c r="C315" s="163"/>
      <c r="D315" s="163"/>
      <c r="E315" s="163"/>
      <c r="F315" s="163"/>
      <c r="G315" s="163"/>
      <c r="H315" s="163"/>
      <c r="I315" s="163"/>
      <c r="J315" s="163"/>
      <c r="K315" s="163"/>
      <c r="L315" s="163"/>
    </row>
    <row r="316" spans="2:12" s="147" customFormat="1" hidden="1">
      <c r="B316" s="163"/>
      <c r="C316" s="163"/>
      <c r="D316" s="163"/>
      <c r="E316" s="163"/>
      <c r="F316" s="163"/>
      <c r="G316" s="163"/>
      <c r="H316" s="163"/>
      <c r="I316" s="163"/>
      <c r="J316" s="163"/>
      <c r="K316" s="163"/>
      <c r="L316" s="163"/>
    </row>
    <row r="317" spans="2:12" s="147" customFormat="1" hidden="1">
      <c r="B317" s="163"/>
      <c r="C317" s="163"/>
      <c r="D317" s="163"/>
      <c r="E317" s="163"/>
      <c r="F317" s="163"/>
      <c r="G317" s="163"/>
      <c r="H317" s="163"/>
      <c r="I317" s="163"/>
      <c r="J317" s="163"/>
      <c r="K317" s="163"/>
      <c r="L317" s="163"/>
    </row>
    <row r="318" spans="2:12" s="147" customFormat="1" hidden="1">
      <c r="B318" s="163"/>
      <c r="C318" s="163"/>
      <c r="D318" s="163"/>
      <c r="E318" s="163"/>
      <c r="F318" s="163"/>
      <c r="G318" s="163"/>
      <c r="H318" s="163"/>
      <c r="I318" s="163"/>
      <c r="J318" s="163"/>
      <c r="K318" s="163"/>
      <c r="L318" s="163"/>
    </row>
    <row r="319" spans="2:12" s="147" customFormat="1" hidden="1">
      <c r="B319" s="163"/>
      <c r="C319" s="163"/>
      <c r="D319" s="163"/>
      <c r="E319" s="163"/>
      <c r="F319" s="163"/>
      <c r="G319" s="163"/>
      <c r="H319" s="163"/>
      <c r="I319" s="163"/>
      <c r="J319" s="163"/>
      <c r="K319" s="163"/>
      <c r="L319" s="163"/>
    </row>
    <row r="320" spans="2:12" s="147" customFormat="1" hidden="1">
      <c r="B320" s="163"/>
      <c r="C320" s="163"/>
      <c r="D320" s="163"/>
      <c r="E320" s="163"/>
      <c r="F320" s="163"/>
      <c r="G320" s="163"/>
      <c r="H320" s="163"/>
      <c r="I320" s="163"/>
      <c r="J320" s="163"/>
      <c r="K320" s="163"/>
      <c r="L320" s="163"/>
    </row>
    <row r="321" spans="2:12" s="147" customFormat="1" hidden="1">
      <c r="B321" s="163"/>
      <c r="C321" s="163"/>
      <c r="D321" s="163"/>
      <c r="E321" s="163"/>
      <c r="F321" s="163"/>
      <c r="G321" s="163"/>
      <c r="H321" s="163"/>
      <c r="I321" s="163"/>
      <c r="J321" s="163"/>
      <c r="K321" s="163"/>
      <c r="L321" s="163"/>
    </row>
    <row r="322" spans="2:12" s="147" customFormat="1" hidden="1">
      <c r="B322" s="163"/>
      <c r="C322" s="163"/>
      <c r="D322" s="163"/>
      <c r="E322" s="163"/>
      <c r="F322" s="163"/>
      <c r="G322" s="163"/>
      <c r="H322" s="163"/>
      <c r="I322" s="163"/>
      <c r="J322" s="163"/>
      <c r="K322" s="163"/>
      <c r="L322" s="163"/>
    </row>
    <row r="323" spans="2:12" s="147" customFormat="1" hidden="1">
      <c r="B323" s="163"/>
      <c r="C323" s="163"/>
      <c r="D323" s="163"/>
      <c r="E323" s="163"/>
      <c r="F323" s="163"/>
      <c r="G323" s="163"/>
      <c r="H323" s="163"/>
      <c r="I323" s="163"/>
      <c r="J323" s="163"/>
      <c r="K323" s="163"/>
      <c r="L323" s="163"/>
    </row>
    <row r="324" spans="2:12" s="147" customFormat="1" hidden="1">
      <c r="B324" s="163"/>
      <c r="C324" s="163"/>
      <c r="D324" s="163"/>
      <c r="E324" s="163"/>
      <c r="F324" s="163"/>
      <c r="G324" s="163"/>
      <c r="H324" s="163"/>
      <c r="I324" s="163"/>
      <c r="J324" s="163"/>
      <c r="K324" s="163"/>
      <c r="L324" s="163"/>
    </row>
    <row r="325" spans="2:12" s="147" customFormat="1" hidden="1">
      <c r="B325" s="163"/>
      <c r="C325" s="163"/>
      <c r="D325" s="163"/>
      <c r="E325" s="163"/>
      <c r="F325" s="163"/>
      <c r="G325" s="163"/>
      <c r="H325" s="163"/>
      <c r="I325" s="163"/>
      <c r="J325" s="163"/>
      <c r="K325" s="163"/>
      <c r="L325" s="163"/>
    </row>
    <row r="326" spans="2:12" s="147" customFormat="1" hidden="1">
      <c r="B326" s="163"/>
      <c r="C326" s="163"/>
      <c r="D326" s="163"/>
      <c r="E326" s="163"/>
      <c r="F326" s="163"/>
      <c r="G326" s="163"/>
      <c r="H326" s="163"/>
      <c r="I326" s="163"/>
      <c r="J326" s="163"/>
      <c r="K326" s="163"/>
      <c r="L326" s="163"/>
    </row>
    <row r="327" spans="2:12" s="147" customFormat="1" hidden="1">
      <c r="B327" s="163"/>
      <c r="C327" s="163"/>
      <c r="D327" s="163"/>
      <c r="E327" s="163"/>
      <c r="F327" s="163"/>
      <c r="G327" s="163"/>
      <c r="H327" s="163"/>
      <c r="I327" s="163"/>
      <c r="J327" s="163"/>
      <c r="K327" s="163"/>
      <c r="L327" s="163"/>
    </row>
    <row r="328" spans="2:12" s="147" customFormat="1" hidden="1">
      <c r="B328" s="163"/>
      <c r="C328" s="163"/>
      <c r="D328" s="163"/>
      <c r="E328" s="163"/>
      <c r="F328" s="163"/>
      <c r="G328" s="163"/>
      <c r="H328" s="163"/>
      <c r="I328" s="163"/>
      <c r="J328" s="163"/>
      <c r="K328" s="163"/>
      <c r="L328" s="163"/>
    </row>
    <row r="329" spans="2:12" s="147" customFormat="1" hidden="1">
      <c r="B329" s="163"/>
      <c r="C329" s="163"/>
      <c r="D329" s="163"/>
      <c r="E329" s="163"/>
      <c r="F329" s="163"/>
      <c r="G329" s="163"/>
      <c r="H329" s="163"/>
      <c r="I329" s="163"/>
      <c r="J329" s="163"/>
      <c r="K329" s="163"/>
      <c r="L329" s="163"/>
    </row>
    <row r="330" spans="2:12" s="147" customFormat="1" hidden="1">
      <c r="B330" s="163"/>
      <c r="C330" s="163"/>
      <c r="D330" s="163"/>
      <c r="E330" s="163"/>
      <c r="F330" s="163"/>
      <c r="G330" s="163"/>
      <c r="H330" s="163"/>
      <c r="I330" s="163"/>
      <c r="J330" s="163"/>
      <c r="K330" s="163"/>
      <c r="L330" s="163"/>
    </row>
    <row r="331" spans="2:12" s="147" customFormat="1" hidden="1">
      <c r="B331" s="163"/>
      <c r="C331" s="163"/>
      <c r="D331" s="163"/>
      <c r="E331" s="163"/>
      <c r="F331" s="163"/>
      <c r="G331" s="163"/>
      <c r="H331" s="163"/>
      <c r="I331" s="163"/>
      <c r="J331" s="163"/>
      <c r="K331" s="163"/>
      <c r="L331" s="163"/>
    </row>
    <row r="332" spans="2:12" s="147" customFormat="1" hidden="1">
      <c r="B332" s="163"/>
      <c r="C332" s="163"/>
      <c r="D332" s="163"/>
      <c r="E332" s="163"/>
      <c r="F332" s="163"/>
      <c r="G332" s="163"/>
      <c r="H332" s="163"/>
      <c r="I332" s="163"/>
      <c r="J332" s="163"/>
      <c r="K332" s="163"/>
      <c r="L332" s="163"/>
    </row>
    <row r="333" spans="2:12" s="147" customFormat="1" hidden="1">
      <c r="B333" s="163"/>
      <c r="C333" s="163"/>
      <c r="D333" s="163"/>
      <c r="E333" s="163"/>
      <c r="F333" s="163"/>
      <c r="G333" s="163"/>
      <c r="H333" s="163"/>
      <c r="I333" s="163"/>
      <c r="J333" s="163"/>
      <c r="K333" s="163"/>
      <c r="L333" s="163"/>
    </row>
    <row r="334" spans="2:12" s="147" customFormat="1" hidden="1">
      <c r="B334" s="163"/>
      <c r="C334" s="163"/>
      <c r="D334" s="163"/>
      <c r="E334" s="163"/>
      <c r="F334" s="163"/>
      <c r="G334" s="163"/>
      <c r="H334" s="163"/>
      <c r="I334" s="163"/>
      <c r="J334" s="163"/>
      <c r="K334" s="163"/>
      <c r="L334" s="163"/>
    </row>
    <row r="335" spans="2:12" s="147" customFormat="1" hidden="1">
      <c r="B335" s="163"/>
      <c r="C335" s="163"/>
      <c r="D335" s="163"/>
      <c r="E335" s="163"/>
      <c r="F335" s="163"/>
      <c r="G335" s="163"/>
      <c r="H335" s="163"/>
      <c r="I335" s="163"/>
      <c r="J335" s="163"/>
      <c r="K335" s="163"/>
      <c r="L335" s="163"/>
    </row>
    <row r="336" spans="2:12" s="147" customFormat="1" hidden="1">
      <c r="B336" s="163"/>
      <c r="C336" s="163"/>
      <c r="D336" s="163"/>
      <c r="E336" s="163"/>
      <c r="F336" s="163"/>
      <c r="G336" s="163"/>
      <c r="H336" s="163"/>
      <c r="I336" s="163"/>
      <c r="J336" s="163"/>
      <c r="K336" s="163"/>
      <c r="L336" s="163"/>
    </row>
    <row r="337" spans="2:12" s="147" customFormat="1" hidden="1">
      <c r="B337" s="163"/>
      <c r="C337" s="163"/>
      <c r="D337" s="163"/>
      <c r="E337" s="163"/>
      <c r="F337" s="163"/>
      <c r="G337" s="163"/>
      <c r="H337" s="163"/>
      <c r="I337" s="163"/>
      <c r="J337" s="163"/>
      <c r="K337" s="163"/>
      <c r="L337" s="163"/>
    </row>
    <row r="338" spans="2:12" s="147" customFormat="1" hidden="1">
      <c r="B338" s="163"/>
      <c r="C338" s="163"/>
      <c r="D338" s="163"/>
      <c r="E338" s="163"/>
      <c r="F338" s="163"/>
      <c r="G338" s="163"/>
      <c r="H338" s="163"/>
      <c r="I338" s="163"/>
      <c r="J338" s="163"/>
      <c r="K338" s="163"/>
      <c r="L338" s="163"/>
    </row>
    <row r="339" spans="2:12" s="147" customFormat="1" hidden="1">
      <c r="B339" s="163"/>
      <c r="C339" s="163"/>
      <c r="D339" s="163"/>
      <c r="E339" s="163"/>
      <c r="F339" s="163"/>
      <c r="G339" s="163"/>
      <c r="H339" s="163"/>
      <c r="I339" s="163"/>
      <c r="J339" s="163"/>
      <c r="K339" s="163"/>
      <c r="L339" s="163"/>
    </row>
    <row r="340" spans="2:12" s="147" customFormat="1" hidden="1">
      <c r="B340" s="163"/>
      <c r="C340" s="163"/>
      <c r="D340" s="163"/>
      <c r="E340" s="163"/>
      <c r="F340" s="163"/>
      <c r="G340" s="163"/>
      <c r="H340" s="163"/>
      <c r="I340" s="163"/>
      <c r="J340" s="163"/>
      <c r="K340" s="163"/>
      <c r="L340" s="163"/>
    </row>
    <row r="341" spans="2:12" s="147" customFormat="1" hidden="1">
      <c r="B341" s="163"/>
      <c r="C341" s="163"/>
      <c r="D341" s="163"/>
      <c r="E341" s="163"/>
      <c r="F341" s="163"/>
      <c r="G341" s="163"/>
      <c r="H341" s="163"/>
      <c r="I341" s="163"/>
      <c r="J341" s="163"/>
      <c r="K341" s="163"/>
      <c r="L341" s="163"/>
    </row>
    <row r="342" spans="2:12" s="147" customFormat="1" hidden="1">
      <c r="B342" s="163"/>
      <c r="C342" s="163"/>
      <c r="D342" s="163"/>
      <c r="E342" s="163"/>
      <c r="F342" s="163"/>
      <c r="G342" s="163"/>
      <c r="H342" s="163"/>
      <c r="I342" s="163"/>
      <c r="J342" s="163"/>
      <c r="K342" s="163"/>
      <c r="L342" s="163"/>
    </row>
    <row r="343" spans="2:12" s="147" customFormat="1" hidden="1">
      <c r="B343" s="163"/>
      <c r="C343" s="163"/>
      <c r="D343" s="163"/>
      <c r="E343" s="163"/>
      <c r="F343" s="163"/>
      <c r="G343" s="163"/>
      <c r="H343" s="163"/>
      <c r="I343" s="163"/>
      <c r="J343" s="163"/>
      <c r="K343" s="163"/>
      <c r="L343" s="163"/>
    </row>
    <row r="344" spans="2:12" s="147" customFormat="1" hidden="1">
      <c r="B344" s="163"/>
      <c r="C344" s="163"/>
      <c r="D344" s="163"/>
      <c r="E344" s="163"/>
      <c r="F344" s="163"/>
      <c r="G344" s="163"/>
      <c r="H344" s="163"/>
      <c r="I344" s="163"/>
      <c r="J344" s="163"/>
      <c r="K344" s="163"/>
      <c r="L344" s="163"/>
    </row>
    <row r="345" spans="2:12" s="147" customFormat="1" hidden="1">
      <c r="B345" s="163"/>
      <c r="C345" s="163"/>
      <c r="D345" s="163"/>
      <c r="E345" s="163"/>
      <c r="F345" s="163"/>
      <c r="G345" s="163"/>
      <c r="H345" s="163"/>
      <c r="I345" s="163"/>
      <c r="J345" s="163"/>
      <c r="K345" s="163"/>
      <c r="L345" s="163"/>
    </row>
    <row r="346" spans="2:12" s="147" customFormat="1" hidden="1">
      <c r="B346" s="163"/>
      <c r="C346" s="163"/>
      <c r="D346" s="163"/>
      <c r="E346" s="163"/>
      <c r="F346" s="163"/>
      <c r="G346" s="163"/>
      <c r="H346" s="163"/>
      <c r="I346" s="163"/>
      <c r="J346" s="163"/>
      <c r="K346" s="163"/>
      <c r="L346" s="163"/>
    </row>
    <row r="347" spans="2:12" s="147" customFormat="1" hidden="1">
      <c r="B347" s="163"/>
      <c r="C347" s="163"/>
      <c r="D347" s="163"/>
      <c r="E347" s="163"/>
      <c r="F347" s="163"/>
      <c r="G347" s="163"/>
      <c r="H347" s="163"/>
      <c r="I347" s="163"/>
      <c r="J347" s="163"/>
      <c r="K347" s="163"/>
      <c r="L347" s="163"/>
    </row>
    <row r="348" spans="2:12" s="147" customFormat="1" hidden="1">
      <c r="B348" s="163"/>
      <c r="C348" s="163"/>
      <c r="D348" s="163"/>
      <c r="E348" s="163"/>
      <c r="F348" s="163"/>
      <c r="G348" s="163"/>
      <c r="H348" s="163"/>
      <c r="I348" s="163"/>
      <c r="J348" s="163"/>
      <c r="K348" s="163"/>
      <c r="L348" s="163"/>
    </row>
    <row r="349" spans="2:12" s="147" customFormat="1" hidden="1">
      <c r="B349" s="163"/>
      <c r="C349" s="163"/>
      <c r="D349" s="163"/>
      <c r="E349" s="163"/>
      <c r="F349" s="163"/>
      <c r="G349" s="163"/>
      <c r="H349" s="163"/>
      <c r="I349" s="163"/>
      <c r="J349" s="163"/>
      <c r="K349" s="163"/>
      <c r="L349" s="163"/>
    </row>
    <row r="350" spans="2:12" s="147" customFormat="1" hidden="1">
      <c r="B350" s="163"/>
      <c r="C350" s="163"/>
      <c r="D350" s="163"/>
      <c r="E350" s="163"/>
      <c r="F350" s="163"/>
      <c r="G350" s="163"/>
      <c r="H350" s="163"/>
      <c r="I350" s="163"/>
      <c r="J350" s="163"/>
      <c r="K350" s="163"/>
      <c r="L350" s="163"/>
    </row>
    <row r="351" spans="2:12" s="147" customFormat="1" hidden="1">
      <c r="B351" s="163"/>
      <c r="C351" s="163"/>
      <c r="D351" s="163"/>
      <c r="E351" s="163"/>
      <c r="F351" s="163"/>
      <c r="G351" s="163"/>
      <c r="H351" s="163"/>
      <c r="I351" s="163"/>
      <c r="J351" s="163"/>
      <c r="K351" s="163"/>
      <c r="L351" s="163"/>
    </row>
    <row r="352" spans="2:12" s="147" customFormat="1" hidden="1">
      <c r="B352" s="163"/>
      <c r="C352" s="163"/>
      <c r="D352" s="163"/>
      <c r="E352" s="163"/>
      <c r="F352" s="163"/>
      <c r="G352" s="163"/>
      <c r="H352" s="163"/>
      <c r="I352" s="163"/>
      <c r="J352" s="163"/>
      <c r="K352" s="163"/>
      <c r="L352" s="163"/>
    </row>
    <row r="353" spans="2:12" s="147" customFormat="1" hidden="1">
      <c r="B353" s="163"/>
      <c r="C353" s="163"/>
      <c r="D353" s="163"/>
      <c r="E353" s="163"/>
      <c r="F353" s="163"/>
      <c r="G353" s="163"/>
      <c r="H353" s="163"/>
      <c r="I353" s="163"/>
      <c r="J353" s="163"/>
      <c r="K353" s="163"/>
      <c r="L353" s="163"/>
    </row>
    <row r="354" spans="2:12" s="147" customFormat="1" hidden="1">
      <c r="B354" s="163"/>
      <c r="C354" s="163"/>
      <c r="D354" s="163"/>
      <c r="E354" s="163"/>
      <c r="F354" s="163"/>
      <c r="G354" s="163"/>
      <c r="H354" s="163"/>
      <c r="I354" s="163"/>
      <c r="J354" s="163"/>
      <c r="K354" s="163"/>
      <c r="L354" s="163"/>
    </row>
    <row r="355" spans="2:12" s="147" customFormat="1" hidden="1">
      <c r="B355" s="163"/>
      <c r="C355" s="163"/>
      <c r="D355" s="163"/>
      <c r="E355" s="163"/>
      <c r="F355" s="163"/>
      <c r="G355" s="163"/>
      <c r="H355" s="163"/>
      <c r="I355" s="163"/>
      <c r="J355" s="163"/>
      <c r="K355" s="163"/>
      <c r="L355" s="163"/>
    </row>
    <row r="356" spans="2:12" s="147" customFormat="1" hidden="1">
      <c r="B356" s="163"/>
      <c r="C356" s="163"/>
      <c r="D356" s="163"/>
      <c r="E356" s="163"/>
      <c r="F356" s="163"/>
      <c r="G356" s="163"/>
      <c r="H356" s="163"/>
      <c r="I356" s="163"/>
      <c r="J356" s="163"/>
      <c r="K356" s="163"/>
      <c r="L356" s="163"/>
    </row>
    <row r="357" spans="2:12" s="147" customFormat="1" hidden="1">
      <c r="B357" s="163"/>
      <c r="C357" s="163"/>
      <c r="D357" s="163"/>
      <c r="E357" s="163"/>
      <c r="F357" s="163"/>
      <c r="G357" s="163"/>
      <c r="H357" s="163"/>
      <c r="I357" s="163"/>
      <c r="J357" s="163"/>
      <c r="K357" s="163"/>
      <c r="L357" s="163"/>
    </row>
    <row r="358" spans="2:12" s="147" customFormat="1" hidden="1">
      <c r="B358" s="163"/>
      <c r="C358" s="163"/>
      <c r="D358" s="163"/>
      <c r="E358" s="163"/>
      <c r="F358" s="163"/>
      <c r="G358" s="163"/>
      <c r="H358" s="163"/>
      <c r="I358" s="163"/>
      <c r="J358" s="163"/>
      <c r="K358" s="163"/>
      <c r="L358" s="163"/>
    </row>
    <row r="359" spans="2:12" s="147" customFormat="1" hidden="1">
      <c r="B359" s="163"/>
      <c r="C359" s="163"/>
      <c r="D359" s="163"/>
      <c r="E359" s="163"/>
      <c r="F359" s="163"/>
      <c r="G359" s="163"/>
      <c r="H359" s="163"/>
      <c r="I359" s="163"/>
      <c r="J359" s="163"/>
      <c r="K359" s="163"/>
      <c r="L359" s="163"/>
    </row>
    <row r="360" spans="2:12" s="147" customFormat="1" hidden="1">
      <c r="B360" s="163"/>
      <c r="C360" s="163"/>
      <c r="D360" s="163"/>
      <c r="E360" s="163"/>
      <c r="F360" s="163"/>
      <c r="G360" s="163"/>
      <c r="H360" s="163"/>
      <c r="I360" s="163"/>
      <c r="J360" s="163"/>
      <c r="K360" s="163"/>
      <c r="L360" s="163"/>
    </row>
    <row r="361" spans="2:12" s="147" customFormat="1" hidden="1">
      <c r="B361" s="163"/>
      <c r="C361" s="163"/>
      <c r="D361" s="163"/>
      <c r="E361" s="163"/>
      <c r="F361" s="163"/>
      <c r="G361" s="163"/>
      <c r="H361" s="163"/>
      <c r="I361" s="163"/>
      <c r="J361" s="163"/>
      <c r="K361" s="163"/>
      <c r="L361" s="163"/>
    </row>
    <row r="362" spans="2:12" s="147" customFormat="1" hidden="1">
      <c r="B362" s="163"/>
      <c r="C362" s="163"/>
      <c r="D362" s="163"/>
      <c r="E362" s="163"/>
      <c r="F362" s="163"/>
      <c r="G362" s="163"/>
      <c r="H362" s="163"/>
      <c r="I362" s="163"/>
      <c r="J362" s="163"/>
      <c r="K362" s="163"/>
      <c r="L362" s="163"/>
    </row>
    <row r="363" spans="2:12" s="147" customFormat="1" hidden="1">
      <c r="B363" s="163"/>
      <c r="C363" s="163"/>
      <c r="D363" s="163"/>
      <c r="E363" s="163"/>
      <c r="F363" s="163"/>
      <c r="G363" s="163"/>
      <c r="H363" s="163"/>
      <c r="I363" s="163"/>
      <c r="J363" s="163"/>
      <c r="K363" s="163"/>
      <c r="L363" s="163"/>
    </row>
    <row r="364" spans="2:12" s="147" customFormat="1" hidden="1">
      <c r="B364" s="163"/>
      <c r="C364" s="163"/>
      <c r="D364" s="163"/>
      <c r="E364" s="163"/>
      <c r="F364" s="163"/>
      <c r="G364" s="163"/>
      <c r="H364" s="163"/>
      <c r="I364" s="163"/>
      <c r="J364" s="163"/>
      <c r="K364" s="163"/>
      <c r="L364" s="163"/>
    </row>
    <row r="365" spans="2:12" s="147" customFormat="1" hidden="1">
      <c r="B365" s="163"/>
      <c r="C365" s="163"/>
      <c r="D365" s="163"/>
      <c r="E365" s="163"/>
      <c r="F365" s="163"/>
      <c r="G365" s="163"/>
      <c r="H365" s="163"/>
      <c r="I365" s="163"/>
      <c r="J365" s="163"/>
      <c r="K365" s="163"/>
      <c r="L365" s="163"/>
    </row>
    <row r="366" spans="2:12" s="147" customFormat="1" hidden="1">
      <c r="B366" s="163"/>
      <c r="C366" s="163"/>
      <c r="D366" s="163"/>
      <c r="E366" s="163"/>
      <c r="F366" s="163"/>
      <c r="G366" s="163"/>
      <c r="H366" s="163"/>
      <c r="I366" s="163"/>
      <c r="J366" s="163"/>
      <c r="K366" s="163"/>
      <c r="L366" s="163"/>
    </row>
    <row r="367" spans="2:12" s="147" customFormat="1" hidden="1">
      <c r="B367" s="163"/>
      <c r="C367" s="163"/>
      <c r="D367" s="163"/>
      <c r="E367" s="163"/>
      <c r="F367" s="163"/>
      <c r="G367" s="163"/>
      <c r="H367" s="163"/>
      <c r="I367" s="163"/>
      <c r="J367" s="163"/>
      <c r="K367" s="163"/>
      <c r="L367" s="163"/>
    </row>
    <row r="368" spans="2:12" s="147" customFormat="1" hidden="1">
      <c r="B368" s="163"/>
      <c r="C368" s="163"/>
      <c r="D368" s="163"/>
      <c r="E368" s="163"/>
      <c r="F368" s="163"/>
      <c r="G368" s="163"/>
      <c r="H368" s="163"/>
      <c r="I368" s="163"/>
      <c r="J368" s="163"/>
      <c r="K368" s="163"/>
      <c r="L368" s="163"/>
    </row>
    <row r="369" spans="2:12" s="147" customFormat="1" hidden="1">
      <c r="B369" s="163"/>
      <c r="C369" s="163"/>
      <c r="D369" s="163"/>
      <c r="E369" s="163"/>
      <c r="F369" s="163"/>
      <c r="G369" s="163"/>
      <c r="H369" s="163"/>
      <c r="I369" s="163"/>
      <c r="J369" s="163"/>
      <c r="K369" s="163"/>
      <c r="L369" s="163"/>
    </row>
    <row r="370" spans="2:12" s="147" customFormat="1" hidden="1">
      <c r="B370" s="163"/>
      <c r="C370" s="163"/>
      <c r="D370" s="163"/>
      <c r="E370" s="163"/>
      <c r="F370" s="163"/>
      <c r="G370" s="163"/>
      <c r="H370" s="163"/>
      <c r="I370" s="163"/>
      <c r="J370" s="163"/>
      <c r="K370" s="163"/>
      <c r="L370" s="163"/>
    </row>
    <row r="371" spans="2:12" s="147" customFormat="1" hidden="1">
      <c r="B371" s="163"/>
      <c r="C371" s="163"/>
      <c r="D371" s="163"/>
      <c r="E371" s="163"/>
      <c r="F371" s="163"/>
      <c r="G371" s="163"/>
      <c r="H371" s="163"/>
      <c r="I371" s="163"/>
      <c r="J371" s="163"/>
      <c r="K371" s="163"/>
      <c r="L371" s="163"/>
    </row>
    <row r="372" spans="2:12" s="147" customFormat="1" hidden="1">
      <c r="B372" s="163"/>
      <c r="C372" s="163"/>
      <c r="D372" s="163"/>
      <c r="E372" s="163"/>
      <c r="F372" s="163"/>
      <c r="G372" s="163"/>
      <c r="H372" s="163"/>
      <c r="I372" s="163"/>
      <c r="J372" s="163"/>
      <c r="K372" s="163"/>
      <c r="L372" s="163"/>
    </row>
    <row r="373" spans="2:12" s="147" customFormat="1" hidden="1">
      <c r="B373" s="163"/>
      <c r="C373" s="163"/>
      <c r="D373" s="163"/>
      <c r="E373" s="163"/>
      <c r="F373" s="163"/>
      <c r="G373" s="163"/>
      <c r="H373" s="163"/>
      <c r="I373" s="163"/>
      <c r="J373" s="163"/>
      <c r="K373" s="163"/>
      <c r="L373" s="163"/>
    </row>
    <row r="374" spans="2:12" s="147" customFormat="1" hidden="1">
      <c r="B374" s="163"/>
      <c r="C374" s="163"/>
      <c r="D374" s="163"/>
      <c r="E374" s="163"/>
      <c r="F374" s="163"/>
      <c r="G374" s="163"/>
      <c r="H374" s="163"/>
      <c r="I374" s="163"/>
      <c r="J374" s="163"/>
      <c r="K374" s="163"/>
      <c r="L374" s="163"/>
    </row>
    <row r="375" spans="2:12" s="147" customFormat="1" hidden="1">
      <c r="B375" s="163"/>
      <c r="C375" s="163"/>
      <c r="D375" s="163"/>
      <c r="E375" s="163"/>
      <c r="F375" s="163"/>
      <c r="G375" s="163"/>
      <c r="H375" s="163"/>
      <c r="I375" s="163"/>
      <c r="J375" s="163"/>
      <c r="K375" s="163"/>
      <c r="L375" s="163"/>
    </row>
  </sheetData>
  <mergeCells count="109">
    <mergeCell ref="B225:L225"/>
    <mergeCell ref="C212:D212"/>
    <mergeCell ref="B216:L216"/>
    <mergeCell ref="B217:L217"/>
    <mergeCell ref="C219:L219"/>
    <mergeCell ref="C220:D220"/>
    <mergeCell ref="B224:L224"/>
    <mergeCell ref="B201:L201"/>
    <mergeCell ref="C203:L203"/>
    <mergeCell ref="C204:D204"/>
    <mergeCell ref="B208:L208"/>
    <mergeCell ref="B209:L209"/>
    <mergeCell ref="C211:L211"/>
    <mergeCell ref="C187:D187"/>
    <mergeCell ref="B192:L192"/>
    <mergeCell ref="B193:L193"/>
    <mergeCell ref="C195:L195"/>
    <mergeCell ref="C196:D196"/>
    <mergeCell ref="B200:L200"/>
    <mergeCell ref="B176:L176"/>
    <mergeCell ref="C178:L178"/>
    <mergeCell ref="C179:D179"/>
    <mergeCell ref="B183:L183"/>
    <mergeCell ref="B184:L184"/>
    <mergeCell ref="C186:L186"/>
    <mergeCell ref="C161:D161"/>
    <mergeCell ref="B166:L166"/>
    <mergeCell ref="B167:L167"/>
    <mergeCell ref="C169:L169"/>
    <mergeCell ref="C170:D170"/>
    <mergeCell ref="B175:L175"/>
    <mergeCell ref="B149:L149"/>
    <mergeCell ref="C151:L151"/>
    <mergeCell ref="C152:D152"/>
    <mergeCell ref="B157:L157"/>
    <mergeCell ref="B158:L158"/>
    <mergeCell ref="C160:L160"/>
    <mergeCell ref="C136:D136"/>
    <mergeCell ref="B140:L140"/>
    <mergeCell ref="B141:L141"/>
    <mergeCell ref="C143:L143"/>
    <mergeCell ref="C144:D144"/>
    <mergeCell ref="B148:L148"/>
    <mergeCell ref="B125:L125"/>
    <mergeCell ref="C127:L127"/>
    <mergeCell ref="C128:D128"/>
    <mergeCell ref="B132:L132"/>
    <mergeCell ref="B133:L133"/>
    <mergeCell ref="C135:L135"/>
    <mergeCell ref="C112:D112"/>
    <mergeCell ref="B116:L116"/>
    <mergeCell ref="B117:L117"/>
    <mergeCell ref="C119:L119"/>
    <mergeCell ref="C120:D120"/>
    <mergeCell ref="B124:L124"/>
    <mergeCell ref="B101:L101"/>
    <mergeCell ref="C103:L103"/>
    <mergeCell ref="C104:D104"/>
    <mergeCell ref="B108:L108"/>
    <mergeCell ref="B109:L109"/>
    <mergeCell ref="C111:L111"/>
    <mergeCell ref="C88:D88"/>
    <mergeCell ref="B92:L92"/>
    <mergeCell ref="B93:L93"/>
    <mergeCell ref="C95:L95"/>
    <mergeCell ref="C96:D96"/>
    <mergeCell ref="B100:L100"/>
    <mergeCell ref="B77:L77"/>
    <mergeCell ref="C79:L79"/>
    <mergeCell ref="C80:D80"/>
    <mergeCell ref="B84:L84"/>
    <mergeCell ref="B85:L85"/>
    <mergeCell ref="C87:L87"/>
    <mergeCell ref="C64:D64"/>
    <mergeCell ref="B68:L68"/>
    <mergeCell ref="B69:L69"/>
    <mergeCell ref="C71:L71"/>
    <mergeCell ref="C72:D72"/>
    <mergeCell ref="B76:L76"/>
    <mergeCell ref="B53:L53"/>
    <mergeCell ref="C55:L55"/>
    <mergeCell ref="C56:D56"/>
    <mergeCell ref="B60:L60"/>
    <mergeCell ref="B61:L61"/>
    <mergeCell ref="C63:L63"/>
    <mergeCell ref="C40:D40"/>
    <mergeCell ref="B44:L44"/>
    <mergeCell ref="B45:L45"/>
    <mergeCell ref="C47:L47"/>
    <mergeCell ref="C48:D48"/>
    <mergeCell ref="B52:L52"/>
    <mergeCell ref="B28:L28"/>
    <mergeCell ref="C30:L30"/>
    <mergeCell ref="B31:L31"/>
    <mergeCell ref="B36:L36"/>
    <mergeCell ref="B37:L37"/>
    <mergeCell ref="C39:L39"/>
    <mergeCell ref="C15:D15"/>
    <mergeCell ref="B19:L19"/>
    <mergeCell ref="B20:L20"/>
    <mergeCell ref="C22:L22"/>
    <mergeCell ref="C23:D23"/>
    <mergeCell ref="B27:L27"/>
    <mergeCell ref="C3:L3"/>
    <mergeCell ref="C6:L6"/>
    <mergeCell ref="C7:D7"/>
    <mergeCell ref="B11:L11"/>
    <mergeCell ref="B12:L12"/>
    <mergeCell ref="C14:L14"/>
  </mergeCells>
  <dataValidations count="1">
    <dataValidation type="list" allowBlank="1" showInputMessage="1" showErrorMessage="1" sqref="C8 C57 C24 C32 C16 C49 C41 C65 C73 C81 C89 C97 C105 C113 C121 C129 C137 C145 C162:C163 C153:C154 C171:C172 C180 C188:C189 C197 C205 C213 C221">
      <formula1>Rates</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CT201"/>
  <sheetViews>
    <sheetView zoomScale="80" zoomScaleNormal="80" workbookViewId="0">
      <selection activeCell="H19" sqref="H19"/>
    </sheetView>
  </sheetViews>
  <sheetFormatPr defaultColWidth="0" defaultRowHeight="14.4" zeroHeight="1"/>
  <cols>
    <col min="1" max="1" width="3.6640625" style="147" customWidth="1"/>
    <col min="2" max="2" width="40.6640625" customWidth="1"/>
    <col min="3" max="12" width="20.6640625" customWidth="1"/>
    <col min="13" max="26" width="9.109375" style="147" customWidth="1"/>
    <col min="27" max="98" width="0" style="147" hidden="1" customWidth="1"/>
    <col min="99" max="16384" width="9.109375" hidden="1"/>
  </cols>
  <sheetData>
    <row r="1" spans="1:98" s="147" customFormat="1"/>
    <row r="2" spans="1:98" s="35" customFormat="1" ht="21" customHeight="1">
      <c r="A2" s="162"/>
      <c r="B2" s="27" t="s">
        <v>59</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row>
    <row r="3" spans="1:98" s="147" customFormat="1">
      <c r="B3" s="161"/>
    </row>
    <row r="4" spans="1:98" s="147" customFormat="1"/>
    <row r="5" spans="1:98" s="8" customFormat="1">
      <c r="A5" s="15"/>
      <c r="B5" s="1" t="s">
        <v>297</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row>
    <row r="6" spans="1:98" s="8" customForma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row>
    <row r="7" spans="1:98" s="8" customFormat="1">
      <c r="A7" s="15"/>
      <c r="B7" s="3" t="s">
        <v>284</v>
      </c>
      <c r="C7" s="6" t="s">
        <v>6</v>
      </c>
      <c r="D7" s="6" t="s">
        <v>7</v>
      </c>
      <c r="E7" s="6" t="s">
        <v>8</v>
      </c>
      <c r="F7" s="6" t="s">
        <v>9</v>
      </c>
      <c r="G7" s="6" t="s">
        <v>10</v>
      </c>
      <c r="H7" s="29" t="s">
        <v>19</v>
      </c>
      <c r="I7" s="29" t="s">
        <v>20</v>
      </c>
      <c r="J7" s="29" t="s">
        <v>21</v>
      </c>
      <c r="K7" s="29" t="s">
        <v>22</v>
      </c>
      <c r="L7" s="29" t="s">
        <v>23</v>
      </c>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row>
    <row r="8" spans="1:98" s="8" customFormat="1">
      <c r="A8" s="15"/>
      <c r="B8" s="8" t="s">
        <v>11</v>
      </c>
      <c r="C8" s="145">
        <v>1</v>
      </c>
      <c r="D8" s="145">
        <f>D9*D10</f>
        <v>1.0353329951690822</v>
      </c>
      <c r="E8" s="145">
        <f t="shared" ref="E8:G8" si="0">E9*E10</f>
        <v>1.0621947743913043</v>
      </c>
      <c r="F8" s="145">
        <f t="shared" si="0"/>
        <v>1.0876998293290694</v>
      </c>
      <c r="G8" s="145">
        <f t="shared" si="0"/>
        <v>1.1205581534732714</v>
      </c>
      <c r="H8" s="9"/>
      <c r="I8" s="9"/>
      <c r="J8" s="9"/>
      <c r="K8" s="9"/>
      <c r="L8" s="9"/>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row>
    <row r="9" spans="1:98" s="8" customFormat="1">
      <c r="A9" s="15"/>
      <c r="B9" s="8" t="s">
        <v>12</v>
      </c>
      <c r="C9" s="145">
        <v>1</v>
      </c>
      <c r="D9" s="145">
        <f>C9*(1+D18)</f>
        <v>1.0248792270531402</v>
      </c>
      <c r="E9" s="145">
        <f t="shared" ref="E9:G10" si="1">D9*(1+E18)</f>
        <v>1.0403381642512077</v>
      </c>
      <c r="F9" s="145">
        <f t="shared" si="1"/>
        <v>1.0536231884057969</v>
      </c>
      <c r="G9" s="145">
        <f t="shared" si="1"/>
        <v>1.0736420289855071</v>
      </c>
      <c r="H9" s="9"/>
      <c r="I9" s="9"/>
      <c r="J9" s="9"/>
      <c r="K9" s="9"/>
      <c r="L9" s="9"/>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row>
    <row r="10" spans="1:98" s="8" customFormat="1">
      <c r="A10" s="15"/>
      <c r="B10" s="8" t="s">
        <v>13</v>
      </c>
      <c r="C10" s="145">
        <v>1</v>
      </c>
      <c r="D10" s="145">
        <f>C10*(1+D19)</f>
        <v>1.0102</v>
      </c>
      <c r="E10" s="145">
        <f t="shared" si="1"/>
        <v>1.0210091399999999</v>
      </c>
      <c r="F10" s="145">
        <f t="shared" si="1"/>
        <v>1.0323423414540001</v>
      </c>
      <c r="G10" s="145">
        <f t="shared" si="1"/>
        <v>1.043698107209994</v>
      </c>
      <c r="H10" s="146"/>
      <c r="I10" s="146"/>
      <c r="J10" s="146"/>
      <c r="K10" s="146"/>
      <c r="L10" s="146"/>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row>
    <row r="11" spans="1:98" s="15" customFormat="1">
      <c r="B11" s="37"/>
    </row>
    <row r="12" spans="1:98" s="8" customFormat="1">
      <c r="A12" s="15"/>
      <c r="B12" s="3" t="s">
        <v>298</v>
      </c>
      <c r="C12" s="6" t="s">
        <v>6</v>
      </c>
      <c r="D12" s="6" t="s">
        <v>7</v>
      </c>
      <c r="E12" s="6" t="s">
        <v>8</v>
      </c>
      <c r="F12" s="6" t="s">
        <v>9</v>
      </c>
      <c r="G12" s="6" t="s">
        <v>10</v>
      </c>
      <c r="H12" s="29" t="s">
        <v>19</v>
      </c>
      <c r="I12" s="29" t="s">
        <v>20</v>
      </c>
      <c r="J12" s="29" t="s">
        <v>21</v>
      </c>
      <c r="K12" s="29" t="s">
        <v>22</v>
      </c>
      <c r="L12" s="29"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s="8" customFormat="1">
      <c r="A13" s="15"/>
      <c r="B13" s="8" t="s">
        <v>11</v>
      </c>
      <c r="C13" s="9"/>
      <c r="D13" s="9"/>
      <c r="E13" s="9"/>
      <c r="F13" s="9"/>
      <c r="G13" s="66">
        <v>1</v>
      </c>
      <c r="H13" s="66">
        <f>H14*H15</f>
        <v>1.0242487465753967</v>
      </c>
      <c r="I13" s="66">
        <f t="shared" ref="I13:L13" si="2">I14*I15</f>
        <v>1.0557705826767474</v>
      </c>
      <c r="J13" s="66">
        <f t="shared" si="2"/>
        <v>1.0927152564301721</v>
      </c>
      <c r="K13" s="66">
        <f t="shared" si="2"/>
        <v>1.1335932344577511</v>
      </c>
      <c r="L13" s="66">
        <f t="shared" si="2"/>
        <v>1.1742976491782107</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s="8" customFormat="1">
      <c r="A14" s="15"/>
      <c r="B14" s="8" t="s">
        <v>12</v>
      </c>
      <c r="C14" s="9"/>
      <c r="D14" s="9"/>
      <c r="E14" s="9"/>
      <c r="F14" s="9"/>
      <c r="G14" s="65">
        <v>1</v>
      </c>
      <c r="H14" s="65">
        <f>G14*(1+H18)</f>
        <v>1.0242487465753967</v>
      </c>
      <c r="I14" s="65">
        <f t="shared" ref="I14:L15" si="3">H14*(1+I18)</f>
        <v>1.0490854948612711</v>
      </c>
      <c r="J14" s="65">
        <f t="shared" si="3"/>
        <v>1.0745245031620867</v>
      </c>
      <c r="K14" s="65">
        <f t="shared" si="3"/>
        <v>1.1005803755283181</v>
      </c>
      <c r="L14" s="65">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8" customFormat="1">
      <c r="A15" s="15"/>
      <c r="B15" s="8" t="s">
        <v>13</v>
      </c>
      <c r="C15" s="9"/>
      <c r="D15" s="9"/>
      <c r="E15" s="9"/>
      <c r="F15" s="9"/>
      <c r="G15" s="65">
        <v>1</v>
      </c>
      <c r="H15" s="65">
        <f>G15*(1+H19)</f>
        <v>1</v>
      </c>
      <c r="I15" s="65">
        <f t="shared" si="3"/>
        <v>1.0063723003017597</v>
      </c>
      <c r="J15" s="65">
        <f t="shared" si="3"/>
        <v>1.016929119079699</v>
      </c>
      <c r="K15" s="65">
        <f t="shared" si="3"/>
        <v>1.0299958636947215</v>
      </c>
      <c r="L15" s="65">
        <f t="shared" si="3"/>
        <v>1.0417199602149607</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row>
    <row r="16" spans="1:98" s="8" customFormat="1">
      <c r="A16" s="15"/>
      <c r="C16" s="9"/>
      <c r="D16" s="9"/>
      <c r="E16" s="9"/>
      <c r="F16" s="9"/>
      <c r="G16" s="9"/>
      <c r="H16" s="9"/>
      <c r="I16" s="9"/>
      <c r="J16" s="9"/>
      <c r="K16" s="9"/>
      <c r="L16" s="9"/>
      <c r="M16" s="18"/>
      <c r="N16" s="18"/>
      <c r="O16" s="18"/>
      <c r="P16" s="18"/>
      <c r="Q16" s="18"/>
      <c r="R16" s="18"/>
      <c r="S16" s="18"/>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row>
    <row r="17" spans="1:98" s="8" customFormat="1">
      <c r="A17" s="15"/>
      <c r="B17" s="3" t="s">
        <v>270</v>
      </c>
      <c r="C17" s="6" t="s">
        <v>6</v>
      </c>
      <c r="D17" s="6" t="s">
        <v>7</v>
      </c>
      <c r="E17" s="6" t="s">
        <v>8</v>
      </c>
      <c r="F17" s="6" t="s">
        <v>9</v>
      </c>
      <c r="G17" s="6" t="s">
        <v>10</v>
      </c>
      <c r="H17" s="29" t="s">
        <v>19</v>
      </c>
      <c r="I17" s="29" t="s">
        <v>20</v>
      </c>
      <c r="J17" s="29" t="s">
        <v>21</v>
      </c>
      <c r="K17" s="29" t="s">
        <v>22</v>
      </c>
      <c r="L17" s="29" t="s">
        <v>23</v>
      </c>
      <c r="M17" s="18"/>
      <c r="N17" s="18"/>
      <c r="O17" s="18"/>
      <c r="P17" s="18"/>
      <c r="Q17" s="18"/>
      <c r="R17" s="18"/>
      <c r="S17" s="18"/>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row>
    <row r="18" spans="1:98" s="8" customFormat="1">
      <c r="A18" s="15"/>
      <c r="B18" s="8" t="s">
        <v>271</v>
      </c>
      <c r="C18" s="202">
        <v>2.4498886414253906E-2</v>
      </c>
      <c r="D18" s="202">
        <v>2.4879227053140163E-2</v>
      </c>
      <c r="E18" s="202">
        <v>1.5083667216591934E-2</v>
      </c>
      <c r="F18" s="202">
        <v>1.2769909449732886E-2</v>
      </c>
      <c r="G18" s="203">
        <v>1.9E-2</v>
      </c>
      <c r="H18" s="203">
        <v>2.4248746575396697E-2</v>
      </c>
      <c r="I18" s="203">
        <v>2.4248746575396697E-2</v>
      </c>
      <c r="J18" s="203">
        <v>2.4248746575396697E-2</v>
      </c>
      <c r="K18" s="203">
        <v>2.4248746575396697E-2</v>
      </c>
      <c r="L18" s="203">
        <v>2.4248746575396697E-2</v>
      </c>
      <c r="M18" s="18"/>
      <c r="N18" s="18"/>
      <c r="O18" s="18"/>
      <c r="P18" s="18"/>
      <c r="Q18" s="18"/>
      <c r="R18" s="18"/>
      <c r="S18" s="18"/>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row>
    <row r="19" spans="1:98" s="8" customFormat="1">
      <c r="A19" s="15"/>
      <c r="B19" s="8" t="s">
        <v>272</v>
      </c>
      <c r="C19" s="202">
        <v>0</v>
      </c>
      <c r="D19" s="202">
        <v>1.0200000000000001E-2</v>
      </c>
      <c r="E19" s="202">
        <v>1.0699999999999999E-2</v>
      </c>
      <c r="F19" s="202">
        <v>1.11E-2</v>
      </c>
      <c r="G19" s="202">
        <v>1.0999999999999999E-2</v>
      </c>
      <c r="H19" s="263"/>
      <c r="I19" s="203">
        <v>6.3723003017598194E-3</v>
      </c>
      <c r="J19" s="203">
        <v>1.0489973516534423E-2</v>
      </c>
      <c r="K19" s="203">
        <v>1.2849218662208877E-2</v>
      </c>
      <c r="L19" s="203">
        <v>1.1382663691661226E-2</v>
      </c>
      <c r="M19" s="18"/>
      <c r="N19" s="18"/>
      <c r="O19" s="18"/>
      <c r="P19" s="18"/>
      <c r="Q19" s="18"/>
      <c r="R19" s="18"/>
      <c r="S19" s="18"/>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row>
    <row r="20" spans="1:98" s="8" customFormat="1">
      <c r="A20" s="15"/>
      <c r="C20" s="9"/>
      <c r="D20" s="9"/>
      <c r="E20" s="9"/>
      <c r="F20" s="9"/>
      <c r="G20" s="9"/>
      <c r="H20" s="9"/>
      <c r="I20" s="9"/>
      <c r="J20" s="9"/>
      <c r="K20" s="9"/>
      <c r="L20" s="9"/>
      <c r="M20" s="18"/>
      <c r="N20" s="18"/>
      <c r="O20" s="18"/>
      <c r="P20" s="18"/>
      <c r="Q20" s="18"/>
      <c r="R20" s="18"/>
      <c r="S20" s="18"/>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row>
    <row r="21" spans="1:98" s="8" customFormat="1">
      <c r="A21" s="15"/>
      <c r="C21" s="9"/>
      <c r="D21" s="9"/>
      <c r="E21" s="9"/>
      <c r="F21" s="9"/>
      <c r="G21" s="9"/>
      <c r="H21" s="9"/>
      <c r="I21" s="9"/>
      <c r="J21" s="9"/>
      <c r="K21" s="9"/>
      <c r="L21" s="9"/>
      <c r="M21" s="18"/>
      <c r="N21" s="18"/>
      <c r="O21" s="18"/>
      <c r="P21" s="18"/>
      <c r="Q21" s="18"/>
      <c r="R21" s="18"/>
      <c r="S21" s="1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row>
    <row r="22" spans="1:98" s="8" customFormat="1">
      <c r="A22" s="15"/>
      <c r="C22" s="9"/>
      <c r="D22" s="9"/>
      <c r="E22" s="9"/>
      <c r="F22" s="9"/>
      <c r="G22" s="9"/>
      <c r="H22" s="9"/>
      <c r="I22" s="9"/>
      <c r="J22" s="9"/>
      <c r="K22" s="9"/>
      <c r="L22" s="9"/>
      <c r="M22" s="18"/>
      <c r="N22" s="18"/>
      <c r="O22" s="18"/>
      <c r="P22" s="18"/>
      <c r="Q22" s="18"/>
      <c r="R22" s="18"/>
      <c r="S22" s="18"/>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row>
    <row r="23" spans="1:98" s="8" customFormat="1">
      <c r="A23" s="15"/>
      <c r="B23" s="221" t="s">
        <v>285</v>
      </c>
      <c r="C23" s="221"/>
      <c r="D23" s="221"/>
      <c r="E23" s="221"/>
      <c r="F23" s="221"/>
      <c r="G23" s="221"/>
      <c r="H23" s="221"/>
      <c r="I23" s="221"/>
      <c r="J23" s="221"/>
      <c r="K23" s="221"/>
      <c r="L23" s="221"/>
      <c r="M23" s="147"/>
      <c r="N23" s="18"/>
      <c r="O23" s="18"/>
      <c r="P23" s="18"/>
      <c r="Q23" s="18"/>
      <c r="R23" s="18"/>
      <c r="S23" s="18"/>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row>
    <row r="24" spans="1:98" s="8" customFormat="1" ht="28.8">
      <c r="A24" s="15"/>
      <c r="B24" s="38" t="s">
        <v>26</v>
      </c>
      <c r="C24" s="38" t="s">
        <v>27</v>
      </c>
      <c r="D24" s="38" t="s">
        <v>28</v>
      </c>
      <c r="E24" s="38" t="s">
        <v>29</v>
      </c>
      <c r="F24" s="38" t="s">
        <v>30</v>
      </c>
      <c r="G24" s="38" t="s">
        <v>31</v>
      </c>
      <c r="H24" s="38" t="s">
        <v>32</v>
      </c>
      <c r="I24" s="38" t="s">
        <v>33</v>
      </c>
      <c r="J24" s="38" t="s">
        <v>34</v>
      </c>
      <c r="K24" s="38" t="s">
        <v>35</v>
      </c>
      <c r="L24" s="38" t="s">
        <v>36</v>
      </c>
      <c r="M24" s="148"/>
      <c r="N24" s="18"/>
      <c r="O24" s="18"/>
      <c r="P24" s="18"/>
      <c r="Q24" s="18"/>
      <c r="R24" s="18"/>
      <c r="S24" s="18"/>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row>
    <row r="25" spans="1:98" s="8" customFormat="1" ht="28.8">
      <c r="A25" s="15"/>
      <c r="B25" s="39"/>
      <c r="C25" s="39"/>
      <c r="D25" s="39" t="s">
        <v>38</v>
      </c>
      <c r="E25" s="39" t="s">
        <v>37</v>
      </c>
      <c r="F25" s="39" t="s">
        <v>37</v>
      </c>
      <c r="G25" s="39" t="s">
        <v>38</v>
      </c>
      <c r="H25" s="39" t="s">
        <v>38</v>
      </c>
      <c r="I25" s="39" t="s">
        <v>38</v>
      </c>
      <c r="J25" s="39" t="s">
        <v>39</v>
      </c>
      <c r="K25" s="39"/>
      <c r="L25" s="39" t="s">
        <v>40</v>
      </c>
      <c r="M25" s="148"/>
      <c r="N25" s="18"/>
      <c r="O25" s="18"/>
      <c r="P25" s="18"/>
      <c r="Q25" s="18"/>
      <c r="R25" s="18"/>
      <c r="S25" s="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row>
    <row r="26" spans="1:98" s="8" customFormat="1">
      <c r="A26" s="15"/>
      <c r="B26" s="149" t="s">
        <v>41</v>
      </c>
      <c r="C26" s="150" t="s">
        <v>42</v>
      </c>
      <c r="D26" s="151">
        <v>39</v>
      </c>
      <c r="E26" s="152">
        <v>0.52232025787876424</v>
      </c>
      <c r="F26" s="153">
        <v>0.5</v>
      </c>
      <c r="G26" s="154">
        <f>E26*D26</f>
        <v>20.370490057271805</v>
      </c>
      <c r="H26" s="155">
        <f>G26+D26</f>
        <v>59.370490057271809</v>
      </c>
      <c r="I26" s="155">
        <f>H26*F26</f>
        <v>29.685245028635904</v>
      </c>
      <c r="J26" s="155">
        <f>I26+H26</f>
        <v>89.055735085907713</v>
      </c>
      <c r="K26" s="156">
        <v>0</v>
      </c>
      <c r="L26" s="157">
        <v>89.055735085907713</v>
      </c>
      <c r="M26" s="147"/>
      <c r="N26" s="18"/>
      <c r="O26" s="18"/>
      <c r="P26" s="18"/>
      <c r="Q26" s="18"/>
      <c r="R26" s="18"/>
      <c r="S26" s="18"/>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row>
    <row r="27" spans="1:98" s="8" customFormat="1">
      <c r="A27" s="15"/>
      <c r="B27" s="158" t="s">
        <v>43</v>
      </c>
      <c r="C27" s="159" t="s">
        <v>44</v>
      </c>
      <c r="D27" s="151">
        <v>59</v>
      </c>
      <c r="E27" s="152">
        <v>0.52232025787876424</v>
      </c>
      <c r="F27" s="153">
        <v>0.59</v>
      </c>
      <c r="G27" s="154">
        <f t="shared" ref="G27:G30" si="4">E27*D27</f>
        <v>30.81689521484709</v>
      </c>
      <c r="H27" s="155">
        <f t="shared" ref="H27:H30" si="5">G27+D27</f>
        <v>89.816895214847094</v>
      </c>
      <c r="I27" s="155">
        <f t="shared" ref="I27:I30" si="6">H27*F27</f>
        <v>52.991968176759784</v>
      </c>
      <c r="J27" s="155">
        <f t="shared" ref="J27:J30" si="7">I27+H27</f>
        <v>142.80886339160688</v>
      </c>
      <c r="K27" s="156">
        <v>0</v>
      </c>
      <c r="L27" s="157">
        <v>142.80886339160688</v>
      </c>
      <c r="M27" s="147"/>
      <c r="N27" s="18"/>
      <c r="O27" s="18"/>
      <c r="P27" s="18"/>
      <c r="Q27" s="18"/>
      <c r="R27" s="18"/>
      <c r="S27" s="18"/>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row>
    <row r="28" spans="1:98" s="8" customFormat="1">
      <c r="A28" s="15"/>
      <c r="B28" s="158" t="s">
        <v>45</v>
      </c>
      <c r="C28" s="159" t="s">
        <v>46</v>
      </c>
      <c r="D28" s="151">
        <v>69</v>
      </c>
      <c r="E28" s="152">
        <v>0.52232025787876424</v>
      </c>
      <c r="F28" s="153">
        <v>0.69000000000000006</v>
      </c>
      <c r="G28" s="154">
        <f t="shared" si="4"/>
        <v>36.040097793634729</v>
      </c>
      <c r="H28" s="155">
        <f t="shared" si="5"/>
        <v>105.04009779363473</v>
      </c>
      <c r="I28" s="155">
        <f t="shared" si="6"/>
        <v>72.477667477607966</v>
      </c>
      <c r="J28" s="155">
        <f t="shared" si="7"/>
        <v>177.51776527124269</v>
      </c>
      <c r="K28" s="156">
        <v>0</v>
      </c>
      <c r="L28" s="157">
        <v>177.51776527124269</v>
      </c>
      <c r="M28" s="147"/>
      <c r="N28" s="18"/>
      <c r="O28" s="18"/>
      <c r="P28" s="18"/>
      <c r="Q28" s="18"/>
      <c r="R28" s="18"/>
      <c r="S28" s="18"/>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row>
    <row r="29" spans="1:98" s="8" customFormat="1">
      <c r="A29" s="15"/>
      <c r="B29" s="158" t="s">
        <v>47</v>
      </c>
      <c r="C29" s="159" t="s">
        <v>48</v>
      </c>
      <c r="D29" s="151">
        <v>47</v>
      </c>
      <c r="E29" s="152">
        <v>0.52232025787876424</v>
      </c>
      <c r="F29" s="153">
        <v>0.87</v>
      </c>
      <c r="G29" s="154">
        <f t="shared" si="4"/>
        <v>24.549052120301919</v>
      </c>
      <c r="H29" s="155">
        <f t="shared" si="5"/>
        <v>71.549052120301923</v>
      </c>
      <c r="I29" s="155">
        <f t="shared" si="6"/>
        <v>62.247675344662674</v>
      </c>
      <c r="J29" s="155">
        <f t="shared" si="7"/>
        <v>133.79672746496459</v>
      </c>
      <c r="K29" s="156">
        <v>0</v>
      </c>
      <c r="L29" s="157">
        <v>133.79672746496459</v>
      </c>
      <c r="M29" s="147"/>
      <c r="N29" s="18"/>
      <c r="O29" s="18"/>
      <c r="P29" s="18"/>
      <c r="Q29" s="18"/>
      <c r="R29" s="18"/>
      <c r="S29" s="18"/>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row>
    <row r="30" spans="1:98" s="8" customFormat="1">
      <c r="A30" s="15"/>
      <c r="B30" s="158" t="s">
        <v>49</v>
      </c>
      <c r="C30" s="159" t="s">
        <v>50</v>
      </c>
      <c r="D30" s="151">
        <v>82</v>
      </c>
      <c r="E30" s="152">
        <v>0.52232025787876424</v>
      </c>
      <c r="F30" s="153">
        <v>0.69000000000000006</v>
      </c>
      <c r="G30" s="154">
        <f t="shared" si="4"/>
        <v>42.830261146058668</v>
      </c>
      <c r="H30" s="155">
        <f t="shared" si="5"/>
        <v>124.83026114605866</v>
      </c>
      <c r="I30" s="155">
        <f t="shared" si="6"/>
        <v>86.132880190780483</v>
      </c>
      <c r="J30" s="155">
        <f t="shared" si="7"/>
        <v>210.96314133683916</v>
      </c>
      <c r="K30" s="156">
        <v>0</v>
      </c>
      <c r="L30" s="157">
        <v>210.96314133683916</v>
      </c>
      <c r="M30" s="147"/>
      <c r="N30" s="18"/>
      <c r="O30" s="18"/>
      <c r="P30" s="18"/>
      <c r="Q30" s="18"/>
      <c r="R30" s="18"/>
      <c r="S30" s="18"/>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row>
    <row r="31" spans="1:98" s="8" customFormat="1">
      <c r="A31" s="15"/>
      <c r="C31" s="9"/>
      <c r="D31" s="9"/>
      <c r="E31" s="9"/>
      <c r="F31" s="9"/>
      <c r="G31" s="9"/>
      <c r="H31" s="9"/>
      <c r="I31" s="9"/>
      <c r="J31" s="9"/>
      <c r="K31" s="9"/>
      <c r="L31" s="9"/>
      <c r="M31" s="18"/>
      <c r="N31" s="18"/>
      <c r="O31" s="18"/>
      <c r="P31" s="18"/>
      <c r="Q31" s="18"/>
      <c r="R31" s="18"/>
      <c r="S31" s="18"/>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row>
    <row r="32" spans="1:98" s="8" customFormat="1">
      <c r="A32" s="15"/>
      <c r="C32" s="9"/>
      <c r="D32" s="9"/>
      <c r="E32" s="9"/>
      <c r="F32" s="9"/>
      <c r="G32" s="9"/>
      <c r="H32" s="9"/>
      <c r="I32" s="9"/>
      <c r="J32" s="9"/>
      <c r="K32" s="9"/>
      <c r="L32" s="9"/>
      <c r="M32" s="18"/>
      <c r="N32" s="18"/>
      <c r="O32" s="18"/>
      <c r="P32" s="18"/>
      <c r="Q32" s="18"/>
      <c r="R32" s="18"/>
      <c r="S32" s="18"/>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row>
    <row r="33" spans="1:98" s="8" customFormat="1">
      <c r="A33" s="15"/>
      <c r="C33" s="9"/>
      <c r="D33" s="9"/>
      <c r="E33" s="9"/>
      <c r="F33" s="9"/>
      <c r="G33" s="9"/>
      <c r="H33" s="9"/>
      <c r="I33" s="9"/>
      <c r="J33" s="9"/>
      <c r="K33" s="9"/>
      <c r="L33" s="9"/>
      <c r="M33" s="18"/>
      <c r="N33" s="18"/>
      <c r="O33" s="18"/>
      <c r="P33" s="18"/>
      <c r="Q33" s="18"/>
      <c r="R33" s="18"/>
      <c r="S33" s="18"/>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row>
    <row r="34" spans="1:98">
      <c r="B34" s="248" t="s">
        <v>287</v>
      </c>
      <c r="C34" s="248"/>
      <c r="D34" s="248"/>
      <c r="E34" s="248"/>
      <c r="F34" s="248"/>
      <c r="G34" s="248"/>
      <c r="H34" s="248"/>
      <c r="I34" s="248"/>
      <c r="J34" s="248"/>
      <c r="K34" s="248"/>
      <c r="L34" s="248"/>
    </row>
    <row r="35" spans="1:98" ht="45" customHeight="1">
      <c r="B35" s="38" t="s">
        <v>26</v>
      </c>
      <c r="C35" s="38" t="s">
        <v>27</v>
      </c>
      <c r="D35" s="38" t="s">
        <v>28</v>
      </c>
      <c r="E35" s="38" t="s">
        <v>29</v>
      </c>
      <c r="F35" s="38" t="s">
        <v>30</v>
      </c>
      <c r="G35" s="38" t="s">
        <v>31</v>
      </c>
      <c r="H35" s="38" t="s">
        <v>32</v>
      </c>
      <c r="I35" s="38" t="s">
        <v>33</v>
      </c>
      <c r="J35" s="38" t="s">
        <v>34</v>
      </c>
      <c r="K35" s="38" t="s">
        <v>35</v>
      </c>
      <c r="L35" s="38" t="s">
        <v>36</v>
      </c>
      <c r="M35" s="148"/>
    </row>
    <row r="36" spans="1:98" ht="43.95" customHeight="1">
      <c r="B36" s="39"/>
      <c r="C36" s="39"/>
      <c r="D36" s="160" t="s">
        <v>288</v>
      </c>
      <c r="E36" s="39" t="s">
        <v>37</v>
      </c>
      <c r="F36" s="39" t="s">
        <v>37</v>
      </c>
      <c r="G36" s="39" t="s">
        <v>38</v>
      </c>
      <c r="H36" s="39" t="s">
        <v>38</v>
      </c>
      <c r="I36" s="39" t="s">
        <v>38</v>
      </c>
      <c r="J36" s="39" t="s">
        <v>39</v>
      </c>
      <c r="K36" s="39"/>
      <c r="L36" s="39" t="s">
        <v>40</v>
      </c>
      <c r="M36" s="148"/>
    </row>
    <row r="37" spans="1:98">
      <c r="B37" s="149" t="s">
        <v>41</v>
      </c>
      <c r="C37" s="150" t="s">
        <v>42</v>
      </c>
      <c r="D37" s="151">
        <f>D26*$G$8</f>
        <v>43.701767985457586</v>
      </c>
      <c r="E37" s="152">
        <f>E26</f>
        <v>0.52232025787876424</v>
      </c>
      <c r="F37" s="152">
        <f>F26</f>
        <v>0.5</v>
      </c>
      <c r="G37" s="154">
        <f>E37*D37</f>
        <v>22.826318723922128</v>
      </c>
      <c r="H37" s="155">
        <f>G37+D37</f>
        <v>66.528086709379721</v>
      </c>
      <c r="I37" s="155">
        <f>H37*F37</f>
        <v>33.264043354689861</v>
      </c>
      <c r="J37" s="155">
        <f>I37+H37</f>
        <v>99.792130064069582</v>
      </c>
      <c r="K37" s="156">
        <v>0</v>
      </c>
      <c r="L37" s="204">
        <v>102.26</v>
      </c>
    </row>
    <row r="38" spans="1:98">
      <c r="B38" s="158" t="s">
        <v>43</v>
      </c>
      <c r="C38" s="159" t="s">
        <v>44</v>
      </c>
      <c r="D38" s="151">
        <f t="shared" ref="D38:D41" si="8">D27*$G$8</f>
        <v>66.11293105492301</v>
      </c>
      <c r="E38" s="152">
        <f t="shared" ref="E38:F41" si="9">E27</f>
        <v>0.52232025787876424</v>
      </c>
      <c r="F38" s="152">
        <f t="shared" si="9"/>
        <v>0.59</v>
      </c>
      <c r="G38" s="154">
        <f t="shared" ref="G38:G41" si="10">E38*D38</f>
        <v>34.532123197728346</v>
      </c>
      <c r="H38" s="155">
        <f>G38+D38</f>
        <v>100.64505425265136</v>
      </c>
      <c r="I38" s="155">
        <f t="shared" ref="I38:I41" si="11">H38*F38</f>
        <v>59.380582009064298</v>
      </c>
      <c r="J38" s="155">
        <f t="shared" ref="J38:J41" si="12">I38+H38</f>
        <v>160.02563626171565</v>
      </c>
      <c r="K38" s="156">
        <v>0</v>
      </c>
      <c r="L38" s="204">
        <v>153.38999999999999</v>
      </c>
    </row>
    <row r="39" spans="1:98">
      <c r="B39" s="158" t="s">
        <v>45</v>
      </c>
      <c r="C39" s="159" t="s">
        <v>46</v>
      </c>
      <c r="D39" s="151">
        <f t="shared" si="8"/>
        <v>77.318512589655725</v>
      </c>
      <c r="E39" s="152">
        <f t="shared" si="9"/>
        <v>0.52232025787876424</v>
      </c>
      <c r="F39" s="152">
        <f t="shared" si="9"/>
        <v>0.69000000000000006</v>
      </c>
      <c r="G39" s="154">
        <f t="shared" si="10"/>
        <v>40.385025434631459</v>
      </c>
      <c r="H39" s="155">
        <f t="shared" ref="H39:H41" si="13">G39+D39</f>
        <v>117.70353802428718</v>
      </c>
      <c r="I39" s="155">
        <f t="shared" si="11"/>
        <v>81.215441236758167</v>
      </c>
      <c r="J39" s="155">
        <f t="shared" si="12"/>
        <v>198.91897926104537</v>
      </c>
      <c r="K39" s="156">
        <v>0</v>
      </c>
      <c r="L39" s="204">
        <v>191.74</v>
      </c>
    </row>
    <row r="40" spans="1:98">
      <c r="B40" s="158" t="s">
        <v>47</v>
      </c>
      <c r="C40" s="159" t="s">
        <v>48</v>
      </c>
      <c r="D40" s="151">
        <f t="shared" si="8"/>
        <v>52.666233213243757</v>
      </c>
      <c r="E40" s="152">
        <f t="shared" si="9"/>
        <v>0.52232025787876424</v>
      </c>
      <c r="F40" s="152">
        <f t="shared" si="9"/>
        <v>0.87</v>
      </c>
      <c r="G40" s="154">
        <f t="shared" si="10"/>
        <v>27.508640513444618</v>
      </c>
      <c r="H40" s="155">
        <f t="shared" si="13"/>
        <v>80.174873726688375</v>
      </c>
      <c r="I40" s="155">
        <f t="shared" si="11"/>
        <v>69.752140142218892</v>
      </c>
      <c r="J40" s="155">
        <f t="shared" si="12"/>
        <v>149.92701386890727</v>
      </c>
      <c r="K40" s="156">
        <v>0</v>
      </c>
      <c r="L40" s="204">
        <v>147.83000000000001</v>
      </c>
    </row>
    <row r="41" spans="1:98">
      <c r="B41" s="158" t="s">
        <v>49</v>
      </c>
      <c r="C41" s="159" t="s">
        <v>50</v>
      </c>
      <c r="D41" s="151">
        <f t="shared" si="8"/>
        <v>91.885768584808247</v>
      </c>
      <c r="E41" s="152">
        <f t="shared" si="9"/>
        <v>0.52232025787876424</v>
      </c>
      <c r="F41" s="152">
        <f t="shared" si="9"/>
        <v>0.69000000000000006</v>
      </c>
      <c r="G41" s="154">
        <f t="shared" si="10"/>
        <v>47.993798342605494</v>
      </c>
      <c r="H41" s="155">
        <f t="shared" si="13"/>
        <v>139.87956692741375</v>
      </c>
      <c r="I41" s="155">
        <f t="shared" si="11"/>
        <v>96.516901179915493</v>
      </c>
      <c r="J41" s="155">
        <f t="shared" si="12"/>
        <v>236.39646810732924</v>
      </c>
      <c r="K41" s="156">
        <v>0</v>
      </c>
      <c r="L41" s="204">
        <v>210.91</v>
      </c>
    </row>
    <row r="42" spans="1:98">
      <c r="C42" s="147"/>
      <c r="D42" s="147"/>
      <c r="E42" s="147"/>
      <c r="F42" s="147"/>
      <c r="G42" s="147"/>
      <c r="H42" s="147"/>
      <c r="I42" s="147"/>
      <c r="J42" s="147"/>
      <c r="K42" s="147"/>
      <c r="L42" s="147"/>
    </row>
    <row r="43" spans="1:98">
      <c r="B43" s="40" t="s">
        <v>14</v>
      </c>
      <c r="C43" s="147"/>
      <c r="D43" s="147"/>
      <c r="E43" s="147"/>
      <c r="F43" s="147"/>
      <c r="G43" s="147"/>
      <c r="H43" s="147"/>
      <c r="I43" s="147"/>
      <c r="J43" s="147"/>
      <c r="K43" s="147"/>
      <c r="L43" s="147"/>
    </row>
    <row r="44" spans="1:98" ht="14.4" customHeight="1">
      <c r="B44" s="249" t="s">
        <v>286</v>
      </c>
      <c r="C44" s="249"/>
      <c r="D44" s="249"/>
      <c r="E44" s="249"/>
      <c r="F44" s="249"/>
      <c r="G44" s="249"/>
      <c r="H44" s="249"/>
      <c r="I44" s="249"/>
      <c r="J44" s="249"/>
      <c r="K44" s="249"/>
      <c r="L44" s="249"/>
    </row>
    <row r="45" spans="1:98" s="147" customFormat="1"/>
    <row r="46" spans="1:98" s="147" customFormat="1"/>
    <row r="47" spans="1:98" s="147" customFormat="1">
      <c r="B47" s="1" t="s">
        <v>294</v>
      </c>
      <c r="C47" s="1"/>
      <c r="D47" s="1"/>
      <c r="E47" s="4"/>
      <c r="F47" s="4"/>
      <c r="G47" s="4"/>
      <c r="H47" s="4"/>
      <c r="I47" s="4"/>
      <c r="J47" s="4"/>
      <c r="K47" s="4"/>
      <c r="L47" s="4"/>
    </row>
    <row r="48" spans="1:98" s="147" customFormat="1"/>
    <row r="49" spans="2:3" s="147" customFormat="1"/>
    <row r="50" spans="2:3" s="147" customFormat="1">
      <c r="B50" s="40" t="s">
        <v>293</v>
      </c>
      <c r="C50" s="199">
        <v>0.01</v>
      </c>
    </row>
    <row r="51" spans="2:3" s="147" customFormat="1"/>
    <row r="52" spans="2:3" s="147" customFormat="1"/>
    <row r="53" spans="2:3" s="147" customFormat="1"/>
    <row r="54" spans="2:3" s="147" customFormat="1"/>
    <row r="55" spans="2:3" s="147" customFormat="1"/>
    <row r="56" spans="2:3" s="147" customFormat="1" hidden="1"/>
    <row r="57" spans="2:3" s="147" customFormat="1" hidden="1"/>
    <row r="58" spans="2:3" s="147" customFormat="1" hidden="1"/>
    <row r="59" spans="2:3" s="147" customFormat="1" hidden="1"/>
    <row r="60" spans="2:3" s="147" customFormat="1" hidden="1"/>
    <row r="61" spans="2:3" s="147" customFormat="1" hidden="1"/>
    <row r="62" spans="2:3" s="147" customFormat="1" hidden="1"/>
    <row r="63" spans="2:3" s="147" customFormat="1" hidden="1"/>
    <row r="64" spans="2:3" s="147" customFormat="1" hidden="1"/>
    <row r="65" s="147" customFormat="1" hidden="1"/>
    <row r="66" s="147" customFormat="1" hidden="1"/>
    <row r="67" s="147" customFormat="1" hidden="1"/>
    <row r="68" s="147" customFormat="1" hidden="1"/>
    <row r="69" s="147" customFormat="1" hidden="1"/>
    <row r="70" s="147" customFormat="1" hidden="1"/>
    <row r="71" s="147" customFormat="1" hidden="1"/>
    <row r="72" s="147" customFormat="1" hidden="1"/>
    <row r="73" s="147" customFormat="1" hidden="1"/>
    <row r="74" s="147" customFormat="1" hidden="1"/>
    <row r="75" s="147" customFormat="1" hidden="1"/>
    <row r="76" s="147" customFormat="1" hidden="1"/>
    <row r="77" s="147" customFormat="1" hidden="1"/>
    <row r="78" s="147" customFormat="1" hidden="1"/>
    <row r="79" s="147" customFormat="1" hidden="1"/>
    <row r="80" s="147" customFormat="1" hidden="1"/>
    <row r="81" s="147" customFormat="1" hidden="1"/>
    <row r="82" s="147" customFormat="1" hidden="1"/>
    <row r="83" s="147" customFormat="1" hidden="1"/>
    <row r="84" s="147" customFormat="1" hidden="1"/>
    <row r="85" s="147" customFormat="1" hidden="1"/>
    <row r="86" s="147" customFormat="1" hidden="1"/>
    <row r="87" s="147" customFormat="1" hidden="1"/>
    <row r="88" s="147" customFormat="1" hidden="1"/>
    <row r="89" s="147" customFormat="1" hidden="1"/>
    <row r="90" s="147" customFormat="1" hidden="1"/>
    <row r="91" s="147" customFormat="1" hidden="1"/>
    <row r="92" s="147" customFormat="1" hidden="1"/>
    <row r="93" s="147" customFormat="1" hidden="1"/>
    <row r="94" s="147" customFormat="1" hidden="1"/>
    <row r="95" s="147" customFormat="1" hidden="1"/>
    <row r="96" s="147" customFormat="1" hidden="1"/>
    <row r="97" s="147" customFormat="1" hidden="1"/>
    <row r="98" s="147" customFormat="1" hidden="1"/>
    <row r="99" s="147" customFormat="1" hidden="1"/>
    <row r="100" s="147" customFormat="1" hidden="1"/>
    <row r="101" s="147" customFormat="1" hidden="1"/>
    <row r="102" s="147" customFormat="1" hidden="1"/>
    <row r="103" s="147" customFormat="1" hidden="1"/>
    <row r="104" s="147" customFormat="1" hidden="1"/>
    <row r="105" s="147" customFormat="1" hidden="1"/>
    <row r="106" s="147" customFormat="1" hidden="1"/>
    <row r="107" s="147" customFormat="1" hidden="1"/>
    <row r="108" s="147" customFormat="1" hidden="1"/>
    <row r="109" s="147" customFormat="1" hidden="1"/>
    <row r="110" s="147" customFormat="1" hidden="1"/>
    <row r="111" s="147" customFormat="1" hidden="1"/>
    <row r="112"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0" zoomScaleNormal="70" workbookViewId="0"/>
  </sheetViews>
  <sheetFormatPr defaultColWidth="0" defaultRowHeight="14.4" zeroHeight="1"/>
  <cols>
    <col min="1" max="11" width="9.109375" customWidth="1"/>
    <col min="12" max="12" width="9.109375" style="147" customWidth="1"/>
    <col min="13" max="16384" width="9.1093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C327"/>
  <sheetViews>
    <sheetView topLeftCell="A25" zoomScale="80" zoomScaleNormal="80" workbookViewId="0">
      <selection activeCell="E11" sqref="E11:E41"/>
    </sheetView>
  </sheetViews>
  <sheetFormatPr defaultColWidth="0" defaultRowHeight="14.4" zeroHeight="1"/>
  <cols>
    <col min="1" max="1" width="3.44140625" style="147" bestFit="1" customWidth="1"/>
    <col min="2" max="2" width="55.44140625" customWidth="1"/>
    <col min="3" max="12" width="20.6640625" customWidth="1"/>
    <col min="13" max="17" width="9.109375" hidden="1" customWidth="1"/>
    <col min="18" max="18" width="5.33203125" hidden="1" customWidth="1"/>
    <col min="19" max="19" width="2.44140625" hidden="1" customWidth="1"/>
    <col min="20" max="133" width="0" hidden="1" customWidth="1"/>
    <col min="134" max="16384" width="9.109375" hidden="1"/>
  </cols>
  <sheetData>
    <row r="1" spans="1:13" s="7" customFormat="1"/>
    <row r="2" spans="1:13" s="7" customFormat="1" ht="21">
      <c r="B2" s="27" t="s">
        <v>15</v>
      </c>
      <c r="C2" s="1"/>
      <c r="D2" s="1"/>
      <c r="E2" s="4"/>
      <c r="F2" s="4"/>
      <c r="G2" s="4"/>
      <c r="H2" s="4"/>
      <c r="I2" s="4"/>
      <c r="J2" s="4"/>
    </row>
    <row r="3" spans="1:13" s="7" customFormat="1">
      <c r="B3" s="5" t="s">
        <v>0</v>
      </c>
      <c r="C3" s="24" t="s">
        <v>97</v>
      </c>
      <c r="D3" s="24"/>
      <c r="E3" s="23"/>
      <c r="F3" s="23"/>
      <c r="G3" s="23"/>
      <c r="H3" s="23"/>
      <c r="I3" s="23"/>
      <c r="J3" s="23"/>
    </row>
    <row r="4" spans="1:13" s="7" customFormat="1">
      <c r="B4" s="5" t="s">
        <v>1</v>
      </c>
      <c r="C4" s="23" t="s">
        <v>2</v>
      </c>
      <c r="D4" s="23"/>
      <c r="E4" s="23"/>
      <c r="F4" s="229" t="s">
        <v>3</v>
      </c>
      <c r="G4" s="229"/>
      <c r="H4" s="23"/>
      <c r="I4" s="23"/>
      <c r="J4" s="23"/>
    </row>
    <row r="5" spans="1:13" s="7" customFormat="1">
      <c r="B5" s="5"/>
      <c r="C5" s="23"/>
      <c r="D5" s="23"/>
      <c r="E5" s="23"/>
      <c r="F5" s="23"/>
      <c r="G5" s="23"/>
      <c r="H5" s="23"/>
      <c r="I5" s="23"/>
      <c r="J5" s="23"/>
    </row>
    <row r="6" spans="1:13" s="7" customFormat="1">
      <c r="B6" s="5"/>
      <c r="C6" s="23"/>
      <c r="D6" s="83" t="s">
        <v>93</v>
      </c>
      <c r="E6" s="225" t="s">
        <v>94</v>
      </c>
      <c r="F6" s="233"/>
      <c r="G6" s="233"/>
      <c r="H6" s="233"/>
      <c r="I6" s="226"/>
      <c r="J6" s="23"/>
    </row>
    <row r="7" spans="1:13" s="7" customFormat="1">
      <c r="B7" s="76" t="s">
        <v>17</v>
      </c>
      <c r="C7" s="91"/>
      <c r="D7" s="29" t="s">
        <v>89</v>
      </c>
      <c r="E7" s="28" t="s">
        <v>19</v>
      </c>
      <c r="F7" s="28" t="s">
        <v>20</v>
      </c>
      <c r="G7" s="28" t="s">
        <v>21</v>
      </c>
      <c r="H7" s="28" t="s">
        <v>22</v>
      </c>
      <c r="I7" s="28" t="s">
        <v>23</v>
      </c>
      <c r="J7" s="23"/>
    </row>
    <row r="8" spans="1:13" s="7" customFormat="1">
      <c r="B8" s="76"/>
      <c r="C8" s="23"/>
      <c r="D8" s="23"/>
      <c r="E8" s="23"/>
      <c r="F8" s="23"/>
      <c r="G8" s="23"/>
      <c r="H8" s="23"/>
      <c r="I8" s="23"/>
      <c r="J8" s="23"/>
    </row>
    <row r="9" spans="1:13" s="7" customFormat="1">
      <c r="B9" s="134" t="s">
        <v>273</v>
      </c>
      <c r="C9" s="23"/>
      <c r="D9" s="23"/>
      <c r="E9" s="23"/>
      <c r="F9" s="23"/>
      <c r="G9" s="23"/>
      <c r="H9" s="23"/>
      <c r="I9" s="23"/>
      <c r="J9" s="23"/>
    </row>
    <row r="10" spans="1:13" s="7" customFormat="1">
      <c r="B10" s="59"/>
      <c r="C10" s="68"/>
      <c r="D10" s="133"/>
      <c r="E10" s="133"/>
      <c r="F10" s="133"/>
      <c r="G10" s="133"/>
      <c r="H10" s="133"/>
      <c r="I10" s="133"/>
      <c r="J10" s="23"/>
    </row>
    <row r="11" spans="1:13" s="7" customFormat="1">
      <c r="A11" s="7">
        <v>1</v>
      </c>
      <c r="B11" s="81" t="s">
        <v>98</v>
      </c>
      <c r="C11" s="144" t="s">
        <v>60</v>
      </c>
      <c r="D11" s="130">
        <f>IF($C11="Fixed",IF(((E49-D49))/D49&lt;='Input Data'!$C$50,I49,(D49*$H$263)),'Input Data'!$L$40)</f>
        <v>58.757329959697977</v>
      </c>
      <c r="E11" s="130">
        <f t="shared" ref="E11:I13" si="0">$D11*D$255</f>
        <v>60.38044642914759</v>
      </c>
      <c r="F11" s="130">
        <f t="shared" si="0"/>
        <v>62.238688914119841</v>
      </c>
      <c r="G11" s="130">
        <f t="shared" si="0"/>
        <v>64.416612882169133</v>
      </c>
      <c r="H11" s="130">
        <f t="shared" si="0"/>
        <v>66.826408911384405</v>
      </c>
      <c r="I11" s="130">
        <f t="shared" si="0"/>
        <v>69.225973217102208</v>
      </c>
      <c r="J11" s="144"/>
      <c r="M11" s="10"/>
    </row>
    <row r="12" spans="1:13" s="7" customFormat="1">
      <c r="A12" s="7">
        <v>2</v>
      </c>
      <c r="B12" s="81" t="s">
        <v>99</v>
      </c>
      <c r="C12" s="144" t="s">
        <v>60</v>
      </c>
      <c r="D12" s="130">
        <f>IF($C12="Fixed",IF(((E50-D50))/D50&lt;='Input Data'!$C$50,I50,(D50*$H$263)),'Input Data'!$L$40)</f>
        <v>10.86562075018079</v>
      </c>
      <c r="E12" s="130">
        <f t="shared" si="0"/>
        <v>11.165773395008399</v>
      </c>
      <c r="F12" s="130">
        <f t="shared" si="0"/>
        <v>11.509406404156895</v>
      </c>
      <c r="G12" s="130">
        <f t="shared" si="0"/>
        <v>11.912156084507997</v>
      </c>
      <c r="H12" s="130">
        <f t="shared" si="0"/>
        <v>12.357784396017461</v>
      </c>
      <c r="I12" s="130">
        <f t="shared" si="0"/>
        <v>12.801520619727489</v>
      </c>
      <c r="J12" s="144"/>
      <c r="M12" s="10"/>
    </row>
    <row r="13" spans="1:13" s="7" customFormat="1">
      <c r="A13" s="7">
        <v>3</v>
      </c>
      <c r="B13" s="81" t="s">
        <v>100</v>
      </c>
      <c r="C13" s="144" t="s">
        <v>61</v>
      </c>
      <c r="D13" s="130">
        <f>IF($C13="Fixed",IF(((E51-D51))/D51&lt;='Input Data'!$C$50,I51,(D51*$H$263)),'Input Data'!$L$40)</f>
        <v>147.83000000000001</v>
      </c>
      <c r="E13" s="130">
        <f t="shared" si="0"/>
        <v>151.91366595016004</v>
      </c>
      <c r="F13" s="130">
        <f t="shared" si="0"/>
        <v>156.58889518099591</v>
      </c>
      <c r="G13" s="130">
        <f t="shared" si="0"/>
        <v>162.06842429536451</v>
      </c>
      <c r="H13" s="130">
        <f t="shared" si="0"/>
        <v>168.13132993187386</v>
      </c>
      <c r="I13" s="130">
        <f t="shared" si="0"/>
        <v>174.16849315146831</v>
      </c>
      <c r="J13" s="144" t="s">
        <v>257</v>
      </c>
      <c r="M13" s="10"/>
    </row>
    <row r="14" spans="1:13" s="7" customFormat="1" ht="30.75" customHeight="1">
      <c r="A14" s="7">
        <v>4</v>
      </c>
      <c r="B14" s="143" t="s">
        <v>101</v>
      </c>
      <c r="C14" s="144" t="s">
        <v>61</v>
      </c>
      <c r="D14" s="130">
        <f>IF($C14="Fixed",IF(((E52-D52))/D52&lt;='Input Data'!$C$50,I52,(D52*$H$263)),'Input Data'!$L$40)</f>
        <v>147.83000000000001</v>
      </c>
      <c r="E14" s="130"/>
      <c r="F14" s="130"/>
      <c r="G14" s="130"/>
      <c r="H14" s="130"/>
      <c r="I14" s="130"/>
      <c r="J14" s="144"/>
      <c r="M14" s="10"/>
    </row>
    <row r="15" spans="1:13" s="7" customFormat="1" ht="30" customHeight="1">
      <c r="A15" s="7">
        <v>5</v>
      </c>
      <c r="B15" s="143" t="s">
        <v>102</v>
      </c>
      <c r="C15" s="144" t="s">
        <v>60</v>
      </c>
      <c r="D15" s="130">
        <f>IF($C15="Fixed",IF(((E53-D53))/D53&lt;='Input Data'!$C$50,I53,(D53*$H$263)),'Input Data'!$L$40)</f>
        <v>15.507898346233263</v>
      </c>
      <c r="E15" s="130">
        <f t="shared" ref="E15:I28" si="1">$D15*D$255</f>
        <v>15.936289582349449</v>
      </c>
      <c r="F15" s="130">
        <f t="shared" si="1"/>
        <v>16.426737932867891</v>
      </c>
      <c r="G15" s="130">
        <f t="shared" si="1"/>
        <v>17.001560232068687</v>
      </c>
      <c r="H15" s="130">
        <f t="shared" si="1"/>
        <v>17.637580825275695</v>
      </c>
      <c r="I15" s="130">
        <f t="shared" si="1"/>
        <v>18.270900946422206</v>
      </c>
      <c r="J15" s="144"/>
      <c r="M15" s="10"/>
    </row>
    <row r="16" spans="1:13" s="7" customFormat="1" ht="45" customHeight="1">
      <c r="A16" s="7">
        <v>6</v>
      </c>
      <c r="B16" s="143" t="s">
        <v>103</v>
      </c>
      <c r="C16" s="144" t="s">
        <v>60</v>
      </c>
      <c r="D16" s="130">
        <f>IF($C16="Fixed",IF(((E54-D54))/D54&lt;='Input Data'!$C$50,I54,(D54*$H$263)),'Input Data'!$L$40)</f>
        <v>175.8010341809437</v>
      </c>
      <c r="E16" s="130">
        <f t="shared" si="1"/>
        <v>180.65737387713284</v>
      </c>
      <c r="F16" s="130">
        <f t="shared" si="1"/>
        <v>186.21720702205553</v>
      </c>
      <c r="G16" s="130">
        <f t="shared" si="1"/>
        <v>192.73352228371144</v>
      </c>
      <c r="H16" s="130">
        <f t="shared" si="1"/>
        <v>199.94359521234443</v>
      </c>
      <c r="I16" s="130">
        <f t="shared" si="1"/>
        <v>207.12305498048255</v>
      </c>
      <c r="J16" s="144"/>
      <c r="M16" s="10"/>
    </row>
    <row r="17" spans="1:13" s="7" customFormat="1">
      <c r="A17" s="7">
        <v>7</v>
      </c>
      <c r="B17" s="81" t="s">
        <v>104</v>
      </c>
      <c r="C17" s="144" t="s">
        <v>60</v>
      </c>
      <c r="D17" s="130">
        <f>IF($C17="Fixed",IF(((E55-D55))/D55&lt;='Input Data'!$C$50,I55,(D55*$H$263)),'Input Data'!$L$40)</f>
        <v>222.45928799054354</v>
      </c>
      <c r="E17" s="130">
        <f t="shared" si="1"/>
        <v>228.6045184556983</v>
      </c>
      <c r="F17" s="130">
        <f t="shared" si="1"/>
        <v>235.63995216931747</v>
      </c>
      <c r="G17" s="130">
        <f t="shared" si="1"/>
        <v>243.88572194071634</v>
      </c>
      <c r="H17" s="130">
        <f t="shared" si="1"/>
        <v>253.00937526583115</v>
      </c>
      <c r="I17" s="130">
        <f t="shared" si="1"/>
        <v>262.09429058284172</v>
      </c>
      <c r="J17" s="144"/>
      <c r="M17" s="10"/>
    </row>
    <row r="18" spans="1:13" s="7" customFormat="1">
      <c r="A18" s="7">
        <v>8</v>
      </c>
      <c r="B18" s="81" t="s">
        <v>105</v>
      </c>
      <c r="C18" s="144" t="s">
        <v>61</v>
      </c>
      <c r="D18" s="130">
        <f>IF($C18="Fixed",IF(((E56-D56))/D56&lt;='Input Data'!$C$50,I56,(D56*$H$263)),'Input Data'!$L$40)</f>
        <v>147.83000000000001</v>
      </c>
      <c r="E18" s="130">
        <f t="shared" si="1"/>
        <v>151.91366595016004</v>
      </c>
      <c r="F18" s="130">
        <f t="shared" si="1"/>
        <v>156.58889518099591</v>
      </c>
      <c r="G18" s="130">
        <f t="shared" si="1"/>
        <v>162.06842429536451</v>
      </c>
      <c r="H18" s="130">
        <f t="shared" si="1"/>
        <v>168.13132993187386</v>
      </c>
      <c r="I18" s="130">
        <f t="shared" si="1"/>
        <v>174.16849315146831</v>
      </c>
      <c r="J18" s="144" t="s">
        <v>257</v>
      </c>
      <c r="M18" s="10"/>
    </row>
    <row r="19" spans="1:13" s="7" customFormat="1">
      <c r="A19" s="7">
        <v>9</v>
      </c>
      <c r="B19" s="81" t="s">
        <v>106</v>
      </c>
      <c r="C19" s="144" t="s">
        <v>61</v>
      </c>
      <c r="D19" s="130">
        <f>IF($C19="Fixed",IF(((E57-D57))/D57&lt;='Input Data'!$C$50,I57,(D57*$H$263)),'Input Data'!$L$40)</f>
        <v>147.83000000000001</v>
      </c>
      <c r="E19" s="130">
        <f t="shared" si="1"/>
        <v>151.91366595016004</v>
      </c>
      <c r="F19" s="130">
        <f t="shared" si="1"/>
        <v>156.58889518099591</v>
      </c>
      <c r="G19" s="130">
        <f t="shared" si="1"/>
        <v>162.06842429536451</v>
      </c>
      <c r="H19" s="130">
        <f t="shared" si="1"/>
        <v>168.13132993187386</v>
      </c>
      <c r="I19" s="130">
        <f t="shared" si="1"/>
        <v>174.16849315146831</v>
      </c>
      <c r="J19" s="144" t="s">
        <v>257</v>
      </c>
      <c r="M19" s="10"/>
    </row>
    <row r="20" spans="1:13" s="7" customFormat="1" ht="28.8">
      <c r="A20" s="7">
        <v>10</v>
      </c>
      <c r="B20" s="143" t="s">
        <v>107</v>
      </c>
      <c r="C20" s="144" t="s">
        <v>61</v>
      </c>
      <c r="D20" s="130">
        <f>IF($C20="Fixed",IF(((E58-D58))/D58&lt;='Input Data'!$C$50,I58,(D58*$H$263)),'Input Data'!$L$40)</f>
        <v>147.83000000000001</v>
      </c>
      <c r="E20" s="130">
        <f t="shared" si="1"/>
        <v>151.91366595016004</v>
      </c>
      <c r="F20" s="130">
        <f t="shared" si="1"/>
        <v>156.58889518099591</v>
      </c>
      <c r="G20" s="130">
        <f t="shared" si="1"/>
        <v>162.06842429536451</v>
      </c>
      <c r="H20" s="130">
        <f t="shared" si="1"/>
        <v>168.13132993187386</v>
      </c>
      <c r="I20" s="130">
        <f t="shared" si="1"/>
        <v>174.16849315146831</v>
      </c>
      <c r="J20" s="144" t="s">
        <v>257</v>
      </c>
      <c r="M20" s="10"/>
    </row>
    <row r="21" spans="1:13" s="7" customFormat="1" ht="30" customHeight="1">
      <c r="A21" s="7">
        <v>11</v>
      </c>
      <c r="B21" s="143" t="s">
        <v>108</v>
      </c>
      <c r="C21" s="144" t="s">
        <v>60</v>
      </c>
      <c r="D21" s="130">
        <f>IF($C21="Fixed",IF(((E59-D59))/D59&lt;='Input Data'!$C$50,I59,(D59*$H$263)),'Input Data'!$L$40)</f>
        <v>415.38292576852132</v>
      </c>
      <c r="E21" s="130">
        <f t="shared" si="1"/>
        <v>426.85749189338611</v>
      </c>
      <c r="F21" s="130">
        <f t="shared" si="1"/>
        <v>439.99427330814035</v>
      </c>
      <c r="G21" s="130">
        <f t="shared" si="1"/>
        <v>455.39103198608274</v>
      </c>
      <c r="H21" s="130">
        <f t="shared" si="1"/>
        <v>472.42700223536713</v>
      </c>
      <c r="I21" s="130">
        <f t="shared" si="1"/>
        <v>489.39063966685768</v>
      </c>
      <c r="J21" s="144"/>
      <c r="M21" s="10"/>
    </row>
    <row r="22" spans="1:13" s="7" customFormat="1">
      <c r="A22" s="7">
        <v>12</v>
      </c>
      <c r="B22" s="81" t="s">
        <v>109</v>
      </c>
      <c r="C22" s="144" t="s">
        <v>60</v>
      </c>
      <c r="D22" s="130">
        <f>IF($C22="Fixed",IF(((E60-D60))/D60&lt;='Input Data'!$C$50,I60,(D60*$H$263)),'Input Data'!$L$40)</f>
        <v>346.85887168765976</v>
      </c>
      <c r="E22" s="130">
        <f t="shared" si="1"/>
        <v>356.44052469328665</v>
      </c>
      <c r="F22" s="130">
        <f t="shared" si="1"/>
        <v>367.41018400390624</v>
      </c>
      <c r="G22" s="130">
        <f t="shared" si="1"/>
        <v>380.26700119926289</v>
      </c>
      <c r="H22" s="130">
        <f t="shared" si="1"/>
        <v>394.49261581218576</v>
      </c>
      <c r="I22" s="130">
        <f t="shared" si="1"/>
        <v>408.65783006195079</v>
      </c>
      <c r="J22" s="144"/>
      <c r="M22" s="10"/>
    </row>
    <row r="23" spans="1:13" s="7" customFormat="1">
      <c r="A23" s="7">
        <v>13</v>
      </c>
      <c r="B23" s="143" t="s">
        <v>110</v>
      </c>
      <c r="C23" s="144" t="s">
        <v>60</v>
      </c>
      <c r="D23" s="130">
        <f>IF($C23="Fixed",IF(((E61-D61))/D61&lt;='Input Data'!$C$50,I61,(D61*$H$263)),'Input Data'!$L$40)</f>
        <v>107.11999486736542</v>
      </c>
      <c r="E23" s="130">
        <f t="shared" si="1"/>
        <v>110.07908487359674</v>
      </c>
      <c r="F23" s="130">
        <f t="shared" si="1"/>
        <v>113.46683114438682</v>
      </c>
      <c r="G23" s="130">
        <f t="shared" si="1"/>
        <v>117.4373860426263</v>
      </c>
      <c r="H23" s="130">
        <f t="shared" si="1"/>
        <v>121.83066494856017</v>
      </c>
      <c r="I23" s="130">
        <f t="shared" si="1"/>
        <v>126.20529048530103</v>
      </c>
      <c r="J23" s="144"/>
      <c r="M23" s="10"/>
    </row>
    <row r="24" spans="1:13" s="7" customFormat="1">
      <c r="A24" s="7">
        <v>14</v>
      </c>
      <c r="B24" s="81" t="s">
        <v>111</v>
      </c>
      <c r="C24" s="144" t="s">
        <v>60</v>
      </c>
      <c r="D24" s="130">
        <f>'Fee Breakdown'!H113</f>
        <v>51.13</v>
      </c>
      <c r="E24" s="130">
        <f t="shared" si="1"/>
        <v>52.542418589134023</v>
      </c>
      <c r="F24" s="130">
        <f t="shared" si="1"/>
        <v>54.159441321817766</v>
      </c>
      <c r="G24" s="130">
        <f t="shared" si="1"/>
        <v>56.054647461421816</v>
      </c>
      <c r="H24" s="130">
        <f t="shared" si="1"/>
        <v>58.151626188302174</v>
      </c>
      <c r="I24" s="130">
        <f t="shared" si="1"/>
        <v>60.239701378844444</v>
      </c>
      <c r="J24" s="144"/>
      <c r="M24" s="10"/>
    </row>
    <row r="25" spans="1:13" s="7" customFormat="1">
      <c r="A25" s="7">
        <v>15</v>
      </c>
      <c r="B25" s="143" t="s">
        <v>112</v>
      </c>
      <c r="C25" s="144" t="s">
        <v>60</v>
      </c>
      <c r="D25" s="130">
        <f>IF($C25="Fixed",IF(((E63-D63))/D63&lt;='Input Data'!$C$50,I63,(D63*$H$263)),'Input Data'!$L$40)</f>
        <v>27.360283416347908</v>
      </c>
      <c r="E25" s="130">
        <f t="shared" si="1"/>
        <v>28.116085741816811</v>
      </c>
      <c r="F25" s="130">
        <f t="shared" si="1"/>
        <v>28.981374227185572</v>
      </c>
      <c r="G25" s="130">
        <f t="shared" si="1"/>
        <v>29.995522029101654</v>
      </c>
      <c r="H25" s="130">
        <f t="shared" si="1"/>
        <v>31.117640790797314</v>
      </c>
      <c r="I25" s="130">
        <f t="shared" si="1"/>
        <v>32.234995162162093</v>
      </c>
      <c r="J25" s="144"/>
      <c r="M25" s="10"/>
    </row>
    <row r="26" spans="1:13" s="7" customFormat="1" ht="28.8">
      <c r="A26" s="7">
        <v>16</v>
      </c>
      <c r="B26" s="143" t="s">
        <v>113</v>
      </c>
      <c r="C26" s="144" t="s">
        <v>60</v>
      </c>
      <c r="D26" s="130">
        <f>IF($C26="Fixed",IF(((E64-D64))/D64&lt;='Input Data'!$C$50,I64,(D64*$H$263)),'Input Data'!$L$40)</f>
        <v>84.458055201611657</v>
      </c>
      <c r="E26" s="130">
        <f t="shared" si="1"/>
        <v>86.791130248919757</v>
      </c>
      <c r="F26" s="130">
        <f t="shared" si="1"/>
        <v>89.462176507853158</v>
      </c>
      <c r="G26" s="130">
        <f t="shared" si="1"/>
        <v>92.592734394751503</v>
      </c>
      <c r="H26" s="130">
        <f t="shared" si="1"/>
        <v>96.056586244379247</v>
      </c>
      <c r="I26" s="130">
        <f t="shared" si="1"/>
        <v>99.505730967788878</v>
      </c>
      <c r="J26" s="144"/>
      <c r="M26" s="10"/>
    </row>
    <row r="27" spans="1:13" s="7" customFormat="1">
      <c r="A27" s="7">
        <v>17</v>
      </c>
      <c r="B27" s="81" t="s">
        <v>114</v>
      </c>
      <c r="C27" s="144" t="s">
        <v>60</v>
      </c>
      <c r="D27" s="130">
        <f>IF($C27="Fixed",IF(((E65-D65))/D65&lt;='Input Data'!$C$50,I65,(D65*$H$263)),'Input Data'!$L$40)</f>
        <v>152.56721973886465</v>
      </c>
      <c r="E27" s="130">
        <f t="shared" si="1"/>
        <v>156.78174696850806</v>
      </c>
      <c r="F27" s="130">
        <f t="shared" si="1"/>
        <v>161.60679415372417</v>
      </c>
      <c r="G27" s="130">
        <f t="shared" si="1"/>
        <v>167.26191505244148</v>
      </c>
      <c r="H27" s="130">
        <f t="shared" si="1"/>
        <v>173.51910680310999</v>
      </c>
      <c r="I27" s="130">
        <f t="shared" si="1"/>
        <v>179.74973121982686</v>
      </c>
      <c r="J27" s="144"/>
      <c r="M27" s="10"/>
    </row>
    <row r="28" spans="1:13" s="7" customFormat="1">
      <c r="A28" s="7">
        <v>18</v>
      </c>
      <c r="B28" s="81" t="s">
        <v>115</v>
      </c>
      <c r="C28" s="144" t="s">
        <v>60</v>
      </c>
      <c r="D28" s="130">
        <f>IF($C28="Fixed",IF(((E66-D66))/D66&lt;='Input Data'!$C$50,I66,(D66*$H$263)),'Input Data'!$L$40)</f>
        <v>38.94355094466242</v>
      </c>
      <c r="E28" s="130">
        <f t="shared" si="1"/>
        <v>40.019330238249921</v>
      </c>
      <c r="F28" s="130">
        <f t="shared" si="1"/>
        <v>41.250947824186682</v>
      </c>
      <c r="G28" s="130">
        <f t="shared" si="1"/>
        <v>42.694445904536913</v>
      </c>
      <c r="H28" s="130">
        <f t="shared" si="1"/>
        <v>44.29162560099963</v>
      </c>
      <c r="I28" s="130">
        <f t="shared" si="1"/>
        <v>45.882023851716788</v>
      </c>
      <c r="J28" s="144"/>
      <c r="M28" s="10"/>
    </row>
    <row r="29" spans="1:13" s="7" customFormat="1">
      <c r="B29" s="88"/>
      <c r="C29" s="67"/>
      <c r="D29" s="142"/>
      <c r="E29" s="142"/>
      <c r="F29" s="142"/>
      <c r="G29" s="142"/>
      <c r="H29" s="142"/>
      <c r="I29" s="142"/>
      <c r="J29" s="67"/>
      <c r="M29" s="10"/>
    </row>
    <row r="30" spans="1:13" s="7" customFormat="1">
      <c r="B30" s="135" t="s">
        <v>274</v>
      </c>
      <c r="C30" s="67"/>
      <c r="D30" s="142"/>
      <c r="E30" s="142"/>
      <c r="F30" s="142"/>
      <c r="G30" s="142"/>
      <c r="H30" s="142"/>
      <c r="I30" s="142"/>
      <c r="J30" s="67"/>
      <c r="M30" s="10"/>
    </row>
    <row r="31" spans="1:13" s="7" customFormat="1">
      <c r="B31" s="135"/>
      <c r="C31" s="67"/>
      <c r="D31" s="142"/>
      <c r="E31" s="142"/>
      <c r="F31" s="142"/>
      <c r="G31" s="142"/>
      <c r="H31" s="142"/>
      <c r="I31" s="142"/>
      <c r="J31" s="67"/>
      <c r="M31" s="10"/>
    </row>
    <row r="32" spans="1:13" s="7" customFormat="1" ht="28.8">
      <c r="A32" s="7">
        <v>19</v>
      </c>
      <c r="B32" s="137" t="s">
        <v>275</v>
      </c>
      <c r="C32" s="144" t="s">
        <v>60</v>
      </c>
      <c r="D32" s="130">
        <f>'Fee Breakdown'!H155</f>
        <v>238.78833333333333</v>
      </c>
      <c r="E32" s="130">
        <f t="shared" ref="E32:I41" si="2">$D32*D$255</f>
        <v>245.38463845495136</v>
      </c>
      <c r="F32" s="130">
        <f t="shared" si="2"/>
        <v>252.93648987876642</v>
      </c>
      <c r="G32" s="130">
        <f t="shared" si="2"/>
        <v>261.78751893018733</v>
      </c>
      <c r="H32" s="130">
        <f t="shared" si="2"/>
        <v>271.58087029391152</v>
      </c>
      <c r="I32" s="130">
        <f t="shared" si="2"/>
        <v>281.33264018681723</v>
      </c>
      <c r="J32" s="144"/>
      <c r="M32" s="10"/>
    </row>
    <row r="33" spans="1:14" s="7" customFormat="1" ht="15" customHeight="1">
      <c r="A33" s="7">
        <v>20</v>
      </c>
      <c r="B33" s="234" t="s">
        <v>276</v>
      </c>
      <c r="C33" s="200" t="s">
        <v>61</v>
      </c>
      <c r="D33" s="139">
        <f>'Input Data'!L37</f>
        <v>102.26</v>
      </c>
      <c r="E33" s="130">
        <f t="shared" si="2"/>
        <v>105.08483717826805</v>
      </c>
      <c r="F33" s="130">
        <f t="shared" si="2"/>
        <v>108.31888264363553</v>
      </c>
      <c r="G33" s="130">
        <f t="shared" si="2"/>
        <v>112.10929492284363</v>
      </c>
      <c r="H33" s="130">
        <f t="shared" si="2"/>
        <v>116.30325237660435</v>
      </c>
      <c r="I33" s="130">
        <f t="shared" si="2"/>
        <v>120.47940275768889</v>
      </c>
      <c r="J33" s="144" t="s">
        <v>277</v>
      </c>
      <c r="M33" s="10"/>
    </row>
    <row r="34" spans="1:14" s="7" customFormat="1">
      <c r="B34" s="234"/>
      <c r="C34" s="201"/>
      <c r="D34" s="130">
        <f>'Input Data'!L40</f>
        <v>147.83000000000001</v>
      </c>
      <c r="E34" s="130">
        <f t="shared" si="2"/>
        <v>151.91366595016004</v>
      </c>
      <c r="F34" s="130">
        <f t="shared" si="2"/>
        <v>156.58889518099591</v>
      </c>
      <c r="G34" s="130">
        <f t="shared" si="2"/>
        <v>162.06842429536451</v>
      </c>
      <c r="H34" s="130">
        <f t="shared" si="2"/>
        <v>168.13132993187386</v>
      </c>
      <c r="I34" s="130">
        <f t="shared" si="2"/>
        <v>174.16849315146831</v>
      </c>
      <c r="J34" s="144"/>
      <c r="M34" s="10"/>
    </row>
    <row r="35" spans="1:14" s="7" customFormat="1" ht="30.75" customHeight="1">
      <c r="A35" s="7">
        <v>21</v>
      </c>
      <c r="B35" s="137" t="s">
        <v>278</v>
      </c>
      <c r="C35" s="144" t="s">
        <v>61</v>
      </c>
      <c r="D35" s="130">
        <f>'Input Data'!L40</f>
        <v>147.83000000000001</v>
      </c>
      <c r="E35" s="130">
        <f t="shared" si="2"/>
        <v>151.91366595016004</v>
      </c>
      <c r="F35" s="130">
        <f t="shared" si="2"/>
        <v>156.58889518099591</v>
      </c>
      <c r="G35" s="130">
        <f t="shared" si="2"/>
        <v>162.06842429536451</v>
      </c>
      <c r="H35" s="130">
        <f t="shared" si="2"/>
        <v>168.13132993187386</v>
      </c>
      <c r="I35" s="130">
        <f t="shared" si="2"/>
        <v>174.16849315146831</v>
      </c>
      <c r="J35" s="144" t="s">
        <v>257</v>
      </c>
      <c r="M35" s="10"/>
    </row>
    <row r="36" spans="1:14" s="7" customFormat="1" ht="30" customHeight="1">
      <c r="A36" s="7">
        <v>22</v>
      </c>
      <c r="B36" s="137" t="s">
        <v>279</v>
      </c>
      <c r="C36" s="144" t="s">
        <v>60</v>
      </c>
      <c r="D36" s="141">
        <f>'Fee Breakdown'!H181</f>
        <v>51.13</v>
      </c>
      <c r="E36" s="130">
        <f t="shared" si="2"/>
        <v>52.542418589134023</v>
      </c>
      <c r="F36" s="130">
        <f t="shared" si="2"/>
        <v>54.159441321817766</v>
      </c>
      <c r="G36" s="130">
        <f t="shared" si="2"/>
        <v>56.054647461421816</v>
      </c>
      <c r="H36" s="130">
        <f t="shared" si="2"/>
        <v>58.151626188302174</v>
      </c>
      <c r="I36" s="130">
        <f t="shared" si="2"/>
        <v>60.239701378844444</v>
      </c>
      <c r="J36" s="144"/>
      <c r="M36" s="10"/>
    </row>
    <row r="37" spans="1:14" s="7" customFormat="1" ht="30" customHeight="1">
      <c r="A37" s="7">
        <v>23</v>
      </c>
      <c r="B37" s="137" t="s">
        <v>280</v>
      </c>
      <c r="C37" s="144" t="s">
        <v>60</v>
      </c>
      <c r="D37" s="141">
        <f>'Fee Breakdown'!H190</f>
        <v>68.173333333333332</v>
      </c>
      <c r="E37" s="130">
        <f t="shared" si="2"/>
        <v>70.056558118845359</v>
      </c>
      <c r="F37" s="130">
        <f t="shared" si="2"/>
        <v>72.212588429090346</v>
      </c>
      <c r="G37" s="130">
        <f t="shared" si="2"/>
        <v>74.739529948562421</v>
      </c>
      <c r="H37" s="130">
        <f t="shared" si="2"/>
        <v>77.535501584402894</v>
      </c>
      <c r="I37" s="130">
        <f t="shared" si="2"/>
        <v>80.319601838459249</v>
      </c>
      <c r="J37" s="144"/>
      <c r="M37" s="10"/>
    </row>
    <row r="38" spans="1:14" s="7" customFormat="1">
      <c r="A38" s="7">
        <v>24</v>
      </c>
      <c r="B38" s="136" t="s">
        <v>281</v>
      </c>
      <c r="C38" s="144" t="s">
        <v>61</v>
      </c>
      <c r="D38" s="140">
        <f>'Input Data'!L40</f>
        <v>147.83000000000001</v>
      </c>
      <c r="E38" s="130">
        <f t="shared" si="2"/>
        <v>151.91366595016004</v>
      </c>
      <c r="F38" s="130">
        <f t="shared" si="2"/>
        <v>156.58889518099591</v>
      </c>
      <c r="G38" s="130">
        <f t="shared" si="2"/>
        <v>162.06842429536451</v>
      </c>
      <c r="H38" s="130">
        <f t="shared" si="2"/>
        <v>168.13132993187386</v>
      </c>
      <c r="I38" s="130">
        <f t="shared" si="2"/>
        <v>174.16849315146831</v>
      </c>
      <c r="J38" s="144" t="s">
        <v>257</v>
      </c>
      <c r="M38" s="10"/>
    </row>
    <row r="39" spans="1:14" s="7" customFormat="1">
      <c r="A39" s="7">
        <v>25</v>
      </c>
      <c r="B39" s="136" t="s">
        <v>282</v>
      </c>
      <c r="C39" s="144" t="s">
        <v>61</v>
      </c>
      <c r="D39" s="140">
        <f>'Input Data'!L40</f>
        <v>147.83000000000001</v>
      </c>
      <c r="E39" s="130">
        <f t="shared" si="2"/>
        <v>151.91366595016004</v>
      </c>
      <c r="F39" s="130">
        <f t="shared" si="2"/>
        <v>156.58889518099591</v>
      </c>
      <c r="G39" s="130">
        <f t="shared" si="2"/>
        <v>162.06842429536451</v>
      </c>
      <c r="H39" s="130">
        <f t="shared" si="2"/>
        <v>168.13132993187386</v>
      </c>
      <c r="I39" s="130">
        <f t="shared" si="2"/>
        <v>174.16849315146831</v>
      </c>
      <c r="J39" s="144" t="s">
        <v>257</v>
      </c>
      <c r="M39" s="10"/>
    </row>
    <row r="40" spans="1:14" s="7" customFormat="1" ht="30" customHeight="1">
      <c r="A40" s="7">
        <v>26</v>
      </c>
      <c r="B40" s="213" t="s">
        <v>313</v>
      </c>
      <c r="C40" s="214" t="s">
        <v>60</v>
      </c>
      <c r="D40" s="215">
        <f>'Fee Breakdown'!H214</f>
        <v>30.678000000000001</v>
      </c>
      <c r="E40" s="216">
        <f t="shared" si="2"/>
        <v>31.525451153480411</v>
      </c>
      <c r="F40" s="216">
        <f t="shared" si="2"/>
        <v>32.495664793090661</v>
      </c>
      <c r="G40" s="216">
        <f t="shared" si="2"/>
        <v>33.632788476853086</v>
      </c>
      <c r="H40" s="216">
        <f t="shared" si="2"/>
        <v>34.890975712981309</v>
      </c>
      <c r="I40" s="216">
        <f t="shared" si="2"/>
        <v>36.143820827306669</v>
      </c>
      <c r="J40" s="207"/>
      <c r="M40" s="10"/>
    </row>
    <row r="41" spans="1:14" s="7" customFormat="1" ht="30" customHeight="1">
      <c r="A41" s="7">
        <v>27</v>
      </c>
      <c r="B41" s="213" t="s">
        <v>310</v>
      </c>
      <c r="C41" s="214" t="s">
        <v>60</v>
      </c>
      <c r="D41" s="215">
        <f>'Fee Breakdown'!H222</f>
        <v>30.678000000000001</v>
      </c>
      <c r="E41" s="216">
        <f t="shared" si="2"/>
        <v>31.525451153480411</v>
      </c>
      <c r="F41" s="216">
        <f t="shared" si="2"/>
        <v>32.495664793090661</v>
      </c>
      <c r="G41" s="216">
        <f t="shared" si="2"/>
        <v>33.632788476853086</v>
      </c>
      <c r="H41" s="216">
        <f t="shared" si="2"/>
        <v>34.890975712981309</v>
      </c>
      <c r="I41" s="216">
        <f t="shared" si="2"/>
        <v>36.143820827306669</v>
      </c>
      <c r="J41" s="207"/>
      <c r="M41" s="10"/>
    </row>
    <row r="42" spans="1:14" s="7" customFormat="1">
      <c r="B42" s="135"/>
      <c r="C42" s="67"/>
      <c r="D42" s="67"/>
      <c r="E42" s="67"/>
      <c r="F42" s="67"/>
      <c r="G42" s="67"/>
      <c r="H42" s="67"/>
      <c r="I42" s="67"/>
      <c r="J42" s="67"/>
      <c r="M42" s="10"/>
    </row>
    <row r="43" spans="1:14" s="7" customFormat="1">
      <c r="B43" s="88"/>
      <c r="C43" s="67"/>
      <c r="D43" s="67"/>
      <c r="E43" s="67"/>
      <c r="F43" s="67"/>
      <c r="G43" s="67"/>
      <c r="H43" s="67"/>
      <c r="I43" s="67"/>
      <c r="J43" s="67"/>
      <c r="M43" s="10"/>
    </row>
    <row r="44" spans="1:14" s="7" customFormat="1">
      <c r="B44" s="69"/>
      <c r="C44" s="46"/>
      <c r="D44" s="70"/>
      <c r="E44" s="70"/>
      <c r="F44" s="70"/>
      <c r="G44" s="70"/>
      <c r="H44" s="70"/>
      <c r="I44" s="70"/>
      <c r="J44" s="67"/>
      <c r="M44" s="10"/>
    </row>
    <row r="45" spans="1:14" s="7" customFormat="1">
      <c r="B45" s="69"/>
      <c r="C45" s="46"/>
      <c r="D45" s="70"/>
      <c r="E45" s="70"/>
      <c r="F45" s="70"/>
      <c r="G45" s="70"/>
      <c r="H45" s="70"/>
      <c r="I45" s="70"/>
      <c r="J45" s="70"/>
      <c r="M45" s="10"/>
    </row>
    <row r="46" spans="1:14" s="7" customFormat="1" ht="15" customHeight="1">
      <c r="B46" s="81"/>
      <c r="C46" s="82"/>
      <c r="D46" s="225" t="s">
        <v>95</v>
      </c>
      <c r="E46" s="226"/>
      <c r="F46" s="225" t="s">
        <v>94</v>
      </c>
      <c r="G46" s="233"/>
      <c r="H46" s="233"/>
      <c r="I46" s="226"/>
      <c r="J46" s="70"/>
      <c r="N46" s="10"/>
    </row>
    <row r="47" spans="1:14" s="7" customFormat="1">
      <c r="B47" s="76" t="s">
        <v>16</v>
      </c>
      <c r="C47" s="46"/>
      <c r="D47" s="29" t="s">
        <v>334</v>
      </c>
      <c r="E47" s="29" t="s">
        <v>88</v>
      </c>
      <c r="F47" s="29" t="s">
        <v>7</v>
      </c>
      <c r="G47" s="29" t="s">
        <v>8</v>
      </c>
      <c r="H47" s="29" t="s">
        <v>9</v>
      </c>
      <c r="I47" s="29" t="s">
        <v>10</v>
      </c>
      <c r="J47" s="70"/>
      <c r="N47" s="10"/>
    </row>
    <row r="48" spans="1:14" s="7" customFormat="1">
      <c r="B48" s="71"/>
      <c r="C48" s="46"/>
      <c r="D48" s="85"/>
      <c r="E48" s="70"/>
      <c r="F48" s="70"/>
      <c r="G48" s="70"/>
      <c r="H48" s="70"/>
      <c r="I48" s="70"/>
      <c r="J48" s="70"/>
      <c r="N48" s="10"/>
    </row>
    <row r="49" spans="2:14" s="7" customFormat="1">
      <c r="B49" s="59" t="s">
        <v>98</v>
      </c>
      <c r="C49" s="144" t="s">
        <v>60</v>
      </c>
      <c r="D49" s="86">
        <v>52.44</v>
      </c>
      <c r="E49" s="72">
        <f>'15-19 prices'!J136</f>
        <v>52.435770314618971</v>
      </c>
      <c r="F49" s="72">
        <f t="shared" ref="F49:I66" si="3">$E49*E$263</f>
        <v>54.288483133832507</v>
      </c>
      <c r="G49" s="72">
        <f t="shared" si="3"/>
        <v>55.697001219370939</v>
      </c>
      <c r="H49" s="72">
        <f t="shared" si="3"/>
        <v>57.034378421949327</v>
      </c>
      <c r="I49" s="72">
        <f t="shared" si="3"/>
        <v>58.757329959697977</v>
      </c>
      <c r="J49" s="144"/>
      <c r="N49" s="10"/>
    </row>
    <row r="50" spans="2:14" s="7" customFormat="1">
      <c r="B50" s="59" t="s">
        <v>99</v>
      </c>
      <c r="C50" s="144" t="s">
        <v>60</v>
      </c>
      <c r="D50" s="86">
        <v>9.73</v>
      </c>
      <c r="E50" s="72">
        <f>'15-19 prices'!J137</f>
        <v>9.6966147776461415</v>
      </c>
      <c r="F50" s="72">
        <f t="shared" si="3"/>
        <v>10.039225220741164</v>
      </c>
      <c r="G50" s="72">
        <f t="shared" si="3"/>
        <v>10.299693546101228</v>
      </c>
      <c r="H50" s="72">
        <f t="shared" si="3"/>
        <v>10.547006238715438</v>
      </c>
      <c r="I50" s="72">
        <f t="shared" si="3"/>
        <v>10.86562075018079</v>
      </c>
      <c r="J50" s="144"/>
      <c r="N50" s="10"/>
    </row>
    <row r="51" spans="2:14" s="7" customFormat="1">
      <c r="B51" s="59" t="s">
        <v>100</v>
      </c>
      <c r="C51" s="144" t="s">
        <v>60</v>
      </c>
      <c r="D51" s="86">
        <v>548.62</v>
      </c>
      <c r="E51" s="72">
        <f>'15-19 prices'!J138</f>
        <v>548.68429811467036</v>
      </c>
      <c r="F51" s="72">
        <f t="shared" si="3"/>
        <v>568.07095776930726</v>
      </c>
      <c r="G51" s="72">
        <f t="shared" si="3"/>
        <v>582.80959424796333</v>
      </c>
      <c r="H51" s="72">
        <f t="shared" si="3"/>
        <v>596.80381741486701</v>
      </c>
      <c r="I51" s="72">
        <f t="shared" si="3"/>
        <v>614.8326639351526</v>
      </c>
      <c r="J51" s="144"/>
      <c r="N51" s="10"/>
    </row>
    <row r="52" spans="2:14" s="7" customFormat="1">
      <c r="B52" s="59" t="s">
        <v>101</v>
      </c>
      <c r="C52" s="144" t="s">
        <v>61</v>
      </c>
      <c r="D52" s="72">
        <v>0</v>
      </c>
      <c r="E52" s="72">
        <f>'15-19 prices'!J139</f>
        <v>0</v>
      </c>
      <c r="F52" s="72">
        <f t="shared" si="3"/>
        <v>0</v>
      </c>
      <c r="G52" s="72">
        <f t="shared" si="3"/>
        <v>0</v>
      </c>
      <c r="H52" s="72">
        <f t="shared" si="3"/>
        <v>0</v>
      </c>
      <c r="I52" s="72">
        <f t="shared" si="3"/>
        <v>0</v>
      </c>
      <c r="J52" s="144"/>
      <c r="N52" s="10"/>
    </row>
    <row r="53" spans="2:14" s="7" customFormat="1">
      <c r="B53" s="59" t="s">
        <v>102</v>
      </c>
      <c r="C53" s="144" t="s">
        <v>60</v>
      </c>
      <c r="D53" s="85">
        <v>13.84</v>
      </c>
      <c r="E53" s="72">
        <f>'15-19 prices'!J140</f>
        <v>13.839440905556877</v>
      </c>
      <c r="F53" s="72">
        <f t="shared" si="3"/>
        <v>14.328429804215716</v>
      </c>
      <c r="G53" s="72">
        <f t="shared" si="3"/>
        <v>14.700181810379771</v>
      </c>
      <c r="H53" s="72">
        <f t="shared" si="3"/>
        <v>15.053157510983954</v>
      </c>
      <c r="I53" s="72">
        <f t="shared" si="3"/>
        <v>15.507898346233263</v>
      </c>
      <c r="J53" s="144"/>
      <c r="N53" s="10"/>
    </row>
    <row r="54" spans="2:14" s="7" customFormat="1" ht="43.5" customHeight="1">
      <c r="B54" s="89" t="s">
        <v>103</v>
      </c>
      <c r="C54" s="144" t="s">
        <v>60</v>
      </c>
      <c r="D54" s="86">
        <v>156.88999999999999</v>
      </c>
      <c r="E54" s="72">
        <f>'15-19 prices'!J141</f>
        <v>156.8870242352283</v>
      </c>
      <c r="F54" s="72">
        <f t="shared" si="3"/>
        <v>162.4303127046233</v>
      </c>
      <c r="G54" s="72">
        <f t="shared" si="3"/>
        <v>166.64457731246137</v>
      </c>
      <c r="H54" s="72">
        <f t="shared" si="3"/>
        <v>170.64598948460335</v>
      </c>
      <c r="I54" s="72">
        <f t="shared" si="3"/>
        <v>175.8010341809437</v>
      </c>
      <c r="J54" s="144"/>
      <c r="N54" s="10"/>
    </row>
    <row r="55" spans="2:14" s="7" customFormat="1">
      <c r="B55" s="59" t="s">
        <v>104</v>
      </c>
      <c r="C55" s="144" t="s">
        <v>60</v>
      </c>
      <c r="D55" s="86">
        <v>198.71</v>
      </c>
      <c r="E55" s="72">
        <f>'15-19 prices'!J142</f>
        <v>198.52542886864995</v>
      </c>
      <c r="F55" s="72">
        <f t="shared" si="3"/>
        <v>205.53992688780593</v>
      </c>
      <c r="G55" s="72">
        <f t="shared" si="3"/>
        <v>210.87267312807251</v>
      </c>
      <c r="H55" s="72">
        <f t="shared" si="3"/>
        <v>215.93607509791082</v>
      </c>
      <c r="I55" s="72">
        <f t="shared" si="3"/>
        <v>222.45928799054354</v>
      </c>
      <c r="J55" s="144"/>
      <c r="N55" s="10"/>
    </row>
    <row r="56" spans="2:14" s="7" customFormat="1">
      <c r="B56" s="59" t="s">
        <v>105</v>
      </c>
      <c r="C56" s="144" t="s">
        <v>60</v>
      </c>
      <c r="D56" s="86">
        <v>42.2</v>
      </c>
      <c r="E56" s="72">
        <f>'15-19 prices'!J143</f>
        <v>41.918595772507423</v>
      </c>
      <c r="F56" s="72">
        <f t="shared" si="3"/>
        <v>43.399705314432133</v>
      </c>
      <c r="G56" s="72">
        <f t="shared" si="3"/>
        <v>44.525713379378793</v>
      </c>
      <c r="H56" s="72">
        <f t="shared" si="3"/>
        <v>45.594849467470567</v>
      </c>
      <c r="I56" s="72">
        <f t="shared" si="3"/>
        <v>46.972224275033369</v>
      </c>
      <c r="J56" s="144"/>
      <c r="N56" s="10"/>
    </row>
    <row r="57" spans="2:14" s="7" customFormat="1">
      <c r="B57" s="59" t="s">
        <v>106</v>
      </c>
      <c r="C57" s="144" t="s">
        <v>60</v>
      </c>
      <c r="D57" s="86">
        <v>138.76</v>
      </c>
      <c r="E57" s="72">
        <f>'15-19 prices'!J144</f>
        <v>138.76466163221778</v>
      </c>
      <c r="F57" s="72">
        <f t="shared" si="3"/>
        <v>143.66763275130825</v>
      </c>
      <c r="G57" s="72">
        <f t="shared" si="3"/>
        <v>147.39509845591922</v>
      </c>
      <c r="H57" s="72">
        <f t="shared" si="3"/>
        <v>150.93429877426931</v>
      </c>
      <c r="I57" s="72">
        <f t="shared" si="3"/>
        <v>155.49387300594117</v>
      </c>
      <c r="J57" s="144"/>
      <c r="N57" s="10"/>
    </row>
    <row r="58" spans="2:14" s="7" customFormat="1" ht="28.8">
      <c r="B58" s="89" t="s">
        <v>107</v>
      </c>
      <c r="C58" s="144" t="s">
        <v>60</v>
      </c>
      <c r="D58" s="86">
        <v>233.2</v>
      </c>
      <c r="E58" s="72">
        <f>'15-19 prices'!J145</f>
        <v>233.35919155284626</v>
      </c>
      <c r="F58" s="72">
        <f t="shared" si="3"/>
        <v>241.6044707406439</v>
      </c>
      <c r="G58" s="72">
        <f t="shared" si="3"/>
        <v>247.87291382361263</v>
      </c>
      <c r="H58" s="72">
        <f t="shared" si="3"/>
        <v>253.82475282440043</v>
      </c>
      <c r="I58" s="72">
        <f t="shared" si="3"/>
        <v>261.49254478247269</v>
      </c>
      <c r="J58" s="144"/>
      <c r="N58" s="10"/>
    </row>
    <row r="59" spans="2:14" s="7" customFormat="1">
      <c r="B59" s="59" t="s">
        <v>108</v>
      </c>
      <c r="C59" s="144" t="s">
        <v>60</v>
      </c>
      <c r="D59" s="86">
        <v>742.07</v>
      </c>
      <c r="E59" s="72">
        <f>'15-19 prices'!J146</f>
        <v>370.69287701044755</v>
      </c>
      <c r="F59" s="72">
        <f t="shared" si="3"/>
        <v>383.79056664307086</v>
      </c>
      <c r="G59" s="72">
        <f t="shared" si="3"/>
        <v>393.74803686457574</v>
      </c>
      <c r="H59" s="72">
        <f t="shared" si="3"/>
        <v>403.20257905776543</v>
      </c>
      <c r="I59" s="72">
        <f t="shared" si="3"/>
        <v>415.38292576852132</v>
      </c>
      <c r="J59" s="144"/>
      <c r="N59" s="10"/>
    </row>
    <row r="60" spans="2:14" s="7" customFormat="1">
      <c r="B60" s="59" t="s">
        <v>109</v>
      </c>
      <c r="C60" s="144" t="s">
        <v>60</v>
      </c>
      <c r="D60" s="73">
        <v>309.33</v>
      </c>
      <c r="E60" s="72">
        <f>'15-19 prices'!J147</f>
        <v>309.54116090498252</v>
      </c>
      <c r="F60" s="72">
        <f t="shared" si="3"/>
        <v>320.47817724787035</v>
      </c>
      <c r="G60" s="72">
        <f t="shared" si="3"/>
        <v>328.79300357229027</v>
      </c>
      <c r="H60" s="72">
        <f t="shared" si="3"/>
        <v>336.68786788667143</v>
      </c>
      <c r="I60" s="72">
        <f t="shared" si="3"/>
        <v>346.85887168765976</v>
      </c>
      <c r="J60" s="144"/>
      <c r="N60" s="10"/>
    </row>
    <row r="61" spans="2:14" s="7" customFormat="1">
      <c r="B61" s="89" t="s">
        <v>110</v>
      </c>
      <c r="C61" s="144" t="s">
        <v>60</v>
      </c>
      <c r="D61" s="74">
        <v>95.595212560220432</v>
      </c>
      <c r="E61" s="72">
        <f>'15-19 prices'!J148</f>
        <v>95.595212560220432</v>
      </c>
      <c r="F61" s="72">
        <f t="shared" si="3"/>
        <v>98.97287774379808</v>
      </c>
      <c r="G61" s="72">
        <f t="shared" si="3"/>
        <v>101.5407352382921</v>
      </c>
      <c r="H61" s="72">
        <f t="shared" si="3"/>
        <v>103.97889638642785</v>
      </c>
      <c r="I61" s="72">
        <f t="shared" si="3"/>
        <v>107.11999486736542</v>
      </c>
      <c r="J61" s="144"/>
      <c r="N61" s="10"/>
    </row>
    <row r="62" spans="2:14" s="7" customFormat="1">
      <c r="B62" s="59" t="s">
        <v>111</v>
      </c>
      <c r="C62" s="144" t="s">
        <v>60</v>
      </c>
      <c r="D62" s="84">
        <v>48.99</v>
      </c>
      <c r="E62" s="72">
        <f>'15-19 prices'!J149</f>
        <v>0</v>
      </c>
      <c r="F62" s="72">
        <f t="shared" si="3"/>
        <v>0</v>
      </c>
      <c r="G62" s="72">
        <f t="shared" si="3"/>
        <v>0</v>
      </c>
      <c r="H62" s="72">
        <f t="shared" si="3"/>
        <v>0</v>
      </c>
      <c r="I62" s="72">
        <f t="shared" si="3"/>
        <v>0</v>
      </c>
      <c r="J62" s="144"/>
      <c r="N62" s="10"/>
    </row>
    <row r="63" spans="2:14" s="7" customFormat="1">
      <c r="B63" s="89" t="s">
        <v>112</v>
      </c>
      <c r="C63" s="144" t="s">
        <v>60</v>
      </c>
      <c r="D63" s="84">
        <v>24.416656406043945</v>
      </c>
      <c r="E63" s="72">
        <f>'15-19 prices'!J150</f>
        <v>24.416656406043945</v>
      </c>
      <c r="F63" s="72">
        <f t="shared" si="3"/>
        <v>25.279370008883834</v>
      </c>
      <c r="G63" s="72">
        <f t="shared" si="3"/>
        <v>25.935244842607837</v>
      </c>
      <c r="H63" s="72">
        <f t="shared" si="3"/>
        <v>26.557993005640522</v>
      </c>
      <c r="I63" s="72">
        <f t="shared" si="3"/>
        <v>27.360283416347908</v>
      </c>
      <c r="J63" s="144"/>
      <c r="N63" s="10"/>
    </row>
    <row r="64" spans="2:14" s="7" customFormat="1" ht="28.8">
      <c r="B64" s="89" t="s">
        <v>113</v>
      </c>
      <c r="C64" s="144" t="s">
        <v>60</v>
      </c>
      <c r="D64" s="70">
        <v>75.3714164140668</v>
      </c>
      <c r="E64" s="72">
        <f>'15-19 prices'!J151</f>
        <v>75.3714164140668</v>
      </c>
      <c r="F64" s="72">
        <f t="shared" si="3"/>
        <v>78.034514306111902</v>
      </c>
      <c r="G64" s="72">
        <f t="shared" si="3"/>
        <v>80.059124653492717</v>
      </c>
      <c r="H64" s="72">
        <f t="shared" si="3"/>
        <v>81.981476769870667</v>
      </c>
      <c r="I64" s="72">
        <f t="shared" si="3"/>
        <v>84.458055201611657</v>
      </c>
      <c r="J64" s="144"/>
      <c r="N64" s="10"/>
    </row>
    <row r="65" spans="1:27" s="7" customFormat="1">
      <c r="B65" s="59" t="s">
        <v>114</v>
      </c>
      <c r="C65" s="144" t="s">
        <v>60</v>
      </c>
      <c r="D65" s="72">
        <v>136.15287994288278</v>
      </c>
      <c r="E65" s="72">
        <f>'15-19 prices'!J152</f>
        <v>136.15287994288278</v>
      </c>
      <c r="F65" s="72">
        <f t="shared" si="3"/>
        <v>140.96356899216127</v>
      </c>
      <c r="G65" s="72">
        <f t="shared" si="3"/>
        <v>144.62087759365667</v>
      </c>
      <c r="H65" s="72">
        <f t="shared" si="3"/>
        <v>148.09346427653483</v>
      </c>
      <c r="I65" s="72">
        <f t="shared" si="3"/>
        <v>152.56721973886465</v>
      </c>
      <c r="J65" s="144"/>
      <c r="N65" s="10"/>
    </row>
    <row r="66" spans="1:27" s="7" customFormat="1">
      <c r="B66" s="59" t="s">
        <v>115</v>
      </c>
      <c r="C66" s="144" t="s">
        <v>60</v>
      </c>
      <c r="D66" s="72">
        <v>34.753708073028946</v>
      </c>
      <c r="E66" s="72">
        <f>'15-19 prices'!J153</f>
        <v>34.753708073028946</v>
      </c>
      <c r="F66" s="72">
        <f t="shared" si="3"/>
        <v>35.98166067248097</v>
      </c>
      <c r="G66" s="72">
        <f t="shared" si="3"/>
        <v>36.915207105892222</v>
      </c>
      <c r="H66" s="72">
        <f t="shared" si="3"/>
        <v>37.801602339585877</v>
      </c>
      <c r="I66" s="72">
        <f t="shared" si="3"/>
        <v>38.94355094466242</v>
      </c>
      <c r="J66" s="144"/>
      <c r="N66" s="10"/>
    </row>
    <row r="67" spans="1:27" s="7" customFormat="1">
      <c r="B67" s="78"/>
      <c r="C67" s="87"/>
      <c r="D67" s="90"/>
      <c r="E67" s="90"/>
      <c r="F67" s="90"/>
      <c r="G67" s="90"/>
      <c r="H67" s="90"/>
      <c r="I67" s="70"/>
      <c r="J67" s="67"/>
      <c r="M67" s="10"/>
    </row>
    <row r="68" spans="1:27" s="7" customFormat="1">
      <c r="B68" s="78"/>
      <c r="C68" s="23"/>
      <c r="D68" s="23"/>
      <c r="E68" s="23"/>
      <c r="F68" s="23"/>
      <c r="G68" s="23"/>
      <c r="H68" s="23"/>
      <c r="I68" s="70"/>
      <c r="J68" s="67"/>
      <c r="M68" s="10"/>
    </row>
    <row r="69" spans="1:27" s="7" customFormat="1">
      <c r="M69" s="10"/>
    </row>
    <row r="70" spans="1:27" s="2" customFormat="1">
      <c r="A70" s="7"/>
      <c r="B70" s="1" t="s">
        <v>66</v>
      </c>
      <c r="C70" s="1"/>
      <c r="D70" s="1"/>
      <c r="E70" s="4"/>
      <c r="F70" s="4"/>
      <c r="G70" s="4"/>
      <c r="H70" s="4"/>
      <c r="I70" s="4"/>
      <c r="J70" s="4"/>
      <c r="K70" s="7"/>
      <c r="L70" s="7"/>
      <c r="M70" s="14"/>
      <c r="N70" s="7"/>
      <c r="O70" s="7"/>
      <c r="P70" s="7"/>
      <c r="Q70" s="7"/>
      <c r="R70" s="7"/>
      <c r="S70" s="7"/>
      <c r="T70" s="7"/>
      <c r="U70" s="7"/>
      <c r="V70" s="7"/>
      <c r="W70" s="7"/>
      <c r="X70" s="7"/>
      <c r="Y70" s="7"/>
      <c r="Z70" s="7"/>
      <c r="AA70" s="7"/>
    </row>
    <row r="71" spans="1:27" s="2" customFormat="1" ht="61.95" customHeight="1">
      <c r="A71" s="7"/>
      <c r="B71" s="230" t="s">
        <v>92</v>
      </c>
      <c r="C71" s="230"/>
      <c r="D71" s="230"/>
      <c r="E71" s="230"/>
      <c r="F71" s="230"/>
      <c r="G71" s="230"/>
      <c r="H71" s="13"/>
      <c r="I71" s="13"/>
      <c r="J71" s="13"/>
      <c r="K71" s="7"/>
      <c r="L71" s="7"/>
      <c r="M71" s="10"/>
      <c r="N71" s="7"/>
      <c r="O71" s="7"/>
      <c r="P71" s="7"/>
      <c r="Q71" s="7"/>
      <c r="R71" s="7"/>
      <c r="S71" s="7"/>
      <c r="T71" s="7"/>
      <c r="U71" s="7"/>
      <c r="V71" s="7"/>
      <c r="W71" s="7"/>
      <c r="X71" s="7"/>
      <c r="Y71" s="7"/>
      <c r="Z71" s="7"/>
      <c r="AA71" s="7"/>
    </row>
    <row r="72" spans="1:27" s="7" customFormat="1">
      <c r="M72" s="10"/>
    </row>
    <row r="73" spans="1:27" s="2" customFormat="1">
      <c r="A73" s="7"/>
      <c r="B73" s="1" t="s">
        <v>4</v>
      </c>
      <c r="C73" s="1"/>
      <c r="D73" s="1"/>
      <c r="E73" s="4"/>
      <c r="F73" s="4"/>
      <c r="G73" s="4"/>
      <c r="H73" s="4"/>
      <c r="I73" s="4"/>
      <c r="J73" s="4"/>
      <c r="K73" s="7"/>
      <c r="L73" s="7"/>
      <c r="M73" s="14"/>
      <c r="N73" s="7"/>
      <c r="O73" s="7"/>
      <c r="P73" s="7"/>
      <c r="Q73" s="7"/>
      <c r="R73" s="7"/>
      <c r="S73" s="7"/>
      <c r="T73" s="7"/>
      <c r="U73" s="7"/>
      <c r="V73" s="7"/>
      <c r="W73" s="7"/>
      <c r="X73" s="7"/>
      <c r="Y73" s="7"/>
      <c r="Z73" s="7"/>
      <c r="AA73" s="7"/>
    </row>
    <row r="74" spans="1:27" s="2" customFormat="1" ht="57" customHeight="1">
      <c r="A74" s="7"/>
      <c r="B74" s="12" t="s">
        <v>289</v>
      </c>
      <c r="C74" s="12"/>
      <c r="D74" s="12"/>
      <c r="E74" s="11"/>
      <c r="F74" s="11"/>
      <c r="G74" s="11"/>
      <c r="H74" s="11"/>
      <c r="I74" s="11"/>
      <c r="J74" s="11"/>
      <c r="K74" s="7"/>
      <c r="L74" s="7"/>
      <c r="M74" s="10"/>
      <c r="N74" s="7"/>
      <c r="O74" s="7"/>
      <c r="P74" s="7"/>
      <c r="Q74" s="7"/>
      <c r="R74" s="7"/>
      <c r="S74" s="7"/>
      <c r="T74" s="7"/>
      <c r="U74" s="7"/>
      <c r="V74" s="7"/>
      <c r="W74" s="7"/>
      <c r="X74" s="7"/>
      <c r="Y74" s="7"/>
      <c r="Z74" s="7"/>
      <c r="AA74" s="7"/>
    </row>
    <row r="75" spans="1:27" s="2" customFormat="1">
      <c r="A75" s="7"/>
      <c r="B75" s="25"/>
      <c r="C75" s="25"/>
      <c r="D75" s="25"/>
      <c r="E75" s="13"/>
      <c r="F75" s="13"/>
      <c r="G75" s="13"/>
      <c r="H75" s="13"/>
      <c r="I75" s="13"/>
      <c r="J75" s="13"/>
      <c r="K75" s="7"/>
      <c r="L75" s="7"/>
      <c r="M75" s="10"/>
      <c r="N75" s="7"/>
      <c r="O75" s="7"/>
      <c r="P75" s="7"/>
      <c r="Q75" s="7"/>
      <c r="R75" s="7"/>
      <c r="S75" s="7"/>
      <c r="T75" s="7"/>
      <c r="U75" s="7"/>
      <c r="V75" s="7"/>
      <c r="W75" s="7"/>
      <c r="X75" s="7"/>
      <c r="Y75" s="7"/>
      <c r="Z75" s="7"/>
      <c r="AA75" s="7"/>
    </row>
    <row r="76" spans="1:27" s="2" customFormat="1" ht="93.6" customHeight="1">
      <c r="A76" s="7"/>
      <c r="B76" s="231" t="s">
        <v>306</v>
      </c>
      <c r="C76" s="232"/>
      <c r="D76" s="232"/>
      <c r="E76" s="232"/>
      <c r="F76" s="232"/>
      <c r="G76" s="232"/>
      <c r="H76" s="13"/>
      <c r="I76" s="13"/>
      <c r="J76" s="13"/>
      <c r="K76" s="7"/>
      <c r="L76" s="7"/>
      <c r="M76" s="10"/>
      <c r="N76" s="7"/>
      <c r="O76" s="7"/>
      <c r="P76" s="7"/>
      <c r="Q76" s="7"/>
      <c r="R76" s="7"/>
      <c r="S76" s="7"/>
      <c r="T76" s="7"/>
      <c r="U76" s="7"/>
      <c r="V76" s="7"/>
      <c r="W76" s="7"/>
      <c r="X76" s="7"/>
      <c r="Y76" s="7"/>
      <c r="Z76" s="7"/>
      <c r="AA76" s="7"/>
    </row>
    <row r="77" spans="1:27" s="2" customFormat="1" ht="15" customHeight="1">
      <c r="A77" s="7"/>
      <c r="B77" s="7"/>
      <c r="C77" s="7"/>
      <c r="D77" s="7"/>
      <c r="E77" s="7"/>
      <c r="F77" s="7"/>
      <c r="G77" s="7"/>
      <c r="H77" s="7"/>
      <c r="I77" s="7"/>
      <c r="J77" s="7"/>
      <c r="K77" s="7"/>
      <c r="L77" s="7"/>
      <c r="M77" s="10"/>
      <c r="N77" s="7"/>
      <c r="O77" s="7"/>
      <c r="P77" s="7"/>
      <c r="Q77" s="7"/>
      <c r="R77" s="7"/>
      <c r="S77" s="7"/>
      <c r="T77" s="7"/>
      <c r="U77" s="7"/>
      <c r="V77" s="7"/>
      <c r="W77" s="7"/>
      <c r="X77" s="7"/>
      <c r="Y77" s="7"/>
      <c r="Z77" s="7"/>
      <c r="AA77" s="7"/>
    </row>
    <row r="78" spans="1:27" s="2" customFormat="1" ht="14.4" customHeight="1">
      <c r="A78" s="7"/>
      <c r="B78" s="1" t="s">
        <v>90</v>
      </c>
      <c r="C78" s="1"/>
      <c r="D78" s="1"/>
      <c r="E78" s="4"/>
      <c r="F78" s="4"/>
      <c r="G78" s="4"/>
      <c r="H78" s="7"/>
      <c r="I78" s="7"/>
      <c r="J78" s="7"/>
      <c r="K78" s="7"/>
      <c r="L78" s="7"/>
      <c r="M78" s="7"/>
      <c r="N78" s="7"/>
      <c r="O78" s="7"/>
      <c r="P78" s="7"/>
      <c r="Q78" s="7"/>
      <c r="R78" s="7"/>
      <c r="S78" s="7"/>
      <c r="T78" s="7"/>
      <c r="U78" s="7"/>
      <c r="V78" s="7"/>
      <c r="W78" s="7"/>
      <c r="X78" s="7"/>
      <c r="Y78" s="7"/>
      <c r="Z78" s="7"/>
    </row>
    <row r="79" spans="1:27" s="7" customFormat="1"/>
    <row r="80" spans="1:27" s="7" customFormat="1">
      <c r="C80" s="222" t="s">
        <v>94</v>
      </c>
      <c r="D80" s="223"/>
      <c r="E80" s="223"/>
      <c r="F80" s="223"/>
      <c r="G80" s="224"/>
    </row>
    <row r="81" spans="1:33" s="2" customFormat="1">
      <c r="A81" s="7"/>
      <c r="B81" s="64" t="s">
        <v>18</v>
      </c>
      <c r="C81" s="29" t="s">
        <v>6</v>
      </c>
      <c r="D81" s="29" t="s">
        <v>7</v>
      </c>
      <c r="E81" s="29" t="s">
        <v>8</v>
      </c>
      <c r="F81" s="29" t="s">
        <v>9</v>
      </c>
      <c r="G81" s="29" t="s">
        <v>10</v>
      </c>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1:33" s="7" customFormat="1">
      <c r="B82" s="77"/>
      <c r="C82" s="70"/>
      <c r="D82" s="227" t="s">
        <v>266</v>
      </c>
      <c r="E82" s="228"/>
      <c r="F82" s="227" t="s">
        <v>267</v>
      </c>
      <c r="G82" s="228"/>
      <c r="I82" s="169"/>
      <c r="L82" s="10"/>
    </row>
    <row r="83" spans="1:33" s="7" customFormat="1">
      <c r="B83" s="167"/>
      <c r="C83" s="168"/>
      <c r="D83" s="168"/>
      <c r="E83" s="168"/>
      <c r="F83" s="168"/>
      <c r="G83" s="168"/>
      <c r="H83" s="168"/>
      <c r="I83" s="169"/>
      <c r="L83" s="10"/>
    </row>
    <row r="84" spans="1:33" s="7" customFormat="1">
      <c r="B84" s="170"/>
      <c r="C84" s="171"/>
      <c r="D84" s="172"/>
      <c r="E84" s="172"/>
      <c r="F84" s="172"/>
      <c r="G84" s="172"/>
      <c r="H84" s="168"/>
      <c r="I84" s="169"/>
      <c r="L84" s="10"/>
    </row>
    <row r="85" spans="1:33" s="7" customFormat="1">
      <c r="B85" s="170" t="s">
        <v>98</v>
      </c>
      <c r="C85" s="182">
        <v>646040</v>
      </c>
      <c r="D85" s="183">
        <v>731034</v>
      </c>
      <c r="E85" s="183">
        <v>1038549.6893527635</v>
      </c>
      <c r="F85" s="183">
        <f>G85/((1-$H$264)*(1+$H$266))</f>
        <v>912550.05475118919</v>
      </c>
      <c r="G85" s="183">
        <f>C126</f>
        <v>940117.27935516764</v>
      </c>
      <c r="H85" s="168"/>
      <c r="I85" s="169"/>
      <c r="L85" s="10"/>
    </row>
    <row r="86" spans="1:33" s="7" customFormat="1">
      <c r="B86" s="170" t="s">
        <v>99</v>
      </c>
      <c r="C86" s="182">
        <v>281948</v>
      </c>
      <c r="D86" s="183">
        <v>3894619.6785019999</v>
      </c>
      <c r="E86" s="183">
        <v>4836883.246993822</v>
      </c>
      <c r="F86" s="183">
        <f>G86/((1-$H$264)*(1+$H$266))</f>
        <v>4482477.6514540613</v>
      </c>
      <c r="G86" s="183">
        <f>C131</f>
        <v>4617888.8188268356</v>
      </c>
      <c r="H86" s="168"/>
      <c r="I86" s="169"/>
      <c r="L86" s="10"/>
    </row>
    <row r="87" spans="1:33" s="7" customFormat="1">
      <c r="B87" s="170" t="s">
        <v>100</v>
      </c>
      <c r="C87" s="182">
        <v>381396</v>
      </c>
      <c r="D87" s="183">
        <v>268391.54684999998</v>
      </c>
      <c r="E87" s="183">
        <v>214999.50834156558</v>
      </c>
      <c r="F87" s="183">
        <f>G87/((1-$H$264)*(1+$H$266))</f>
        <v>645728.1968998526</v>
      </c>
      <c r="G87" s="183">
        <f>C136</f>
        <v>665235</v>
      </c>
      <c r="H87" s="168"/>
      <c r="I87" s="169"/>
      <c r="L87" s="10"/>
    </row>
    <row r="88" spans="1:33" s="7" customFormat="1">
      <c r="B88" s="173" t="s">
        <v>101</v>
      </c>
      <c r="C88" s="182">
        <v>120612</v>
      </c>
      <c r="D88" s="189">
        <v>120759.57230000001</v>
      </c>
      <c r="E88" s="189">
        <v>133275.84993599899</v>
      </c>
      <c r="F88" s="190">
        <f>(E88/2)*(1-G264)*(1+G265)</f>
        <v>68238.011861875872</v>
      </c>
      <c r="G88" s="183">
        <v>0</v>
      </c>
      <c r="H88" s="168"/>
      <c r="I88" s="169"/>
      <c r="L88" s="10"/>
    </row>
    <row r="89" spans="1:33" s="7" customFormat="1">
      <c r="B89" s="170" t="s">
        <v>102</v>
      </c>
      <c r="C89" s="182">
        <v>0</v>
      </c>
      <c r="D89" s="183">
        <v>0</v>
      </c>
      <c r="E89" s="183">
        <v>0</v>
      </c>
      <c r="F89" s="183">
        <v>0</v>
      </c>
      <c r="G89" s="183">
        <v>0</v>
      </c>
      <c r="H89" s="168"/>
      <c r="I89" s="169"/>
      <c r="L89" s="10"/>
    </row>
    <row r="90" spans="1:33" s="7" customFormat="1" ht="28.8">
      <c r="B90" s="173" t="s">
        <v>103</v>
      </c>
      <c r="C90" s="182">
        <v>0</v>
      </c>
      <c r="D90" s="191">
        <v>0</v>
      </c>
      <c r="E90" s="191">
        <v>0</v>
      </c>
      <c r="F90" s="183">
        <v>0</v>
      </c>
      <c r="G90" s="183">
        <v>0</v>
      </c>
      <c r="H90" s="168"/>
      <c r="I90" s="169"/>
      <c r="L90" s="10"/>
    </row>
    <row r="91" spans="1:33" s="7" customFormat="1">
      <c r="B91" s="170" t="s">
        <v>104</v>
      </c>
      <c r="C91" s="182">
        <v>160675</v>
      </c>
      <c r="D91" s="191">
        <v>163736.08914999999</v>
      </c>
      <c r="E91" s="191">
        <v>141208.1768545933</v>
      </c>
      <c r="F91" s="183">
        <f t="shared" ref="F91:F102" si="4">G91/((1-$H$264)*(1+$H$266))</f>
        <v>172748.86007832864</v>
      </c>
      <c r="G91" s="183">
        <f>C156</f>
        <v>177967.43039243482</v>
      </c>
      <c r="H91" s="168"/>
      <c r="I91" s="169"/>
      <c r="L91" s="10"/>
    </row>
    <row r="92" spans="1:33" s="7" customFormat="1">
      <c r="B92" s="170" t="s">
        <v>105</v>
      </c>
      <c r="C92" s="182">
        <v>456085</v>
      </c>
      <c r="D92" s="191">
        <v>500149.90268</v>
      </c>
      <c r="E92" s="191">
        <v>545303.06216730131</v>
      </c>
      <c r="F92" s="183">
        <f t="shared" si="4"/>
        <v>351563.12942325312</v>
      </c>
      <c r="G92" s="183">
        <f>C161</f>
        <v>362183.50000000006</v>
      </c>
      <c r="H92" s="168"/>
      <c r="I92" s="169"/>
      <c r="L92" s="10"/>
    </row>
    <row r="93" spans="1:33" s="7" customFormat="1">
      <c r="B93" s="170" t="s">
        <v>106</v>
      </c>
      <c r="C93" s="182">
        <v>1734522</v>
      </c>
      <c r="D93" s="191">
        <v>1482454.2735019999</v>
      </c>
      <c r="E93" s="191">
        <v>1422792.4202604045</v>
      </c>
      <c r="F93" s="183">
        <f t="shared" si="4"/>
        <v>717475.77433316957</v>
      </c>
      <c r="G93" s="183">
        <f>C166</f>
        <v>739150.00000000012</v>
      </c>
      <c r="H93" s="168"/>
      <c r="I93" s="169"/>
      <c r="L93" s="10"/>
    </row>
    <row r="94" spans="1:33" s="7" customFormat="1" ht="28.8">
      <c r="B94" s="173" t="s">
        <v>107</v>
      </c>
      <c r="C94" s="182">
        <v>255053</v>
      </c>
      <c r="D94" s="191">
        <v>89214.160040000002</v>
      </c>
      <c r="E94" s="191">
        <v>146739.62456616279</v>
      </c>
      <c r="F94" s="183">
        <f t="shared" si="4"/>
        <v>28699.030973326782</v>
      </c>
      <c r="G94" s="183">
        <f>C171</f>
        <v>29566.000000000004</v>
      </c>
      <c r="H94" s="168"/>
      <c r="I94" s="169"/>
      <c r="L94" s="10"/>
    </row>
    <row r="95" spans="1:33" s="7" customFormat="1">
      <c r="B95" s="170" t="s">
        <v>108</v>
      </c>
      <c r="C95" s="182">
        <v>47768</v>
      </c>
      <c r="D95" s="191">
        <v>13224.131465999999</v>
      </c>
      <c r="E95" s="191">
        <v>54727.083587429908</v>
      </c>
      <c r="F95" s="183">
        <f t="shared" si="4"/>
        <v>20160.12895288827</v>
      </c>
      <c r="G95" s="183">
        <f>C176</f>
        <v>20769.146288426065</v>
      </c>
      <c r="H95" s="168"/>
      <c r="I95" s="169"/>
      <c r="L95" s="10"/>
    </row>
    <row r="96" spans="1:33" s="7" customFormat="1">
      <c r="B96" s="170" t="s">
        <v>109</v>
      </c>
      <c r="C96" s="182">
        <v>18586</v>
      </c>
      <c r="D96" s="191">
        <v>11247.848253999997</v>
      </c>
      <c r="E96" s="191">
        <v>11766.144274281651</v>
      </c>
      <c r="F96" s="183">
        <f t="shared" si="4"/>
        <v>11110.699640260156</v>
      </c>
      <c r="G96" s="183">
        <f>C181</f>
        <v>11446.342765692772</v>
      </c>
      <c r="H96" s="168"/>
      <c r="I96" s="169"/>
      <c r="L96" s="10"/>
    </row>
    <row r="97" spans="2:12" s="7" customFormat="1">
      <c r="B97" s="173" t="s">
        <v>110</v>
      </c>
      <c r="C97" s="182">
        <v>333876</v>
      </c>
      <c r="D97" s="191">
        <v>184588.22120000003</v>
      </c>
      <c r="E97" s="191">
        <v>116149.05847331462</v>
      </c>
      <c r="F97" s="183">
        <f t="shared" si="4"/>
        <v>145570.45494099898</v>
      </c>
      <c r="G97" s="183">
        <f>C186</f>
        <v>149967.99281431158</v>
      </c>
      <c r="H97" s="168"/>
      <c r="I97" s="169"/>
      <c r="L97" s="10"/>
    </row>
    <row r="98" spans="2:12" s="7" customFormat="1">
      <c r="B98" s="170" t="s">
        <v>111</v>
      </c>
      <c r="C98" s="182">
        <v>0</v>
      </c>
      <c r="D98" s="191">
        <v>0</v>
      </c>
      <c r="E98" s="191">
        <v>0</v>
      </c>
      <c r="F98" s="183">
        <f t="shared" si="4"/>
        <v>2481.5353001187145</v>
      </c>
      <c r="G98" s="183">
        <f>C191</f>
        <v>2556.5</v>
      </c>
      <c r="H98" s="168"/>
      <c r="I98" s="169"/>
      <c r="L98" s="10"/>
    </row>
    <row r="99" spans="2:12" s="7" customFormat="1">
      <c r="B99" s="173" t="s">
        <v>112</v>
      </c>
      <c r="C99" s="182">
        <v>0</v>
      </c>
      <c r="D99" s="191">
        <v>0</v>
      </c>
      <c r="E99" s="191">
        <v>0</v>
      </c>
      <c r="F99" s="183">
        <f t="shared" si="4"/>
        <v>1327.899650282026</v>
      </c>
      <c r="G99" s="183">
        <f>C196</f>
        <v>1368.0141708173953</v>
      </c>
      <c r="H99" s="168"/>
      <c r="I99" s="169"/>
      <c r="L99" s="10"/>
    </row>
    <row r="100" spans="2:12" s="7" customFormat="1" ht="28.8">
      <c r="B100" s="173" t="s">
        <v>113</v>
      </c>
      <c r="C100" s="182">
        <v>0</v>
      </c>
      <c r="D100" s="191">
        <v>0</v>
      </c>
      <c r="E100" s="191">
        <v>0</v>
      </c>
      <c r="F100" s="183">
        <f t="shared" si="4"/>
        <v>4099.073838493533</v>
      </c>
      <c r="G100" s="183">
        <f>C201</f>
        <v>4222.902760080583</v>
      </c>
      <c r="H100" s="168"/>
      <c r="I100" s="169"/>
      <c r="L100" s="10"/>
    </row>
    <row r="101" spans="2:12" s="7" customFormat="1">
      <c r="B101" s="170" t="s">
        <v>114</v>
      </c>
      <c r="C101" s="182">
        <v>2788242</v>
      </c>
      <c r="D101" s="183">
        <v>2282636.7306559999</v>
      </c>
      <c r="E101" s="183">
        <v>2088865.8585071219</v>
      </c>
      <c r="F101" s="183">
        <f t="shared" si="4"/>
        <v>2591635.6248393599</v>
      </c>
      <c r="G101" s="183">
        <f>C206</f>
        <v>2669926.3454301315</v>
      </c>
      <c r="H101" s="168"/>
      <c r="I101" s="169"/>
      <c r="L101" s="10"/>
    </row>
    <row r="102" spans="2:12" s="7" customFormat="1">
      <c r="B102" s="173" t="s">
        <v>115</v>
      </c>
      <c r="C102" s="182">
        <v>514352</v>
      </c>
      <c r="D102" s="174">
        <v>461035.72715000017</v>
      </c>
      <c r="E102" s="183">
        <v>588173.63668524043</v>
      </c>
      <c r="F102" s="183">
        <f t="shared" si="4"/>
        <v>756032.04679171764</v>
      </c>
      <c r="G102" s="183">
        <f>C211</f>
        <v>778871.0188932484</v>
      </c>
      <c r="H102" s="175"/>
      <c r="I102" s="175"/>
      <c r="L102" s="10"/>
    </row>
    <row r="103" spans="2:12" s="7" customFormat="1" ht="28.8">
      <c r="B103" s="173" t="s">
        <v>275</v>
      </c>
      <c r="C103" s="182" t="s">
        <v>91</v>
      </c>
      <c r="D103" s="182" t="s">
        <v>91</v>
      </c>
      <c r="E103" s="184" t="s">
        <v>91</v>
      </c>
      <c r="F103" s="185">
        <f t="shared" ref="F103:F109" si="5">(G103/2)/(1-$H$264)*(1+$H$266)</f>
        <v>120338.92762940981</v>
      </c>
      <c r="G103" s="185">
        <f>C215</f>
        <v>238788.33333333331</v>
      </c>
      <c r="H103" s="175"/>
      <c r="I103" s="175"/>
      <c r="L103" s="10"/>
    </row>
    <row r="104" spans="2:12" s="7" customFormat="1" ht="28.8">
      <c r="B104" s="173" t="s">
        <v>276</v>
      </c>
      <c r="C104" s="182" t="s">
        <v>91</v>
      </c>
      <c r="D104" s="182" t="s">
        <v>91</v>
      </c>
      <c r="E104" s="184" t="s">
        <v>91</v>
      </c>
      <c r="F104" s="185">
        <f t="shared" si="5"/>
        <v>138963.89919221896</v>
      </c>
      <c r="G104" s="185">
        <f>C219</f>
        <v>275745.83333333337</v>
      </c>
      <c r="H104" s="175"/>
      <c r="I104" s="175"/>
      <c r="L104" s="10"/>
    </row>
    <row r="105" spans="2:12" s="7" customFormat="1" ht="28.8">
      <c r="B105" s="173" t="s">
        <v>278</v>
      </c>
      <c r="C105" s="182" t="s">
        <v>91</v>
      </c>
      <c r="D105" s="182" t="s">
        <v>91</v>
      </c>
      <c r="E105" s="184" t="s">
        <v>91</v>
      </c>
      <c r="F105" s="185">
        <f t="shared" si="5"/>
        <v>5587.4914688427307</v>
      </c>
      <c r="G105" s="185">
        <f>C223</f>
        <v>11087.25</v>
      </c>
      <c r="H105" s="175"/>
      <c r="I105" s="175"/>
      <c r="L105" s="10"/>
    </row>
    <row r="106" spans="2:12" s="7" customFormat="1">
      <c r="B106" s="173" t="s">
        <v>279</v>
      </c>
      <c r="C106" s="182" t="s">
        <v>91</v>
      </c>
      <c r="D106" s="182" t="s">
        <v>91</v>
      </c>
      <c r="E106" s="184" t="s">
        <v>91</v>
      </c>
      <c r="F106" s="185">
        <f t="shared" si="5"/>
        <v>2576.7294757665677</v>
      </c>
      <c r="G106" s="185">
        <f>C227</f>
        <v>5113</v>
      </c>
      <c r="H106" s="175"/>
      <c r="I106" s="175"/>
      <c r="L106" s="10"/>
    </row>
    <row r="107" spans="2:12" s="7" customFormat="1">
      <c r="B107" s="173" t="s">
        <v>280</v>
      </c>
      <c r="C107" s="182" t="s">
        <v>91</v>
      </c>
      <c r="D107" s="182" t="s">
        <v>91</v>
      </c>
      <c r="E107" s="184" t="s">
        <v>91</v>
      </c>
      <c r="F107" s="185">
        <f t="shared" si="5"/>
        <v>34356.393010220905</v>
      </c>
      <c r="G107" s="185">
        <f>C231</f>
        <v>68173.333333333328</v>
      </c>
      <c r="H107" s="175"/>
      <c r="I107" s="175"/>
      <c r="L107" s="10"/>
    </row>
    <row r="108" spans="2:12" s="7" customFormat="1">
      <c r="B108" s="173" t="s">
        <v>281</v>
      </c>
      <c r="C108" s="182" t="s">
        <v>91</v>
      </c>
      <c r="D108" s="182" t="s">
        <v>91</v>
      </c>
      <c r="E108" s="184" t="s">
        <v>91</v>
      </c>
      <c r="F108" s="185">
        <f t="shared" si="5"/>
        <v>297999.5450049456</v>
      </c>
      <c r="G108" s="185">
        <f>C235</f>
        <v>591320</v>
      </c>
      <c r="H108" s="175"/>
      <c r="I108" s="175"/>
      <c r="L108" s="10"/>
    </row>
    <row r="109" spans="2:12" s="7" customFormat="1">
      <c r="B109" s="173" t="s">
        <v>282</v>
      </c>
      <c r="C109" s="182" t="s">
        <v>91</v>
      </c>
      <c r="D109" s="182" t="s">
        <v>91</v>
      </c>
      <c r="E109" s="184" t="s">
        <v>91</v>
      </c>
      <c r="F109" s="185">
        <f t="shared" si="5"/>
        <v>297999.5450049456</v>
      </c>
      <c r="G109" s="185">
        <f>C239</f>
        <v>591320</v>
      </c>
      <c r="H109" s="175"/>
      <c r="I109" s="175"/>
      <c r="L109" s="10"/>
    </row>
    <row r="110" spans="2:12" s="7" customFormat="1">
      <c r="B110" s="208" t="s">
        <v>313</v>
      </c>
      <c r="C110" s="209" t="s">
        <v>91</v>
      </c>
      <c r="D110" s="209" t="s">
        <v>91</v>
      </c>
      <c r="E110" s="210" t="s">
        <v>91</v>
      </c>
      <c r="F110" s="210" t="s">
        <v>91</v>
      </c>
      <c r="G110" s="210" t="s">
        <v>91</v>
      </c>
      <c r="H110" s="175"/>
      <c r="I110" s="175"/>
      <c r="L110" s="10"/>
    </row>
    <row r="111" spans="2:12" s="7" customFormat="1">
      <c r="B111" s="208" t="s">
        <v>310</v>
      </c>
      <c r="C111" s="209" t="s">
        <v>91</v>
      </c>
      <c r="D111" s="209" t="s">
        <v>91</v>
      </c>
      <c r="E111" s="210" t="s">
        <v>91</v>
      </c>
      <c r="F111" s="210" t="s">
        <v>91</v>
      </c>
      <c r="G111" s="210" t="s">
        <v>91</v>
      </c>
      <c r="H111" s="175"/>
      <c r="I111" s="175"/>
      <c r="L111" s="10"/>
    </row>
    <row r="112" spans="2:12" s="7" customFormat="1">
      <c r="B112" s="173"/>
      <c r="C112" s="176"/>
      <c r="D112" s="177"/>
      <c r="E112" s="178"/>
      <c r="F112" s="179"/>
      <c r="G112" s="179"/>
      <c r="I112" s="175"/>
      <c r="L112" s="10"/>
    </row>
    <row r="113" spans="1:71" s="7" customFormat="1">
      <c r="B113" s="173"/>
      <c r="C113" s="176"/>
      <c r="D113" s="177"/>
      <c r="E113" s="178"/>
      <c r="F113" s="179"/>
      <c r="G113" s="179"/>
      <c r="H113" s="175"/>
      <c r="I113" s="175"/>
      <c r="L113" s="10"/>
    </row>
    <row r="114" spans="1:71" s="2" customFormat="1">
      <c r="A114" s="7"/>
      <c r="B114" s="75" t="s">
        <v>14</v>
      </c>
      <c r="C114" s="75"/>
      <c r="D114" s="75"/>
      <c r="E114" s="75"/>
      <c r="F114" s="75"/>
      <c r="G114" s="75"/>
      <c r="H114" s="180"/>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71" s="2" customFormat="1">
      <c r="A115" s="7"/>
      <c r="B115" s="13" t="s">
        <v>309</v>
      </c>
      <c r="C115" s="13"/>
      <c r="D115" s="13"/>
      <c r="E115" s="13"/>
      <c r="F115" s="13"/>
      <c r="G115" s="13"/>
      <c r="H115" s="180"/>
      <c r="I115" s="181"/>
      <c r="J115" s="181"/>
      <c r="K115" s="181"/>
      <c r="L115" s="181"/>
      <c r="M115" s="181"/>
      <c r="N115" s="181"/>
      <c r="O115" s="181"/>
      <c r="P115" s="181"/>
      <c r="Q115" s="7"/>
      <c r="R115" s="7"/>
      <c r="S115" s="7"/>
      <c r="T115" s="7"/>
      <c r="U115" s="7"/>
      <c r="V115" s="7"/>
      <c r="W115" s="7"/>
      <c r="X115" s="7"/>
      <c r="Y115" s="7"/>
      <c r="Z115" s="7"/>
      <c r="AA115" s="7"/>
      <c r="AB115" s="7"/>
      <c r="AC115" s="7"/>
      <c r="AD115" s="7"/>
      <c r="AE115" s="7"/>
      <c r="AF115" s="7"/>
      <c r="AG115" s="7"/>
    </row>
    <row r="116" spans="1:71" s="2" customFormat="1">
      <c r="A116" s="7"/>
      <c r="B116" s="79" t="s">
        <v>295</v>
      </c>
      <c r="C116" s="13"/>
      <c r="D116" s="13"/>
      <c r="E116" s="13"/>
      <c r="F116" s="13"/>
      <c r="G116" s="13"/>
      <c r="H116" s="180"/>
      <c r="I116" s="181"/>
      <c r="J116" s="181"/>
      <c r="K116" s="181"/>
      <c r="L116" s="181"/>
      <c r="M116" s="181"/>
      <c r="N116" s="181"/>
      <c r="O116" s="181"/>
      <c r="P116" s="181"/>
      <c r="Q116" s="7"/>
      <c r="R116" s="7"/>
      <c r="S116" s="7"/>
      <c r="T116" s="7"/>
      <c r="U116" s="7"/>
      <c r="V116" s="7"/>
      <c r="W116" s="7"/>
      <c r="X116" s="7"/>
      <c r="Y116" s="7"/>
      <c r="Z116" s="7"/>
      <c r="AA116" s="7"/>
      <c r="AB116" s="7"/>
      <c r="AC116" s="7"/>
      <c r="AD116" s="7"/>
      <c r="AE116" s="7"/>
      <c r="AF116" s="7"/>
      <c r="AG116" s="7"/>
    </row>
    <row r="117" spans="1:71" s="2" customFormat="1">
      <c r="A117" s="7"/>
      <c r="B117" s="79" t="s">
        <v>296</v>
      </c>
      <c r="C117" s="13"/>
      <c r="D117" s="13"/>
      <c r="E117" s="13"/>
      <c r="F117" s="13"/>
      <c r="G117" s="13"/>
      <c r="H117" s="180"/>
      <c r="I117" s="181"/>
      <c r="J117" s="181"/>
      <c r="K117" s="181"/>
      <c r="L117" s="181"/>
      <c r="M117" s="181"/>
      <c r="N117" s="181"/>
      <c r="O117" s="181"/>
      <c r="P117" s="181"/>
      <c r="Q117" s="7"/>
      <c r="R117" s="7"/>
      <c r="S117" s="7"/>
      <c r="T117" s="7"/>
      <c r="U117" s="7"/>
      <c r="V117" s="7"/>
      <c r="W117" s="7"/>
      <c r="X117" s="7"/>
      <c r="Y117" s="7"/>
      <c r="Z117" s="7"/>
      <c r="AA117" s="7"/>
      <c r="AB117" s="7"/>
      <c r="AC117" s="7"/>
      <c r="AD117" s="7"/>
      <c r="AE117" s="7"/>
      <c r="AF117" s="7"/>
      <c r="AG117" s="7"/>
    </row>
    <row r="118" spans="1:71" s="8" customFormat="1">
      <c r="A118" s="15"/>
      <c r="B118" s="79"/>
      <c r="C118" s="79"/>
      <c r="D118" s="79"/>
      <c r="E118" s="79"/>
      <c r="F118" s="79"/>
      <c r="G118" s="79"/>
      <c r="H118" s="17"/>
      <c r="I118" s="17"/>
      <c r="J118" s="17"/>
      <c r="K118" s="17"/>
      <c r="L118" s="17"/>
      <c r="M118" s="17"/>
      <c r="N118" s="17"/>
      <c r="O118" s="17"/>
      <c r="P118" s="17"/>
      <c r="Q118" s="17"/>
      <c r="R118" s="15"/>
      <c r="S118" s="15"/>
      <c r="T118" s="15"/>
      <c r="U118" s="15"/>
      <c r="V118" s="15"/>
      <c r="W118" s="15"/>
      <c r="X118" s="15"/>
      <c r="Y118" s="15"/>
      <c r="Z118" s="15"/>
      <c r="AA118" s="15"/>
      <c r="AB118" s="15"/>
      <c r="AC118" s="15"/>
      <c r="AD118" s="15"/>
      <c r="AE118" s="15"/>
      <c r="AF118" s="15"/>
      <c r="AG118" s="15"/>
      <c r="AH118" s="15"/>
    </row>
    <row r="119" spans="1:71" s="2" customFormat="1">
      <c r="A119" s="7"/>
      <c r="B119" s="19"/>
      <c r="C119" s="19"/>
      <c r="D119" s="20"/>
      <c r="E119" s="7"/>
      <c r="F119" s="7"/>
      <c r="G119" s="7"/>
      <c r="H119" s="7"/>
      <c r="I119" s="1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71" s="7" customFormat="1">
      <c r="B120" s="1" t="s">
        <v>56</v>
      </c>
      <c r="C120" s="4"/>
      <c r="D120" s="4"/>
      <c r="E120" s="4"/>
      <c r="F120" s="4"/>
      <c r="G120" s="4"/>
      <c r="H120" s="4"/>
      <c r="I120" s="17"/>
      <c r="J120" s="62"/>
      <c r="K120" s="62"/>
    </row>
    <row r="121" spans="1:71" s="7" customFormat="1" ht="7.2" customHeight="1">
      <c r="I121" s="17"/>
    </row>
    <row r="122" spans="1:71" s="7" customFormat="1" ht="15" customHeight="1"/>
    <row r="123" spans="1:71" s="7" customFormat="1">
      <c r="A123" s="15"/>
      <c r="B123" s="64" t="s">
        <v>18</v>
      </c>
      <c r="C123" s="29" t="s">
        <v>19</v>
      </c>
      <c r="D123" s="29" t="s">
        <v>20</v>
      </c>
      <c r="E123" s="29" t="s">
        <v>21</v>
      </c>
      <c r="F123" s="29" t="s">
        <v>22</v>
      </c>
      <c r="G123" s="29" t="s">
        <v>23</v>
      </c>
      <c r="H123" s="29" t="s">
        <v>258</v>
      </c>
      <c r="I123" s="17"/>
    </row>
    <row r="124" spans="1:71" s="8" customFormat="1">
      <c r="A124" s="15"/>
      <c r="B124" s="32" t="str">
        <f>B11</f>
        <v xml:space="preserve">Metering Site Establishment </v>
      </c>
      <c r="C124" s="60"/>
      <c r="D124" s="60"/>
      <c r="E124" s="60"/>
      <c r="F124" s="60"/>
      <c r="G124" s="60"/>
      <c r="H124" s="60"/>
      <c r="I124" s="17"/>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row>
    <row r="125" spans="1:71" s="2" customFormat="1">
      <c r="A125" s="7"/>
      <c r="B125" s="33" t="s">
        <v>24</v>
      </c>
      <c r="C125" s="31">
        <v>16000</v>
      </c>
      <c r="D125" s="31">
        <v>16000</v>
      </c>
      <c r="E125" s="31">
        <v>16000</v>
      </c>
      <c r="F125" s="31">
        <v>16000</v>
      </c>
      <c r="G125" s="31">
        <v>16000</v>
      </c>
      <c r="H125" s="31">
        <f>SUM(C125:G125)</f>
        <v>80000</v>
      </c>
      <c r="I125" s="1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row>
    <row r="126" spans="1:71" s="2" customFormat="1">
      <c r="A126" s="15"/>
      <c r="B126" s="33" t="s">
        <v>259</v>
      </c>
      <c r="C126" s="131">
        <f>VLOOKUP($B124,$B$11:$D$28,3,FALSE)*C125</f>
        <v>940117.27935516764</v>
      </c>
      <c r="D126" s="131">
        <f>VLOOKUP($B$124,$B$11:$D$28,3,FALSE)*D125</f>
        <v>940117.27935516764</v>
      </c>
      <c r="E126" s="131">
        <f>VLOOKUP($B$124,$B$11:$D$28,3,FALSE)*E125</f>
        <v>940117.27935516764</v>
      </c>
      <c r="F126" s="131">
        <f>VLOOKUP($B$124,$B$11:$D$28,3,FALSE)*F125</f>
        <v>940117.27935516764</v>
      </c>
      <c r="G126" s="131">
        <f>VLOOKUP($B$124,$B$11:$D$28,3,FALSE)*G125</f>
        <v>940117.27935516764</v>
      </c>
      <c r="H126" s="131">
        <f>SUM(C126:G126)</f>
        <v>4700586.396775838</v>
      </c>
      <c r="I126" s="1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row>
    <row r="127" spans="1:71" s="8" customFormat="1">
      <c r="A127" s="15"/>
      <c r="B127" s="33"/>
      <c r="C127" s="58"/>
      <c r="D127" s="58"/>
      <c r="E127" s="58"/>
      <c r="F127" s="58"/>
      <c r="G127" s="58"/>
      <c r="H127" s="15"/>
      <c r="I127" s="17"/>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row>
    <row r="128" spans="1:71" s="8" customFormat="1">
      <c r="A128" s="15"/>
      <c r="B128" s="63"/>
      <c r="C128" s="26"/>
      <c r="D128" s="26"/>
      <c r="E128" s="26"/>
      <c r="F128" s="26"/>
      <c r="G128" s="26"/>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row>
    <row r="129" spans="1:71" s="8" customFormat="1">
      <c r="A129" s="15"/>
      <c r="B129" s="32" t="str">
        <f>B12</f>
        <v xml:space="preserve">Special Meter Reading </v>
      </c>
      <c r="C129" s="60"/>
      <c r="D129" s="60"/>
      <c r="E129" s="60"/>
      <c r="F129" s="60"/>
      <c r="G129" s="60"/>
      <c r="H129" s="60"/>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row>
    <row r="130" spans="1:71" s="2" customFormat="1">
      <c r="A130" s="7"/>
      <c r="B130" s="33" t="s">
        <v>24</v>
      </c>
      <c r="C130" s="197">
        <v>425000</v>
      </c>
      <c r="D130" s="197">
        <f>C130*(1+E$273)</f>
        <v>388753.70147666952</v>
      </c>
      <c r="E130" s="197">
        <f>D130*(1+F$273)</f>
        <v>352507.40295333904</v>
      </c>
      <c r="F130" s="197">
        <f>E130*(1+G$273)</f>
        <v>316261.10443000862</v>
      </c>
      <c r="G130" s="197">
        <f>F130*(1+H$273)</f>
        <v>280014.80590667814</v>
      </c>
      <c r="H130" s="31">
        <f>SUM(C130:G130)</f>
        <v>1762537.0147666954</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row>
    <row r="131" spans="1:71" s="2" customFormat="1">
      <c r="A131" s="15"/>
      <c r="B131" s="33" t="s">
        <v>259</v>
      </c>
      <c r="C131" s="131">
        <f>VLOOKUP($B129,$B$11:$D$28,3,FALSE)*C130</f>
        <v>4617888.8188268356</v>
      </c>
      <c r="D131" s="131">
        <f t="shared" ref="D131:G131" si="6">VLOOKUP($B129,$B$11:$D$28,3,FALSE)*D130</f>
        <v>4224050.2854744885</v>
      </c>
      <c r="E131" s="131">
        <f t="shared" si="6"/>
        <v>3830211.7521221419</v>
      </c>
      <c r="F131" s="131">
        <f t="shared" si="6"/>
        <v>3436373.2187697957</v>
      </c>
      <c r="G131" s="131">
        <f t="shared" si="6"/>
        <v>3042534.6854174486</v>
      </c>
      <c r="H131" s="131">
        <f>SUM(C131:G131)</f>
        <v>19151058.760610711</v>
      </c>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row>
    <row r="132" spans="1:71" s="8" customFormat="1">
      <c r="A132" s="15"/>
      <c r="B132" s="33"/>
      <c r="C132" s="58"/>
      <c r="D132" s="58"/>
      <c r="E132" s="58"/>
      <c r="F132" s="58"/>
      <c r="G132" s="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row>
    <row r="133" spans="1:71" s="8" customFormat="1">
      <c r="A133" s="15"/>
      <c r="B133" s="30"/>
      <c r="C133" s="26"/>
      <c r="D133" s="26"/>
      <c r="E133" s="26"/>
      <c r="F133" s="26"/>
      <c r="G133" s="26"/>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row>
    <row r="134" spans="1:71" s="8" customFormat="1">
      <c r="A134" s="15"/>
      <c r="B134" s="32" t="str">
        <f>B13</f>
        <v xml:space="preserve">Type 5-6 Meter Test </v>
      </c>
      <c r="C134" s="60"/>
      <c r="D134" s="60"/>
      <c r="E134" s="60"/>
      <c r="F134" s="60"/>
      <c r="G134" s="60"/>
      <c r="H134" s="6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row>
    <row r="135" spans="1:71" s="2" customFormat="1">
      <c r="A135" s="7"/>
      <c r="B135" s="33" t="s">
        <v>24</v>
      </c>
      <c r="C135" s="197">
        <v>1500</v>
      </c>
      <c r="D135" s="197">
        <f>C135*(1+E$273)</f>
        <v>1372.071887564716</v>
      </c>
      <c r="E135" s="197">
        <f>D135*(1+F$273)</f>
        <v>1244.143775129432</v>
      </c>
      <c r="F135" s="197">
        <f>E135*(1+G$273)</f>
        <v>1116.215662694148</v>
      </c>
      <c r="G135" s="197">
        <f>F135*(1+H$273)</f>
        <v>988.28755025886403</v>
      </c>
      <c r="H135" s="31">
        <f>SUM(C135:G135)</f>
        <v>6220.7188756471605</v>
      </c>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row>
    <row r="136" spans="1:71" s="2" customFormat="1">
      <c r="A136" s="15"/>
      <c r="B136" s="33" t="s">
        <v>259</v>
      </c>
      <c r="C136" s="131">
        <f>'Fee Breakdown'!$H$25*C135</f>
        <v>665235</v>
      </c>
      <c r="D136" s="131">
        <f>'Fee Breakdown'!$H$25*D135</f>
        <v>608500.16141607589</v>
      </c>
      <c r="E136" s="131">
        <f>'Fee Breakdown'!$H$25*E135</f>
        <v>551765.32283215178</v>
      </c>
      <c r="F136" s="131">
        <f>'Fee Breakdown'!$H$25*F135</f>
        <v>495030.48424822773</v>
      </c>
      <c r="G136" s="131">
        <f>'Fee Breakdown'!$H$25*G135</f>
        <v>438295.64566430362</v>
      </c>
      <c r="H136" s="131">
        <f>SUM(C136:G136)</f>
        <v>2758826.6141607589</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row>
    <row r="137" spans="1:71" s="8" customFormat="1">
      <c r="A137" s="15"/>
      <c r="B137" s="33"/>
      <c r="C137" s="57"/>
      <c r="D137" s="58"/>
      <c r="E137" s="58"/>
      <c r="F137" s="58"/>
      <c r="G137" s="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row>
    <row r="138" spans="1:71" s="7" customFormat="1" ht="14.4" customHeight="1"/>
    <row r="139" spans="1:71" s="8" customFormat="1" ht="14.4" customHeight="1">
      <c r="A139" s="15"/>
      <c r="B139" s="32" t="str">
        <f>B14</f>
        <v xml:space="preserve">Franchise current transformer (CT) meter install </v>
      </c>
      <c r="C139" s="60"/>
      <c r="D139" s="60"/>
      <c r="E139" s="60"/>
      <c r="F139" s="60"/>
      <c r="G139" s="60"/>
      <c r="H139" s="6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row>
    <row r="140" spans="1:71" s="2" customFormat="1">
      <c r="A140" s="7"/>
      <c r="B140" s="33" t="s">
        <v>24</v>
      </c>
      <c r="C140" s="192"/>
      <c r="D140" s="192"/>
      <c r="E140" s="192"/>
      <c r="F140" s="192"/>
      <c r="G140" s="192"/>
      <c r="H140" s="192"/>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row>
    <row r="141" spans="1:71" s="2" customFormat="1">
      <c r="A141" s="15"/>
      <c r="B141" s="33" t="s">
        <v>259</v>
      </c>
      <c r="C141" s="193" t="s">
        <v>91</v>
      </c>
      <c r="D141" s="193"/>
      <c r="E141" s="193"/>
      <c r="F141" s="193"/>
      <c r="G141" s="193"/>
      <c r="H141" s="193"/>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row>
    <row r="142" spans="1:71" s="8" customFormat="1">
      <c r="A142" s="15"/>
      <c r="B142" s="33"/>
      <c r="C142" s="194"/>
      <c r="D142" s="194"/>
      <c r="E142" s="194"/>
      <c r="F142" s="194"/>
      <c r="G142" s="194"/>
      <c r="H142" s="19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row>
    <row r="143" spans="1:71" s="8" customFormat="1">
      <c r="A143" s="15"/>
      <c r="B143" s="30"/>
      <c r="C143" s="26"/>
      <c r="D143" s="26"/>
      <c r="E143" s="26"/>
      <c r="F143" s="26"/>
      <c r="G143" s="26"/>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row>
    <row r="144" spans="1:71" s="8" customFormat="1">
      <c r="A144" s="15"/>
      <c r="B144" s="32" t="str">
        <f>B15</f>
        <v xml:space="preserve">Types 5-7 non-standard Meter Data Services </v>
      </c>
      <c r="C144" s="60"/>
      <c r="D144" s="60"/>
      <c r="E144" s="60"/>
      <c r="F144" s="60"/>
      <c r="G144" s="60"/>
      <c r="H144" s="6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row>
    <row r="145" spans="1:71" s="2" customFormat="1">
      <c r="A145" s="7"/>
      <c r="B145" s="33" t="s">
        <v>24</v>
      </c>
      <c r="C145" s="198">
        <v>750</v>
      </c>
      <c r="D145" s="197">
        <f>C145*(1+E$273)</f>
        <v>686.035943782358</v>
      </c>
      <c r="E145" s="197">
        <f>D145*(1+F$273)</f>
        <v>622.07188756471601</v>
      </c>
      <c r="F145" s="197">
        <f>E145*(1+G$273)</f>
        <v>558.10783134707401</v>
      </c>
      <c r="G145" s="197">
        <f>F145*(1+H$273)</f>
        <v>494.14377512943202</v>
      </c>
      <c r="H145" s="31">
        <f>SUM(C145:G145)</f>
        <v>3110.3594378235803</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row>
    <row r="146" spans="1:71" s="2" customFormat="1">
      <c r="A146" s="15"/>
      <c r="B146" s="33" t="s">
        <v>259</v>
      </c>
      <c r="C146" s="131">
        <f>VLOOKUP($B144,$B$11:$D$28,3,FALSE)*C145</f>
        <v>11630.923759674948</v>
      </c>
      <c r="D146" s="131">
        <f t="shared" ref="D146:G146" si="7">VLOOKUP($B144,$B$11:$D$28,3,FALSE)*D145</f>
        <v>10638.975678039005</v>
      </c>
      <c r="E146" s="131">
        <f t="shared" si="7"/>
        <v>9647.0275964030643</v>
      </c>
      <c r="F146" s="131">
        <f t="shared" si="7"/>
        <v>8655.0795147671215</v>
      </c>
      <c r="G146" s="131">
        <f t="shared" si="7"/>
        <v>7663.1314331311805</v>
      </c>
      <c r="H146" s="131">
        <f>SUM(C146:G146)</f>
        <v>48235.137982015323</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row>
    <row r="147" spans="1:71" s="8" customFormat="1">
      <c r="A147" s="15"/>
      <c r="B147" s="33"/>
      <c r="C147" s="58"/>
      <c r="D147" s="58"/>
      <c r="E147" s="58"/>
      <c r="F147" s="58"/>
      <c r="G147" s="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row>
    <row r="148" spans="1:71" s="8" customFormat="1">
      <c r="A148" s="15"/>
      <c r="B148" s="30"/>
      <c r="C148" s="26"/>
      <c r="D148" s="26"/>
      <c r="E148" s="26"/>
      <c r="F148" s="26"/>
      <c r="G148" s="26"/>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row>
    <row r="149" spans="1:71" s="8" customFormat="1">
      <c r="A149" s="15"/>
      <c r="B149" s="32" t="str">
        <f>B16</f>
        <v xml:space="preserve">Emergency maintenance of failed metering equipment not owned by the network </v>
      </c>
      <c r="C149" s="60"/>
      <c r="D149" s="60"/>
      <c r="E149" s="60"/>
      <c r="F149" s="60"/>
      <c r="G149" s="60"/>
      <c r="H149" s="6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row>
    <row r="150" spans="1:71" s="2" customFormat="1">
      <c r="A150" s="7"/>
      <c r="B150" s="33" t="s">
        <v>24</v>
      </c>
      <c r="C150" s="31">
        <v>500</v>
      </c>
      <c r="D150" s="31">
        <v>500</v>
      </c>
      <c r="E150" s="31">
        <v>500</v>
      </c>
      <c r="F150" s="31">
        <v>500</v>
      </c>
      <c r="G150" s="31">
        <v>500</v>
      </c>
      <c r="H150" s="31">
        <f>SUM(C150:G150)</f>
        <v>2500</v>
      </c>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row>
    <row r="151" spans="1:71" s="2" customFormat="1">
      <c r="A151" s="15"/>
      <c r="B151" s="33" t="s">
        <v>259</v>
      </c>
      <c r="C151" s="131">
        <f>VLOOKUP($B149,$B$11:$D$28,3,FALSE)*C150</f>
        <v>87900.517090471854</v>
      </c>
      <c r="D151" s="131">
        <f t="shared" ref="D151:G151" si="8">VLOOKUP($B149,$B$11:$D$28,3,FALSE)*D150</f>
        <v>87900.517090471854</v>
      </c>
      <c r="E151" s="131">
        <f t="shared" si="8"/>
        <v>87900.517090471854</v>
      </c>
      <c r="F151" s="131">
        <f t="shared" si="8"/>
        <v>87900.517090471854</v>
      </c>
      <c r="G151" s="131">
        <f t="shared" si="8"/>
        <v>87900.517090471854</v>
      </c>
      <c r="H151" s="131">
        <f>SUM(C151:G151)</f>
        <v>439502.58545235929</v>
      </c>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row>
    <row r="152" spans="1:71" s="8" customFormat="1">
      <c r="A152" s="15"/>
      <c r="B152" s="33"/>
      <c r="C152" s="58"/>
      <c r="D152" s="58"/>
      <c r="E152" s="58"/>
      <c r="F152" s="58"/>
      <c r="G152" s="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row>
    <row r="153" spans="1:71" s="8" customFormat="1">
      <c r="A153" s="15"/>
      <c r="B153" s="30"/>
      <c r="C153" s="26"/>
      <c r="D153" s="26"/>
      <c r="E153" s="26"/>
      <c r="F153" s="26"/>
      <c r="G153" s="26"/>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row>
    <row r="154" spans="1:71" s="8" customFormat="1">
      <c r="A154" s="15"/>
      <c r="B154" s="32" t="str">
        <f>B17</f>
        <v xml:space="preserve">Off peak conversion </v>
      </c>
      <c r="C154" s="60"/>
      <c r="D154" s="60"/>
      <c r="E154" s="60"/>
      <c r="F154" s="60"/>
      <c r="G154" s="60"/>
      <c r="H154" s="6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row>
    <row r="155" spans="1:71" s="2" customFormat="1">
      <c r="A155" s="7"/>
      <c r="B155" s="33" t="s">
        <v>24</v>
      </c>
      <c r="C155" s="197">
        <v>800</v>
      </c>
      <c r="D155" s="197">
        <f>C155*(1+E$273)</f>
        <v>731.77167336784851</v>
      </c>
      <c r="E155" s="197">
        <f>D155*(1+F$273)</f>
        <v>663.54334673569701</v>
      </c>
      <c r="F155" s="197">
        <f>E155*(1+G$273)</f>
        <v>595.31502010354563</v>
      </c>
      <c r="G155" s="197">
        <f>F155*(1+H$273)</f>
        <v>527.08669347139426</v>
      </c>
      <c r="H155" s="31">
        <f>SUM(C155:G155)</f>
        <v>3317.7167336784851</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row>
    <row r="156" spans="1:71" s="2" customFormat="1">
      <c r="A156" s="15"/>
      <c r="B156" s="33" t="s">
        <v>259</v>
      </c>
      <c r="C156" s="131">
        <f>VLOOKUP($B154,$B$11:$D$28,3,FALSE)*C155</f>
        <v>177967.43039243482</v>
      </c>
      <c r="D156" s="131">
        <f t="shared" ref="D156:G156" si="9">VLOOKUP($B154,$B$11:$D$28,3,FALSE)*D155</f>
        <v>162789.40542906016</v>
      </c>
      <c r="E156" s="131">
        <f t="shared" si="9"/>
        <v>147611.38046568551</v>
      </c>
      <c r="F156" s="131">
        <f t="shared" si="9"/>
        <v>132433.35550231088</v>
      </c>
      <c r="G156" s="131">
        <f t="shared" si="9"/>
        <v>117255.33053893624</v>
      </c>
      <c r="H156" s="131">
        <f>SUM(C156:G156)</f>
        <v>738056.90232842753</v>
      </c>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row>
    <row r="157" spans="1:71" s="8" customFormat="1">
      <c r="A157" s="15"/>
      <c r="B157" s="33"/>
      <c r="C157" s="57"/>
      <c r="D157" s="58"/>
      <c r="E157" s="58"/>
      <c r="F157" s="58"/>
      <c r="G157" s="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row>
    <row r="158" spans="1:71" s="8" customFormat="1">
      <c r="A158" s="15"/>
      <c r="B158" s="33"/>
      <c r="C158" s="57"/>
      <c r="D158" s="58"/>
      <c r="E158" s="58"/>
      <c r="F158" s="58"/>
      <c r="G158" s="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row>
    <row r="159" spans="1:71" s="8" customFormat="1">
      <c r="A159" s="15"/>
      <c r="B159" s="32" t="str">
        <f>B18</f>
        <v xml:space="preserve">Disconnection Visit (Site Visit Only) </v>
      </c>
      <c r="C159" s="60"/>
      <c r="D159" s="60"/>
      <c r="E159" s="60"/>
      <c r="F159" s="60"/>
      <c r="G159" s="60"/>
      <c r="H159" s="6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row>
    <row r="160" spans="1:71" s="8" customFormat="1">
      <c r="A160" s="15"/>
      <c r="B160" s="33" t="s">
        <v>24</v>
      </c>
      <c r="C160" s="197">
        <v>3500</v>
      </c>
      <c r="D160" s="197">
        <f>C160*(1+E$273)</f>
        <v>3201.5010709843373</v>
      </c>
      <c r="E160" s="197">
        <f>D160*(1+F$273)</f>
        <v>2903.0021419686746</v>
      </c>
      <c r="F160" s="197">
        <f>E160*(1+G$273)</f>
        <v>2604.5032129530118</v>
      </c>
      <c r="G160" s="197">
        <f>F160*(1+H$273)</f>
        <v>2306.0042839373496</v>
      </c>
      <c r="H160" s="31">
        <f>SUM(C160:G160)</f>
        <v>14515.010709843373</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row>
    <row r="161" spans="1:71" s="8" customFormat="1">
      <c r="A161" s="15"/>
      <c r="B161" s="33" t="s">
        <v>259</v>
      </c>
      <c r="C161" s="131">
        <f>'Fee Breakdown'!$H$66*C160</f>
        <v>362183.50000000006</v>
      </c>
      <c r="D161" s="131">
        <f>'Fee Breakdown'!$H$66*D160</f>
        <v>331294.53232653026</v>
      </c>
      <c r="E161" s="131">
        <f>'Fee Breakdown'!$H$66*E160</f>
        <v>300405.56465306046</v>
      </c>
      <c r="F161" s="131">
        <f>'Fee Breakdown'!$H$66*F160</f>
        <v>269516.59697959066</v>
      </c>
      <c r="G161" s="131">
        <f>'Fee Breakdown'!$H$66*G160</f>
        <v>238627.62930612089</v>
      </c>
      <c r="H161" s="131">
        <f>SUM(C161:G161)</f>
        <v>1502027.8232653022</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row>
    <row r="162" spans="1:71" s="8" customFormat="1">
      <c r="A162" s="15"/>
      <c r="B162" s="33"/>
      <c r="C162" s="58"/>
      <c r="D162" s="58"/>
      <c r="E162" s="58"/>
      <c r="F162" s="58"/>
      <c r="G162" s="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row>
    <row r="163" spans="1:71" s="8" customFormat="1">
      <c r="A163" s="15"/>
      <c r="B163" s="63"/>
      <c r="C163" s="26"/>
      <c r="D163" s="26"/>
      <c r="E163" s="26"/>
      <c r="F163" s="26"/>
      <c r="G163" s="26"/>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row>
    <row r="164" spans="1:71" s="8" customFormat="1">
      <c r="A164" s="15"/>
      <c r="B164" s="32" t="str">
        <f>B19</f>
        <v xml:space="preserve">Disconnection Completed </v>
      </c>
      <c r="C164" s="60"/>
      <c r="D164" s="60"/>
      <c r="E164" s="60"/>
      <c r="F164" s="60"/>
      <c r="G164" s="60"/>
      <c r="H164" s="60"/>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row>
    <row r="165" spans="1:71" s="8" customFormat="1">
      <c r="A165" s="15"/>
      <c r="B165" s="33" t="s">
        <v>24</v>
      </c>
      <c r="C165" s="197">
        <v>10000</v>
      </c>
      <c r="D165" s="197">
        <f>C165*(1+E$273)</f>
        <v>9147.145917098107</v>
      </c>
      <c r="E165" s="197">
        <f>D165*(1+F$273)</f>
        <v>8294.291834196214</v>
      </c>
      <c r="F165" s="197">
        <f>E165*(1+G$273)</f>
        <v>7441.4377512943211</v>
      </c>
      <c r="G165" s="197">
        <f>F165*(1+H$273)</f>
        <v>6588.5836683924281</v>
      </c>
      <c r="H165" s="31">
        <f>SUM(C165:G165)</f>
        <v>41471.45917098107</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row>
    <row r="166" spans="1:71" s="8" customFormat="1">
      <c r="A166" s="15"/>
      <c r="B166" s="33" t="s">
        <v>259</v>
      </c>
      <c r="C166" s="131">
        <f>'Fee Breakdown'!$H$74*C165</f>
        <v>739150.00000000012</v>
      </c>
      <c r="D166" s="131">
        <f>'Fee Breakdown'!$H$74*D165</f>
        <v>676111.29046230658</v>
      </c>
      <c r="E166" s="131">
        <f>'Fee Breakdown'!$H$74*E165</f>
        <v>613072.58092461317</v>
      </c>
      <c r="F166" s="131">
        <f>'Fee Breakdown'!$H$74*F165</f>
        <v>550033.87138691975</v>
      </c>
      <c r="G166" s="131">
        <f>'Fee Breakdown'!$H$74*G165</f>
        <v>486995.16184922634</v>
      </c>
      <c r="H166" s="131">
        <f>SUM(C166:G166)</f>
        <v>3065362.9046230661</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row>
    <row r="167" spans="1:71" s="8" customFormat="1">
      <c r="A167" s="15"/>
      <c r="B167" s="33"/>
      <c r="C167" s="58"/>
      <c r="D167" s="58"/>
      <c r="E167" s="58"/>
      <c r="F167" s="58"/>
      <c r="G167" s="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row>
    <row r="168" spans="1:71" s="8" customFormat="1">
      <c r="A168" s="15"/>
      <c r="B168" s="30"/>
      <c r="C168" s="26"/>
      <c r="D168" s="26"/>
      <c r="E168" s="26"/>
      <c r="F168" s="26"/>
      <c r="G168" s="26"/>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row>
    <row r="169" spans="1:71" s="8" customFormat="1">
      <c r="A169" s="15"/>
      <c r="B169" s="32" t="str">
        <f>B20</f>
        <v xml:space="preserve">Disconnection Visit (Disconnection Completed- Technical/ Advanced) </v>
      </c>
      <c r="C169" s="60"/>
      <c r="D169" s="60"/>
      <c r="E169" s="60"/>
      <c r="F169" s="60"/>
      <c r="G169" s="60"/>
      <c r="H169" s="60"/>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row>
    <row r="170" spans="1:71" s="8" customFormat="1">
      <c r="A170" s="15"/>
      <c r="B170" s="33" t="s">
        <v>24</v>
      </c>
      <c r="C170" s="197">
        <v>200</v>
      </c>
      <c r="D170" s="197">
        <f>C170*(1+E$273)</f>
        <v>182.94291834196213</v>
      </c>
      <c r="E170" s="197">
        <f>D170*(1+F$273)</f>
        <v>165.88583668392425</v>
      </c>
      <c r="F170" s="197">
        <f>E170*(1+G$273)</f>
        <v>148.82875502588641</v>
      </c>
      <c r="G170" s="197">
        <f>F170*(1+H$273)</f>
        <v>131.77167336784856</v>
      </c>
      <c r="H170" s="31">
        <f>SUM(C170:G170)</f>
        <v>829.42918341962127</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row>
    <row r="171" spans="1:71" s="8" customFormat="1">
      <c r="A171" s="15"/>
      <c r="B171" s="33" t="s">
        <v>259</v>
      </c>
      <c r="C171" s="131">
        <f>'Fee Breakdown'!$H$82*C170</f>
        <v>29566.000000000004</v>
      </c>
      <c r="D171" s="131">
        <f>'Fee Breakdown'!$H$82*D170</f>
        <v>27044.451618492265</v>
      </c>
      <c r="E171" s="131">
        <f>'Fee Breakdown'!$H$82*E170</f>
        <v>24522.903236984523</v>
      </c>
      <c r="F171" s="131">
        <f>'Fee Breakdown'!$H$82*F170</f>
        <v>22001.354855476791</v>
      </c>
      <c r="G171" s="131">
        <f>'Fee Breakdown'!$H$82*G170</f>
        <v>19479.806473969056</v>
      </c>
      <c r="H171" s="131">
        <f>SUM(C171:G171)</f>
        <v>122614.51618492264</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row>
    <row r="172" spans="1:71" s="8" customFormat="1">
      <c r="A172" s="15"/>
      <c r="B172" s="33"/>
      <c r="C172" s="57"/>
      <c r="D172" s="58"/>
      <c r="E172" s="58"/>
      <c r="F172" s="58"/>
      <c r="G172" s="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row>
    <row r="173" spans="1:71" s="8" customFormat="1">
      <c r="A173" s="15"/>
      <c r="B173" s="7"/>
      <c r="C173" s="7"/>
      <c r="D173" s="7"/>
      <c r="E173" s="7"/>
      <c r="F173" s="7"/>
      <c r="G173" s="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row>
    <row r="174" spans="1:71" s="8" customFormat="1">
      <c r="A174" s="15"/>
      <c r="B174" s="32" t="str">
        <f>B21</f>
        <v xml:space="preserve">Pillar/ Pole Top Disconnection Completed </v>
      </c>
      <c r="C174" s="60"/>
      <c r="D174" s="60"/>
      <c r="E174" s="60"/>
      <c r="F174" s="60"/>
      <c r="G174" s="60"/>
      <c r="H174" s="6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row>
    <row r="175" spans="1:71" s="8" customFormat="1">
      <c r="A175" s="15"/>
      <c r="B175" s="33" t="s">
        <v>24</v>
      </c>
      <c r="C175" s="197">
        <v>50</v>
      </c>
      <c r="D175" s="197">
        <f>C175*(1+E$273)</f>
        <v>45.735729585490532</v>
      </c>
      <c r="E175" s="197">
        <f>D175*(1+F$273)</f>
        <v>41.471459170981063</v>
      </c>
      <c r="F175" s="197">
        <f>E175*(1+G$273)</f>
        <v>37.207188756471602</v>
      </c>
      <c r="G175" s="197">
        <f>F175*(1+H$273)</f>
        <v>32.942918341962141</v>
      </c>
      <c r="H175" s="31">
        <f>SUM(C175:G175)</f>
        <v>207.35729585490532</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row>
    <row r="176" spans="1:71" s="8" customFormat="1">
      <c r="A176" s="15"/>
      <c r="B176" s="33" t="s">
        <v>259</v>
      </c>
      <c r="C176" s="131">
        <f>VLOOKUP($B174,$B$11:$D$28,3,FALSE)*C175</f>
        <v>20769.146288426065</v>
      </c>
      <c r="D176" s="131">
        <f t="shared" ref="D176:G176" si="10">VLOOKUP($B174,$B$11:$D$28,3,FALSE)*D175</f>
        <v>18997.841167378978</v>
      </c>
      <c r="E176" s="131">
        <f t="shared" si="10"/>
        <v>17226.53604633189</v>
      </c>
      <c r="F176" s="131">
        <f t="shared" si="10"/>
        <v>15455.230925284804</v>
      </c>
      <c r="G176" s="131">
        <f t="shared" si="10"/>
        <v>13683.925804237719</v>
      </c>
      <c r="H176" s="131">
        <f>SUM(C176:G176)</f>
        <v>86132.680231659455</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row>
    <row r="177" spans="1:71" s="8" customFormat="1">
      <c r="A177" s="15"/>
      <c r="B177" s="33"/>
      <c r="C177" s="58"/>
      <c r="D177" s="58"/>
      <c r="E177" s="58"/>
      <c r="F177" s="58"/>
      <c r="G177" s="58"/>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row>
    <row r="178" spans="1:71" s="8" customFormat="1">
      <c r="A178" s="15"/>
      <c r="B178" s="30"/>
      <c r="C178" s="26"/>
      <c r="D178" s="26"/>
      <c r="E178" s="26"/>
      <c r="F178" s="26"/>
      <c r="G178" s="26"/>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row>
    <row r="179" spans="1:71" s="8" customFormat="1">
      <c r="A179" s="15"/>
      <c r="B179" s="32" t="str">
        <f>B22</f>
        <v xml:space="preserve">Pillar/Pole Top Site Visit </v>
      </c>
      <c r="C179" s="60"/>
      <c r="D179" s="60"/>
      <c r="E179" s="60"/>
      <c r="F179" s="60"/>
      <c r="G179" s="60"/>
      <c r="H179" s="6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row>
    <row r="180" spans="1:71" s="8" customFormat="1">
      <c r="A180" s="15"/>
      <c r="B180" s="33" t="s">
        <v>24</v>
      </c>
      <c r="C180" s="198">
        <v>33</v>
      </c>
      <c r="D180" s="197">
        <f>C180*(1+E$273)</f>
        <v>30.18558152642375</v>
      </c>
      <c r="E180" s="197">
        <f>D180*(1+F$273)</f>
        <v>27.3711630528475</v>
      </c>
      <c r="F180" s="197">
        <f>E180*(1+G$273)</f>
        <v>24.556744579271253</v>
      </c>
      <c r="G180" s="197">
        <f>F180*(1+H$273)</f>
        <v>21.742326105695007</v>
      </c>
      <c r="H180" s="31">
        <f>SUM(C180:G180)</f>
        <v>136.85581526423752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row>
    <row r="181" spans="1:71" s="8" customFormat="1">
      <c r="A181" s="15"/>
      <c r="B181" s="33" t="s">
        <v>259</v>
      </c>
      <c r="C181" s="131">
        <f>VLOOKUP($B179,$B$11:$D$28,3,FALSE)*C180</f>
        <v>11446.342765692772</v>
      </c>
      <c r="D181" s="131">
        <f t="shared" ref="D181:G181" si="11">VLOOKUP($B179,$B$11:$D$28,3,FALSE)*D180</f>
        <v>10470.136749491208</v>
      </c>
      <c r="E181" s="131">
        <f t="shared" si="11"/>
        <v>9493.9307332896442</v>
      </c>
      <c r="F181" s="131">
        <f t="shared" si="11"/>
        <v>8517.7247170880819</v>
      </c>
      <c r="G181" s="131">
        <f t="shared" si="11"/>
        <v>7541.5187008865196</v>
      </c>
      <c r="H181" s="131">
        <f>SUM(C181:G181)</f>
        <v>47469.653666448219</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row>
    <row r="182" spans="1:71" s="8" customFormat="1">
      <c r="A182" s="15"/>
      <c r="B182" s="33"/>
      <c r="C182" s="58"/>
      <c r="D182" s="58"/>
      <c r="E182" s="58"/>
      <c r="F182" s="58"/>
      <c r="G182" s="58"/>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row>
    <row r="183" spans="1:71" s="8" customFormat="1">
      <c r="A183" s="15"/>
      <c r="B183" s="30"/>
      <c r="C183" s="26"/>
      <c r="D183" s="26"/>
      <c r="E183" s="26"/>
      <c r="F183" s="26"/>
      <c r="G183" s="26"/>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row>
    <row r="184" spans="1:71" s="8" customFormat="1">
      <c r="A184" s="15"/>
      <c r="B184" s="32" t="str">
        <f>B23</f>
        <v xml:space="preserve">Reconnection/ Disconnection Outside Normal Business Hours </v>
      </c>
      <c r="C184" s="60"/>
      <c r="D184" s="60"/>
      <c r="E184" s="60"/>
      <c r="F184" s="60"/>
      <c r="G184" s="60"/>
      <c r="H184" s="6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row>
    <row r="185" spans="1:71" s="8" customFormat="1">
      <c r="A185" s="15"/>
      <c r="B185" s="33" t="s">
        <v>24</v>
      </c>
      <c r="C185" s="197">
        <v>1400</v>
      </c>
      <c r="D185" s="197">
        <f>C185*(1+E$273)</f>
        <v>1280.6004283937348</v>
      </c>
      <c r="E185" s="197">
        <f>D185*(1+F$273)</f>
        <v>1161.2008567874698</v>
      </c>
      <c r="F185" s="197">
        <f>E185*(1+G$273)</f>
        <v>1041.8012851812048</v>
      </c>
      <c r="G185" s="197">
        <f>F185*(1+H$273)</f>
        <v>922.40171357493978</v>
      </c>
      <c r="H185" s="31">
        <f>SUM(C185:G185)</f>
        <v>5806.0042839373491</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row>
    <row r="186" spans="1:71" s="8" customFormat="1">
      <c r="A186" s="15"/>
      <c r="B186" s="33" t="s">
        <v>259</v>
      </c>
      <c r="C186" s="131">
        <f>VLOOKUP($B184,$B$11:$D$28,3,FALSE)*C185</f>
        <v>149967.99281431158</v>
      </c>
      <c r="D186" s="131">
        <f t="shared" ref="D186:G186" si="12">VLOOKUP($B184,$B$11:$D$28,3,FALSE)*D185</f>
        <v>137177.91131668282</v>
      </c>
      <c r="E186" s="131">
        <f t="shared" si="12"/>
        <v>124387.8298190541</v>
      </c>
      <c r="F186" s="131">
        <f t="shared" si="12"/>
        <v>111597.74832142536</v>
      </c>
      <c r="G186" s="131">
        <f t="shared" si="12"/>
        <v>98807.666823796622</v>
      </c>
      <c r="H186" s="131">
        <f>SUM(C186:G186)</f>
        <v>621939.14909527043</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row>
    <row r="187" spans="1:71" s="8" customFormat="1">
      <c r="A187" s="15"/>
      <c r="B187" s="33"/>
      <c r="C187" s="58"/>
      <c r="D187" s="58"/>
      <c r="E187" s="58"/>
      <c r="F187" s="58"/>
      <c r="G187" s="58"/>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row>
    <row r="188" spans="1:71" s="8" customFormat="1">
      <c r="A188" s="15"/>
      <c r="B188" s="30"/>
      <c r="C188" s="26"/>
      <c r="D188" s="26"/>
      <c r="E188" s="26"/>
      <c r="F188" s="26"/>
      <c r="G188" s="26"/>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row>
    <row r="189" spans="1:71" s="7" customFormat="1">
      <c r="B189" s="32" t="str">
        <f>B24</f>
        <v xml:space="preserve">Network Tariff Change Request </v>
      </c>
      <c r="C189" s="60"/>
      <c r="D189" s="60"/>
      <c r="E189" s="60"/>
      <c r="F189" s="60"/>
      <c r="G189" s="60"/>
      <c r="H189" s="60"/>
    </row>
    <row r="190" spans="1:71" s="7" customFormat="1">
      <c r="B190" s="33" t="s">
        <v>24</v>
      </c>
      <c r="C190" s="31">
        <v>50</v>
      </c>
      <c r="D190" s="31">
        <v>50</v>
      </c>
      <c r="E190" s="31">
        <v>50</v>
      </c>
      <c r="F190" s="31">
        <v>50</v>
      </c>
      <c r="G190" s="31">
        <v>50</v>
      </c>
      <c r="H190" s="31">
        <f>SUM(C190:G190)</f>
        <v>250</v>
      </c>
    </row>
    <row r="191" spans="1:71" s="2" customFormat="1">
      <c r="A191" s="7"/>
      <c r="B191" s="33" t="s">
        <v>259</v>
      </c>
      <c r="C191" s="131">
        <f>VLOOKUP($B189,$B$11:$D$28,3,FALSE)*C190</f>
        <v>2556.5</v>
      </c>
      <c r="D191" s="131">
        <f t="shared" ref="D191:G191" si="13">VLOOKUP($B189,$B$11:$D$28,3,FALSE)*D190</f>
        <v>2556.5</v>
      </c>
      <c r="E191" s="131">
        <f t="shared" si="13"/>
        <v>2556.5</v>
      </c>
      <c r="F191" s="131">
        <f t="shared" si="13"/>
        <v>2556.5</v>
      </c>
      <c r="G191" s="131">
        <f t="shared" si="13"/>
        <v>2556.5</v>
      </c>
      <c r="H191" s="131">
        <f>SUM(C191:G191)</f>
        <v>12782.5</v>
      </c>
      <c r="I191" s="61"/>
      <c r="J191" s="181"/>
      <c r="K191" s="181"/>
      <c r="L191" s="181"/>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row>
    <row r="192" spans="1:71" s="2" customFormat="1">
      <c r="A192" s="7"/>
      <c r="B192" s="33"/>
      <c r="C192" s="57"/>
      <c r="D192" s="58"/>
      <c r="E192" s="58"/>
      <c r="F192" s="58"/>
      <c r="G192" s="58"/>
      <c r="H192" s="181"/>
      <c r="I192" s="181"/>
      <c r="J192" s="181"/>
      <c r="K192" s="181"/>
      <c r="L192" s="181"/>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row>
    <row r="193" spans="1:71" s="2" customFormat="1">
      <c r="A193" s="7"/>
      <c r="B193" s="33"/>
      <c r="C193" s="57"/>
      <c r="D193" s="58"/>
      <c r="E193" s="58"/>
      <c r="F193" s="58"/>
      <c r="G193" s="58"/>
      <c r="H193" s="181"/>
      <c r="I193" s="181"/>
      <c r="J193" s="181"/>
      <c r="K193" s="181"/>
      <c r="L193" s="181"/>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row>
    <row r="194" spans="1:71" s="2" customFormat="1">
      <c r="A194" s="7"/>
      <c r="B194" s="32" t="str">
        <f>B25</f>
        <v xml:space="preserve">Recovery of Debt Collection Costs- Dishonoured Transactions </v>
      </c>
      <c r="C194" s="13"/>
      <c r="D194" s="13"/>
      <c r="E194" s="13"/>
      <c r="F194" s="13"/>
      <c r="G194" s="13"/>
      <c r="H194" s="13"/>
      <c r="I194" s="61"/>
      <c r="J194" s="181"/>
      <c r="K194" s="181"/>
      <c r="L194" s="181"/>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row>
    <row r="195" spans="1:71" s="2" customFormat="1">
      <c r="A195" s="7"/>
      <c r="B195" s="33" t="s">
        <v>24</v>
      </c>
      <c r="C195" s="31">
        <v>50</v>
      </c>
      <c r="D195" s="31">
        <v>50</v>
      </c>
      <c r="E195" s="31">
        <v>50</v>
      </c>
      <c r="F195" s="31">
        <v>50</v>
      </c>
      <c r="G195" s="31">
        <v>50</v>
      </c>
      <c r="H195" s="31">
        <f>SUM(C195:G195)</f>
        <v>250</v>
      </c>
      <c r="I195" s="7"/>
      <c r="J195" s="181"/>
      <c r="K195" s="181"/>
      <c r="L195" s="181"/>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row>
    <row r="196" spans="1:71" s="2" customFormat="1">
      <c r="A196" s="7"/>
      <c r="B196" s="33" t="s">
        <v>259</v>
      </c>
      <c r="C196" s="131">
        <f>VLOOKUP($B194,$B$11:$D$28,3,FALSE)*C195</f>
        <v>1368.0141708173953</v>
      </c>
      <c r="D196" s="131">
        <f t="shared" ref="D196:G196" si="14">VLOOKUP($B194,$B$11:$D$28,3,FALSE)*D195</f>
        <v>1368.0141708173953</v>
      </c>
      <c r="E196" s="131">
        <f t="shared" si="14"/>
        <v>1368.0141708173953</v>
      </c>
      <c r="F196" s="131">
        <f t="shared" si="14"/>
        <v>1368.0141708173953</v>
      </c>
      <c r="G196" s="131">
        <f t="shared" si="14"/>
        <v>1368.0141708173953</v>
      </c>
      <c r="H196" s="131">
        <f>SUM(C196:G196)</f>
        <v>6840.0708540869764</v>
      </c>
      <c r="I196" s="7"/>
      <c r="J196" s="181"/>
      <c r="K196" s="181"/>
      <c r="L196" s="181"/>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row>
    <row r="197" spans="1:71" s="2" customFormat="1">
      <c r="A197" s="7"/>
      <c r="B197" s="33"/>
      <c r="C197" s="7"/>
      <c r="D197" s="7"/>
      <c r="E197" s="7"/>
      <c r="F197" s="7"/>
      <c r="G197" s="7"/>
      <c r="H197" s="7"/>
      <c r="I197" s="7"/>
      <c r="J197" s="181"/>
      <c r="K197" s="181"/>
      <c r="L197" s="181"/>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row>
    <row r="198" spans="1:71" s="2" customFormat="1">
      <c r="A198" s="7"/>
      <c r="B198" s="33"/>
      <c r="C198" s="7"/>
      <c r="D198" s="7"/>
      <c r="E198" s="7"/>
      <c r="F198" s="7"/>
      <c r="G198" s="7"/>
      <c r="H198" s="7"/>
      <c r="I198" s="7"/>
      <c r="J198" s="181"/>
      <c r="K198" s="181"/>
      <c r="L198" s="181"/>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row>
    <row r="199" spans="1:71" s="2" customFormat="1">
      <c r="A199" s="7"/>
      <c r="B199" s="32" t="str">
        <f>B26</f>
        <v xml:space="preserve">Attendance at customers' premises to perform a statutory right where access is prevented  </v>
      </c>
      <c r="C199" s="13"/>
      <c r="D199" s="13"/>
      <c r="E199" s="13"/>
      <c r="F199" s="13"/>
      <c r="G199" s="13"/>
      <c r="H199" s="13"/>
      <c r="I199" s="7"/>
      <c r="J199" s="181"/>
      <c r="K199" s="181"/>
      <c r="L199" s="181"/>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row>
    <row r="200" spans="1:71" s="2" customFormat="1">
      <c r="A200" s="7"/>
      <c r="B200" s="33" t="s">
        <v>24</v>
      </c>
      <c r="C200" s="31">
        <v>50</v>
      </c>
      <c r="D200" s="31">
        <v>50</v>
      </c>
      <c r="E200" s="31">
        <v>50</v>
      </c>
      <c r="F200" s="31">
        <v>50</v>
      </c>
      <c r="G200" s="31">
        <v>50</v>
      </c>
      <c r="H200" s="31">
        <f>SUM(C200:G200)</f>
        <v>250</v>
      </c>
      <c r="I200" s="7"/>
      <c r="J200" s="181"/>
      <c r="K200" s="181"/>
      <c r="L200" s="181"/>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row>
    <row r="201" spans="1:71" s="2" customFormat="1">
      <c r="A201" s="7"/>
      <c r="B201" s="33" t="s">
        <v>259</v>
      </c>
      <c r="C201" s="131">
        <f>VLOOKUP($B199,$B$11:$D$28,3,FALSE)*C200</f>
        <v>4222.902760080583</v>
      </c>
      <c r="D201" s="131">
        <f t="shared" ref="D201:G201" si="15">VLOOKUP($B199,$B$11:$D$28,3,FALSE)*D200</f>
        <v>4222.902760080583</v>
      </c>
      <c r="E201" s="131">
        <f t="shared" si="15"/>
        <v>4222.902760080583</v>
      </c>
      <c r="F201" s="131">
        <f t="shared" si="15"/>
        <v>4222.902760080583</v>
      </c>
      <c r="G201" s="131">
        <f t="shared" si="15"/>
        <v>4222.902760080583</v>
      </c>
      <c r="H201" s="131">
        <f>SUM(C201:G201)</f>
        <v>21114.513800402914</v>
      </c>
      <c r="I201" s="7"/>
      <c r="J201" s="181"/>
      <c r="K201" s="181"/>
      <c r="L201" s="181"/>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row>
    <row r="202" spans="1:71" s="2" customFormat="1">
      <c r="A202" s="7"/>
      <c r="B202" s="33"/>
      <c r="C202" s="7"/>
      <c r="D202" s="7"/>
      <c r="E202" s="7"/>
      <c r="F202" s="7"/>
      <c r="G202" s="7"/>
      <c r="H202" s="7"/>
      <c r="I202" s="7"/>
      <c r="J202" s="181"/>
      <c r="K202" s="181"/>
      <c r="L202" s="181"/>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row>
    <row r="203" spans="1:71" s="2" customFormat="1">
      <c r="A203" s="7"/>
      <c r="B203" s="33"/>
      <c r="C203" s="7"/>
      <c r="D203" s="7"/>
      <c r="E203" s="7"/>
      <c r="F203" s="7"/>
      <c r="G203" s="7"/>
      <c r="H203" s="7"/>
      <c r="I203" s="7"/>
      <c r="J203" s="181"/>
      <c r="K203" s="181"/>
      <c r="L203" s="181"/>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row>
    <row r="204" spans="1:71" s="2" customFormat="1">
      <c r="A204" s="7"/>
      <c r="B204" s="32" t="str">
        <f>B27</f>
        <v xml:space="preserve">Vacant Property Disconnection </v>
      </c>
      <c r="C204" s="13"/>
      <c r="D204" s="13"/>
      <c r="E204" s="13"/>
      <c r="F204" s="13"/>
      <c r="G204" s="13"/>
      <c r="H204" s="13"/>
      <c r="I204" s="7"/>
      <c r="J204" s="181"/>
      <c r="K204" s="181"/>
      <c r="L204" s="181"/>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row>
    <row r="205" spans="1:71" s="2" customFormat="1">
      <c r="A205" s="7"/>
      <c r="B205" s="33" t="s">
        <v>24</v>
      </c>
      <c r="C205" s="197">
        <v>17500</v>
      </c>
      <c r="D205" s="197">
        <f>C205*(1+E$273)</f>
        <v>16007.505354921686</v>
      </c>
      <c r="E205" s="197">
        <f>D205*(1+F$273)</f>
        <v>14515.010709843373</v>
      </c>
      <c r="F205" s="197">
        <f>E205*(1+G$273)</f>
        <v>13022.516064765061</v>
      </c>
      <c r="G205" s="197">
        <f>F205*(1+H$273)</f>
        <v>11530.021419686749</v>
      </c>
      <c r="H205" s="31">
        <f>SUM(C205:G205)</f>
        <v>72575.053549216871</v>
      </c>
      <c r="I205" s="7"/>
      <c r="J205" s="181"/>
      <c r="K205" s="181"/>
      <c r="L205" s="181"/>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row>
    <row r="206" spans="1:71" s="2" customFormat="1">
      <c r="A206" s="7"/>
      <c r="B206" s="33" t="s">
        <v>259</v>
      </c>
      <c r="C206" s="131">
        <f>VLOOKUP($B204,$B$11:$D$28,3,FALSE)*C205</f>
        <v>2669926.3454301315</v>
      </c>
      <c r="D206" s="131">
        <f t="shared" ref="D206:G206" si="16">VLOOKUP($B204,$B$11:$D$28,3,FALSE)*D205</f>
        <v>2442220.5869553895</v>
      </c>
      <c r="E206" s="131">
        <f t="shared" si="16"/>
        <v>2214514.8284806474</v>
      </c>
      <c r="F206" s="131">
        <f t="shared" si="16"/>
        <v>1986809.070005906</v>
      </c>
      <c r="G206" s="131">
        <f t="shared" si="16"/>
        <v>1759103.3115311645</v>
      </c>
      <c r="H206" s="131">
        <f>SUM(C206:G206)</f>
        <v>11072574.142403239</v>
      </c>
      <c r="I206" s="7"/>
      <c r="J206" s="181"/>
      <c r="K206" s="181"/>
      <c r="L206" s="181"/>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row>
    <row r="207" spans="1:71" s="2" customFormat="1">
      <c r="A207" s="7"/>
      <c r="B207" s="33"/>
      <c r="C207" s="7"/>
      <c r="D207" s="7"/>
      <c r="E207" s="7"/>
      <c r="F207" s="7"/>
      <c r="G207" s="7"/>
      <c r="H207" s="7"/>
      <c r="I207" s="7"/>
      <c r="J207" s="181"/>
      <c r="K207" s="181"/>
      <c r="L207" s="181"/>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row>
    <row r="208" spans="1:71" s="2" customFormat="1">
      <c r="A208" s="7"/>
      <c r="B208" s="33"/>
      <c r="C208" s="7"/>
      <c r="D208" s="7"/>
      <c r="E208" s="7"/>
      <c r="F208" s="7"/>
      <c r="G208" s="7"/>
      <c r="H208" s="7"/>
      <c r="I208" s="7"/>
      <c r="J208" s="181"/>
      <c r="K208" s="181"/>
      <c r="L208" s="181"/>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row>
    <row r="209" spans="1:71" s="2" customFormat="1">
      <c r="A209" s="7"/>
      <c r="B209" s="32" t="str">
        <f>B28</f>
        <v xml:space="preserve">Vacant Property Site Visit </v>
      </c>
      <c r="C209" s="13"/>
      <c r="D209" s="13"/>
      <c r="E209" s="13"/>
      <c r="F209" s="13"/>
      <c r="G209" s="13"/>
      <c r="H209" s="13"/>
      <c r="I209" s="7"/>
      <c r="J209" s="181"/>
      <c r="K209" s="181"/>
      <c r="L209" s="181"/>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row>
    <row r="210" spans="1:71" s="2" customFormat="1">
      <c r="A210" s="7"/>
      <c r="B210" s="33" t="s">
        <v>24</v>
      </c>
      <c r="C210" s="197">
        <v>20000</v>
      </c>
      <c r="D210" s="197">
        <f>C210*(1+E$273)</f>
        <v>18294.291834196214</v>
      </c>
      <c r="E210" s="197">
        <f>D210*(1+F$273)</f>
        <v>16588.583668392428</v>
      </c>
      <c r="F210" s="197">
        <f>E210*(1+G$273)</f>
        <v>14882.875502588642</v>
      </c>
      <c r="G210" s="197">
        <f>F210*(1+H$273)</f>
        <v>13177.167336784856</v>
      </c>
      <c r="H210" s="31">
        <f>SUM(C210:G210)</f>
        <v>82942.91834196214</v>
      </c>
      <c r="I210" s="7"/>
      <c r="J210" s="181"/>
      <c r="K210" s="181"/>
      <c r="L210" s="181"/>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row>
    <row r="211" spans="1:71" s="2" customFormat="1">
      <c r="A211" s="7"/>
      <c r="B211" s="33" t="s">
        <v>259</v>
      </c>
      <c r="C211" s="131">
        <f>VLOOKUP($B209,$B$11:$D$28,3,FALSE)*C210</f>
        <v>778871.0188932484</v>
      </c>
      <c r="D211" s="131">
        <f t="shared" ref="D211:G211" si="17">VLOOKUP($B209,$B$11:$D$28,3,FALSE)*D210</f>
        <v>712444.68604154198</v>
      </c>
      <c r="E211" s="131">
        <f t="shared" si="17"/>
        <v>646018.35318983556</v>
      </c>
      <c r="F211" s="131">
        <f t="shared" si="17"/>
        <v>579592.02033812914</v>
      </c>
      <c r="G211" s="131">
        <f t="shared" si="17"/>
        <v>513165.68748642266</v>
      </c>
      <c r="H211" s="131">
        <f>SUM(C211:G211)</f>
        <v>3230091.765949178</v>
      </c>
      <c r="I211" s="7"/>
      <c r="J211" s="181"/>
      <c r="K211" s="181"/>
      <c r="L211" s="181"/>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row>
    <row r="212" spans="1:71" s="2" customFormat="1">
      <c r="A212" s="7"/>
      <c r="B212" s="33"/>
      <c r="C212" s="131"/>
      <c r="D212" s="131"/>
      <c r="E212" s="131"/>
      <c r="F212" s="131"/>
      <c r="G212" s="131"/>
      <c r="H212" s="131"/>
      <c r="I212" s="7"/>
      <c r="J212" s="181"/>
      <c r="K212" s="181"/>
      <c r="L212" s="181"/>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row>
    <row r="213" spans="1:71" s="2" customFormat="1">
      <c r="A213" s="7"/>
      <c r="B213" s="32" t="str">
        <f>B32</f>
        <v>Distributor arranged outage for purpose of replacing metering - Simple</v>
      </c>
      <c r="C213" s="13"/>
      <c r="D213" s="13"/>
      <c r="E213" s="13"/>
      <c r="F213" s="13"/>
      <c r="G213" s="13"/>
      <c r="H213" s="13"/>
      <c r="I213" s="7"/>
      <c r="J213" s="181"/>
      <c r="K213" s="181"/>
      <c r="L213" s="181"/>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row>
    <row r="214" spans="1:71" s="2" customFormat="1">
      <c r="A214" s="7"/>
      <c r="B214" s="33" t="s">
        <v>24</v>
      </c>
      <c r="C214" s="31">
        <v>1000</v>
      </c>
      <c r="D214" s="31">
        <v>1000</v>
      </c>
      <c r="E214" s="31">
        <v>1000</v>
      </c>
      <c r="F214" s="31">
        <v>1000</v>
      </c>
      <c r="G214" s="31">
        <v>1000</v>
      </c>
      <c r="H214" s="31">
        <f>SUM(C214:G214)</f>
        <v>5000</v>
      </c>
      <c r="I214" s="7"/>
      <c r="J214" s="181"/>
      <c r="K214" s="181"/>
      <c r="L214" s="181"/>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row>
    <row r="215" spans="1:71" s="2" customFormat="1">
      <c r="A215" s="7"/>
      <c r="B215" s="33" t="s">
        <v>259</v>
      </c>
      <c r="C215" s="131">
        <f>VLOOKUP($B213,$B$32:$D$39,3,FALSE)*C214</f>
        <v>238788.33333333331</v>
      </c>
      <c r="D215" s="131">
        <f>VLOOKUP($B213,$B$32:$D$39,3,FALSE)*D214</f>
        <v>238788.33333333331</v>
      </c>
      <c r="E215" s="131">
        <f>VLOOKUP($B213,$B$32:$D$39,3,FALSE)*E214</f>
        <v>238788.33333333331</v>
      </c>
      <c r="F215" s="131">
        <f>VLOOKUP($B213,$B$32:$D$39,3,FALSE)*F214</f>
        <v>238788.33333333331</v>
      </c>
      <c r="G215" s="131">
        <f>VLOOKUP($B213,$B$32:$D$39,3,FALSE)*G214</f>
        <v>238788.33333333331</v>
      </c>
      <c r="H215" s="131">
        <f>SUM(C215:G215)</f>
        <v>1193941.6666666665</v>
      </c>
      <c r="I215" s="7"/>
      <c r="J215" s="181"/>
      <c r="K215" s="181"/>
      <c r="L215" s="181"/>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row>
    <row r="216" spans="1:71" s="2" customFormat="1">
      <c r="A216" s="7"/>
      <c r="B216" s="33"/>
      <c r="C216" s="131"/>
      <c r="D216" s="131"/>
      <c r="E216" s="131"/>
      <c r="F216" s="131"/>
      <c r="G216" s="131"/>
      <c r="H216" s="131"/>
      <c r="I216" s="7"/>
      <c r="J216" s="181"/>
      <c r="K216" s="181"/>
      <c r="L216" s="181"/>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row>
    <row r="217" spans="1:71" s="2" customFormat="1">
      <c r="A217" s="7"/>
      <c r="B217" s="32" t="str">
        <f>B33</f>
        <v>Distributor arranged outage for purpose of replacing metering - Complex</v>
      </c>
      <c r="C217" s="13"/>
      <c r="D217" s="13"/>
      <c r="E217" s="13"/>
      <c r="F217" s="13"/>
      <c r="G217" s="13"/>
      <c r="H217" s="13"/>
      <c r="I217" s="7"/>
      <c r="J217" s="181"/>
      <c r="K217" s="181"/>
      <c r="L217" s="181"/>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row>
    <row r="218" spans="1:71" s="2" customFormat="1">
      <c r="A218" s="7"/>
      <c r="B218" s="33" t="s">
        <v>24</v>
      </c>
      <c r="C218" s="31">
        <v>1000</v>
      </c>
      <c r="D218" s="31">
        <v>1000</v>
      </c>
      <c r="E218" s="31">
        <v>1000</v>
      </c>
      <c r="F218" s="31">
        <v>1000</v>
      </c>
      <c r="G218" s="31">
        <v>1000</v>
      </c>
      <c r="H218" s="31">
        <f>SUM(C218:G218)</f>
        <v>5000</v>
      </c>
      <c r="I218" s="7"/>
      <c r="J218" s="181"/>
      <c r="K218" s="181"/>
      <c r="L218" s="181"/>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row>
    <row r="219" spans="1:71" s="2" customFormat="1">
      <c r="A219" s="7"/>
      <c r="B219" s="33" t="s">
        <v>259</v>
      </c>
      <c r="C219" s="131">
        <f>'Fee Breakdown'!$H$164*C218</f>
        <v>275745.83333333337</v>
      </c>
      <c r="D219" s="131">
        <f>'Fee Breakdown'!$H$164*D218</f>
        <v>275745.83333333337</v>
      </c>
      <c r="E219" s="131">
        <f>'Fee Breakdown'!$H$164*E218</f>
        <v>275745.83333333337</v>
      </c>
      <c r="F219" s="131">
        <f>'Fee Breakdown'!$H$164*F218</f>
        <v>275745.83333333337</v>
      </c>
      <c r="G219" s="131">
        <f>'Fee Breakdown'!$H$164*G218</f>
        <v>275745.83333333337</v>
      </c>
      <c r="H219" s="131">
        <f>SUM(C219:G219)</f>
        <v>1378729.166666667</v>
      </c>
      <c r="I219" s="7"/>
      <c r="J219" s="181"/>
      <c r="K219" s="181"/>
      <c r="L219" s="181"/>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row>
    <row r="220" spans="1:71" s="2" customFormat="1">
      <c r="A220" s="7"/>
      <c r="B220" s="33"/>
      <c r="C220" s="131"/>
      <c r="D220" s="131"/>
      <c r="E220" s="131"/>
      <c r="F220" s="131"/>
      <c r="G220" s="131"/>
      <c r="H220" s="131"/>
      <c r="I220" s="7"/>
      <c r="J220" s="181"/>
      <c r="K220" s="181"/>
      <c r="L220" s="181"/>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row>
    <row r="221" spans="1:71" s="2" customFormat="1">
      <c r="A221" s="7"/>
      <c r="B221" s="32" t="str">
        <f>B35</f>
        <v>Distributor arranged outage for purpose of replacing metering - Site visit only</v>
      </c>
      <c r="C221" s="13"/>
      <c r="D221" s="13"/>
      <c r="E221" s="13"/>
      <c r="F221" s="13"/>
      <c r="G221" s="13"/>
      <c r="H221" s="13"/>
      <c r="I221" s="7"/>
      <c r="J221" s="181"/>
      <c r="K221" s="181"/>
      <c r="L221" s="181"/>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row>
    <row r="222" spans="1:71" s="2" customFormat="1">
      <c r="A222" s="7"/>
      <c r="B222" s="33" t="s">
        <v>24</v>
      </c>
      <c r="C222" s="31">
        <v>100</v>
      </c>
      <c r="D222" s="31">
        <v>100</v>
      </c>
      <c r="E222" s="31">
        <v>100</v>
      </c>
      <c r="F222" s="31">
        <v>100</v>
      </c>
      <c r="G222" s="31">
        <v>100</v>
      </c>
      <c r="H222" s="31">
        <f>SUM(C222:G222)</f>
        <v>500</v>
      </c>
      <c r="I222" s="7"/>
      <c r="J222" s="181"/>
      <c r="K222" s="181"/>
      <c r="L222" s="181"/>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row>
    <row r="223" spans="1:71" s="2" customFormat="1">
      <c r="A223" s="7"/>
      <c r="B223" s="33" t="s">
        <v>259</v>
      </c>
      <c r="C223" s="131">
        <f>'Fee Breakdown'!$H$173*C222</f>
        <v>11087.25</v>
      </c>
      <c r="D223" s="131">
        <f>'Fee Breakdown'!$H$173*D222</f>
        <v>11087.25</v>
      </c>
      <c r="E223" s="131">
        <f>'Fee Breakdown'!$H$173*E222</f>
        <v>11087.25</v>
      </c>
      <c r="F223" s="131">
        <f>'Fee Breakdown'!$H$173*F222</f>
        <v>11087.25</v>
      </c>
      <c r="G223" s="131">
        <f>'Fee Breakdown'!$H$173*G222</f>
        <v>11087.25</v>
      </c>
      <c r="H223" s="131">
        <f>SUM(C223:G223)</f>
        <v>55436.25</v>
      </c>
      <c r="I223" s="7"/>
      <c r="J223" s="181"/>
      <c r="K223" s="181"/>
      <c r="L223" s="181"/>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row>
    <row r="224" spans="1:71" s="2" customFormat="1">
      <c r="A224" s="7"/>
      <c r="B224" s="33"/>
      <c r="C224" s="131"/>
      <c r="D224" s="131"/>
      <c r="E224" s="131"/>
      <c r="F224" s="131"/>
      <c r="G224" s="131"/>
      <c r="H224" s="131"/>
      <c r="I224" s="7"/>
      <c r="J224" s="181"/>
      <c r="K224" s="181"/>
      <c r="L224" s="181"/>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row>
    <row r="225" spans="1:71" s="2" customFormat="1">
      <c r="A225" s="7"/>
      <c r="B225" s="32" t="str">
        <f>B36</f>
        <v>Correction of metering and market billing data</v>
      </c>
      <c r="C225" s="13"/>
      <c r="D225" s="13"/>
      <c r="E225" s="13"/>
      <c r="F225" s="13"/>
      <c r="G225" s="13"/>
      <c r="H225" s="13"/>
      <c r="I225" s="7"/>
      <c r="J225" s="181"/>
      <c r="K225" s="181"/>
      <c r="L225" s="181"/>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row>
    <row r="226" spans="1:71" s="2" customFormat="1">
      <c r="A226" s="7"/>
      <c r="B226" s="33" t="s">
        <v>24</v>
      </c>
      <c r="C226" s="31">
        <v>100</v>
      </c>
      <c r="D226" s="31">
        <v>100</v>
      </c>
      <c r="E226" s="31">
        <v>100</v>
      </c>
      <c r="F226" s="31">
        <v>100</v>
      </c>
      <c r="G226" s="31">
        <v>100</v>
      </c>
      <c r="H226" s="31">
        <f>SUM(C226:G226)</f>
        <v>500</v>
      </c>
      <c r="I226" s="7"/>
      <c r="J226" s="181"/>
      <c r="K226" s="181"/>
      <c r="L226" s="181"/>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row>
    <row r="227" spans="1:71" s="2" customFormat="1">
      <c r="A227" s="7"/>
      <c r="B227" s="33" t="s">
        <v>259</v>
      </c>
      <c r="C227" s="131">
        <f>VLOOKUP($B225,$B$32:$D$39,3,FALSE)*C226</f>
        <v>5113</v>
      </c>
      <c r="D227" s="131">
        <f>VLOOKUP($B225,$B$32:$D$39,3,FALSE)*D226</f>
        <v>5113</v>
      </c>
      <c r="E227" s="131">
        <f>VLOOKUP($B225,$B$32:$D$39,3,FALSE)*E226</f>
        <v>5113</v>
      </c>
      <c r="F227" s="131">
        <f>VLOOKUP($B225,$B$32:$D$39,3,FALSE)*F226</f>
        <v>5113</v>
      </c>
      <c r="G227" s="131">
        <f>VLOOKUP($B225,$B$32:$D$39,3,FALSE)*G226</f>
        <v>5113</v>
      </c>
      <c r="H227" s="131">
        <f>SUM(C227:G227)</f>
        <v>25565</v>
      </c>
      <c r="I227" s="7"/>
      <c r="J227" s="181"/>
      <c r="K227" s="181"/>
      <c r="L227" s="181"/>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row>
    <row r="228" spans="1:71" s="2" customFormat="1">
      <c r="A228" s="7"/>
      <c r="B228" s="33"/>
      <c r="C228" s="131"/>
      <c r="D228" s="131"/>
      <c r="E228" s="131"/>
      <c r="F228" s="131"/>
      <c r="G228" s="131"/>
      <c r="H228" s="131"/>
      <c r="I228" s="7"/>
      <c r="J228" s="181"/>
      <c r="K228" s="181"/>
      <c r="L228" s="181"/>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row>
    <row r="229" spans="1:71" s="2" customFormat="1">
      <c r="A229" s="7"/>
      <c r="B229" s="32" t="str">
        <f>B37</f>
        <v>Final read after type 5 meter equipment removed</v>
      </c>
      <c r="C229" s="13"/>
      <c r="D229" s="13"/>
      <c r="E229" s="13"/>
      <c r="F229" s="13"/>
      <c r="G229" s="13"/>
      <c r="H229" s="13"/>
      <c r="I229" s="7"/>
      <c r="J229" s="181"/>
      <c r="K229" s="181"/>
      <c r="L229" s="181"/>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row>
    <row r="230" spans="1:71" s="2" customFormat="1">
      <c r="A230" s="7"/>
      <c r="B230" s="33" t="s">
        <v>24</v>
      </c>
      <c r="C230" s="31">
        <v>1000</v>
      </c>
      <c r="D230" s="31">
        <v>1000</v>
      </c>
      <c r="E230" s="31">
        <v>1000</v>
      </c>
      <c r="F230" s="31">
        <v>1000</v>
      </c>
      <c r="G230" s="31">
        <v>1000</v>
      </c>
      <c r="H230" s="31">
        <f>SUM(C230:G230)</f>
        <v>5000</v>
      </c>
      <c r="I230" s="7"/>
      <c r="J230" s="181"/>
      <c r="K230" s="181"/>
      <c r="L230" s="181"/>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row>
    <row r="231" spans="1:71" s="2" customFormat="1">
      <c r="A231" s="7"/>
      <c r="B231" s="33" t="s">
        <v>259</v>
      </c>
      <c r="C231" s="131">
        <f>VLOOKUP($B229,$B$32:$D$39,3,FALSE)*C230</f>
        <v>68173.333333333328</v>
      </c>
      <c r="D231" s="131">
        <f>VLOOKUP($B229,$B$32:$D$39,3,FALSE)*D230</f>
        <v>68173.333333333328</v>
      </c>
      <c r="E231" s="131">
        <f>VLOOKUP($B229,$B$32:$D$39,3,FALSE)*E230</f>
        <v>68173.333333333328</v>
      </c>
      <c r="F231" s="131">
        <f>VLOOKUP($B229,$B$32:$D$39,3,FALSE)*F230</f>
        <v>68173.333333333328</v>
      </c>
      <c r="G231" s="131">
        <f>VLOOKUP($B229,$B$32:$D$39,3,FALSE)*G230</f>
        <v>68173.333333333328</v>
      </c>
      <c r="H231" s="131">
        <f>SUM(C231:G231)</f>
        <v>340866.66666666663</v>
      </c>
      <c r="I231" s="7"/>
      <c r="J231" s="181"/>
      <c r="K231" s="181"/>
      <c r="L231" s="181"/>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row>
    <row r="232" spans="1:71" s="2" customFormat="1">
      <c r="A232" s="7"/>
      <c r="B232" s="33"/>
      <c r="C232" s="131"/>
      <c r="D232" s="131"/>
      <c r="E232" s="131"/>
      <c r="F232" s="131"/>
      <c r="G232" s="131"/>
      <c r="H232" s="131"/>
      <c r="I232" s="7"/>
      <c r="J232" s="181"/>
      <c r="K232" s="181"/>
      <c r="L232" s="181"/>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row>
    <row r="233" spans="1:71" s="2" customFormat="1">
      <c r="A233" s="7"/>
      <c r="B233" s="32" t="str">
        <f>B38</f>
        <v>Type 5 and 6 CT testing</v>
      </c>
      <c r="C233" s="13"/>
      <c r="D233" s="13"/>
      <c r="E233" s="13"/>
      <c r="F233" s="13"/>
      <c r="G233" s="13"/>
      <c r="H233" s="13"/>
      <c r="I233" s="7"/>
      <c r="J233" s="181"/>
      <c r="K233" s="181"/>
      <c r="L233" s="181"/>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row>
    <row r="234" spans="1:71" s="2" customFormat="1">
      <c r="A234" s="7"/>
      <c r="B234" s="33" t="s">
        <v>24</v>
      </c>
      <c r="C234" s="31">
        <v>1000</v>
      </c>
      <c r="D234" s="31">
        <v>1000</v>
      </c>
      <c r="E234" s="31">
        <v>1000</v>
      </c>
      <c r="F234" s="31">
        <v>1000</v>
      </c>
      <c r="G234" s="31">
        <v>1000</v>
      </c>
      <c r="H234" s="31">
        <f>SUM(C234:G234)</f>
        <v>5000</v>
      </c>
      <c r="I234" s="7"/>
      <c r="J234" s="181"/>
      <c r="K234" s="181"/>
      <c r="L234" s="181"/>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row>
    <row r="235" spans="1:71" s="2" customFormat="1">
      <c r="A235" s="7"/>
      <c r="B235" s="33" t="s">
        <v>259</v>
      </c>
      <c r="C235" s="131">
        <f>'Fee Breakdown'!$H$198*C234</f>
        <v>591320</v>
      </c>
      <c r="D235" s="131">
        <f>'Fee Breakdown'!$H$198*D234</f>
        <v>591320</v>
      </c>
      <c r="E235" s="131">
        <f>'Fee Breakdown'!$H$198*E234</f>
        <v>591320</v>
      </c>
      <c r="F235" s="131">
        <f>'Fee Breakdown'!$H$198*F234</f>
        <v>591320</v>
      </c>
      <c r="G235" s="131">
        <f>'Fee Breakdown'!$H$198*G234</f>
        <v>591320</v>
      </c>
      <c r="H235" s="131">
        <f>SUM(C235:G235)</f>
        <v>2956600</v>
      </c>
      <c r="I235" s="7"/>
      <c r="J235" s="181"/>
      <c r="K235" s="181"/>
      <c r="L235" s="181"/>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row>
    <row r="236" spans="1:71" s="2" customFormat="1">
      <c r="A236" s="7"/>
      <c r="B236" s="33"/>
      <c r="C236" s="58"/>
      <c r="D236" s="131"/>
      <c r="E236" s="131"/>
      <c r="F236" s="131"/>
      <c r="G236" s="131"/>
      <c r="H236" s="131"/>
      <c r="I236" s="7"/>
      <c r="J236" s="181"/>
      <c r="K236" s="181"/>
      <c r="L236" s="181"/>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row>
    <row r="237" spans="1:71" s="2" customFormat="1">
      <c r="A237" s="7"/>
      <c r="B237" s="32" t="str">
        <f>B39</f>
        <v>Type 5 and 6 CT recovery</v>
      </c>
      <c r="C237" s="13"/>
      <c r="D237" s="13"/>
      <c r="E237" s="13"/>
      <c r="F237" s="13"/>
      <c r="G237" s="13"/>
      <c r="H237" s="13"/>
      <c r="I237" s="7"/>
      <c r="J237" s="181"/>
      <c r="K237" s="181"/>
      <c r="L237" s="181"/>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row>
    <row r="238" spans="1:71" s="2" customFormat="1">
      <c r="A238" s="7"/>
      <c r="B238" s="33" t="s">
        <v>24</v>
      </c>
      <c r="C238" s="31">
        <v>1000</v>
      </c>
      <c r="D238" s="31">
        <v>1000</v>
      </c>
      <c r="E238" s="31">
        <v>1000</v>
      </c>
      <c r="F238" s="31">
        <v>1000</v>
      </c>
      <c r="G238" s="31">
        <v>1000</v>
      </c>
      <c r="H238" s="31">
        <f>SUM(C238:G238)</f>
        <v>5000</v>
      </c>
      <c r="I238" s="7"/>
      <c r="J238" s="181"/>
      <c r="K238" s="181"/>
      <c r="L238" s="181"/>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row>
    <row r="239" spans="1:71" s="2" customFormat="1">
      <c r="A239" s="7"/>
      <c r="B239" s="33" t="s">
        <v>259</v>
      </c>
      <c r="C239" s="131">
        <f>'Fee Breakdown'!$H$206*C238</f>
        <v>591320</v>
      </c>
      <c r="D239" s="131">
        <f>'Fee Breakdown'!$H$206*D238</f>
        <v>591320</v>
      </c>
      <c r="E239" s="131">
        <f>'Fee Breakdown'!$H$206*E238</f>
        <v>591320</v>
      </c>
      <c r="F239" s="131">
        <f>'Fee Breakdown'!$H$206*F238</f>
        <v>591320</v>
      </c>
      <c r="G239" s="131">
        <f>'Fee Breakdown'!$H$206*G238</f>
        <v>591320</v>
      </c>
      <c r="H239" s="131">
        <f>SUM(C239:G239)</f>
        <v>2956600</v>
      </c>
      <c r="I239" s="7"/>
      <c r="J239" s="181"/>
      <c r="K239" s="181"/>
      <c r="L239" s="181"/>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row>
    <row r="240" spans="1:71" s="2" customFormat="1">
      <c r="A240" s="7"/>
      <c r="B240" s="33"/>
      <c r="C240" s="58"/>
      <c r="D240" s="131"/>
      <c r="E240" s="131"/>
      <c r="F240" s="131"/>
      <c r="G240" s="131"/>
      <c r="H240" s="131"/>
      <c r="I240" s="7"/>
      <c r="J240" s="181"/>
      <c r="K240" s="181"/>
      <c r="L240" s="181"/>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row>
    <row r="241" spans="1:71" s="2" customFormat="1">
      <c r="A241" s="7"/>
      <c r="B241" s="212" t="str">
        <f>B40</f>
        <v>Metering Site Alteration</v>
      </c>
      <c r="C241" s="13"/>
      <c r="D241" s="13"/>
      <c r="E241" s="13"/>
      <c r="F241" s="13"/>
      <c r="G241" s="13"/>
      <c r="H241" s="13"/>
      <c r="I241" s="7"/>
      <c r="J241" s="181"/>
      <c r="K241" s="181"/>
      <c r="L241" s="181"/>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row>
    <row r="242" spans="1:71" s="2" customFormat="1">
      <c r="A242" s="7"/>
      <c r="B242" s="33" t="s">
        <v>24</v>
      </c>
      <c r="C242" s="31">
        <v>28000</v>
      </c>
      <c r="D242" s="31">
        <v>28000</v>
      </c>
      <c r="E242" s="31">
        <v>28000</v>
      </c>
      <c r="F242" s="31">
        <v>28000</v>
      </c>
      <c r="G242" s="31">
        <v>28000</v>
      </c>
      <c r="H242" s="31">
        <f>SUM(C242:G242)</f>
        <v>140000</v>
      </c>
      <c r="I242" s="7"/>
      <c r="J242" s="181"/>
      <c r="K242" s="181"/>
      <c r="L242" s="181"/>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row>
    <row r="243" spans="1:71" s="2" customFormat="1">
      <c r="A243" s="7"/>
      <c r="B243" s="33" t="s">
        <v>259</v>
      </c>
      <c r="C243" s="131">
        <f>'Fee Breakdown'!$H$214*C242</f>
        <v>858984</v>
      </c>
      <c r="D243" s="131">
        <f>'Fee Breakdown'!$H$214*D242</f>
        <v>858984</v>
      </c>
      <c r="E243" s="131">
        <f>'Fee Breakdown'!$H$214*E242</f>
        <v>858984</v>
      </c>
      <c r="F243" s="131">
        <f>'Fee Breakdown'!$H$214*F242</f>
        <v>858984</v>
      </c>
      <c r="G243" s="131">
        <f>'Fee Breakdown'!$H$214*G242</f>
        <v>858984</v>
      </c>
      <c r="H243" s="131">
        <f>SUM(C243:G243)</f>
        <v>4294920</v>
      </c>
      <c r="I243" s="7"/>
      <c r="J243" s="181"/>
      <c r="K243" s="181"/>
      <c r="L243" s="181"/>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row>
    <row r="244" spans="1:71" s="2" customFormat="1">
      <c r="A244" s="7"/>
      <c r="B244" s="33"/>
      <c r="C244" s="58"/>
      <c r="D244" s="131"/>
      <c r="E244" s="131"/>
      <c r="F244" s="131"/>
      <c r="G244" s="131"/>
      <c r="H244" s="131"/>
      <c r="I244" s="7"/>
      <c r="J244" s="181"/>
      <c r="K244" s="181"/>
      <c r="L244" s="181"/>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row>
    <row r="245" spans="1:71" s="2" customFormat="1">
      <c r="A245" s="7"/>
      <c r="B245" s="212" t="str">
        <f>B111</f>
        <v>NMI Extinction</v>
      </c>
      <c r="C245" s="13"/>
      <c r="D245" s="13"/>
      <c r="E245" s="13"/>
      <c r="F245" s="13"/>
      <c r="G245" s="13"/>
      <c r="H245" s="13"/>
      <c r="I245" s="7"/>
      <c r="J245" s="181"/>
      <c r="K245" s="181"/>
      <c r="L245" s="181"/>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row>
    <row r="246" spans="1:71" s="2" customFormat="1">
      <c r="A246" s="7"/>
      <c r="B246" s="33" t="s">
        <v>24</v>
      </c>
      <c r="C246" s="31">
        <v>6000</v>
      </c>
      <c r="D246" s="31">
        <v>6000</v>
      </c>
      <c r="E246" s="31">
        <v>6000</v>
      </c>
      <c r="F246" s="31">
        <v>6000</v>
      </c>
      <c r="G246" s="31">
        <v>6000</v>
      </c>
      <c r="H246" s="31">
        <f>SUM(C246:G246)</f>
        <v>30000</v>
      </c>
      <c r="I246" s="7"/>
      <c r="J246" s="181"/>
      <c r="K246" s="181"/>
      <c r="L246" s="181"/>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row>
    <row r="247" spans="1:71" s="2" customFormat="1">
      <c r="A247" s="7"/>
      <c r="B247" s="33" t="s">
        <v>259</v>
      </c>
      <c r="C247" s="131">
        <f>'Fee Breakdown'!$H$222*C246</f>
        <v>184068</v>
      </c>
      <c r="D247" s="131">
        <f>'Fee Breakdown'!$H$222*D246</f>
        <v>184068</v>
      </c>
      <c r="E247" s="131">
        <f>'Fee Breakdown'!$H$222*E246</f>
        <v>184068</v>
      </c>
      <c r="F247" s="131">
        <f>'Fee Breakdown'!$H$222*F246</f>
        <v>184068</v>
      </c>
      <c r="G247" s="131">
        <f>'Fee Breakdown'!$H$222*G246</f>
        <v>184068</v>
      </c>
      <c r="H247" s="131">
        <f>SUM(C247:G247)</f>
        <v>920340</v>
      </c>
      <c r="I247" s="7"/>
      <c r="J247" s="181"/>
      <c r="K247" s="181"/>
      <c r="L247" s="181"/>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row>
    <row r="248" spans="1:71" s="2" customFormat="1">
      <c r="A248" s="7"/>
      <c r="B248" s="33"/>
      <c r="C248" s="131"/>
      <c r="D248" s="131"/>
      <c r="E248" s="131"/>
      <c r="F248" s="131"/>
      <c r="G248" s="131"/>
      <c r="H248" s="131"/>
      <c r="I248" s="7"/>
      <c r="J248" s="181"/>
      <c r="K248" s="181"/>
      <c r="L248" s="181"/>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row>
    <row r="249" spans="1:71" s="2" customFormat="1">
      <c r="A249" s="7"/>
      <c r="B249" s="196" t="s">
        <v>14</v>
      </c>
      <c r="C249" s="196"/>
      <c r="D249" s="196"/>
      <c r="E249" s="196"/>
      <c r="F249" s="196"/>
      <c r="G249" s="196"/>
      <c r="H249" s="131"/>
      <c r="I249" s="7"/>
      <c r="J249" s="181"/>
      <c r="K249" s="181"/>
      <c r="L249" s="181"/>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row>
    <row r="250" spans="1:71" s="2" customFormat="1">
      <c r="A250" s="7"/>
      <c r="B250" s="79" t="s">
        <v>307</v>
      </c>
      <c r="C250" s="13"/>
      <c r="D250" s="13"/>
      <c r="E250" s="13"/>
      <c r="F250" s="13"/>
      <c r="G250" s="13"/>
      <c r="H250" s="131"/>
      <c r="I250" s="7"/>
      <c r="J250" s="181"/>
      <c r="K250" s="181"/>
      <c r="L250" s="181"/>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row>
    <row r="251" spans="1:71" s="2" customFormat="1">
      <c r="A251" s="7"/>
      <c r="B251" s="33" t="s">
        <v>314</v>
      </c>
      <c r="C251" s="217">
        <f>C126+C131+C136+C146+C151+C156+C161+C166+C171+++C176+++C181+C186+C191+C196+C201+C206+C211+C215+C219+C223+C227+C231+C235+C239+C243+C247</f>
        <v>14095367.482547292</v>
      </c>
      <c r="D251" s="217">
        <f t="shared" ref="D251:H251" si="18">D126+D131+D136+D146+D151+D156+D161+D166+D171+++D176+++D181+D186+D191+D196+D201+D206+D211+D215+D219+D223+D227+D231+D235+D239+D243+D247</f>
        <v>13222505.228012016</v>
      </c>
      <c r="E251" s="217">
        <f t="shared" si="18"/>
        <v>12349642.973476738</v>
      </c>
      <c r="F251" s="217">
        <f t="shared" si="18"/>
        <v>11476780.718941461</v>
      </c>
      <c r="G251" s="217">
        <f t="shared" si="18"/>
        <v>10603918.464406181</v>
      </c>
      <c r="H251" s="217">
        <f t="shared" si="18"/>
        <v>61748214.867383674</v>
      </c>
      <c r="I251" s="7"/>
      <c r="J251" s="181"/>
      <c r="K251" s="181"/>
      <c r="L251" s="181"/>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row>
    <row r="252" spans="1:71" s="8" customFormat="1">
      <c r="A252" s="15"/>
      <c r="B252" s="1" t="s">
        <v>297</v>
      </c>
      <c r="C252" s="1"/>
      <c r="D252" s="1"/>
      <c r="E252" s="1"/>
      <c r="F252" s="4"/>
      <c r="G252" s="4"/>
      <c r="H252" s="4"/>
      <c r="I252" s="21"/>
      <c r="J252" s="21"/>
      <c r="K252" s="21"/>
      <c r="L252" s="21"/>
      <c r="M252" s="16"/>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row>
    <row r="253" spans="1:71" s="15" customFormat="1">
      <c r="B253" s="37"/>
    </row>
    <row r="254" spans="1:71" s="8" customFormat="1">
      <c r="A254" s="15"/>
      <c r="B254" s="3" t="s">
        <v>5</v>
      </c>
      <c r="C254" s="6" t="s">
        <v>10</v>
      </c>
      <c r="D254" s="29" t="s">
        <v>19</v>
      </c>
      <c r="E254" s="29" t="s">
        <v>20</v>
      </c>
      <c r="F254" s="29" t="s">
        <v>21</v>
      </c>
      <c r="G254" s="29" t="s">
        <v>22</v>
      </c>
      <c r="H254" s="29" t="s">
        <v>23</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row>
    <row r="255" spans="1:71" s="8" customFormat="1">
      <c r="A255" s="15"/>
      <c r="B255" s="8" t="s">
        <v>11</v>
      </c>
      <c r="C255" s="65">
        <f>'Input Data'!G13</f>
        <v>1</v>
      </c>
      <c r="D255" s="65">
        <f>'Input Data'!H13</f>
        <v>1.0276240678492865</v>
      </c>
      <c r="E255" s="65">
        <f>'Input Data'!I13</f>
        <v>1.0592497813772299</v>
      </c>
      <c r="F255" s="65">
        <f>'Input Data'!J13</f>
        <v>1.0963162030397382</v>
      </c>
      <c r="G255" s="65">
        <f>'Input Data'!K13</f>
        <v>1.1373288908332129</v>
      </c>
      <c r="H255" s="65">
        <f>'Input Data'!L13</f>
        <v>1.1781674433570202</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row>
    <row r="256" spans="1:71" s="8" customFormat="1">
      <c r="A256" s="15"/>
      <c r="B256" s="8" t="s">
        <v>12</v>
      </c>
      <c r="C256" s="65">
        <f>'Input Data'!G14</f>
        <v>1</v>
      </c>
      <c r="D256" s="65">
        <f>'Input Data'!H14</f>
        <v>1.0242487465753967</v>
      </c>
      <c r="E256" s="65">
        <f>'Input Data'!I14</f>
        <v>1.0490854948612711</v>
      </c>
      <c r="F256" s="65">
        <f>'Input Data'!J14</f>
        <v>1.0745245031620867</v>
      </c>
      <c r="G256" s="65">
        <f>'Input Data'!K14</f>
        <v>1.1005803755283181</v>
      </c>
      <c r="H256" s="65">
        <f>'Input Data'!L14</f>
        <v>1.1272680701403592</v>
      </c>
      <c r="I256" s="15"/>
      <c r="J256" s="18"/>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row>
    <row r="257" spans="1:133" s="8" customFormat="1">
      <c r="A257" s="15"/>
      <c r="B257" s="8" t="s">
        <v>13</v>
      </c>
      <c r="C257" s="65">
        <f>'Input Data'!G15</f>
        <v>1</v>
      </c>
      <c r="D257" s="65">
        <f>'Input Data'!H15</f>
        <v>1.0032954116714083</v>
      </c>
      <c r="E257" s="65">
        <f>'Input Data'!I15</f>
        <v>1.0096887113259563</v>
      </c>
      <c r="F257" s="65">
        <f>'Input Data'!J15</f>
        <v>1.0202803191677094</v>
      </c>
      <c r="G257" s="65">
        <f>'Input Data'!K15</f>
        <v>1.0333901240854437</v>
      </c>
      <c r="H257" s="65">
        <f>'Input Data'!L15</f>
        <v>1.0451528563301924</v>
      </c>
      <c r="I257" s="15"/>
      <c r="J257" s="18"/>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row>
    <row r="258" spans="1:133" s="15" customFormat="1">
      <c r="E258" s="18"/>
      <c r="F258" s="18"/>
      <c r="G258" s="18"/>
      <c r="H258" s="18"/>
      <c r="I258" s="18"/>
      <c r="J258" s="18"/>
      <c r="K258" s="18"/>
      <c r="L258" s="18"/>
      <c r="M258" s="18"/>
      <c r="N258" s="18"/>
      <c r="O258" s="18"/>
    </row>
    <row r="259" spans="1:133" s="7" customFormat="1"/>
    <row r="260" spans="1:133">
      <c r="B260" s="1" t="s">
        <v>116</v>
      </c>
      <c r="C260" s="1"/>
      <c r="D260" s="1"/>
      <c r="E260" s="1"/>
      <c r="F260" s="4"/>
      <c r="G260" s="4"/>
      <c r="H260" s="4"/>
      <c r="I260" s="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row>
    <row r="261" spans="1:133">
      <c r="B261" s="7"/>
      <c r="C261" s="7"/>
      <c r="D261" s="7"/>
      <c r="E261" s="7"/>
      <c r="F261" s="7"/>
      <c r="G261" s="7"/>
      <c r="H261" s="7"/>
      <c r="I261" s="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row>
    <row r="262" spans="1:133">
      <c r="B262" s="3" t="s">
        <v>5</v>
      </c>
      <c r="C262" s="6" t="s">
        <v>269</v>
      </c>
      <c r="D262" s="29" t="s">
        <v>268</v>
      </c>
      <c r="E262" s="6" t="s">
        <v>119</v>
      </c>
      <c r="F262" s="29" t="s">
        <v>120</v>
      </c>
      <c r="G262" s="29" t="s">
        <v>121</v>
      </c>
      <c r="H262" s="29" t="s">
        <v>122</v>
      </c>
      <c r="I262" s="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row>
    <row r="263" spans="1:133">
      <c r="B263" s="8" t="s">
        <v>123</v>
      </c>
      <c r="C263" s="92"/>
      <c r="D263" s="92">
        <v>1</v>
      </c>
      <c r="E263" s="92">
        <f>D263*(1+E265)*(1-E264)</f>
        <v>1.0353329951690822</v>
      </c>
      <c r="F263" s="92">
        <f t="shared" ref="F263:G263" si="19">E263*(1+F265)*(1-F264)</f>
        <v>1.0621947743913041</v>
      </c>
      <c r="G263" s="92">
        <f t="shared" si="19"/>
        <v>1.0876998293290692</v>
      </c>
      <c r="H263" s="92">
        <f>G263*(1+H266)*(1-H264)</f>
        <v>1.1205581534732707</v>
      </c>
      <c r="I263" s="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row>
    <row r="264" spans="1:133">
      <c r="B264" s="8" t="s">
        <v>272</v>
      </c>
      <c r="C264" s="92"/>
      <c r="D264" s="92"/>
      <c r="E264" s="92">
        <f>-'Input Data'!D19</f>
        <v>-1.0200000000000001E-2</v>
      </c>
      <c r="F264" s="92">
        <f>-'Input Data'!E19</f>
        <v>-1.0699999999999999E-2</v>
      </c>
      <c r="G264" s="92">
        <f>-'Input Data'!F19</f>
        <v>-1.11E-2</v>
      </c>
      <c r="H264" s="92">
        <f>-'Input Data'!G19</f>
        <v>-1.0999999999999999E-2</v>
      </c>
      <c r="I264" s="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row>
    <row r="265" spans="1:133">
      <c r="B265" s="8" t="s">
        <v>117</v>
      </c>
      <c r="C265" s="92">
        <v>1.76278015613196E-2</v>
      </c>
      <c r="D265" s="92">
        <v>2.4498886414253906E-2</v>
      </c>
      <c r="E265" s="92">
        <v>2.4879227053140163E-2</v>
      </c>
      <c r="F265" s="92">
        <v>1.5083667216591934E-2</v>
      </c>
      <c r="G265" s="92">
        <v>1.2769909449732886E-2</v>
      </c>
      <c r="H265" s="65"/>
      <c r="I265" s="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row>
    <row r="266" spans="1:133">
      <c r="B266" s="8" t="s">
        <v>118</v>
      </c>
      <c r="C266" s="92"/>
      <c r="D266" s="92"/>
      <c r="E266" s="92"/>
      <c r="F266" s="92"/>
      <c r="G266" s="65"/>
      <c r="H266" s="65">
        <f>'Input Data'!G18</f>
        <v>1.9E-2</v>
      </c>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row>
    <row r="267" spans="1:133" s="147" customFormat="1"/>
    <row r="268" spans="1:133" s="147" customFormat="1">
      <c r="B268" s="1" t="s">
        <v>290</v>
      </c>
      <c r="C268" s="1"/>
      <c r="D268" s="1"/>
      <c r="E268" s="1"/>
      <c r="F268" s="4"/>
      <c r="G268" s="4"/>
      <c r="H268" s="4"/>
    </row>
    <row r="269" spans="1:133" s="147" customFormat="1"/>
    <row r="270" spans="1:133" s="147" customFormat="1"/>
    <row r="271" spans="1:133" s="147" customFormat="1">
      <c r="B271" s="3"/>
      <c r="C271" s="29" t="s">
        <v>10</v>
      </c>
      <c r="D271" s="6" t="s">
        <v>19</v>
      </c>
      <c r="E271" s="29" t="s">
        <v>20</v>
      </c>
      <c r="F271" s="29" t="s">
        <v>21</v>
      </c>
      <c r="G271" s="29" t="s">
        <v>22</v>
      </c>
      <c r="H271" s="3" t="s">
        <v>23</v>
      </c>
    </row>
    <row r="272" spans="1:133" s="147" customFormat="1">
      <c r="B272" s="8" t="s">
        <v>291</v>
      </c>
      <c r="C272" s="205">
        <v>1425098</v>
      </c>
      <c r="D272" s="206">
        <v>1430490.894584063</v>
      </c>
      <c r="E272" s="206">
        <v>1308490.894584063</v>
      </c>
      <c r="F272" s="206">
        <v>1186490.894584063</v>
      </c>
      <c r="G272" s="206">
        <v>1064490.894584063</v>
      </c>
      <c r="H272" s="206">
        <v>942490.89458406297</v>
      </c>
      <c r="I272" s="211"/>
      <c r="J272" s="211"/>
      <c r="K272" s="211"/>
    </row>
    <row r="273" spans="2:8" s="147" customFormat="1">
      <c r="B273" s="8" t="s">
        <v>292</v>
      </c>
      <c r="C273" s="186"/>
      <c r="D273" s="187">
        <f>(D272-C272)/C272</f>
        <v>3.7842271788066329E-3</v>
      </c>
      <c r="E273" s="187">
        <f t="shared" ref="E273:H273" si="20">(E272-D272)/D272</f>
        <v>-8.5285408290189338E-2</v>
      </c>
      <c r="F273" s="187">
        <f t="shared" si="20"/>
        <v>-9.3237179184789659E-2</v>
      </c>
      <c r="G273" s="187">
        <f t="shared" si="20"/>
        <v>-0.10282421934874468</v>
      </c>
      <c r="H273" s="187">
        <f t="shared" si="20"/>
        <v>-0.11460877741718029</v>
      </c>
    </row>
    <row r="274" spans="2:8" s="147" customFormat="1"/>
    <row r="275" spans="2:8" s="147" customFormat="1"/>
    <row r="276" spans="2:8" s="147" customFormat="1"/>
    <row r="277" spans="2:8" s="147" customFormat="1">
      <c r="D277" s="188"/>
    </row>
    <row r="278" spans="2:8" s="147" customFormat="1" hidden="1"/>
    <row r="279" spans="2:8" s="147" customFormat="1" hidden="1"/>
    <row r="280" spans="2:8" s="147" customFormat="1" hidden="1"/>
    <row r="281" spans="2:8" s="147" customFormat="1" hidden="1"/>
    <row r="282" spans="2:8" s="147" customFormat="1" hidden="1"/>
    <row r="283" spans="2:8" s="147" customFormat="1" hidden="1"/>
    <row r="284" spans="2:8" s="147" customFormat="1" hidden="1"/>
    <row r="285" spans="2:8" s="147" customFormat="1" hidden="1"/>
    <row r="286" spans="2:8" s="147" customFormat="1" hidden="1"/>
    <row r="287" spans="2:8" s="147" customFormat="1" hidden="1"/>
    <row r="288" spans="2: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row r="326"/>
    <row r="327"/>
  </sheetData>
  <mergeCells count="10">
    <mergeCell ref="C80:G80"/>
    <mergeCell ref="D46:E46"/>
    <mergeCell ref="D82:E82"/>
    <mergeCell ref="F82:G82"/>
    <mergeCell ref="F4:G4"/>
    <mergeCell ref="B71:G71"/>
    <mergeCell ref="B76:G76"/>
    <mergeCell ref="E6:I6"/>
    <mergeCell ref="F46:I46"/>
    <mergeCell ref="B33:B3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178"/>
  <sheetViews>
    <sheetView workbookViewId="0"/>
  </sheetViews>
  <sheetFormatPr defaultColWidth="0" defaultRowHeight="14.4" zeroHeight="1"/>
  <cols>
    <col min="1" max="1" width="2.44140625" style="147" customWidth="1"/>
    <col min="2" max="2" width="2.44140625" style="34" customWidth="1"/>
    <col min="3" max="3" width="10.109375" style="34" customWidth="1"/>
    <col min="4" max="9" width="13.109375" style="34" customWidth="1"/>
    <col min="10" max="10" width="9.109375" style="34" customWidth="1"/>
    <col min="11" max="11" width="14.6640625" style="34" customWidth="1"/>
    <col min="12" max="12" width="2.88671875" style="163" customWidth="1"/>
    <col min="13" max="14" width="9.109375" style="147" customWidth="1"/>
    <col min="15" max="93" width="0" style="147" hidden="1" customWidth="1"/>
    <col min="94" max="16384" width="9.109375" hidden="1"/>
  </cols>
  <sheetData>
    <row r="1" spans="1:93" s="147" customFormat="1">
      <c r="B1" s="163"/>
      <c r="C1" s="163"/>
      <c r="D1" s="163"/>
      <c r="E1" s="163"/>
      <c r="F1" s="163"/>
      <c r="G1" s="163"/>
      <c r="H1" s="163"/>
      <c r="I1" s="163"/>
      <c r="J1" s="163"/>
      <c r="K1" s="163"/>
      <c r="L1" s="163"/>
    </row>
    <row r="2" spans="1:93" s="35" customFormat="1" ht="21" customHeight="1">
      <c r="A2" s="162"/>
      <c r="B2" s="27" t="s">
        <v>25</v>
      </c>
      <c r="C2" s="27"/>
      <c r="D2" s="27"/>
      <c r="E2" s="27"/>
      <c r="F2" s="27"/>
      <c r="G2" s="27"/>
      <c r="H2" s="27"/>
      <c r="I2" s="27"/>
      <c r="J2" s="27"/>
      <c r="K2" s="27"/>
      <c r="L2" s="165"/>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row>
    <row r="3" spans="1:93">
      <c r="B3" s="5" t="s">
        <v>0</v>
      </c>
      <c r="C3" s="5"/>
      <c r="D3" s="36" t="str">
        <f>'AER Summary'!C3</f>
        <v>Metering related</v>
      </c>
      <c r="E3" s="22"/>
      <c r="F3" s="22"/>
      <c r="G3" s="22"/>
      <c r="H3" s="22"/>
      <c r="I3" s="22"/>
      <c r="J3" s="22"/>
      <c r="K3" s="22"/>
      <c r="M3" s="164"/>
    </row>
    <row r="4" spans="1:93" s="147" customFormat="1">
      <c r="B4" s="164"/>
    </row>
    <row r="5" spans="1:93">
      <c r="B5" s="42" t="s">
        <v>62</v>
      </c>
      <c r="C5" s="42"/>
      <c r="D5" s="42"/>
      <c r="E5" s="42"/>
      <c r="F5" s="42"/>
      <c r="G5" s="42"/>
      <c r="H5" s="42"/>
      <c r="I5" s="42"/>
      <c r="J5" s="42"/>
      <c r="K5" s="42"/>
    </row>
    <row r="6" spans="1:93" ht="36.6" customHeight="1">
      <c r="B6" s="236" t="s">
        <v>63</v>
      </c>
      <c r="C6" s="236"/>
      <c r="D6" s="236"/>
      <c r="E6" s="236"/>
      <c r="F6" s="236"/>
      <c r="G6" s="236"/>
      <c r="H6" s="236"/>
      <c r="I6" s="236"/>
      <c r="J6" s="236"/>
      <c r="K6" s="236"/>
    </row>
    <row r="7" spans="1:93" s="147" customFormat="1">
      <c r="B7" s="164"/>
    </row>
    <row r="8" spans="1:93">
      <c r="B8" s="237" t="str">
        <f>'AER Summary'!B11</f>
        <v xml:space="preserve">Metering Site Establishment </v>
      </c>
      <c r="C8" s="237"/>
      <c r="D8" s="237"/>
      <c r="E8" s="237"/>
      <c r="F8" s="237"/>
      <c r="G8" s="237"/>
      <c r="H8" s="237"/>
      <c r="I8" s="237"/>
      <c r="J8" s="237"/>
      <c r="K8" s="237"/>
    </row>
    <row r="9" spans="1:93" ht="117" customHeight="1">
      <c r="B9" s="238" t="s">
        <v>328</v>
      </c>
      <c r="C9" s="238"/>
      <c r="D9" s="238"/>
      <c r="E9" s="238"/>
      <c r="F9" s="238"/>
      <c r="G9" s="238"/>
      <c r="H9" s="238"/>
      <c r="I9" s="238"/>
      <c r="J9" s="238"/>
      <c r="K9" s="238"/>
    </row>
    <row r="10" spans="1:93" s="147" customFormat="1">
      <c r="B10" s="163"/>
      <c r="C10" s="163"/>
      <c r="D10" s="163"/>
      <c r="E10" s="163"/>
      <c r="F10" s="163"/>
      <c r="G10" s="163"/>
      <c r="H10" s="163"/>
      <c r="I10" s="163"/>
      <c r="J10" s="163"/>
      <c r="K10" s="163"/>
      <c r="L10" s="163"/>
    </row>
    <row r="11" spans="1:93" ht="14.4" customHeight="1">
      <c r="B11" s="237" t="str">
        <f>'AER Summary'!B12</f>
        <v xml:space="preserve">Special Meter Reading </v>
      </c>
      <c r="C11" s="237"/>
      <c r="D11" s="237"/>
      <c r="E11" s="237"/>
      <c r="F11" s="237"/>
      <c r="G11" s="237"/>
      <c r="H11" s="237"/>
      <c r="I11" s="237"/>
      <c r="J11" s="237"/>
      <c r="K11" s="237"/>
    </row>
    <row r="12" spans="1:93" ht="117" customHeight="1">
      <c r="B12" s="238" t="s">
        <v>260</v>
      </c>
      <c r="C12" s="238"/>
      <c r="D12" s="238"/>
      <c r="E12" s="238"/>
      <c r="F12" s="238"/>
      <c r="G12" s="238"/>
      <c r="H12" s="238"/>
      <c r="I12" s="238"/>
      <c r="J12" s="238"/>
      <c r="K12" s="238"/>
    </row>
    <row r="13" spans="1:93" s="147" customFormat="1" ht="14.4" customHeight="1">
      <c r="B13" s="163"/>
      <c r="C13" s="163"/>
      <c r="D13" s="163"/>
      <c r="E13" s="163"/>
      <c r="F13" s="163"/>
      <c r="G13" s="163"/>
      <c r="H13" s="163"/>
      <c r="I13" s="163"/>
      <c r="J13" s="163"/>
      <c r="K13" s="163"/>
      <c r="L13" s="163"/>
    </row>
    <row r="14" spans="1:93" ht="14.4" customHeight="1">
      <c r="B14" s="237" t="str">
        <f>'AER Summary'!B13</f>
        <v xml:space="preserve">Type 5-6 Meter Test </v>
      </c>
      <c r="C14" s="237"/>
      <c r="D14" s="237"/>
      <c r="E14" s="237"/>
      <c r="F14" s="237"/>
      <c r="G14" s="237"/>
      <c r="H14" s="237"/>
      <c r="I14" s="237"/>
      <c r="J14" s="237"/>
      <c r="K14" s="237"/>
    </row>
    <row r="15" spans="1:93" ht="60" customHeight="1">
      <c r="B15" s="238" t="s">
        <v>315</v>
      </c>
      <c r="C15" s="238"/>
      <c r="D15" s="238"/>
      <c r="E15" s="238"/>
      <c r="F15" s="238"/>
      <c r="G15" s="238"/>
      <c r="H15" s="238"/>
      <c r="I15" s="238"/>
      <c r="J15" s="238"/>
      <c r="K15" s="238"/>
    </row>
    <row r="16" spans="1:93" s="147" customFormat="1" ht="14.4" customHeight="1">
      <c r="B16" s="163"/>
      <c r="C16" s="163"/>
      <c r="D16" s="163"/>
      <c r="E16" s="163"/>
      <c r="F16" s="163"/>
      <c r="G16" s="163"/>
      <c r="H16" s="163"/>
      <c r="I16" s="163"/>
      <c r="J16" s="163"/>
      <c r="K16" s="163"/>
      <c r="L16" s="163"/>
    </row>
    <row r="17" spans="2:12" ht="14.4" customHeight="1">
      <c r="B17" s="237" t="str">
        <f>'AER Summary'!B14</f>
        <v xml:space="preserve">Franchise current transformer (CT) meter install </v>
      </c>
      <c r="C17" s="237"/>
      <c r="D17" s="237"/>
      <c r="E17" s="237"/>
      <c r="F17" s="237"/>
      <c r="G17" s="237"/>
      <c r="H17" s="237"/>
      <c r="I17" s="237"/>
      <c r="J17" s="237"/>
      <c r="K17" s="237"/>
    </row>
    <row r="18" spans="2:12" ht="60" customHeight="1">
      <c r="B18" s="238" t="s">
        <v>91</v>
      </c>
      <c r="C18" s="238"/>
      <c r="D18" s="238"/>
      <c r="E18" s="238"/>
      <c r="F18" s="238"/>
      <c r="G18" s="238"/>
      <c r="H18" s="238"/>
      <c r="I18" s="238"/>
      <c r="J18" s="238"/>
      <c r="K18" s="238"/>
    </row>
    <row r="19" spans="2:12" s="147" customFormat="1" ht="14.4" customHeight="1">
      <c r="B19" s="163"/>
      <c r="C19" s="163"/>
      <c r="D19" s="163"/>
      <c r="E19" s="163"/>
      <c r="F19" s="163"/>
      <c r="G19" s="163"/>
      <c r="H19" s="163"/>
      <c r="I19" s="163"/>
      <c r="J19" s="163"/>
      <c r="K19" s="163"/>
      <c r="L19" s="163"/>
    </row>
    <row r="20" spans="2:12" ht="14.4" customHeight="1">
      <c r="B20" s="237" t="str">
        <f>'AER Summary'!B15</f>
        <v xml:space="preserve">Types 5-7 non-standard Meter Data Services </v>
      </c>
      <c r="C20" s="237"/>
      <c r="D20" s="237"/>
      <c r="E20" s="237"/>
      <c r="F20" s="237"/>
      <c r="G20" s="237"/>
      <c r="H20" s="237"/>
      <c r="I20" s="237"/>
      <c r="J20" s="237"/>
      <c r="K20" s="237"/>
    </row>
    <row r="21" spans="2:12" s="7" customFormat="1" ht="117" customHeight="1">
      <c r="B21" s="238" t="s">
        <v>261</v>
      </c>
      <c r="C21" s="238"/>
      <c r="D21" s="238"/>
      <c r="E21" s="238"/>
      <c r="F21" s="238"/>
      <c r="G21" s="238"/>
      <c r="H21" s="238"/>
      <c r="I21" s="238"/>
      <c r="J21" s="238"/>
      <c r="K21" s="238"/>
    </row>
    <row r="22" spans="2:12" s="7" customFormat="1" ht="14.4" customHeight="1"/>
    <row r="23" spans="2:12" ht="14.4" customHeight="1">
      <c r="B23" s="237" t="str">
        <f>'AER Summary'!B16</f>
        <v xml:space="preserve">Emergency maintenance of failed metering equipment not owned by the network </v>
      </c>
      <c r="C23" s="237"/>
      <c r="D23" s="237"/>
      <c r="E23" s="237"/>
      <c r="F23" s="237"/>
      <c r="G23" s="237"/>
      <c r="H23" s="237"/>
      <c r="I23" s="237"/>
      <c r="J23" s="237"/>
      <c r="K23" s="237"/>
    </row>
    <row r="24" spans="2:12" ht="118.5" customHeight="1">
      <c r="B24" s="239" t="s">
        <v>329</v>
      </c>
      <c r="C24" s="239"/>
      <c r="D24" s="239"/>
      <c r="E24" s="239"/>
      <c r="F24" s="239"/>
      <c r="G24" s="239"/>
      <c r="H24" s="239"/>
      <c r="I24" s="239"/>
      <c r="J24" s="239"/>
      <c r="K24" s="239"/>
    </row>
    <row r="25" spans="2:12" s="147" customFormat="1" ht="14.4" customHeight="1">
      <c r="B25" s="163"/>
      <c r="C25" s="163"/>
      <c r="D25" s="163"/>
      <c r="E25" s="163"/>
      <c r="F25" s="163"/>
      <c r="G25" s="163"/>
      <c r="H25" s="163"/>
      <c r="I25" s="163"/>
      <c r="J25" s="163"/>
      <c r="K25" s="163"/>
      <c r="L25" s="163"/>
    </row>
    <row r="26" spans="2:12" ht="14.4" customHeight="1">
      <c r="B26" s="237" t="str">
        <f>'AER Summary'!B17</f>
        <v xml:space="preserve">Off peak conversion </v>
      </c>
      <c r="C26" s="237"/>
      <c r="D26" s="237"/>
      <c r="E26" s="237"/>
      <c r="F26" s="237"/>
      <c r="G26" s="237"/>
      <c r="H26" s="237"/>
      <c r="I26" s="237"/>
      <c r="J26" s="237"/>
      <c r="K26" s="237"/>
    </row>
    <row r="27" spans="2:12" ht="90" customHeight="1">
      <c r="B27" s="238" t="s">
        <v>318</v>
      </c>
      <c r="C27" s="238"/>
      <c r="D27" s="238"/>
      <c r="E27" s="238"/>
      <c r="F27" s="238"/>
      <c r="G27" s="238"/>
      <c r="H27" s="238"/>
      <c r="I27" s="238"/>
      <c r="J27" s="238"/>
      <c r="K27" s="238"/>
    </row>
    <row r="28" spans="2:12" s="147" customFormat="1" ht="14.4" customHeight="1">
      <c r="B28" s="163"/>
      <c r="C28" s="163"/>
      <c r="D28" s="163"/>
      <c r="E28" s="163"/>
      <c r="F28" s="163"/>
      <c r="G28" s="163"/>
      <c r="H28" s="163"/>
      <c r="I28" s="163"/>
      <c r="J28" s="163"/>
      <c r="K28" s="163"/>
      <c r="L28" s="163"/>
    </row>
    <row r="29" spans="2:12" ht="14.4" customHeight="1">
      <c r="B29" s="237" t="str">
        <f>'AER Summary'!B18</f>
        <v xml:space="preserve">Disconnection Visit (Site Visit Only) </v>
      </c>
      <c r="C29" s="237"/>
      <c r="D29" s="237"/>
      <c r="E29" s="237"/>
      <c r="F29" s="237"/>
      <c r="G29" s="237"/>
      <c r="H29" s="237"/>
      <c r="I29" s="237"/>
      <c r="J29" s="237"/>
      <c r="K29" s="237"/>
    </row>
    <row r="30" spans="2:12" ht="209.25" customHeight="1">
      <c r="B30" s="238" t="s">
        <v>319</v>
      </c>
      <c r="C30" s="238"/>
      <c r="D30" s="238"/>
      <c r="E30" s="238"/>
      <c r="F30" s="238"/>
      <c r="G30" s="238"/>
      <c r="H30" s="238"/>
      <c r="I30" s="238"/>
      <c r="J30" s="238"/>
      <c r="K30" s="238"/>
    </row>
    <row r="31" spans="2:12" s="147" customFormat="1">
      <c r="B31" s="163"/>
      <c r="C31" s="163"/>
      <c r="D31" s="163"/>
      <c r="E31" s="163"/>
      <c r="F31" s="163"/>
      <c r="G31" s="163"/>
      <c r="H31" s="163"/>
      <c r="I31" s="163"/>
      <c r="J31" s="163"/>
      <c r="K31" s="163"/>
      <c r="L31" s="163"/>
    </row>
    <row r="32" spans="2:12">
      <c r="B32" s="237" t="str">
        <f>'AER Summary'!B19</f>
        <v xml:space="preserve">Disconnection Completed </v>
      </c>
      <c r="C32" s="237"/>
      <c r="D32" s="237"/>
      <c r="E32" s="237"/>
      <c r="F32" s="237"/>
      <c r="G32" s="237"/>
      <c r="H32" s="237"/>
      <c r="I32" s="237"/>
      <c r="J32" s="237"/>
      <c r="K32" s="237"/>
    </row>
    <row r="33" spans="2:12" ht="237.75" customHeight="1">
      <c r="B33" s="239" t="s">
        <v>321</v>
      </c>
      <c r="C33" s="239"/>
      <c r="D33" s="239"/>
      <c r="E33" s="239"/>
      <c r="F33" s="239"/>
      <c r="G33" s="239"/>
      <c r="H33" s="239"/>
      <c r="I33" s="239"/>
      <c r="J33" s="239"/>
      <c r="K33" s="239"/>
    </row>
    <row r="34" spans="2:12" s="147" customFormat="1">
      <c r="B34" s="163"/>
      <c r="C34" s="163"/>
      <c r="D34" s="163"/>
      <c r="E34" s="163"/>
      <c r="F34" s="163"/>
      <c r="G34" s="163"/>
      <c r="H34" s="163"/>
      <c r="I34" s="163"/>
      <c r="J34" s="163"/>
      <c r="K34" s="163"/>
      <c r="L34" s="163"/>
    </row>
    <row r="35" spans="2:12">
      <c r="B35" s="237" t="str">
        <f>'AER Summary'!B20</f>
        <v xml:space="preserve">Disconnection Visit (Disconnection Completed- Technical/ Advanced) </v>
      </c>
      <c r="C35" s="237"/>
      <c r="D35" s="237"/>
      <c r="E35" s="237"/>
      <c r="F35" s="237"/>
      <c r="G35" s="237"/>
      <c r="H35" s="237"/>
      <c r="I35" s="237"/>
      <c r="J35" s="237"/>
      <c r="K35" s="237"/>
    </row>
    <row r="36" spans="2:12" ht="225" customHeight="1">
      <c r="B36" s="239" t="s">
        <v>320</v>
      </c>
      <c r="C36" s="239"/>
      <c r="D36" s="239"/>
      <c r="E36" s="239"/>
      <c r="F36" s="239"/>
      <c r="G36" s="239"/>
      <c r="H36" s="239"/>
      <c r="I36" s="239"/>
      <c r="J36" s="239"/>
      <c r="K36" s="239"/>
    </row>
    <row r="37" spans="2:12" s="147" customFormat="1">
      <c r="B37" s="163"/>
      <c r="C37" s="163"/>
      <c r="D37" s="163"/>
      <c r="E37" s="163"/>
      <c r="F37" s="163"/>
      <c r="G37" s="163"/>
      <c r="H37" s="163"/>
      <c r="I37" s="163"/>
      <c r="J37" s="163"/>
      <c r="K37" s="163"/>
      <c r="L37" s="163"/>
    </row>
    <row r="38" spans="2:12">
      <c r="B38" s="237" t="str">
        <f>'AER Summary'!B21</f>
        <v xml:space="preserve">Pillar/ Pole Top Disconnection Completed </v>
      </c>
      <c r="C38" s="237"/>
      <c r="D38" s="237"/>
      <c r="E38" s="237"/>
      <c r="F38" s="237"/>
      <c r="G38" s="237"/>
      <c r="H38" s="237"/>
      <c r="I38" s="237"/>
      <c r="J38" s="237"/>
      <c r="K38" s="237"/>
    </row>
    <row r="39" spans="2:12" ht="177.75" customHeight="1">
      <c r="B39" s="238" t="s">
        <v>322</v>
      </c>
      <c r="C39" s="238"/>
      <c r="D39" s="238"/>
      <c r="E39" s="238"/>
      <c r="F39" s="238"/>
      <c r="G39" s="238"/>
      <c r="H39" s="238"/>
      <c r="I39" s="238"/>
      <c r="J39" s="238"/>
      <c r="K39" s="238"/>
    </row>
    <row r="40" spans="2:12" s="147" customFormat="1">
      <c r="B40" s="163"/>
      <c r="C40" s="163"/>
      <c r="D40" s="163"/>
      <c r="E40" s="163"/>
      <c r="F40" s="163"/>
      <c r="G40" s="163"/>
      <c r="H40" s="163"/>
      <c r="I40" s="163"/>
      <c r="J40" s="163"/>
      <c r="K40" s="163"/>
      <c r="L40" s="163"/>
    </row>
    <row r="41" spans="2:12">
      <c r="B41" s="237" t="str">
        <f>'AER Summary'!B22</f>
        <v xml:space="preserve">Pillar/Pole Top Site Visit </v>
      </c>
      <c r="C41" s="237"/>
      <c r="D41" s="237"/>
      <c r="E41" s="237"/>
      <c r="F41" s="237"/>
      <c r="G41" s="237"/>
      <c r="H41" s="237"/>
      <c r="I41" s="237"/>
      <c r="J41" s="237"/>
      <c r="K41" s="237"/>
    </row>
    <row r="42" spans="2:12" ht="248.25" customHeight="1">
      <c r="B42" s="238" t="s">
        <v>323</v>
      </c>
      <c r="C42" s="238"/>
      <c r="D42" s="238"/>
      <c r="E42" s="238"/>
      <c r="F42" s="238"/>
      <c r="G42" s="238"/>
      <c r="H42" s="238"/>
      <c r="I42" s="238"/>
      <c r="J42" s="238"/>
      <c r="K42" s="238"/>
    </row>
    <row r="43" spans="2:12" s="147" customFormat="1">
      <c r="B43" s="163"/>
      <c r="C43" s="163"/>
      <c r="D43" s="163"/>
      <c r="E43" s="163"/>
      <c r="F43" s="163"/>
      <c r="G43" s="163"/>
      <c r="H43" s="163"/>
      <c r="I43" s="163"/>
      <c r="J43" s="163"/>
      <c r="K43" s="163"/>
      <c r="L43" s="163"/>
    </row>
    <row r="44" spans="2:12">
      <c r="B44" s="237" t="str">
        <f>'AER Summary'!B23</f>
        <v xml:space="preserve">Reconnection/ Disconnection Outside Normal Business Hours </v>
      </c>
      <c r="C44" s="237"/>
      <c r="D44" s="237"/>
      <c r="E44" s="237"/>
      <c r="F44" s="237"/>
      <c r="G44" s="237"/>
      <c r="H44" s="237"/>
      <c r="I44" s="237"/>
      <c r="J44" s="237"/>
      <c r="K44" s="237"/>
    </row>
    <row r="45" spans="2:12" ht="120" customHeight="1">
      <c r="B45" s="238" t="s">
        <v>324</v>
      </c>
      <c r="C45" s="238"/>
      <c r="D45" s="238"/>
      <c r="E45" s="238"/>
      <c r="F45" s="238"/>
      <c r="G45" s="238"/>
      <c r="H45" s="238"/>
      <c r="I45" s="238"/>
      <c r="J45" s="238"/>
      <c r="K45" s="238"/>
    </row>
    <row r="46" spans="2:12" s="147" customFormat="1">
      <c r="B46" s="163"/>
      <c r="C46" s="163"/>
      <c r="D46" s="163"/>
      <c r="E46" s="163"/>
      <c r="F46" s="163"/>
      <c r="G46" s="163"/>
      <c r="H46" s="163"/>
      <c r="I46" s="163"/>
      <c r="J46" s="163"/>
      <c r="K46" s="163"/>
      <c r="L46" s="163"/>
    </row>
    <row r="47" spans="2:12">
      <c r="B47" s="237" t="str">
        <f>'AER Summary'!B24</f>
        <v xml:space="preserve">Network Tariff Change Request </v>
      </c>
      <c r="C47" s="237"/>
      <c r="D47" s="237"/>
      <c r="E47" s="237"/>
      <c r="F47" s="237"/>
      <c r="G47" s="237"/>
      <c r="H47" s="237"/>
      <c r="I47" s="237"/>
      <c r="J47" s="237"/>
      <c r="K47" s="237"/>
    </row>
    <row r="48" spans="2:12" ht="84" customHeight="1">
      <c r="B48" s="238" t="s">
        <v>264</v>
      </c>
      <c r="C48" s="238"/>
      <c r="D48" s="238"/>
      <c r="E48" s="238"/>
      <c r="F48" s="238"/>
      <c r="G48" s="238"/>
      <c r="H48" s="238"/>
      <c r="I48" s="238"/>
      <c r="J48" s="238"/>
      <c r="K48" s="238"/>
    </row>
    <row r="49" spans="2:12" s="147" customFormat="1">
      <c r="B49" s="163"/>
      <c r="C49" s="163"/>
      <c r="D49" s="163"/>
      <c r="E49" s="163"/>
      <c r="F49" s="163"/>
      <c r="G49" s="163"/>
      <c r="H49" s="163"/>
      <c r="I49" s="163"/>
      <c r="J49" s="163"/>
      <c r="K49" s="163"/>
      <c r="L49" s="163"/>
    </row>
    <row r="50" spans="2:12">
      <c r="B50" s="237" t="str">
        <f>'AER Summary'!B25</f>
        <v xml:space="preserve">Recovery of Debt Collection Costs- Dishonoured Transactions </v>
      </c>
      <c r="C50" s="237"/>
      <c r="D50" s="237"/>
      <c r="E50" s="237"/>
      <c r="F50" s="237"/>
      <c r="G50" s="237"/>
      <c r="H50" s="237"/>
      <c r="I50" s="237"/>
      <c r="J50" s="237"/>
      <c r="K50" s="237"/>
    </row>
    <row r="51" spans="2:12" ht="60" customHeight="1">
      <c r="B51" s="238" t="s">
        <v>262</v>
      </c>
      <c r="C51" s="238"/>
      <c r="D51" s="238"/>
      <c r="E51" s="238"/>
      <c r="F51" s="238"/>
      <c r="G51" s="238"/>
      <c r="H51" s="238"/>
      <c r="I51" s="238"/>
      <c r="J51" s="238"/>
      <c r="K51" s="238"/>
    </row>
    <row r="52" spans="2:12" s="147" customFormat="1">
      <c r="B52" s="163"/>
      <c r="C52" s="163"/>
      <c r="D52" s="163"/>
      <c r="E52" s="163"/>
      <c r="F52" s="163"/>
      <c r="G52" s="163"/>
      <c r="H52" s="163"/>
      <c r="I52" s="163"/>
      <c r="J52" s="163"/>
      <c r="K52" s="163"/>
      <c r="L52" s="163"/>
    </row>
    <row r="53" spans="2:12">
      <c r="B53" s="237" t="str">
        <f>'AER Summary'!B26</f>
        <v xml:space="preserve">Attendance at customers' premises to perform a statutory right where access is prevented  </v>
      </c>
      <c r="C53" s="237"/>
      <c r="D53" s="237"/>
      <c r="E53" s="237"/>
      <c r="F53" s="237"/>
      <c r="G53" s="237"/>
      <c r="H53" s="237"/>
      <c r="I53" s="237"/>
      <c r="J53" s="237"/>
      <c r="K53" s="237"/>
    </row>
    <row r="54" spans="2:12" ht="78" customHeight="1">
      <c r="B54" s="238" t="s">
        <v>263</v>
      </c>
      <c r="C54" s="238"/>
      <c r="D54" s="238"/>
      <c r="E54" s="238"/>
      <c r="F54" s="238"/>
      <c r="G54" s="238"/>
      <c r="H54" s="238"/>
      <c r="I54" s="238"/>
      <c r="J54" s="238"/>
      <c r="K54" s="238"/>
    </row>
    <row r="55" spans="2:12" s="147" customFormat="1">
      <c r="B55" s="163"/>
      <c r="C55" s="163"/>
      <c r="D55" s="163"/>
      <c r="E55" s="163"/>
      <c r="F55" s="163"/>
      <c r="G55" s="163"/>
      <c r="H55" s="163"/>
      <c r="I55" s="163"/>
      <c r="J55" s="163"/>
      <c r="K55" s="163"/>
      <c r="L55" s="163"/>
    </row>
    <row r="56" spans="2:12">
      <c r="B56" s="237" t="str">
        <f>'AER Summary'!B27</f>
        <v xml:space="preserve">Vacant Property Disconnection </v>
      </c>
      <c r="C56" s="237"/>
      <c r="D56" s="237"/>
      <c r="E56" s="237"/>
      <c r="F56" s="237"/>
      <c r="G56" s="237"/>
      <c r="H56" s="237"/>
      <c r="I56" s="237"/>
      <c r="J56" s="237"/>
      <c r="K56" s="237"/>
    </row>
    <row r="57" spans="2:12" ht="345" customHeight="1">
      <c r="B57" s="238" t="s">
        <v>327</v>
      </c>
      <c r="C57" s="238"/>
      <c r="D57" s="238"/>
      <c r="E57" s="238"/>
      <c r="F57" s="238"/>
      <c r="G57" s="238"/>
      <c r="H57" s="238"/>
      <c r="I57" s="238"/>
      <c r="J57" s="238"/>
      <c r="K57" s="238"/>
    </row>
    <row r="58" spans="2:12" s="147" customFormat="1">
      <c r="B58" s="163"/>
      <c r="C58" s="163"/>
      <c r="D58" s="163"/>
      <c r="E58" s="163"/>
      <c r="F58" s="163"/>
      <c r="G58" s="163"/>
      <c r="H58" s="163"/>
      <c r="I58" s="163"/>
      <c r="J58" s="163"/>
      <c r="K58" s="163"/>
      <c r="L58" s="163"/>
    </row>
    <row r="59" spans="2:12">
      <c r="B59" s="237" t="str">
        <f>'AER Summary'!B28</f>
        <v xml:space="preserve">Vacant Property Site Visit </v>
      </c>
      <c r="C59" s="237"/>
      <c r="D59" s="237"/>
      <c r="E59" s="237"/>
      <c r="F59" s="237"/>
      <c r="G59" s="237"/>
      <c r="H59" s="237"/>
      <c r="I59" s="237"/>
      <c r="J59" s="237"/>
      <c r="K59" s="237"/>
    </row>
    <row r="60" spans="2:12" ht="247.2" customHeight="1">
      <c r="B60" s="238" t="s">
        <v>326</v>
      </c>
      <c r="C60" s="238"/>
      <c r="D60" s="238"/>
      <c r="E60" s="238"/>
      <c r="F60" s="238"/>
      <c r="G60" s="238"/>
      <c r="H60" s="238"/>
      <c r="I60" s="238"/>
      <c r="J60" s="238"/>
      <c r="K60" s="238"/>
    </row>
    <row r="61" spans="2:12"/>
    <row r="62" spans="2:12">
      <c r="B62" s="237" t="str">
        <f>'AER Summary'!B32</f>
        <v>Distributor arranged outage for purpose of replacing metering - Simple</v>
      </c>
      <c r="C62" s="237"/>
      <c r="D62" s="237"/>
      <c r="E62" s="237"/>
      <c r="F62" s="237"/>
      <c r="G62" s="237"/>
      <c r="H62" s="237"/>
      <c r="I62" s="237"/>
      <c r="J62" s="237"/>
      <c r="K62" s="237"/>
    </row>
    <row r="63" spans="2:12" ht="163.5" customHeight="1">
      <c r="B63" s="238" t="s">
        <v>331</v>
      </c>
      <c r="C63" s="238"/>
      <c r="D63" s="238"/>
      <c r="E63" s="238"/>
      <c r="F63" s="238"/>
      <c r="G63" s="238"/>
      <c r="H63" s="238"/>
      <c r="I63" s="238"/>
      <c r="J63" s="238"/>
      <c r="K63" s="238"/>
    </row>
    <row r="64" spans="2:12" s="147" customFormat="1">
      <c r="B64" s="163"/>
      <c r="C64" s="163"/>
      <c r="D64" s="163"/>
      <c r="E64" s="163"/>
      <c r="F64" s="163"/>
      <c r="G64" s="163"/>
      <c r="H64" s="163"/>
      <c r="I64" s="163"/>
      <c r="J64" s="163"/>
      <c r="K64" s="163"/>
      <c r="L64" s="163"/>
    </row>
    <row r="65" spans="2:12">
      <c r="B65" s="237" t="str">
        <f>'AER Summary'!B33</f>
        <v>Distributor arranged outage for purpose of replacing metering - Complex</v>
      </c>
      <c r="C65" s="237"/>
      <c r="D65" s="237"/>
      <c r="E65" s="237"/>
      <c r="F65" s="237"/>
      <c r="G65" s="237"/>
      <c r="H65" s="237"/>
      <c r="I65" s="237"/>
      <c r="J65" s="237"/>
      <c r="K65" s="237"/>
    </row>
    <row r="66" spans="2:12" ht="158.25" customHeight="1">
      <c r="B66" s="238" t="s">
        <v>332</v>
      </c>
      <c r="C66" s="238"/>
      <c r="D66" s="238"/>
      <c r="E66" s="238"/>
      <c r="F66" s="238"/>
      <c r="G66" s="238"/>
      <c r="H66" s="238"/>
      <c r="I66" s="238"/>
      <c r="J66" s="238"/>
      <c r="K66" s="238"/>
    </row>
    <row r="67" spans="2:12" s="147" customFormat="1">
      <c r="B67" s="163"/>
      <c r="C67" s="163"/>
      <c r="D67" s="163"/>
      <c r="E67" s="163"/>
      <c r="F67" s="163"/>
      <c r="G67" s="163"/>
      <c r="H67" s="163"/>
      <c r="I67" s="163"/>
      <c r="J67" s="163"/>
      <c r="K67" s="163"/>
      <c r="L67" s="163"/>
    </row>
    <row r="68" spans="2:12">
      <c r="B68" s="237" t="str">
        <f>'AER Summary'!B35</f>
        <v>Distributor arranged outage for purpose of replacing metering - Site visit only</v>
      </c>
      <c r="C68" s="237"/>
      <c r="D68" s="237"/>
      <c r="E68" s="237"/>
      <c r="F68" s="237"/>
      <c r="G68" s="237"/>
      <c r="H68" s="237"/>
      <c r="I68" s="237"/>
      <c r="J68" s="237"/>
      <c r="K68" s="237"/>
    </row>
    <row r="69" spans="2:12" ht="145.19999999999999" customHeight="1">
      <c r="B69" s="238" t="s">
        <v>325</v>
      </c>
      <c r="C69" s="238"/>
      <c r="D69" s="238"/>
      <c r="E69" s="238"/>
      <c r="F69" s="238"/>
      <c r="G69" s="238"/>
      <c r="H69" s="238"/>
      <c r="I69" s="238"/>
      <c r="J69" s="238"/>
      <c r="K69" s="238"/>
    </row>
    <row r="70" spans="2:12" s="147" customFormat="1">
      <c r="B70" s="163"/>
      <c r="C70" s="163"/>
      <c r="D70" s="163"/>
      <c r="E70" s="163"/>
      <c r="F70" s="163"/>
      <c r="G70" s="163"/>
      <c r="H70" s="163"/>
      <c r="I70" s="163"/>
      <c r="J70" s="163"/>
      <c r="K70" s="163"/>
      <c r="L70" s="163"/>
    </row>
    <row r="71" spans="2:12">
      <c r="B71" s="237" t="str">
        <f>'AER Summary'!B36</f>
        <v>Correction of metering and market billing data</v>
      </c>
      <c r="C71" s="237"/>
      <c r="D71" s="237"/>
      <c r="E71" s="237"/>
      <c r="F71" s="237"/>
      <c r="G71" s="237"/>
      <c r="H71" s="237"/>
      <c r="I71" s="237"/>
      <c r="J71" s="237"/>
      <c r="K71" s="237"/>
    </row>
    <row r="72" spans="2:12" ht="97.5" customHeight="1">
      <c r="B72" s="238" t="s">
        <v>333</v>
      </c>
      <c r="C72" s="238"/>
      <c r="D72" s="238"/>
      <c r="E72" s="238"/>
      <c r="F72" s="238"/>
      <c r="G72" s="238"/>
      <c r="H72" s="238"/>
      <c r="I72" s="238"/>
      <c r="J72" s="238"/>
      <c r="K72" s="238"/>
    </row>
    <row r="73" spans="2:12" s="147" customFormat="1">
      <c r="B73" s="163"/>
      <c r="C73" s="163"/>
      <c r="D73" s="163"/>
      <c r="E73" s="163"/>
      <c r="F73" s="163"/>
      <c r="G73" s="163"/>
      <c r="H73" s="163"/>
      <c r="I73" s="163"/>
      <c r="J73" s="163"/>
      <c r="K73" s="163"/>
      <c r="L73" s="163"/>
    </row>
    <row r="74" spans="2:12">
      <c r="B74" s="237" t="str">
        <f>'AER Summary'!B37</f>
        <v>Final read after type 5 meter equipment removed</v>
      </c>
      <c r="C74" s="237"/>
      <c r="D74" s="237"/>
      <c r="E74" s="237"/>
      <c r="F74" s="237"/>
      <c r="G74" s="237"/>
      <c r="H74" s="237"/>
      <c r="I74" s="237"/>
      <c r="J74" s="237"/>
      <c r="K74" s="237"/>
    </row>
    <row r="75" spans="2:12" ht="108" customHeight="1">
      <c r="B75" s="238" t="s">
        <v>283</v>
      </c>
      <c r="C75" s="238"/>
      <c r="D75" s="238"/>
      <c r="E75" s="238"/>
      <c r="F75" s="238"/>
      <c r="G75" s="238"/>
      <c r="H75" s="238"/>
      <c r="I75" s="238"/>
      <c r="J75" s="238"/>
      <c r="K75" s="238"/>
    </row>
    <row r="76" spans="2:12" s="147" customFormat="1">
      <c r="B76" s="163"/>
      <c r="C76" s="163"/>
      <c r="D76" s="163"/>
      <c r="E76" s="163"/>
      <c r="F76" s="163"/>
      <c r="G76" s="163"/>
      <c r="H76" s="163"/>
      <c r="I76" s="163"/>
      <c r="J76" s="163"/>
      <c r="K76" s="163"/>
      <c r="L76" s="163"/>
    </row>
    <row r="77" spans="2:12">
      <c r="B77" s="237" t="str">
        <f>'AER Summary'!B38</f>
        <v>Type 5 and 6 CT testing</v>
      </c>
      <c r="C77" s="237"/>
      <c r="D77" s="237"/>
      <c r="E77" s="237"/>
      <c r="F77" s="237"/>
      <c r="G77" s="237"/>
      <c r="H77" s="237"/>
      <c r="I77" s="237"/>
      <c r="J77" s="237"/>
      <c r="K77" s="237"/>
    </row>
    <row r="78" spans="2:12" ht="90" customHeight="1">
      <c r="B78" s="238" t="s">
        <v>316</v>
      </c>
      <c r="C78" s="238"/>
      <c r="D78" s="238"/>
      <c r="E78" s="238"/>
      <c r="F78" s="238"/>
      <c r="G78" s="238"/>
      <c r="H78" s="238"/>
      <c r="I78" s="238"/>
      <c r="J78" s="238"/>
      <c r="K78" s="238"/>
    </row>
    <row r="79" spans="2:12" s="147" customFormat="1">
      <c r="B79" s="163"/>
      <c r="C79" s="163"/>
      <c r="D79" s="163"/>
      <c r="E79" s="163"/>
      <c r="F79" s="163"/>
      <c r="G79" s="163"/>
      <c r="H79" s="163"/>
      <c r="I79" s="163"/>
      <c r="J79" s="163"/>
      <c r="K79" s="163"/>
      <c r="L79" s="163"/>
    </row>
    <row r="80" spans="2:12">
      <c r="B80" s="237" t="str">
        <f>'AER Summary'!B39</f>
        <v>Type 5 and 6 CT recovery</v>
      </c>
      <c r="C80" s="237"/>
      <c r="D80" s="237"/>
      <c r="E80" s="237"/>
      <c r="F80" s="237"/>
      <c r="G80" s="237"/>
      <c r="H80" s="237"/>
      <c r="I80" s="237"/>
      <c r="J80" s="237"/>
      <c r="K80" s="237"/>
    </row>
    <row r="81" spans="2:12" ht="90" customHeight="1">
      <c r="B81" s="238" t="s">
        <v>317</v>
      </c>
      <c r="C81" s="238"/>
      <c r="D81" s="238"/>
      <c r="E81" s="238"/>
      <c r="F81" s="238"/>
      <c r="G81" s="238"/>
      <c r="H81" s="238"/>
      <c r="I81" s="238"/>
      <c r="J81" s="238"/>
      <c r="K81" s="238"/>
    </row>
    <row r="82" spans="2:12" s="147" customFormat="1">
      <c r="B82" s="163"/>
      <c r="C82" s="163"/>
      <c r="D82" s="163"/>
      <c r="E82" s="163"/>
      <c r="F82" s="163"/>
      <c r="G82" s="163"/>
      <c r="H82" s="163"/>
      <c r="I82" s="163"/>
      <c r="J82" s="163"/>
      <c r="K82" s="163"/>
      <c r="L82" s="163"/>
    </row>
    <row r="83" spans="2:12">
      <c r="B83" s="235" t="str">
        <f>'AER Summary'!B40</f>
        <v>Metering Site Alteration</v>
      </c>
      <c r="C83" s="235"/>
      <c r="D83" s="235"/>
      <c r="E83" s="235"/>
      <c r="F83" s="235"/>
      <c r="G83" s="235"/>
      <c r="H83" s="235"/>
      <c r="I83" s="235"/>
      <c r="J83" s="235"/>
      <c r="K83" s="235"/>
    </row>
    <row r="84" spans="2:12" ht="90" customHeight="1">
      <c r="B84" s="236" t="s">
        <v>311</v>
      </c>
      <c r="C84" s="236"/>
      <c r="D84" s="236"/>
      <c r="E84" s="236"/>
      <c r="F84" s="236"/>
      <c r="G84" s="236"/>
      <c r="H84" s="236"/>
      <c r="I84" s="236"/>
      <c r="J84" s="236"/>
      <c r="K84" s="236"/>
    </row>
    <row r="85" spans="2:12" s="147" customFormat="1">
      <c r="B85" s="163"/>
      <c r="C85" s="163"/>
      <c r="D85" s="163"/>
      <c r="E85" s="163"/>
      <c r="F85" s="163"/>
      <c r="G85" s="163"/>
      <c r="H85" s="163"/>
      <c r="I85" s="163"/>
      <c r="J85" s="163"/>
      <c r="K85" s="163"/>
      <c r="L85" s="163"/>
    </row>
    <row r="86" spans="2:12">
      <c r="B86" s="235" t="str">
        <f>'AER Summary'!B41</f>
        <v>NMI Extinction</v>
      </c>
      <c r="C86" s="235"/>
      <c r="D86" s="235"/>
      <c r="E86" s="235"/>
      <c r="F86" s="235"/>
      <c r="G86" s="235"/>
      <c r="H86" s="235"/>
      <c r="I86" s="235"/>
      <c r="J86" s="235"/>
      <c r="K86" s="235"/>
    </row>
    <row r="87" spans="2:12" ht="90" customHeight="1">
      <c r="B87" s="236" t="s">
        <v>312</v>
      </c>
      <c r="C87" s="236"/>
      <c r="D87" s="236"/>
      <c r="E87" s="236"/>
      <c r="F87" s="236"/>
      <c r="G87" s="236"/>
      <c r="H87" s="236"/>
      <c r="I87" s="236"/>
      <c r="J87" s="236"/>
      <c r="K87" s="236"/>
    </row>
    <row r="88" spans="2:12" s="147" customFormat="1">
      <c r="B88" s="163"/>
      <c r="C88" s="163"/>
      <c r="D88" s="163"/>
      <c r="E88" s="163"/>
      <c r="F88" s="163"/>
      <c r="G88" s="163"/>
      <c r="H88" s="163"/>
      <c r="I88" s="163"/>
      <c r="J88" s="163"/>
      <c r="K88" s="163"/>
      <c r="L88" s="163"/>
    </row>
    <row r="89" spans="2:12" s="147" customFormat="1">
      <c r="B89" s="163"/>
      <c r="C89" s="163"/>
      <c r="D89" s="163"/>
      <c r="E89" s="163"/>
      <c r="F89" s="163"/>
      <c r="G89" s="163"/>
      <c r="H89" s="163"/>
      <c r="I89" s="163"/>
      <c r="J89" s="163"/>
      <c r="K89" s="163"/>
      <c r="L89" s="163"/>
    </row>
    <row r="90" spans="2:12" s="147" customFormat="1">
      <c r="B90" s="163"/>
      <c r="C90" s="163"/>
      <c r="D90" s="163"/>
      <c r="E90" s="163"/>
      <c r="F90" s="163"/>
      <c r="G90" s="163"/>
      <c r="H90" s="163"/>
      <c r="I90" s="163"/>
      <c r="J90" s="163"/>
      <c r="K90" s="163"/>
      <c r="L90" s="163"/>
    </row>
    <row r="91" spans="2:12" s="147" customFormat="1">
      <c r="B91" s="163"/>
      <c r="C91" s="163"/>
      <c r="D91" s="163"/>
      <c r="E91" s="163"/>
      <c r="F91" s="163"/>
      <c r="G91" s="163"/>
      <c r="H91" s="163"/>
      <c r="I91" s="163"/>
      <c r="J91" s="163"/>
      <c r="K91" s="163"/>
      <c r="L91" s="163"/>
    </row>
    <row r="92" spans="2:12" s="147" customFormat="1" hidden="1">
      <c r="B92" s="163"/>
      <c r="C92" s="163"/>
      <c r="D92" s="163"/>
      <c r="E92" s="163"/>
      <c r="F92" s="163"/>
      <c r="G92" s="163"/>
      <c r="H92" s="163"/>
      <c r="I92" s="163"/>
      <c r="J92" s="163"/>
      <c r="K92" s="163"/>
      <c r="L92" s="163"/>
    </row>
    <row r="93" spans="2:12" s="147" customFormat="1" hidden="1">
      <c r="B93" s="163"/>
      <c r="C93" s="163"/>
      <c r="D93" s="163"/>
      <c r="E93" s="163"/>
      <c r="F93" s="163"/>
      <c r="G93" s="163"/>
      <c r="H93" s="163"/>
      <c r="I93" s="163"/>
      <c r="J93" s="163"/>
      <c r="K93" s="163"/>
      <c r="L93" s="163"/>
    </row>
    <row r="94" spans="2:12" s="147" customFormat="1" hidden="1">
      <c r="B94" s="163"/>
      <c r="C94" s="163"/>
      <c r="D94" s="163"/>
      <c r="E94" s="163"/>
      <c r="F94" s="163"/>
      <c r="G94" s="163"/>
      <c r="H94" s="163"/>
      <c r="I94" s="163"/>
      <c r="J94" s="163"/>
      <c r="K94" s="163"/>
      <c r="L94" s="163"/>
    </row>
    <row r="95" spans="2:12" s="147" customFormat="1" hidden="1">
      <c r="B95" s="163"/>
      <c r="C95" s="163"/>
      <c r="D95" s="163"/>
      <c r="E95" s="163"/>
      <c r="F95" s="163"/>
      <c r="G95" s="163"/>
      <c r="H95" s="163"/>
      <c r="I95" s="163"/>
      <c r="J95" s="163"/>
      <c r="K95" s="163"/>
      <c r="L95" s="163"/>
    </row>
    <row r="96" spans="2:12" s="147" customFormat="1" hidden="1">
      <c r="B96" s="163"/>
      <c r="C96" s="163"/>
      <c r="D96" s="163"/>
      <c r="E96" s="163"/>
      <c r="F96" s="163"/>
      <c r="G96" s="163"/>
      <c r="H96" s="163"/>
      <c r="I96" s="163"/>
      <c r="J96" s="163"/>
      <c r="K96" s="163"/>
      <c r="L96" s="163"/>
    </row>
    <row r="97" spans="2:12" s="147" customFormat="1" hidden="1">
      <c r="B97" s="163"/>
      <c r="C97" s="163"/>
      <c r="D97" s="163"/>
      <c r="E97" s="163"/>
      <c r="F97" s="163"/>
      <c r="G97" s="163"/>
      <c r="H97" s="163"/>
      <c r="I97" s="163"/>
      <c r="J97" s="163"/>
      <c r="K97" s="163"/>
      <c r="L97" s="163"/>
    </row>
    <row r="98" spans="2:12" s="147" customFormat="1" hidden="1">
      <c r="B98" s="163"/>
      <c r="C98" s="163"/>
      <c r="D98" s="163"/>
      <c r="E98" s="163"/>
      <c r="F98" s="163"/>
      <c r="G98" s="163"/>
      <c r="H98" s="163"/>
      <c r="I98" s="163"/>
      <c r="J98" s="163"/>
      <c r="K98" s="163"/>
      <c r="L98" s="163"/>
    </row>
    <row r="99" spans="2:12" s="147" customFormat="1" hidden="1">
      <c r="B99" s="163"/>
      <c r="C99" s="163"/>
      <c r="D99" s="163"/>
      <c r="E99" s="163"/>
      <c r="F99" s="163"/>
      <c r="G99" s="163"/>
      <c r="H99" s="163"/>
      <c r="I99" s="163"/>
      <c r="J99" s="163"/>
      <c r="K99" s="163"/>
      <c r="L99" s="163"/>
    </row>
    <row r="100" spans="2:12" s="147" customFormat="1" hidden="1">
      <c r="B100" s="163"/>
      <c r="C100" s="163"/>
      <c r="D100" s="163"/>
      <c r="E100" s="163"/>
      <c r="F100" s="163"/>
      <c r="G100" s="163"/>
      <c r="H100" s="163"/>
      <c r="I100" s="163"/>
      <c r="J100" s="163"/>
      <c r="K100" s="163"/>
      <c r="L100" s="163"/>
    </row>
    <row r="101" spans="2:12" s="147" customFormat="1" hidden="1">
      <c r="B101" s="163"/>
      <c r="C101" s="163"/>
      <c r="D101" s="163"/>
      <c r="E101" s="163"/>
      <c r="F101" s="163"/>
      <c r="G101" s="163"/>
      <c r="H101" s="163"/>
      <c r="I101" s="163"/>
      <c r="J101" s="163"/>
      <c r="K101" s="163"/>
      <c r="L101" s="163"/>
    </row>
    <row r="102" spans="2:12" s="147" customFormat="1" hidden="1">
      <c r="B102" s="163"/>
      <c r="C102" s="163"/>
      <c r="D102" s="163"/>
      <c r="E102" s="163"/>
      <c r="F102" s="163"/>
      <c r="G102" s="163"/>
      <c r="H102" s="163"/>
      <c r="I102" s="163"/>
      <c r="J102" s="163"/>
      <c r="K102" s="163"/>
      <c r="L102" s="163"/>
    </row>
    <row r="103" spans="2:12" s="147" customFormat="1" hidden="1">
      <c r="B103" s="163"/>
      <c r="C103" s="163"/>
      <c r="D103" s="163"/>
      <c r="E103" s="163"/>
      <c r="F103" s="163"/>
      <c r="G103" s="163"/>
      <c r="H103" s="163"/>
      <c r="I103" s="163"/>
      <c r="J103" s="163"/>
      <c r="K103" s="163"/>
      <c r="L103" s="163"/>
    </row>
    <row r="104" spans="2:12" s="147" customFormat="1" hidden="1">
      <c r="B104" s="163"/>
      <c r="C104" s="163"/>
      <c r="D104" s="163"/>
      <c r="E104" s="163"/>
      <c r="F104" s="163"/>
      <c r="G104" s="163"/>
      <c r="H104" s="163"/>
      <c r="I104" s="163"/>
      <c r="J104" s="163"/>
      <c r="K104" s="163"/>
      <c r="L104" s="163"/>
    </row>
    <row r="105" spans="2:12" s="147" customFormat="1" hidden="1">
      <c r="B105" s="163"/>
      <c r="C105" s="163"/>
      <c r="D105" s="163"/>
      <c r="E105" s="163"/>
      <c r="F105" s="163"/>
      <c r="G105" s="163"/>
      <c r="H105" s="163"/>
      <c r="I105" s="163"/>
      <c r="J105" s="163"/>
      <c r="K105" s="163"/>
      <c r="L105" s="163"/>
    </row>
    <row r="106" spans="2:12" s="147" customFormat="1" hidden="1">
      <c r="B106" s="163"/>
      <c r="C106" s="163"/>
      <c r="D106" s="163"/>
      <c r="E106" s="163"/>
      <c r="F106" s="163"/>
      <c r="G106" s="163"/>
      <c r="H106" s="163"/>
      <c r="I106" s="163"/>
      <c r="J106" s="163"/>
      <c r="K106" s="163"/>
      <c r="L106" s="163"/>
    </row>
    <row r="107" spans="2:12" s="147" customFormat="1" hidden="1">
      <c r="B107" s="163"/>
      <c r="C107" s="163"/>
      <c r="D107" s="163"/>
      <c r="E107" s="163"/>
      <c r="F107" s="163"/>
      <c r="G107" s="163"/>
      <c r="H107" s="163"/>
      <c r="I107" s="163"/>
      <c r="J107" s="163"/>
      <c r="K107" s="163"/>
      <c r="L107" s="163"/>
    </row>
    <row r="108" spans="2:12" s="147" customFormat="1" hidden="1">
      <c r="B108" s="163"/>
      <c r="C108" s="163"/>
      <c r="D108" s="163"/>
      <c r="E108" s="163"/>
      <c r="F108" s="163"/>
      <c r="G108" s="163"/>
      <c r="H108" s="163"/>
      <c r="I108" s="163"/>
      <c r="J108" s="163"/>
      <c r="K108" s="163"/>
      <c r="L108" s="163"/>
    </row>
    <row r="109" spans="2:12" s="147" customFormat="1" hidden="1">
      <c r="B109" s="163"/>
      <c r="C109" s="163"/>
      <c r="D109" s="163"/>
      <c r="E109" s="163"/>
      <c r="F109" s="163"/>
      <c r="G109" s="163"/>
      <c r="H109" s="163"/>
      <c r="I109" s="163"/>
      <c r="J109" s="163"/>
      <c r="K109" s="163"/>
      <c r="L109" s="163"/>
    </row>
    <row r="110" spans="2:12" s="147" customFormat="1" hidden="1">
      <c r="B110" s="163"/>
      <c r="C110" s="163"/>
      <c r="D110" s="163"/>
      <c r="E110" s="163"/>
      <c r="F110" s="163"/>
      <c r="G110" s="163"/>
      <c r="H110" s="163"/>
      <c r="I110" s="163"/>
      <c r="J110" s="163"/>
      <c r="K110" s="163"/>
      <c r="L110" s="163"/>
    </row>
    <row r="111" spans="2:12" s="147" customFormat="1" hidden="1">
      <c r="B111" s="163"/>
      <c r="C111" s="163"/>
      <c r="D111" s="163"/>
      <c r="E111" s="163"/>
      <c r="F111" s="163"/>
      <c r="G111" s="163"/>
      <c r="H111" s="163"/>
      <c r="I111" s="163"/>
      <c r="J111" s="163"/>
      <c r="K111" s="163"/>
      <c r="L111" s="163"/>
    </row>
    <row r="112" spans="2:12" s="147" customFormat="1" hidden="1">
      <c r="B112" s="163"/>
      <c r="C112" s="163"/>
      <c r="D112" s="163"/>
      <c r="E112" s="163"/>
      <c r="F112" s="163"/>
      <c r="G112" s="163"/>
      <c r="H112" s="163"/>
      <c r="I112" s="163"/>
      <c r="J112" s="163"/>
      <c r="K112" s="163"/>
      <c r="L112" s="163"/>
    </row>
    <row r="113" spans="2:12" s="147" customFormat="1" hidden="1">
      <c r="B113" s="163"/>
      <c r="C113" s="163"/>
      <c r="D113" s="163"/>
      <c r="E113" s="163"/>
      <c r="F113" s="163"/>
      <c r="G113" s="163"/>
      <c r="H113" s="163"/>
      <c r="I113" s="163"/>
      <c r="J113" s="163"/>
      <c r="K113" s="163"/>
      <c r="L113" s="163"/>
    </row>
    <row r="114" spans="2:12" s="147" customFormat="1" hidden="1">
      <c r="B114" s="163"/>
      <c r="C114" s="163"/>
      <c r="D114" s="163"/>
      <c r="E114" s="163"/>
      <c r="F114" s="163"/>
      <c r="G114" s="163"/>
      <c r="H114" s="163"/>
      <c r="I114" s="163"/>
      <c r="J114" s="163"/>
      <c r="K114" s="163"/>
      <c r="L114" s="163"/>
    </row>
    <row r="115" spans="2:12" s="147" customFormat="1" hidden="1">
      <c r="B115" s="163"/>
      <c r="C115" s="163"/>
      <c r="D115" s="163"/>
      <c r="E115" s="163"/>
      <c r="F115" s="163"/>
      <c r="G115" s="163"/>
      <c r="H115" s="163"/>
      <c r="I115" s="163"/>
      <c r="J115" s="163"/>
      <c r="K115" s="163"/>
      <c r="L115" s="163"/>
    </row>
    <row r="116" spans="2:12" s="147" customFormat="1" hidden="1">
      <c r="B116" s="163"/>
      <c r="C116" s="163"/>
      <c r="D116" s="163"/>
      <c r="E116" s="163"/>
      <c r="F116" s="163"/>
      <c r="G116" s="163"/>
      <c r="H116" s="163"/>
      <c r="I116" s="163"/>
      <c r="J116" s="163"/>
      <c r="K116" s="163"/>
      <c r="L116" s="163"/>
    </row>
    <row r="117" spans="2:12" s="147" customFormat="1" hidden="1">
      <c r="B117" s="163"/>
      <c r="C117" s="163"/>
      <c r="D117" s="163"/>
      <c r="E117" s="163"/>
      <c r="F117" s="163"/>
      <c r="G117" s="163"/>
      <c r="H117" s="163"/>
      <c r="I117" s="163"/>
      <c r="J117" s="163"/>
      <c r="K117" s="163"/>
      <c r="L117" s="163"/>
    </row>
    <row r="118" spans="2:12" s="147" customFormat="1" hidden="1">
      <c r="B118" s="163"/>
      <c r="C118" s="163"/>
      <c r="D118" s="163"/>
      <c r="E118" s="163"/>
      <c r="F118" s="163"/>
      <c r="G118" s="163"/>
      <c r="H118" s="163"/>
      <c r="I118" s="163"/>
      <c r="J118" s="163"/>
      <c r="K118" s="163"/>
      <c r="L118" s="163"/>
    </row>
    <row r="119" spans="2:12" s="147" customFormat="1" hidden="1">
      <c r="B119" s="163"/>
      <c r="C119" s="163"/>
      <c r="D119" s="163"/>
      <c r="E119" s="163"/>
      <c r="F119" s="163"/>
      <c r="G119" s="163"/>
      <c r="H119" s="163"/>
      <c r="I119" s="163"/>
      <c r="J119" s="163"/>
      <c r="K119" s="163"/>
      <c r="L119" s="163"/>
    </row>
    <row r="120" spans="2:12" s="147" customFormat="1" hidden="1">
      <c r="B120" s="163"/>
      <c r="C120" s="163"/>
      <c r="D120" s="163"/>
      <c r="E120" s="163"/>
      <c r="F120" s="163"/>
      <c r="G120" s="163"/>
      <c r="H120" s="163"/>
      <c r="I120" s="163"/>
      <c r="J120" s="163"/>
      <c r="K120" s="163"/>
      <c r="L120" s="163"/>
    </row>
    <row r="121" spans="2:12" s="147" customFormat="1" hidden="1">
      <c r="B121" s="163"/>
      <c r="C121" s="163"/>
      <c r="D121" s="163"/>
      <c r="E121" s="163"/>
      <c r="F121" s="163"/>
      <c r="G121" s="163"/>
      <c r="H121" s="163"/>
      <c r="I121" s="163"/>
      <c r="J121" s="163"/>
      <c r="K121" s="163"/>
      <c r="L121" s="163"/>
    </row>
    <row r="122" spans="2:12" s="147" customFormat="1" hidden="1">
      <c r="B122" s="163"/>
      <c r="C122" s="163"/>
      <c r="D122" s="163"/>
      <c r="E122" s="163"/>
      <c r="F122" s="163"/>
      <c r="G122" s="163"/>
      <c r="H122" s="163"/>
      <c r="I122" s="163"/>
      <c r="J122" s="163"/>
      <c r="K122" s="163"/>
      <c r="L122" s="163"/>
    </row>
    <row r="123" spans="2:12" s="147" customFormat="1" hidden="1">
      <c r="B123" s="163"/>
      <c r="C123" s="163"/>
      <c r="D123" s="163"/>
      <c r="E123" s="163"/>
      <c r="F123" s="163"/>
      <c r="G123" s="163"/>
      <c r="H123" s="163"/>
      <c r="I123" s="163"/>
      <c r="J123" s="163"/>
      <c r="K123" s="163"/>
      <c r="L123" s="163"/>
    </row>
    <row r="124" spans="2:12" s="147" customFormat="1" hidden="1">
      <c r="B124" s="163"/>
      <c r="C124" s="163"/>
      <c r="D124" s="163"/>
      <c r="E124" s="163"/>
      <c r="F124" s="163"/>
      <c r="G124" s="163"/>
      <c r="H124" s="163"/>
      <c r="I124" s="163"/>
      <c r="J124" s="163"/>
      <c r="K124" s="163"/>
      <c r="L124" s="163"/>
    </row>
    <row r="125" spans="2:12" s="147" customFormat="1" hidden="1">
      <c r="B125" s="163"/>
      <c r="C125" s="163"/>
      <c r="D125" s="163"/>
      <c r="E125" s="163"/>
      <c r="F125" s="163"/>
      <c r="G125" s="163"/>
      <c r="H125" s="163"/>
      <c r="I125" s="163"/>
      <c r="J125" s="163"/>
      <c r="K125" s="163"/>
      <c r="L125" s="163"/>
    </row>
    <row r="126" spans="2:12" s="147" customFormat="1" hidden="1">
      <c r="B126" s="163"/>
      <c r="C126" s="163"/>
      <c r="D126" s="163"/>
      <c r="E126" s="163"/>
      <c r="F126" s="163"/>
      <c r="G126" s="163"/>
      <c r="H126" s="163"/>
      <c r="I126" s="163"/>
      <c r="J126" s="163"/>
      <c r="K126" s="163"/>
      <c r="L126" s="163"/>
    </row>
    <row r="127" spans="2:12" s="147" customFormat="1" hidden="1">
      <c r="B127" s="163"/>
      <c r="C127" s="163"/>
      <c r="D127" s="163"/>
      <c r="E127" s="163"/>
      <c r="F127" s="163"/>
      <c r="G127" s="163"/>
      <c r="H127" s="163"/>
      <c r="I127" s="163"/>
      <c r="J127" s="163"/>
      <c r="K127" s="163"/>
      <c r="L127" s="163"/>
    </row>
    <row r="128" spans="2:12" s="147" customFormat="1" hidden="1">
      <c r="B128" s="163"/>
      <c r="C128" s="163"/>
      <c r="D128" s="163"/>
      <c r="E128" s="163"/>
      <c r="F128" s="163"/>
      <c r="G128" s="163"/>
      <c r="H128" s="163"/>
      <c r="I128" s="163"/>
      <c r="J128" s="163"/>
      <c r="K128" s="163"/>
      <c r="L128" s="163"/>
    </row>
    <row r="129" spans="2:12" s="147" customFormat="1" hidden="1">
      <c r="B129" s="163"/>
      <c r="C129" s="163"/>
      <c r="D129" s="163"/>
      <c r="E129" s="163"/>
      <c r="F129" s="163"/>
      <c r="G129" s="163"/>
      <c r="H129" s="163"/>
      <c r="I129" s="163"/>
      <c r="J129" s="163"/>
      <c r="K129" s="163"/>
      <c r="L129" s="163"/>
    </row>
    <row r="130" spans="2:12" s="147" customFormat="1" hidden="1">
      <c r="B130" s="163"/>
      <c r="C130" s="163"/>
      <c r="D130" s="163"/>
      <c r="E130" s="163"/>
      <c r="F130" s="163"/>
      <c r="G130" s="163"/>
      <c r="H130" s="163"/>
      <c r="I130" s="163"/>
      <c r="J130" s="163"/>
      <c r="K130" s="163"/>
      <c r="L130" s="163"/>
    </row>
    <row r="131" spans="2:12" s="147" customFormat="1" hidden="1">
      <c r="B131" s="163"/>
      <c r="C131" s="163"/>
      <c r="D131" s="163"/>
      <c r="E131" s="163"/>
      <c r="F131" s="163"/>
      <c r="G131" s="163"/>
      <c r="H131" s="163"/>
      <c r="I131" s="163"/>
      <c r="J131" s="163"/>
      <c r="K131" s="163"/>
      <c r="L131" s="163"/>
    </row>
    <row r="132" spans="2:12" s="147" customFormat="1" hidden="1">
      <c r="B132" s="163"/>
      <c r="C132" s="163"/>
      <c r="D132" s="163"/>
      <c r="E132" s="163"/>
      <c r="F132" s="163"/>
      <c r="G132" s="163"/>
      <c r="H132" s="163"/>
      <c r="I132" s="163"/>
      <c r="J132" s="163"/>
      <c r="K132" s="163"/>
      <c r="L132" s="163"/>
    </row>
    <row r="133" spans="2:12" s="147" customFormat="1" hidden="1">
      <c r="B133" s="163"/>
      <c r="C133" s="163"/>
      <c r="D133" s="163"/>
      <c r="E133" s="163"/>
      <c r="F133" s="163"/>
      <c r="G133" s="163"/>
      <c r="H133" s="163"/>
      <c r="I133" s="163"/>
      <c r="J133" s="163"/>
      <c r="K133" s="163"/>
      <c r="L133" s="163"/>
    </row>
    <row r="134" spans="2:12" s="147" customFormat="1" hidden="1">
      <c r="B134" s="163"/>
      <c r="C134" s="163"/>
      <c r="D134" s="163"/>
      <c r="E134" s="163"/>
      <c r="F134" s="163"/>
      <c r="G134" s="163"/>
      <c r="H134" s="163"/>
      <c r="I134" s="163"/>
      <c r="J134" s="163"/>
      <c r="K134" s="163"/>
      <c r="L134" s="163"/>
    </row>
    <row r="135" spans="2:12" s="147" customFormat="1" hidden="1">
      <c r="B135" s="163"/>
      <c r="C135" s="163"/>
      <c r="D135" s="163"/>
      <c r="E135" s="163"/>
      <c r="F135" s="163"/>
      <c r="G135" s="163"/>
      <c r="H135" s="163"/>
      <c r="I135" s="163"/>
      <c r="J135" s="163"/>
      <c r="K135" s="163"/>
      <c r="L135" s="163"/>
    </row>
    <row r="136" spans="2:12" s="147" customFormat="1" hidden="1">
      <c r="B136" s="163"/>
      <c r="C136" s="163"/>
      <c r="D136" s="163"/>
      <c r="E136" s="163"/>
      <c r="F136" s="163"/>
      <c r="G136" s="163"/>
      <c r="H136" s="163"/>
      <c r="I136" s="163"/>
      <c r="J136" s="163"/>
      <c r="K136" s="163"/>
      <c r="L136" s="163"/>
    </row>
    <row r="137" spans="2:12" s="147" customFormat="1" hidden="1">
      <c r="B137" s="163"/>
      <c r="C137" s="163"/>
      <c r="D137" s="163"/>
      <c r="E137" s="163"/>
      <c r="F137" s="163"/>
      <c r="G137" s="163"/>
      <c r="H137" s="163"/>
      <c r="I137" s="163"/>
      <c r="J137" s="163"/>
      <c r="K137" s="163"/>
      <c r="L137" s="163"/>
    </row>
    <row r="138" spans="2:12" s="147" customFormat="1" hidden="1">
      <c r="B138" s="163"/>
      <c r="C138" s="163"/>
      <c r="D138" s="163"/>
      <c r="E138" s="163"/>
      <c r="F138" s="163"/>
      <c r="G138" s="163"/>
      <c r="H138" s="163"/>
      <c r="I138" s="163"/>
      <c r="J138" s="163"/>
      <c r="K138" s="163"/>
      <c r="L138" s="163"/>
    </row>
    <row r="139" spans="2:12" s="147" customFormat="1" hidden="1">
      <c r="B139" s="163"/>
      <c r="C139" s="163"/>
      <c r="D139" s="163"/>
      <c r="E139" s="163"/>
      <c r="F139" s="163"/>
      <c r="G139" s="163"/>
      <c r="H139" s="163"/>
      <c r="I139" s="163"/>
      <c r="J139" s="163"/>
      <c r="K139" s="163"/>
      <c r="L139" s="163"/>
    </row>
    <row r="140" spans="2:12" s="147" customFormat="1" hidden="1">
      <c r="B140" s="163"/>
      <c r="C140" s="163"/>
      <c r="D140" s="163"/>
      <c r="E140" s="163"/>
      <c r="F140" s="163"/>
      <c r="G140" s="163"/>
      <c r="H140" s="163"/>
      <c r="I140" s="163"/>
      <c r="J140" s="163"/>
      <c r="K140" s="163"/>
      <c r="L140" s="163"/>
    </row>
    <row r="141" spans="2:12" s="147" customFormat="1" hidden="1">
      <c r="B141" s="163"/>
      <c r="C141" s="163"/>
      <c r="D141" s="163"/>
      <c r="E141" s="163"/>
      <c r="F141" s="163"/>
      <c r="G141" s="163"/>
      <c r="H141" s="163"/>
      <c r="I141" s="163"/>
      <c r="J141" s="163"/>
      <c r="K141" s="163"/>
      <c r="L141" s="163"/>
    </row>
    <row r="142" spans="2:12" s="147" customFormat="1" hidden="1">
      <c r="B142" s="163"/>
      <c r="C142" s="163"/>
      <c r="D142" s="163"/>
      <c r="E142" s="163"/>
      <c r="F142" s="163"/>
      <c r="G142" s="163"/>
      <c r="H142" s="163"/>
      <c r="I142" s="163"/>
      <c r="J142" s="163"/>
      <c r="K142" s="163"/>
      <c r="L142" s="163"/>
    </row>
    <row r="143" spans="2:12" s="147" customFormat="1" hidden="1">
      <c r="B143" s="163"/>
      <c r="C143" s="163"/>
      <c r="D143" s="163"/>
      <c r="E143" s="163"/>
      <c r="F143" s="163"/>
      <c r="G143" s="163"/>
      <c r="H143" s="163"/>
      <c r="I143" s="163"/>
      <c r="J143" s="163"/>
      <c r="K143" s="163"/>
      <c r="L143" s="163"/>
    </row>
    <row r="144" spans="2:12" s="147" customFormat="1" hidden="1">
      <c r="B144" s="163"/>
      <c r="C144" s="163"/>
      <c r="D144" s="163"/>
      <c r="E144" s="163"/>
      <c r="F144" s="163"/>
      <c r="G144" s="163"/>
      <c r="H144" s="163"/>
      <c r="I144" s="163"/>
      <c r="J144" s="163"/>
      <c r="K144" s="163"/>
      <c r="L144" s="163"/>
    </row>
    <row r="145" spans="2:12" s="147" customFormat="1" hidden="1">
      <c r="B145" s="163"/>
      <c r="C145" s="163"/>
      <c r="D145" s="163"/>
      <c r="E145" s="163"/>
      <c r="F145" s="163"/>
      <c r="G145" s="163"/>
      <c r="H145" s="163"/>
      <c r="I145" s="163"/>
      <c r="J145" s="163"/>
      <c r="K145" s="163"/>
      <c r="L145" s="163"/>
    </row>
    <row r="146" spans="2:12" s="147" customFormat="1" hidden="1">
      <c r="B146" s="163"/>
      <c r="C146" s="163"/>
      <c r="D146" s="163"/>
      <c r="E146" s="163"/>
      <c r="F146" s="163"/>
      <c r="G146" s="163"/>
      <c r="H146" s="163"/>
      <c r="I146" s="163"/>
      <c r="J146" s="163"/>
      <c r="K146" s="163"/>
      <c r="L146" s="163"/>
    </row>
    <row r="147" spans="2:12" s="147" customFormat="1" hidden="1">
      <c r="B147" s="163"/>
      <c r="C147" s="163"/>
      <c r="D147" s="163"/>
      <c r="E147" s="163"/>
      <c r="F147" s="163"/>
      <c r="G147" s="163"/>
      <c r="H147" s="163"/>
      <c r="I147" s="163"/>
      <c r="J147" s="163"/>
      <c r="K147" s="163"/>
      <c r="L147" s="163"/>
    </row>
    <row r="148" spans="2:12" s="147" customFormat="1" hidden="1">
      <c r="B148" s="163"/>
      <c r="C148" s="163"/>
      <c r="D148" s="163"/>
      <c r="E148" s="163"/>
      <c r="F148" s="163"/>
      <c r="G148" s="163"/>
      <c r="H148" s="163"/>
      <c r="I148" s="163"/>
      <c r="J148" s="163"/>
      <c r="K148" s="163"/>
      <c r="L148" s="163"/>
    </row>
    <row r="149" spans="2:12" s="147" customFormat="1" hidden="1">
      <c r="B149" s="163"/>
      <c r="C149" s="163"/>
      <c r="D149" s="163"/>
      <c r="E149" s="163"/>
      <c r="F149" s="163"/>
      <c r="G149" s="163"/>
      <c r="H149" s="163"/>
      <c r="I149" s="163"/>
      <c r="J149" s="163"/>
      <c r="K149" s="163"/>
      <c r="L149" s="163"/>
    </row>
    <row r="150" spans="2:12" s="147" customFormat="1" hidden="1">
      <c r="B150" s="163"/>
      <c r="C150" s="163"/>
      <c r="D150" s="163"/>
      <c r="E150" s="163"/>
      <c r="F150" s="163"/>
      <c r="G150" s="163"/>
      <c r="H150" s="163"/>
      <c r="I150" s="163"/>
      <c r="J150" s="163"/>
      <c r="K150" s="163"/>
      <c r="L150" s="163"/>
    </row>
    <row r="151" spans="2:12" s="147" customFormat="1" hidden="1">
      <c r="B151" s="163"/>
      <c r="C151" s="163"/>
      <c r="D151" s="163"/>
      <c r="E151" s="163"/>
      <c r="F151" s="163"/>
      <c r="G151" s="163"/>
      <c r="H151" s="163"/>
      <c r="I151" s="163"/>
      <c r="J151" s="163"/>
      <c r="K151" s="163"/>
      <c r="L151" s="163"/>
    </row>
    <row r="152" spans="2:12" s="147" customFormat="1" hidden="1">
      <c r="B152" s="163"/>
      <c r="C152" s="163"/>
      <c r="D152" s="163"/>
      <c r="E152" s="163"/>
      <c r="F152" s="163"/>
      <c r="G152" s="163"/>
      <c r="H152" s="163"/>
      <c r="I152" s="163"/>
      <c r="J152" s="163"/>
      <c r="K152" s="163"/>
      <c r="L152" s="163"/>
    </row>
    <row r="153" spans="2:12" s="147" customFormat="1" hidden="1">
      <c r="B153" s="163"/>
      <c r="C153" s="163"/>
      <c r="D153" s="163"/>
      <c r="E153" s="163"/>
      <c r="F153" s="163"/>
      <c r="G153" s="163"/>
      <c r="H153" s="163"/>
      <c r="I153" s="163"/>
      <c r="J153" s="163"/>
      <c r="K153" s="163"/>
      <c r="L153" s="163"/>
    </row>
    <row r="154" spans="2:12" s="147" customFormat="1" hidden="1">
      <c r="B154" s="163"/>
      <c r="C154" s="163"/>
      <c r="D154" s="163"/>
      <c r="E154" s="163"/>
      <c r="F154" s="163"/>
      <c r="G154" s="163"/>
      <c r="H154" s="163"/>
      <c r="I154" s="163"/>
      <c r="J154" s="163"/>
      <c r="K154" s="163"/>
      <c r="L154" s="163"/>
    </row>
    <row r="155" spans="2:12" s="147" customFormat="1" hidden="1">
      <c r="B155" s="163"/>
      <c r="C155" s="163"/>
      <c r="D155" s="163"/>
      <c r="E155" s="163"/>
      <c r="F155" s="163"/>
      <c r="G155" s="163"/>
      <c r="H155" s="163"/>
      <c r="I155" s="163"/>
      <c r="J155" s="163"/>
      <c r="K155" s="163"/>
      <c r="L155" s="163"/>
    </row>
    <row r="156" spans="2:12" s="147" customFormat="1" hidden="1">
      <c r="B156" s="163"/>
      <c r="C156" s="163"/>
      <c r="D156" s="163"/>
      <c r="E156" s="163"/>
      <c r="F156" s="163"/>
      <c r="G156" s="163"/>
      <c r="H156" s="163"/>
      <c r="I156" s="163"/>
      <c r="J156" s="163"/>
      <c r="K156" s="163"/>
      <c r="L156" s="163"/>
    </row>
    <row r="157" spans="2:12" s="147" customFormat="1" hidden="1">
      <c r="B157" s="163"/>
      <c r="C157" s="163"/>
      <c r="D157" s="163"/>
      <c r="E157" s="163"/>
      <c r="F157" s="163"/>
      <c r="G157" s="163"/>
      <c r="H157" s="163"/>
      <c r="I157" s="163"/>
      <c r="J157" s="163"/>
      <c r="K157" s="163"/>
      <c r="L157" s="163"/>
    </row>
    <row r="158" spans="2:12" s="147" customFormat="1" hidden="1">
      <c r="B158" s="163"/>
      <c r="C158" s="163"/>
      <c r="D158" s="163"/>
      <c r="E158" s="163"/>
      <c r="F158" s="163"/>
      <c r="G158" s="163"/>
      <c r="H158" s="163"/>
      <c r="I158" s="163"/>
      <c r="J158" s="163"/>
      <c r="K158" s="163"/>
      <c r="L158" s="163"/>
    </row>
    <row r="159" spans="2:12" s="147" customFormat="1" hidden="1">
      <c r="B159" s="163"/>
      <c r="C159" s="163"/>
      <c r="D159" s="163"/>
      <c r="E159" s="163"/>
      <c r="F159" s="163"/>
      <c r="G159" s="163"/>
      <c r="H159" s="163"/>
      <c r="I159" s="163"/>
      <c r="J159" s="163"/>
      <c r="K159" s="163"/>
      <c r="L159" s="163"/>
    </row>
    <row r="160" spans="2:12" s="147" customFormat="1" hidden="1">
      <c r="B160" s="163"/>
      <c r="C160" s="163"/>
      <c r="D160" s="163"/>
      <c r="E160" s="163"/>
      <c r="F160" s="163"/>
      <c r="G160" s="163"/>
      <c r="H160" s="163"/>
      <c r="I160" s="163"/>
      <c r="J160" s="163"/>
      <c r="K160" s="163"/>
      <c r="L160" s="163"/>
    </row>
    <row r="161" spans="2:12" s="147" customFormat="1" hidden="1">
      <c r="B161" s="163"/>
      <c r="C161" s="163"/>
      <c r="D161" s="163"/>
      <c r="E161" s="163"/>
      <c r="F161" s="163"/>
      <c r="G161" s="163"/>
      <c r="H161" s="163"/>
      <c r="I161" s="163"/>
      <c r="J161" s="163"/>
      <c r="K161" s="163"/>
      <c r="L161" s="163"/>
    </row>
    <row r="162" spans="2:12" s="147" customFormat="1" hidden="1">
      <c r="B162" s="163"/>
      <c r="C162" s="163"/>
      <c r="D162" s="163"/>
      <c r="E162" s="163"/>
      <c r="F162" s="163"/>
      <c r="G162" s="163"/>
      <c r="H162" s="163"/>
      <c r="I162" s="163"/>
      <c r="J162" s="163"/>
      <c r="K162" s="163"/>
      <c r="L162" s="163"/>
    </row>
    <row r="163" spans="2:12" s="147" customFormat="1" hidden="1">
      <c r="B163" s="163"/>
      <c r="C163" s="163"/>
      <c r="D163" s="163"/>
      <c r="E163" s="163"/>
      <c r="F163" s="163"/>
      <c r="G163" s="163"/>
      <c r="H163" s="163"/>
      <c r="I163" s="163"/>
      <c r="J163" s="163"/>
      <c r="K163" s="163"/>
      <c r="L163" s="163"/>
    </row>
    <row r="164" spans="2:12" s="147" customFormat="1" hidden="1">
      <c r="B164" s="163"/>
      <c r="C164" s="163"/>
      <c r="D164" s="163"/>
      <c r="E164" s="163"/>
      <c r="F164" s="163"/>
      <c r="G164" s="163"/>
      <c r="H164" s="163"/>
      <c r="I164" s="163"/>
      <c r="J164" s="163"/>
      <c r="K164" s="163"/>
      <c r="L164" s="163"/>
    </row>
    <row r="165" spans="2:12" s="147" customFormat="1" hidden="1">
      <c r="B165" s="163"/>
      <c r="C165" s="163"/>
      <c r="D165" s="163"/>
      <c r="E165" s="163"/>
      <c r="F165" s="163"/>
      <c r="G165" s="163"/>
      <c r="H165" s="163"/>
      <c r="I165" s="163"/>
      <c r="J165" s="163"/>
      <c r="K165" s="163"/>
      <c r="L165" s="163"/>
    </row>
    <row r="166" spans="2:12" s="147" customFormat="1" hidden="1">
      <c r="B166" s="163"/>
      <c r="C166" s="163"/>
      <c r="D166" s="163"/>
      <c r="E166" s="163"/>
      <c r="F166" s="163"/>
      <c r="G166" s="163"/>
      <c r="H166" s="163"/>
      <c r="I166" s="163"/>
      <c r="J166" s="163"/>
      <c r="K166" s="163"/>
      <c r="L166" s="163"/>
    </row>
    <row r="167" spans="2:12" s="147" customFormat="1" hidden="1">
      <c r="B167" s="163"/>
      <c r="C167" s="163"/>
      <c r="D167" s="163"/>
      <c r="E167" s="163"/>
      <c r="F167" s="163"/>
      <c r="G167" s="163"/>
      <c r="H167" s="163"/>
      <c r="I167" s="163"/>
      <c r="J167" s="163"/>
      <c r="K167" s="163"/>
      <c r="L167" s="163"/>
    </row>
    <row r="168" spans="2:12" s="147" customFormat="1" hidden="1">
      <c r="B168" s="163"/>
      <c r="C168" s="163"/>
      <c r="D168" s="163"/>
      <c r="E168" s="163"/>
      <c r="F168" s="163"/>
      <c r="G168" s="163"/>
      <c r="H168" s="163"/>
      <c r="I168" s="163"/>
      <c r="J168" s="163"/>
      <c r="K168" s="163"/>
      <c r="L168" s="163"/>
    </row>
    <row r="169" spans="2:12" s="147" customFormat="1" hidden="1">
      <c r="B169" s="163"/>
      <c r="C169" s="163"/>
      <c r="D169" s="163"/>
      <c r="E169" s="163"/>
      <c r="F169" s="163"/>
      <c r="G169" s="163"/>
      <c r="H169" s="163"/>
      <c r="I169" s="163"/>
      <c r="J169" s="163"/>
      <c r="K169" s="163"/>
      <c r="L169" s="163"/>
    </row>
    <row r="170" spans="2:12" s="147" customFormat="1" hidden="1">
      <c r="B170" s="163"/>
      <c r="C170" s="163"/>
      <c r="D170" s="163"/>
      <c r="E170" s="163"/>
      <c r="F170" s="163"/>
      <c r="G170" s="163"/>
      <c r="H170" s="163"/>
      <c r="I170" s="163"/>
      <c r="J170" s="163"/>
      <c r="K170" s="163"/>
      <c r="L170" s="163"/>
    </row>
    <row r="171" spans="2:12" s="147" customFormat="1" hidden="1">
      <c r="B171" s="163"/>
      <c r="C171" s="163"/>
      <c r="D171" s="163"/>
      <c r="E171" s="163"/>
      <c r="F171" s="163"/>
      <c r="G171" s="163"/>
      <c r="H171" s="163"/>
      <c r="I171" s="163"/>
      <c r="J171" s="163"/>
      <c r="K171" s="163"/>
      <c r="L171" s="163"/>
    </row>
    <row r="172" spans="2:12" s="147" customFormat="1" hidden="1">
      <c r="B172" s="163"/>
      <c r="C172" s="163"/>
      <c r="D172" s="163"/>
      <c r="E172" s="163"/>
      <c r="F172" s="163"/>
      <c r="G172" s="163"/>
      <c r="H172" s="163"/>
      <c r="I172" s="163"/>
      <c r="J172" s="163"/>
      <c r="K172" s="163"/>
      <c r="L172" s="163"/>
    </row>
    <row r="173" spans="2:12" s="147" customFormat="1" hidden="1">
      <c r="B173" s="163"/>
      <c r="C173" s="163"/>
      <c r="D173" s="163"/>
      <c r="E173" s="163"/>
      <c r="F173" s="163"/>
      <c r="G173" s="163"/>
      <c r="H173" s="163"/>
      <c r="I173" s="163"/>
      <c r="J173" s="163"/>
      <c r="K173" s="163"/>
      <c r="L173" s="163"/>
    </row>
    <row r="174" spans="2:12" s="147" customFormat="1" hidden="1">
      <c r="B174" s="163"/>
      <c r="C174" s="163"/>
      <c r="D174" s="163"/>
      <c r="E174" s="163"/>
      <c r="F174" s="163"/>
      <c r="G174" s="163"/>
      <c r="H174" s="163"/>
      <c r="I174" s="163"/>
      <c r="J174" s="163"/>
      <c r="K174" s="163"/>
      <c r="L174" s="163"/>
    </row>
    <row r="175" spans="2:12" s="147" customFormat="1" hidden="1">
      <c r="B175" s="163"/>
      <c r="C175" s="163"/>
      <c r="D175" s="163"/>
      <c r="E175" s="163"/>
      <c r="F175" s="163"/>
      <c r="G175" s="163"/>
      <c r="H175" s="163"/>
      <c r="I175" s="163"/>
      <c r="J175" s="163"/>
      <c r="K175" s="163"/>
      <c r="L175" s="163"/>
    </row>
    <row r="176" spans="2:12" s="147" customFormat="1" hidden="1">
      <c r="B176" s="163"/>
      <c r="C176" s="163"/>
      <c r="D176" s="163"/>
      <c r="E176" s="163"/>
      <c r="F176" s="163"/>
      <c r="G176" s="163"/>
      <c r="H176" s="163"/>
      <c r="I176" s="163"/>
      <c r="J176" s="163"/>
      <c r="K176" s="163"/>
      <c r="L176" s="163"/>
    </row>
    <row r="177" spans="2:12" s="147" customFormat="1" hidden="1">
      <c r="B177" s="163"/>
      <c r="C177" s="163"/>
      <c r="D177" s="163"/>
      <c r="E177" s="163"/>
      <c r="F177" s="163"/>
      <c r="G177" s="163"/>
      <c r="H177" s="163"/>
      <c r="I177" s="163"/>
      <c r="J177" s="163"/>
      <c r="K177" s="163"/>
      <c r="L177" s="163"/>
    </row>
    <row r="178" spans="2:12"/>
  </sheetData>
  <mergeCells count="55">
    <mergeCell ref="B8:K8"/>
    <mergeCell ref="B6:K6"/>
    <mergeCell ref="B9:K9"/>
    <mergeCell ref="B11:K11"/>
    <mergeCell ref="B12:K12"/>
    <mergeCell ref="B14:K14"/>
    <mergeCell ref="B15:K15"/>
    <mergeCell ref="B17:K17"/>
    <mergeCell ref="B18:K18"/>
    <mergeCell ref="B20:K20"/>
    <mergeCell ref="B21:K21"/>
    <mergeCell ref="B23:K23"/>
    <mergeCell ref="B24:K24"/>
    <mergeCell ref="B26:K26"/>
    <mergeCell ref="B27:K27"/>
    <mergeCell ref="B29:K29"/>
    <mergeCell ref="B30:K30"/>
    <mergeCell ref="B32:K32"/>
    <mergeCell ref="B33:K33"/>
    <mergeCell ref="B35:K35"/>
    <mergeCell ref="B36:K36"/>
    <mergeCell ref="B38:K38"/>
    <mergeCell ref="B39:K39"/>
    <mergeCell ref="B41:K41"/>
    <mergeCell ref="B42:K42"/>
    <mergeCell ref="B44:K44"/>
    <mergeCell ref="B45:K45"/>
    <mergeCell ref="B47:K47"/>
    <mergeCell ref="B56:K56"/>
    <mergeCell ref="B57:K57"/>
    <mergeCell ref="B59:K59"/>
    <mergeCell ref="B60:K60"/>
    <mergeCell ref="B48:K48"/>
    <mergeCell ref="B50:K50"/>
    <mergeCell ref="B51:K51"/>
    <mergeCell ref="B53:K53"/>
    <mergeCell ref="B54:K54"/>
    <mergeCell ref="B62:K62"/>
    <mergeCell ref="B63:K63"/>
    <mergeCell ref="B65:K65"/>
    <mergeCell ref="B66:K66"/>
    <mergeCell ref="B68:K68"/>
    <mergeCell ref="B69:K69"/>
    <mergeCell ref="B71:K71"/>
    <mergeCell ref="B72:K72"/>
    <mergeCell ref="B74:K74"/>
    <mergeCell ref="B75:K75"/>
    <mergeCell ref="B83:K83"/>
    <mergeCell ref="B84:K84"/>
    <mergeCell ref="B86:K86"/>
    <mergeCell ref="B87:K87"/>
    <mergeCell ref="B77:K77"/>
    <mergeCell ref="B78:K78"/>
    <mergeCell ref="B80:K80"/>
    <mergeCell ref="B81:K8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375"/>
  <sheetViews>
    <sheetView workbookViewId="0"/>
  </sheetViews>
  <sheetFormatPr defaultColWidth="0" defaultRowHeight="14.4" zeroHeight="1"/>
  <cols>
    <col min="1" max="1" width="2.44140625" style="147" customWidth="1"/>
    <col min="2" max="2" width="12.33203125" style="34" customWidth="1"/>
    <col min="3" max="3" width="5.6640625" style="34" customWidth="1"/>
    <col min="4" max="4" width="30.6640625" style="34" customWidth="1"/>
    <col min="5" max="8" width="15.6640625" style="34" customWidth="1"/>
    <col min="9" max="9" width="2.33203125" style="34" customWidth="1"/>
    <col min="10" max="12" width="15.6640625" style="34" customWidth="1"/>
    <col min="13" max="13" width="15.6640625" style="147" customWidth="1"/>
    <col min="14" max="14" width="9.109375" style="147" customWidth="1"/>
    <col min="15" max="66" width="0" style="147" hidden="1" customWidth="1"/>
    <col min="67" max="16384" width="9.109375" hidden="1"/>
  </cols>
  <sheetData>
    <row r="1" spans="1:66" s="147" customFormat="1">
      <c r="B1" s="163"/>
      <c r="C1" s="163"/>
      <c r="D1" s="163"/>
      <c r="E1" s="163"/>
      <c r="F1" s="163"/>
      <c r="G1" s="163"/>
      <c r="H1" s="163"/>
      <c r="I1" s="163"/>
      <c r="J1" s="163"/>
      <c r="K1" s="163"/>
      <c r="L1" s="163"/>
    </row>
    <row r="2" spans="1:66" s="35" customFormat="1" ht="21" customHeight="1">
      <c r="A2" s="162"/>
      <c r="B2" s="27" t="s">
        <v>25</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row>
    <row r="3" spans="1:66">
      <c r="B3" s="5" t="s">
        <v>0</v>
      </c>
      <c r="C3" s="245" t="str">
        <f>'AER Summary'!C3</f>
        <v>Metering related</v>
      </c>
      <c r="D3" s="245"/>
      <c r="E3" s="245"/>
      <c r="F3" s="245"/>
      <c r="G3" s="245"/>
      <c r="H3" s="245"/>
      <c r="I3" s="245"/>
      <c r="J3" s="245"/>
      <c r="K3" s="245"/>
      <c r="L3" s="245"/>
    </row>
    <row r="4" spans="1:66" s="147" customFormat="1">
      <c r="B4" s="163"/>
      <c r="C4" s="163"/>
      <c r="D4" s="163"/>
      <c r="E4" s="163"/>
      <c r="F4" s="163"/>
      <c r="G4" s="163"/>
      <c r="H4" s="163"/>
      <c r="I4" s="163"/>
      <c r="J4" s="163"/>
      <c r="K4" s="163"/>
      <c r="L4" s="163"/>
    </row>
    <row r="5" spans="1:66" s="147" customFormat="1">
      <c r="B5" s="163"/>
      <c r="C5" s="163"/>
      <c r="D5" s="163"/>
      <c r="E5" s="163"/>
      <c r="F5" s="163"/>
      <c r="G5" s="163"/>
      <c r="H5" s="163"/>
      <c r="I5" s="163"/>
      <c r="J5" s="163"/>
      <c r="K5" s="163"/>
      <c r="L5" s="163"/>
    </row>
    <row r="6" spans="1:66" ht="14.4" customHeight="1">
      <c r="B6" s="42" t="s">
        <v>51</v>
      </c>
      <c r="C6" s="245" t="str">
        <f>'AER Summary'!B11</f>
        <v xml:space="preserve">Metering Site Establishment </v>
      </c>
      <c r="D6" s="245"/>
      <c r="E6" s="245"/>
      <c r="F6" s="245"/>
      <c r="G6" s="245"/>
      <c r="H6" s="245"/>
      <c r="I6" s="245"/>
      <c r="J6" s="245"/>
      <c r="K6" s="245"/>
      <c r="L6" s="245"/>
    </row>
    <row r="7" spans="1:66" ht="48" customHeight="1">
      <c r="B7" s="43"/>
      <c r="C7" s="241" t="s">
        <v>55</v>
      </c>
      <c r="D7" s="242"/>
      <c r="E7" s="45" t="s">
        <v>58</v>
      </c>
      <c r="F7" s="45" t="s">
        <v>96</v>
      </c>
      <c r="G7" s="45" t="s">
        <v>57</v>
      </c>
      <c r="H7" s="45" t="s">
        <v>65</v>
      </c>
      <c r="I7" s="46"/>
      <c r="J7" s="47" t="s">
        <v>54</v>
      </c>
      <c r="K7" s="47" t="s">
        <v>31</v>
      </c>
      <c r="L7" s="47" t="s">
        <v>52</v>
      </c>
    </row>
    <row r="8" spans="1:66">
      <c r="B8" s="41"/>
      <c r="C8" s="44" t="s">
        <v>47</v>
      </c>
      <c r="D8" s="53" t="str">
        <f>VLOOKUP($C8,'Input Data'!$B$37:$C$41,2,FALSE)</f>
        <v>Field Worker R4</v>
      </c>
      <c r="E8" s="54">
        <f>VLOOKUP($C8,'Input Data'!$B$37:$L$41,11,FALSE)</f>
        <v>147.83000000000001</v>
      </c>
      <c r="F8" s="54">
        <v>1</v>
      </c>
      <c r="G8" s="49">
        <f>H8/E8</f>
        <v>0.39746553446322108</v>
      </c>
      <c r="H8" s="55">
        <f>VLOOKUP(C6,'AER Summary'!$B$11:$I$28,3,FALSE)</f>
        <v>58.757329959697977</v>
      </c>
      <c r="I8" s="41"/>
      <c r="J8" s="54">
        <f>VLOOKUP($C8,'Input Data'!$B$37:$L$41,3,FALSE)*G8</f>
        <v>20.933012532266574</v>
      </c>
      <c r="K8" s="54">
        <f>VLOOKUP($C8,'Input Data'!$B$37:$L$41,6,FALSE)*G8</f>
        <v>10.933736504032881</v>
      </c>
      <c r="L8" s="54">
        <f>VLOOKUP($C8,'Input Data'!$B$37:$L$41,8,FALSE)*G8</f>
        <v>27.724071661580531</v>
      </c>
    </row>
    <row r="9" spans="1:66">
      <c r="B9" s="41"/>
      <c r="C9" s="48"/>
      <c r="D9" s="48"/>
      <c r="E9" s="48"/>
      <c r="F9" s="80"/>
      <c r="G9" s="50" t="s">
        <v>53</v>
      </c>
      <c r="H9" s="56">
        <f>SUM(H8:H8)</f>
        <v>58.757329959697977</v>
      </c>
      <c r="I9" s="41"/>
      <c r="J9" s="56">
        <f>SUM(J8:J8)</f>
        <v>20.933012532266574</v>
      </c>
      <c r="K9" s="56">
        <f>SUM(K8:K8)</f>
        <v>10.933736504032881</v>
      </c>
      <c r="L9" s="56">
        <f>SUM(L8:L8)</f>
        <v>27.724071661580531</v>
      </c>
      <c r="M9" s="166"/>
    </row>
    <row r="10" spans="1:66" s="147" customFormat="1" ht="7.2" customHeight="1">
      <c r="B10" s="163"/>
      <c r="C10" s="163"/>
      <c r="D10" s="163"/>
      <c r="E10" s="163"/>
      <c r="F10" s="163"/>
      <c r="G10" s="163"/>
      <c r="H10" s="163"/>
      <c r="I10" s="163"/>
      <c r="J10" s="163"/>
      <c r="K10" s="163"/>
      <c r="L10" s="163"/>
    </row>
    <row r="11" spans="1:66" s="7" customFormat="1">
      <c r="B11" s="243" t="s">
        <v>14</v>
      </c>
      <c r="C11" s="243"/>
      <c r="D11" s="243"/>
      <c r="E11" s="243"/>
      <c r="F11" s="243"/>
      <c r="G11" s="243"/>
      <c r="H11" s="243"/>
      <c r="I11" s="243"/>
      <c r="J11" s="243"/>
      <c r="K11" s="243"/>
      <c r="L11" s="243"/>
      <c r="N11" s="147"/>
    </row>
    <row r="12" spans="1:66" s="7" customFormat="1">
      <c r="B12" s="244" t="s">
        <v>308</v>
      </c>
      <c r="C12" s="244"/>
      <c r="D12" s="244"/>
      <c r="E12" s="244"/>
      <c r="F12" s="244"/>
      <c r="G12" s="244"/>
      <c r="H12" s="244"/>
      <c r="I12" s="244"/>
      <c r="J12" s="244"/>
      <c r="K12" s="244"/>
      <c r="L12" s="244"/>
      <c r="N12" s="147"/>
    </row>
    <row r="13" spans="1:66" s="147" customFormat="1">
      <c r="B13" s="163"/>
      <c r="C13" s="163"/>
      <c r="D13" s="163"/>
      <c r="E13" s="163"/>
      <c r="F13" s="163"/>
      <c r="G13" s="163"/>
      <c r="H13" s="163"/>
      <c r="I13" s="163"/>
      <c r="J13" s="163"/>
      <c r="K13" s="163"/>
      <c r="L13" s="163"/>
    </row>
    <row r="14" spans="1:66" ht="14.4" customHeight="1">
      <c r="B14" s="42" t="s">
        <v>51</v>
      </c>
      <c r="C14" s="245" t="str">
        <f>'AER Summary'!B12</f>
        <v xml:space="preserve">Special Meter Reading </v>
      </c>
      <c r="D14" s="245"/>
      <c r="E14" s="245"/>
      <c r="F14" s="245"/>
      <c r="G14" s="245"/>
      <c r="H14" s="245"/>
      <c r="I14" s="245"/>
      <c r="J14" s="245"/>
      <c r="K14" s="245"/>
      <c r="L14" s="245"/>
    </row>
    <row r="15" spans="1:66" ht="48" customHeight="1">
      <c r="B15" s="43"/>
      <c r="C15" s="241" t="s">
        <v>55</v>
      </c>
      <c r="D15" s="242"/>
      <c r="E15" s="45" t="s">
        <v>58</v>
      </c>
      <c r="F15" s="45" t="s">
        <v>96</v>
      </c>
      <c r="G15" s="45" t="s">
        <v>57</v>
      </c>
      <c r="H15" s="45" t="s">
        <v>65</v>
      </c>
      <c r="I15" s="46"/>
      <c r="J15" s="47" t="s">
        <v>54</v>
      </c>
      <c r="K15" s="47" t="s">
        <v>31</v>
      </c>
      <c r="L15" s="47" t="s">
        <v>52</v>
      </c>
    </row>
    <row r="16" spans="1:66">
      <c r="B16" s="41"/>
      <c r="C16" s="44" t="s">
        <v>47</v>
      </c>
      <c r="D16" s="53" t="str">
        <f>VLOOKUP($C16,'Input Data'!$B$37:$C$41,2,FALSE)</f>
        <v>Field Worker R4</v>
      </c>
      <c r="E16" s="54">
        <f>VLOOKUP($C16,'Input Data'!$B$37:$L$41,11,FALSE)</f>
        <v>147.83000000000001</v>
      </c>
      <c r="F16" s="54">
        <v>1</v>
      </c>
      <c r="G16" s="49">
        <f>H16/E16</f>
        <v>7.3500782995202518E-2</v>
      </c>
      <c r="H16" s="55">
        <f>VLOOKUP(C14,'AER Summary'!$B$11:$I$28,3,FALSE)</f>
        <v>10.86562075018079</v>
      </c>
      <c r="I16" s="41"/>
      <c r="J16" s="54">
        <f>VLOOKUP($C16,'Input Data'!$B$37:$L$41,3,FALSE)*G16</f>
        <v>3.8710093785813569</v>
      </c>
      <c r="K16" s="54">
        <f>VLOOKUP($C16,'Input Data'!$B$37:$L$41,6,FALSE)*G16</f>
        <v>2.0219066168717292</v>
      </c>
      <c r="L16" s="54">
        <f>VLOOKUP($C16,'Input Data'!$B$37:$L$41,8,FALSE)*G16</f>
        <v>5.1268369160441853</v>
      </c>
    </row>
    <row r="17" spans="2:14">
      <c r="B17" s="41"/>
      <c r="C17" s="48"/>
      <c r="D17" s="48"/>
      <c r="E17" s="48"/>
      <c r="F17" s="80"/>
      <c r="G17" s="50" t="s">
        <v>53</v>
      </c>
      <c r="H17" s="56">
        <f>SUM(H16:H16)</f>
        <v>10.86562075018079</v>
      </c>
      <c r="I17" s="41"/>
      <c r="J17" s="56">
        <f>SUM(J16:J16)</f>
        <v>3.8710093785813569</v>
      </c>
      <c r="K17" s="56">
        <f>SUM(K16:K16)</f>
        <v>2.0219066168717292</v>
      </c>
      <c r="L17" s="56">
        <f>SUM(L16:L16)</f>
        <v>5.1268369160441853</v>
      </c>
      <c r="M17" s="166"/>
    </row>
    <row r="18" spans="2:14" s="147" customFormat="1" ht="7.2" customHeight="1">
      <c r="B18" s="163"/>
      <c r="C18" s="163"/>
      <c r="D18" s="163"/>
      <c r="E18" s="163"/>
      <c r="F18" s="163"/>
      <c r="G18" s="163"/>
      <c r="H18" s="163"/>
      <c r="I18" s="163"/>
      <c r="J18" s="163"/>
      <c r="K18" s="163"/>
      <c r="L18" s="163"/>
    </row>
    <row r="19" spans="2:14" s="7" customFormat="1">
      <c r="B19" s="243" t="s">
        <v>14</v>
      </c>
      <c r="C19" s="243"/>
      <c r="D19" s="243"/>
      <c r="E19" s="243"/>
      <c r="F19" s="243"/>
      <c r="G19" s="243"/>
      <c r="H19" s="243"/>
      <c r="I19" s="243"/>
      <c r="J19" s="243"/>
      <c r="K19" s="243"/>
      <c r="L19" s="243"/>
      <c r="N19" s="147"/>
    </row>
    <row r="20" spans="2:14" s="7" customFormat="1">
      <c r="B20" s="244" t="s">
        <v>308</v>
      </c>
      <c r="C20" s="244"/>
      <c r="D20" s="244"/>
      <c r="E20" s="244"/>
      <c r="F20" s="244"/>
      <c r="G20" s="244"/>
      <c r="H20" s="244"/>
      <c r="I20" s="244"/>
      <c r="J20" s="244"/>
      <c r="K20" s="244"/>
      <c r="L20" s="244"/>
      <c r="N20" s="147"/>
    </row>
    <row r="21" spans="2:14" s="147" customFormat="1">
      <c r="B21" s="163"/>
      <c r="C21" s="163"/>
      <c r="D21" s="163"/>
      <c r="E21" s="163"/>
      <c r="F21" s="163"/>
      <c r="G21" s="163"/>
      <c r="H21" s="163"/>
      <c r="I21" s="163"/>
      <c r="J21" s="163"/>
      <c r="K21" s="163"/>
      <c r="L21" s="163"/>
    </row>
    <row r="22" spans="2:14" ht="14.4" customHeight="1">
      <c r="B22" s="42" t="s">
        <v>51</v>
      </c>
      <c r="C22" s="245" t="str">
        <f>'AER Summary'!B13</f>
        <v xml:space="preserve">Type 5-6 Meter Test </v>
      </c>
      <c r="D22" s="245"/>
      <c r="E22" s="245"/>
      <c r="F22" s="245"/>
      <c r="G22" s="245"/>
      <c r="H22" s="245"/>
      <c r="I22" s="245"/>
      <c r="J22" s="245"/>
      <c r="K22" s="245"/>
      <c r="L22" s="245"/>
    </row>
    <row r="23" spans="2:14" ht="48" customHeight="1">
      <c r="B23" s="43"/>
      <c r="C23" s="241" t="s">
        <v>55</v>
      </c>
      <c r="D23" s="242"/>
      <c r="E23" s="45" t="s">
        <v>58</v>
      </c>
      <c r="F23" s="45" t="s">
        <v>96</v>
      </c>
      <c r="G23" s="45" t="s">
        <v>57</v>
      </c>
      <c r="H23" s="45" t="s">
        <v>65</v>
      </c>
      <c r="I23" s="46"/>
      <c r="J23" s="47" t="s">
        <v>54</v>
      </c>
      <c r="K23" s="47" t="s">
        <v>31</v>
      </c>
      <c r="L23" s="47" t="s">
        <v>52</v>
      </c>
    </row>
    <row r="24" spans="2:14">
      <c r="B24" s="41"/>
      <c r="C24" s="44" t="s">
        <v>47</v>
      </c>
      <c r="D24" s="53" t="str">
        <f>VLOOKUP($C24,'Input Data'!$B$37:$C$41,2,FALSE)</f>
        <v>Field Worker R4</v>
      </c>
      <c r="E24" s="54">
        <f>VLOOKUP($C24,'Input Data'!$B$37:$L$41,11,FALSE)</f>
        <v>147.83000000000001</v>
      </c>
      <c r="F24" s="54">
        <v>1</v>
      </c>
      <c r="G24" s="49">
        <v>3</v>
      </c>
      <c r="H24" s="55">
        <f>E24*F24*G24</f>
        <v>443.49</v>
      </c>
      <c r="I24" s="41"/>
      <c r="J24" s="54">
        <f>VLOOKUP($C24,'Input Data'!$B$37:$L$41,3,FALSE)*G24</f>
        <v>157.99869963973129</v>
      </c>
      <c r="K24" s="54">
        <f>VLOOKUP($C24,'Input Data'!$B$37:$L$41,6,FALSE)*G24</f>
        <v>82.525921540333854</v>
      </c>
      <c r="L24" s="54">
        <f>VLOOKUP($C24,'Input Data'!$B$37:$L$41,8,FALSE)*G24</f>
        <v>209.25642042665669</v>
      </c>
    </row>
    <row r="25" spans="2:14">
      <c r="B25" s="41"/>
      <c r="C25" s="48"/>
      <c r="D25" s="48"/>
      <c r="E25" s="48"/>
      <c r="F25" s="80"/>
      <c r="G25" s="50" t="s">
        <v>53</v>
      </c>
      <c r="H25" s="56">
        <f>SUM(H24:H24)</f>
        <v>443.49</v>
      </c>
      <c r="I25" s="41"/>
      <c r="J25" s="56">
        <f>SUM(J24:J24)</f>
        <v>157.99869963973129</v>
      </c>
      <c r="K25" s="56">
        <f>SUM(K24:K24)</f>
        <v>82.525921540333854</v>
      </c>
      <c r="L25" s="56">
        <f>SUM(L24:L24)</f>
        <v>209.25642042665669</v>
      </c>
      <c r="M25" s="166"/>
    </row>
    <row r="26" spans="2:14" s="147" customFormat="1" ht="7.2" customHeight="1">
      <c r="B26" s="163"/>
      <c r="C26" s="163"/>
      <c r="D26" s="163"/>
      <c r="E26" s="163"/>
      <c r="F26" s="163"/>
      <c r="G26" s="163"/>
      <c r="H26" s="163"/>
      <c r="I26" s="163"/>
      <c r="J26" s="163"/>
      <c r="K26" s="163"/>
      <c r="L26" s="163"/>
    </row>
    <row r="27" spans="2:14" s="7" customFormat="1">
      <c r="B27" s="243" t="s">
        <v>14</v>
      </c>
      <c r="C27" s="243"/>
      <c r="D27" s="243"/>
      <c r="E27" s="243"/>
      <c r="F27" s="243"/>
      <c r="G27" s="243"/>
      <c r="H27" s="243"/>
      <c r="I27" s="243"/>
      <c r="J27" s="243"/>
      <c r="K27" s="243"/>
      <c r="L27" s="243"/>
      <c r="N27" s="147"/>
    </row>
    <row r="28" spans="2:14" s="7" customFormat="1">
      <c r="B28" s="244" t="s">
        <v>64</v>
      </c>
      <c r="C28" s="244"/>
      <c r="D28" s="244"/>
      <c r="E28" s="244"/>
      <c r="F28" s="244"/>
      <c r="G28" s="244"/>
      <c r="H28" s="244"/>
      <c r="I28" s="244"/>
      <c r="J28" s="244"/>
      <c r="K28" s="244"/>
      <c r="L28" s="244"/>
      <c r="N28" s="147"/>
    </row>
    <row r="29" spans="2:14" s="147" customFormat="1" ht="7.2" customHeight="1">
      <c r="B29" s="163"/>
      <c r="C29" s="163"/>
      <c r="D29" s="163"/>
      <c r="E29" s="163"/>
      <c r="F29" s="163"/>
      <c r="G29" s="163"/>
      <c r="H29" s="163"/>
      <c r="I29" s="163"/>
      <c r="J29" s="163"/>
      <c r="K29" s="163"/>
      <c r="L29" s="163"/>
    </row>
    <row r="30" spans="2:14">
      <c r="B30" s="42" t="s">
        <v>51</v>
      </c>
      <c r="C30" s="245" t="str">
        <f>'AER Summary'!B14</f>
        <v xml:space="preserve">Franchise current transformer (CT) meter install </v>
      </c>
      <c r="D30" s="245"/>
      <c r="E30" s="245"/>
      <c r="F30" s="245"/>
      <c r="G30" s="245"/>
      <c r="H30" s="245"/>
      <c r="I30" s="245"/>
      <c r="J30" s="245"/>
      <c r="K30" s="245"/>
      <c r="L30" s="245"/>
    </row>
    <row r="31" spans="2:14" ht="48" customHeight="1">
      <c r="B31" s="246" t="s">
        <v>91</v>
      </c>
      <c r="C31" s="246"/>
      <c r="D31" s="246"/>
      <c r="E31" s="246"/>
      <c r="F31" s="246"/>
      <c r="G31" s="246"/>
      <c r="H31" s="246"/>
      <c r="I31" s="246"/>
      <c r="J31" s="246"/>
      <c r="K31" s="246"/>
      <c r="L31" s="246"/>
    </row>
    <row r="32" spans="2:14">
      <c r="B32" s="41"/>
      <c r="C32" s="41"/>
      <c r="D32" s="127"/>
      <c r="E32" s="128"/>
      <c r="F32" s="128"/>
      <c r="G32" s="129"/>
      <c r="H32" s="56"/>
      <c r="I32" s="41"/>
      <c r="J32" s="128"/>
      <c r="K32" s="128"/>
      <c r="L32" s="128"/>
    </row>
    <row r="33" spans="2:14">
      <c r="B33" s="41"/>
      <c r="C33" s="41"/>
      <c r="D33" s="41"/>
      <c r="E33" s="41"/>
      <c r="F33" s="41"/>
      <c r="G33" s="51"/>
      <c r="H33" s="56"/>
      <c r="I33" s="41"/>
      <c r="J33" s="56"/>
      <c r="K33" s="56"/>
      <c r="L33" s="56"/>
      <c r="M33" s="166"/>
    </row>
    <row r="34" spans="2:14">
      <c r="B34" s="41"/>
      <c r="C34" s="41"/>
      <c r="D34" s="41"/>
      <c r="E34" s="41"/>
      <c r="F34" s="41"/>
      <c r="G34" s="51"/>
      <c r="H34" s="52"/>
      <c r="I34" s="41"/>
      <c r="J34" s="85"/>
      <c r="K34" s="85"/>
      <c r="L34" s="85"/>
    </row>
    <row r="35" spans="2:14" ht="7.2" customHeight="1"/>
    <row r="36" spans="2:14" s="7" customFormat="1">
      <c r="B36" s="243" t="s">
        <v>14</v>
      </c>
      <c r="C36" s="243"/>
      <c r="D36" s="243"/>
      <c r="E36" s="243"/>
      <c r="F36" s="243"/>
      <c r="G36" s="243"/>
      <c r="H36" s="243"/>
      <c r="I36" s="243"/>
      <c r="J36" s="243"/>
      <c r="K36" s="243"/>
      <c r="L36" s="243"/>
      <c r="N36" s="147"/>
    </row>
    <row r="37" spans="2:14" s="7" customFormat="1">
      <c r="B37" s="247" t="s">
        <v>265</v>
      </c>
      <c r="C37" s="247"/>
      <c r="D37" s="247"/>
      <c r="E37" s="247"/>
      <c r="F37" s="247"/>
      <c r="G37" s="247"/>
      <c r="H37" s="247"/>
      <c r="I37" s="247"/>
      <c r="J37" s="247"/>
      <c r="K37" s="247"/>
      <c r="L37" s="247"/>
      <c r="N37" s="147"/>
    </row>
    <row r="38" spans="2:14" s="147" customFormat="1">
      <c r="B38" s="163"/>
      <c r="C38" s="163"/>
      <c r="D38" s="163"/>
      <c r="E38" s="163"/>
      <c r="F38" s="163"/>
      <c r="G38" s="163"/>
      <c r="H38" s="163"/>
      <c r="I38" s="163"/>
      <c r="J38" s="163"/>
      <c r="K38" s="163"/>
      <c r="L38" s="163"/>
    </row>
    <row r="39" spans="2:14" ht="14.4" customHeight="1">
      <c r="B39" s="42" t="s">
        <v>51</v>
      </c>
      <c r="C39" s="245" t="str">
        <f>'AER Summary'!B15</f>
        <v xml:space="preserve">Types 5-7 non-standard Meter Data Services </v>
      </c>
      <c r="D39" s="245"/>
      <c r="E39" s="245"/>
      <c r="F39" s="245"/>
      <c r="G39" s="245"/>
      <c r="H39" s="245"/>
      <c r="I39" s="245"/>
      <c r="J39" s="245"/>
      <c r="K39" s="245"/>
      <c r="L39" s="245"/>
    </row>
    <row r="40" spans="2:14" ht="48" customHeight="1">
      <c r="B40" s="43"/>
      <c r="C40" s="241" t="s">
        <v>55</v>
      </c>
      <c r="D40" s="242"/>
      <c r="E40" s="45" t="s">
        <v>58</v>
      </c>
      <c r="F40" s="45" t="s">
        <v>96</v>
      </c>
      <c r="G40" s="45" t="s">
        <v>57</v>
      </c>
      <c r="H40" s="45" t="s">
        <v>65</v>
      </c>
      <c r="I40" s="46"/>
      <c r="J40" s="47" t="s">
        <v>54</v>
      </c>
      <c r="K40" s="47" t="s">
        <v>31</v>
      </c>
      <c r="L40" s="47" t="s">
        <v>52</v>
      </c>
    </row>
    <row r="41" spans="2:14">
      <c r="B41" s="41"/>
      <c r="C41" s="44" t="s">
        <v>47</v>
      </c>
      <c r="D41" s="53" t="str">
        <f>VLOOKUP($C41,'Input Data'!$B$37:$C$41,2,FALSE)</f>
        <v>Field Worker R4</v>
      </c>
      <c r="E41" s="54">
        <f>VLOOKUP($C41,'Input Data'!$B$37:$L$41,11,FALSE)</f>
        <v>147.83000000000001</v>
      </c>
      <c r="F41" s="54">
        <v>1</v>
      </c>
      <c r="G41" s="49">
        <f>H41/E41</f>
        <v>0.10490359430584632</v>
      </c>
      <c r="H41" s="55">
        <f>VLOOKUP(C39,'AER Summary'!$B$11:$I$28,3,FALSE)</f>
        <v>15.507898346233263</v>
      </c>
      <c r="I41" s="41"/>
      <c r="J41" s="54">
        <f>VLOOKUP($C41,'Input Data'!$B$37:$L$41,3,FALSE)*G41</f>
        <v>5.5248771626192124</v>
      </c>
      <c r="K41" s="54">
        <f>VLOOKUP($C41,'Input Data'!$B$37:$L$41,6,FALSE)*G41</f>
        <v>2.8857552643277624</v>
      </c>
      <c r="L41" s="54">
        <f>VLOOKUP($C41,'Input Data'!$B$37:$L$41,8,FALSE)*G41</f>
        <v>7.3172502114438682</v>
      </c>
    </row>
    <row r="42" spans="2:14">
      <c r="B42" s="41"/>
      <c r="C42" s="48"/>
      <c r="D42" s="48"/>
      <c r="E42" s="48"/>
      <c r="F42" s="80"/>
      <c r="G42" s="50" t="s">
        <v>53</v>
      </c>
      <c r="H42" s="56">
        <f>SUM(H41:H41)</f>
        <v>15.507898346233263</v>
      </c>
      <c r="I42" s="41"/>
      <c r="J42" s="56">
        <f>SUM(J41:J41)</f>
        <v>5.5248771626192124</v>
      </c>
      <c r="K42" s="56">
        <f>SUM(K41:K41)</f>
        <v>2.8857552643277624</v>
      </c>
      <c r="L42" s="56">
        <f>SUM(L41:L41)</f>
        <v>7.3172502114438682</v>
      </c>
      <c r="M42" s="166"/>
    </row>
    <row r="43" spans="2:14" s="147" customFormat="1" ht="7.2" customHeight="1">
      <c r="B43" s="163"/>
      <c r="C43" s="163"/>
      <c r="D43" s="163"/>
      <c r="E43" s="163"/>
      <c r="F43" s="163"/>
      <c r="G43" s="163"/>
      <c r="H43" s="163"/>
      <c r="I43" s="163"/>
      <c r="J43" s="163"/>
      <c r="K43" s="163"/>
      <c r="L43" s="163"/>
    </row>
    <row r="44" spans="2:14" s="7" customFormat="1">
      <c r="B44" s="243" t="s">
        <v>14</v>
      </c>
      <c r="C44" s="243"/>
      <c r="D44" s="243"/>
      <c r="E44" s="243"/>
      <c r="F44" s="243"/>
      <c r="G44" s="243"/>
      <c r="H44" s="243"/>
      <c r="I44" s="243"/>
      <c r="J44" s="243"/>
      <c r="K44" s="243"/>
      <c r="L44" s="243"/>
      <c r="N44" s="147"/>
    </row>
    <row r="45" spans="2:14" s="7" customFormat="1">
      <c r="B45" s="244" t="s">
        <v>308</v>
      </c>
      <c r="C45" s="244"/>
      <c r="D45" s="244"/>
      <c r="E45" s="244"/>
      <c r="F45" s="244"/>
      <c r="G45" s="244"/>
      <c r="H45" s="244"/>
      <c r="I45" s="244"/>
      <c r="J45" s="244"/>
      <c r="K45" s="244"/>
      <c r="L45" s="244"/>
      <c r="M45" s="147"/>
      <c r="N45" s="147"/>
    </row>
    <row r="46" spans="2:14" s="147" customFormat="1">
      <c r="B46" s="163"/>
      <c r="C46" s="163"/>
      <c r="D46" s="163"/>
      <c r="E46" s="163"/>
      <c r="F46" s="163"/>
      <c r="G46" s="163"/>
      <c r="H46" s="163"/>
      <c r="I46" s="163"/>
      <c r="J46" s="163"/>
      <c r="K46" s="163"/>
      <c r="L46" s="163"/>
    </row>
    <row r="47" spans="2:14" ht="14.4" customHeight="1">
      <c r="B47" s="42" t="s">
        <v>51</v>
      </c>
      <c r="C47" s="245" t="str">
        <f>'AER Summary'!B16</f>
        <v xml:space="preserve">Emergency maintenance of failed metering equipment not owned by the network </v>
      </c>
      <c r="D47" s="245"/>
      <c r="E47" s="245"/>
      <c r="F47" s="245"/>
      <c r="G47" s="245"/>
      <c r="H47" s="245"/>
      <c r="I47" s="245"/>
      <c r="J47" s="245"/>
      <c r="K47" s="245"/>
      <c r="L47" s="245"/>
    </row>
    <row r="48" spans="2:14" ht="48" customHeight="1">
      <c r="B48" s="43"/>
      <c r="C48" s="241" t="s">
        <v>55</v>
      </c>
      <c r="D48" s="242"/>
      <c r="E48" s="45" t="s">
        <v>58</v>
      </c>
      <c r="F48" s="45" t="s">
        <v>96</v>
      </c>
      <c r="G48" s="45" t="s">
        <v>57</v>
      </c>
      <c r="H48" s="45" t="s">
        <v>65</v>
      </c>
      <c r="I48" s="46"/>
      <c r="J48" s="47" t="s">
        <v>54</v>
      </c>
      <c r="K48" s="47" t="s">
        <v>31</v>
      </c>
      <c r="L48" s="47" t="s">
        <v>52</v>
      </c>
    </row>
    <row r="49" spans="2:14">
      <c r="B49" s="41"/>
      <c r="C49" s="44" t="s">
        <v>47</v>
      </c>
      <c r="D49" s="53" t="str">
        <f>VLOOKUP($C49,'Input Data'!$B$37:$C$41,2,FALSE)</f>
        <v>Field Worker R4</v>
      </c>
      <c r="E49" s="54">
        <f>VLOOKUP($C49,'Input Data'!$B$37:$L$41,11,FALSE)</f>
        <v>147.83000000000001</v>
      </c>
      <c r="F49" s="54">
        <v>1</v>
      </c>
      <c r="G49" s="49">
        <f>H49/E49</f>
        <v>1.189210810937859</v>
      </c>
      <c r="H49" s="55">
        <f>VLOOKUP(C47,'AER Summary'!$B$11:$I$28,3,FALSE)</f>
        <v>175.8010341809437</v>
      </c>
      <c r="I49" s="41"/>
      <c r="J49" s="54">
        <f>VLOOKUP($C49,'Input Data'!$B$37:$L$41,3,FALSE)*G49</f>
        <v>62.631253908564013</v>
      </c>
      <c r="K49" s="54">
        <f>VLOOKUP($C49,'Input Data'!$B$37:$L$41,6,FALSE)*G49</f>
        <v>32.713572692791516</v>
      </c>
      <c r="L49" s="54">
        <f>VLOOKUP($C49,'Input Data'!$B$37:$L$41,8,FALSE)*G49</f>
        <v>82.949999143179312</v>
      </c>
    </row>
    <row r="50" spans="2:14">
      <c r="B50" s="41"/>
      <c r="C50" s="48"/>
      <c r="D50" s="48"/>
      <c r="E50" s="48"/>
      <c r="F50" s="80"/>
      <c r="G50" s="50" t="s">
        <v>53</v>
      </c>
      <c r="H50" s="56">
        <f>SUM(H49:H49)</f>
        <v>175.8010341809437</v>
      </c>
      <c r="I50" s="41"/>
      <c r="J50" s="56">
        <f>SUM(J49:J49)</f>
        <v>62.631253908564013</v>
      </c>
      <c r="K50" s="56">
        <f>SUM(K49:K49)</f>
        <v>32.713572692791516</v>
      </c>
      <c r="L50" s="56">
        <f>SUM(L49:L49)</f>
        <v>82.949999143179312</v>
      </c>
      <c r="M50" s="166"/>
    </row>
    <row r="51" spans="2:14" s="147" customFormat="1" ht="7.2" customHeight="1">
      <c r="B51" s="163"/>
      <c r="C51" s="163"/>
      <c r="D51" s="163"/>
      <c r="E51" s="163"/>
      <c r="F51" s="163"/>
      <c r="G51" s="163"/>
      <c r="H51" s="163"/>
      <c r="I51" s="163"/>
      <c r="J51" s="163"/>
      <c r="K51" s="163"/>
      <c r="L51" s="163"/>
    </row>
    <row r="52" spans="2:14" s="7" customFormat="1">
      <c r="B52" s="243" t="s">
        <v>14</v>
      </c>
      <c r="C52" s="243"/>
      <c r="D52" s="243"/>
      <c r="E52" s="243"/>
      <c r="F52" s="243"/>
      <c r="G52" s="243"/>
      <c r="H52" s="243"/>
      <c r="I52" s="243"/>
      <c r="J52" s="243"/>
      <c r="K52" s="243"/>
      <c r="L52" s="243"/>
      <c r="N52" s="147"/>
    </row>
    <row r="53" spans="2:14" s="7" customFormat="1">
      <c r="B53" s="244" t="s">
        <v>308</v>
      </c>
      <c r="C53" s="244"/>
      <c r="D53" s="244"/>
      <c r="E53" s="244"/>
      <c r="F53" s="244"/>
      <c r="G53" s="244"/>
      <c r="H53" s="244"/>
      <c r="I53" s="244"/>
      <c r="J53" s="244"/>
      <c r="K53" s="244"/>
      <c r="L53" s="244"/>
      <c r="N53" s="147"/>
    </row>
    <row r="54" spans="2:14" s="147" customFormat="1">
      <c r="B54" s="163"/>
      <c r="C54" s="163"/>
      <c r="D54" s="163"/>
      <c r="E54" s="163"/>
      <c r="F54" s="163"/>
      <c r="G54" s="163"/>
      <c r="H54" s="163"/>
      <c r="I54" s="163"/>
      <c r="J54" s="163"/>
      <c r="K54" s="163"/>
      <c r="L54" s="163"/>
    </row>
    <row r="55" spans="2:14" ht="14.4" customHeight="1">
      <c r="B55" s="42" t="s">
        <v>51</v>
      </c>
      <c r="C55" s="245" t="str">
        <f>'AER Summary'!B17</f>
        <v xml:space="preserve">Off peak conversion </v>
      </c>
      <c r="D55" s="245"/>
      <c r="E55" s="245"/>
      <c r="F55" s="245"/>
      <c r="G55" s="245"/>
      <c r="H55" s="245"/>
      <c r="I55" s="245"/>
      <c r="J55" s="245"/>
      <c r="K55" s="245"/>
      <c r="L55" s="245"/>
    </row>
    <row r="56" spans="2:14" ht="48" customHeight="1">
      <c r="B56" s="43"/>
      <c r="C56" s="241" t="s">
        <v>55</v>
      </c>
      <c r="D56" s="242"/>
      <c r="E56" s="45" t="s">
        <v>58</v>
      </c>
      <c r="F56" s="45" t="s">
        <v>96</v>
      </c>
      <c r="G56" s="45" t="s">
        <v>57</v>
      </c>
      <c r="H56" s="45" t="s">
        <v>65</v>
      </c>
      <c r="I56" s="46"/>
      <c r="J56" s="47" t="s">
        <v>54</v>
      </c>
      <c r="K56" s="47" t="s">
        <v>31</v>
      </c>
      <c r="L56" s="47" t="s">
        <v>52</v>
      </c>
    </row>
    <row r="57" spans="2:14">
      <c r="B57" s="41"/>
      <c r="C57" s="44" t="s">
        <v>47</v>
      </c>
      <c r="D57" s="53" t="str">
        <f>VLOOKUP($C57,'Input Data'!$B$37:$C$41,2,FALSE)</f>
        <v>Field Worker R4</v>
      </c>
      <c r="E57" s="54">
        <f>VLOOKUP($C57,'Input Data'!$B$37:$L$41,11,FALSE)</f>
        <v>147.83000000000001</v>
      </c>
      <c r="F57" s="54">
        <v>1</v>
      </c>
      <c r="G57" s="49">
        <f>H57/E57</f>
        <v>1.5048318202701991</v>
      </c>
      <c r="H57" s="55">
        <f>VLOOKUP(C55,'AER Summary'!$B$11:$I$28,3,FALSE)</f>
        <v>222.45928799054354</v>
      </c>
      <c r="I57" s="41"/>
      <c r="J57" s="54">
        <f>VLOOKUP($C57,'Input Data'!$B$37:$L$41,3,FALSE)*G57</f>
        <v>79.253823593060417</v>
      </c>
      <c r="K57" s="54">
        <f>VLOOKUP($C57,'Input Data'!$B$37:$L$41,6,FALSE)*G57</f>
        <v>41.395877577005407</v>
      </c>
      <c r="L57" s="54">
        <f>VLOOKUP($C57,'Input Data'!$B$37:$L$41,8,FALSE)*G57</f>
        <v>104.96524001795729</v>
      </c>
    </row>
    <row r="58" spans="2:14">
      <c r="B58" s="41"/>
      <c r="C58" s="48"/>
      <c r="D58" s="48"/>
      <c r="E58" s="48"/>
      <c r="F58" s="80"/>
      <c r="G58" s="50" t="s">
        <v>53</v>
      </c>
      <c r="H58" s="56">
        <f>SUM(H57:H57)</f>
        <v>222.45928799054354</v>
      </c>
      <c r="I58" s="41"/>
      <c r="J58" s="56">
        <f>SUM(J57:J57)</f>
        <v>79.253823593060417</v>
      </c>
      <c r="K58" s="56">
        <f>SUM(K57:K57)</f>
        <v>41.395877577005407</v>
      </c>
      <c r="L58" s="56">
        <f>SUM(L57:L57)</f>
        <v>104.96524001795729</v>
      </c>
      <c r="M58" s="166"/>
    </row>
    <row r="59" spans="2:14" ht="7.2" customHeight="1"/>
    <row r="60" spans="2:14" s="7" customFormat="1">
      <c r="B60" s="243" t="s">
        <v>14</v>
      </c>
      <c r="C60" s="243"/>
      <c r="D60" s="243"/>
      <c r="E60" s="243"/>
      <c r="F60" s="243"/>
      <c r="G60" s="243"/>
      <c r="H60" s="243"/>
      <c r="I60" s="243"/>
      <c r="J60" s="243"/>
      <c r="K60" s="243"/>
      <c r="L60" s="243"/>
    </row>
    <row r="61" spans="2:14" s="7" customFormat="1">
      <c r="B61" s="244" t="s">
        <v>308</v>
      </c>
      <c r="C61" s="244"/>
      <c r="D61" s="244"/>
      <c r="E61" s="244"/>
      <c r="F61" s="244"/>
      <c r="G61" s="244"/>
      <c r="H61" s="244"/>
      <c r="I61" s="244"/>
      <c r="J61" s="244"/>
      <c r="K61" s="244"/>
      <c r="L61" s="244"/>
    </row>
    <row r="62" spans="2:14" s="147" customFormat="1">
      <c r="B62" s="163"/>
      <c r="C62" s="163"/>
      <c r="D62" s="163"/>
      <c r="E62" s="163"/>
      <c r="F62" s="163"/>
      <c r="G62" s="163"/>
      <c r="H62" s="163"/>
      <c r="I62" s="163"/>
      <c r="J62" s="163"/>
      <c r="K62" s="163"/>
      <c r="L62" s="163"/>
    </row>
    <row r="63" spans="2:14">
      <c r="B63" s="42" t="s">
        <v>51</v>
      </c>
      <c r="C63" s="245" t="str">
        <f>'AER Summary'!B18</f>
        <v xml:space="preserve">Disconnection Visit (Site Visit Only) </v>
      </c>
      <c r="D63" s="245"/>
      <c r="E63" s="245"/>
      <c r="F63" s="245"/>
      <c r="G63" s="245"/>
      <c r="H63" s="245"/>
      <c r="I63" s="245"/>
      <c r="J63" s="245"/>
      <c r="K63" s="245"/>
      <c r="L63" s="245"/>
    </row>
    <row r="64" spans="2:14" ht="28.8">
      <c r="B64" s="43"/>
      <c r="C64" s="241" t="s">
        <v>55</v>
      </c>
      <c r="D64" s="242"/>
      <c r="E64" s="45" t="s">
        <v>58</v>
      </c>
      <c r="F64" s="45" t="s">
        <v>96</v>
      </c>
      <c r="G64" s="45" t="s">
        <v>57</v>
      </c>
      <c r="H64" s="45" t="s">
        <v>65</v>
      </c>
      <c r="I64" s="85"/>
      <c r="J64" s="47" t="s">
        <v>54</v>
      </c>
      <c r="K64" s="47" t="s">
        <v>31</v>
      </c>
      <c r="L64" s="47" t="s">
        <v>52</v>
      </c>
    </row>
    <row r="65" spans="2:13">
      <c r="B65" s="41"/>
      <c r="C65" s="44" t="s">
        <v>47</v>
      </c>
      <c r="D65" s="53" t="str">
        <f>VLOOKUP($C65,'Input Data'!$B$37:$C$41,2,FALSE)</f>
        <v>Field Worker R4</v>
      </c>
      <c r="E65" s="54">
        <f>VLOOKUP($C65,'Input Data'!$B$37:$L$41,11,FALSE)</f>
        <v>147.83000000000001</v>
      </c>
      <c r="F65" s="54">
        <v>1</v>
      </c>
      <c r="G65" s="49">
        <v>0.7</v>
      </c>
      <c r="H65" s="55">
        <f>E65*F65*G65</f>
        <v>103.48100000000001</v>
      </c>
      <c r="I65" s="41"/>
      <c r="J65" s="54">
        <f>VLOOKUP($C65,'Input Data'!$B$37:$L$41,3,FALSE)*G65</f>
        <v>36.866363249270627</v>
      </c>
      <c r="K65" s="54">
        <f>VLOOKUP($C65,'Input Data'!$B$37:$L$41,6,FALSE)*G65</f>
        <v>19.256048359411231</v>
      </c>
      <c r="L65" s="54">
        <f>VLOOKUP($C65,'Input Data'!$B$37:$L$41,8,FALSE)*G65</f>
        <v>48.82649809955322</v>
      </c>
    </row>
    <row r="66" spans="2:13">
      <c r="B66" s="41"/>
      <c r="C66" s="48"/>
      <c r="D66" s="48"/>
      <c r="E66" s="48"/>
      <c r="F66" s="80"/>
      <c r="G66" s="50" t="s">
        <v>53</v>
      </c>
      <c r="H66" s="56">
        <f>SUM(H65:H65)</f>
        <v>103.48100000000001</v>
      </c>
      <c r="I66" s="41"/>
      <c r="J66" s="56">
        <f>SUM(J65:J65)</f>
        <v>36.866363249270627</v>
      </c>
      <c r="K66" s="56">
        <f>SUM(K65:K65)</f>
        <v>19.256048359411231</v>
      </c>
      <c r="L66" s="56">
        <f>SUM(L65:L65)</f>
        <v>48.82649809955322</v>
      </c>
      <c r="M66" s="166"/>
    </row>
    <row r="67" spans="2:13" s="147" customFormat="1">
      <c r="B67" s="163"/>
      <c r="C67" s="163"/>
      <c r="D67" s="163"/>
      <c r="E67" s="163"/>
      <c r="F67" s="163"/>
      <c r="G67" s="163"/>
      <c r="H67" s="163"/>
      <c r="I67" s="163"/>
      <c r="J67" s="163"/>
      <c r="K67" s="163"/>
      <c r="L67" s="163"/>
    </row>
    <row r="68" spans="2:13">
      <c r="B68" s="243" t="s">
        <v>14</v>
      </c>
      <c r="C68" s="243"/>
      <c r="D68" s="243"/>
      <c r="E68" s="243"/>
      <c r="F68" s="243"/>
      <c r="G68" s="243"/>
      <c r="H68" s="243"/>
      <c r="I68" s="243"/>
      <c r="J68" s="243"/>
      <c r="K68" s="243"/>
      <c r="L68" s="243"/>
    </row>
    <row r="69" spans="2:13">
      <c r="B69" s="244" t="s">
        <v>64</v>
      </c>
      <c r="C69" s="244"/>
      <c r="D69" s="244"/>
      <c r="E69" s="244"/>
      <c r="F69" s="244"/>
      <c r="G69" s="244"/>
      <c r="H69" s="244"/>
      <c r="I69" s="244"/>
      <c r="J69" s="244"/>
      <c r="K69" s="244"/>
      <c r="L69" s="244"/>
    </row>
    <row r="70" spans="2:13" s="147" customFormat="1">
      <c r="B70" s="163"/>
      <c r="C70" s="163"/>
      <c r="D70" s="163"/>
      <c r="E70" s="163"/>
      <c r="F70" s="163"/>
      <c r="G70" s="163"/>
      <c r="H70" s="163"/>
      <c r="I70" s="163"/>
      <c r="J70" s="163"/>
      <c r="K70" s="163"/>
      <c r="L70" s="163"/>
    </row>
    <row r="71" spans="2:13">
      <c r="B71" s="42" t="s">
        <v>51</v>
      </c>
      <c r="C71" s="245" t="str">
        <f>'AER Summary'!B19</f>
        <v xml:space="preserve">Disconnection Completed </v>
      </c>
      <c r="D71" s="245"/>
      <c r="E71" s="245"/>
      <c r="F71" s="245"/>
      <c r="G71" s="245"/>
      <c r="H71" s="245"/>
      <c r="I71" s="245"/>
      <c r="J71" s="245"/>
      <c r="K71" s="245"/>
      <c r="L71" s="245"/>
    </row>
    <row r="72" spans="2:13" ht="28.8">
      <c r="B72" s="43"/>
      <c r="C72" s="241" t="s">
        <v>55</v>
      </c>
      <c r="D72" s="242"/>
      <c r="E72" s="45" t="s">
        <v>58</v>
      </c>
      <c r="F72" s="45" t="s">
        <v>96</v>
      </c>
      <c r="G72" s="45" t="s">
        <v>57</v>
      </c>
      <c r="H72" s="45" t="s">
        <v>65</v>
      </c>
      <c r="I72" s="85"/>
      <c r="J72" s="47" t="s">
        <v>54</v>
      </c>
      <c r="K72" s="47" t="s">
        <v>31</v>
      </c>
      <c r="L72" s="47" t="s">
        <v>52</v>
      </c>
    </row>
    <row r="73" spans="2:13">
      <c r="B73" s="41"/>
      <c r="C73" s="44" t="s">
        <v>47</v>
      </c>
      <c r="D73" s="53" t="str">
        <f>VLOOKUP($C73,'Input Data'!$B$37:$C$41,2,FALSE)</f>
        <v>Field Worker R4</v>
      </c>
      <c r="E73" s="54">
        <f>VLOOKUP($C73,'Input Data'!$B$37:$L$41,11,FALSE)</f>
        <v>147.83000000000001</v>
      </c>
      <c r="F73" s="54">
        <v>1</v>
      </c>
      <c r="G73" s="49">
        <v>0.5</v>
      </c>
      <c r="H73" s="55">
        <f>E73*F73*G73</f>
        <v>73.915000000000006</v>
      </c>
      <c r="I73" s="41"/>
      <c r="J73" s="54">
        <f>VLOOKUP($C73,'Input Data'!$B$37:$L$41,3,FALSE)*G73</f>
        <v>26.333116606621878</v>
      </c>
      <c r="K73" s="54">
        <f>VLOOKUP($C73,'Input Data'!$B$37:$L$41,6,FALSE)*G73</f>
        <v>13.754320256722309</v>
      </c>
      <c r="L73" s="54">
        <f>VLOOKUP($C73,'Input Data'!$B$37:$L$41,8,FALSE)*G73</f>
        <v>34.876070071109446</v>
      </c>
    </row>
    <row r="74" spans="2:13">
      <c r="B74" s="41"/>
      <c r="C74" s="48"/>
      <c r="D74" s="48"/>
      <c r="E74" s="48"/>
      <c r="F74" s="80"/>
      <c r="G74" s="50" t="s">
        <v>53</v>
      </c>
      <c r="H74" s="56">
        <f>SUM(H73:H73)</f>
        <v>73.915000000000006</v>
      </c>
      <c r="I74" s="41"/>
      <c r="J74" s="56">
        <f>SUM(J73:J73)</f>
        <v>26.333116606621878</v>
      </c>
      <c r="K74" s="56">
        <f>SUM(K73:K73)</f>
        <v>13.754320256722309</v>
      </c>
      <c r="L74" s="56">
        <f>SUM(L73:L73)</f>
        <v>34.876070071109446</v>
      </c>
      <c r="M74" s="166"/>
    </row>
    <row r="75" spans="2:13" s="147" customFormat="1">
      <c r="B75" s="163"/>
      <c r="C75" s="163"/>
      <c r="D75" s="163"/>
      <c r="E75" s="163"/>
      <c r="F75" s="163"/>
      <c r="G75" s="163"/>
      <c r="H75" s="163"/>
      <c r="I75" s="163"/>
      <c r="J75" s="163"/>
      <c r="K75" s="163"/>
      <c r="L75" s="163"/>
    </row>
    <row r="76" spans="2:13">
      <c r="B76" s="243" t="s">
        <v>14</v>
      </c>
      <c r="C76" s="243"/>
      <c r="D76" s="243"/>
      <c r="E76" s="243"/>
      <c r="F76" s="243"/>
      <c r="G76" s="243"/>
      <c r="H76" s="243"/>
      <c r="I76" s="243"/>
      <c r="J76" s="243"/>
      <c r="K76" s="243"/>
      <c r="L76" s="243"/>
    </row>
    <row r="77" spans="2:13">
      <c r="B77" s="244" t="s">
        <v>64</v>
      </c>
      <c r="C77" s="244"/>
      <c r="D77" s="244"/>
      <c r="E77" s="244"/>
      <c r="F77" s="244"/>
      <c r="G77" s="244"/>
      <c r="H77" s="244"/>
      <c r="I77" s="244"/>
      <c r="J77" s="244"/>
      <c r="K77" s="244"/>
      <c r="L77" s="244"/>
    </row>
    <row r="78" spans="2:13" s="147" customFormat="1">
      <c r="B78" s="163"/>
      <c r="C78" s="163"/>
      <c r="D78" s="163"/>
      <c r="E78" s="163"/>
      <c r="F78" s="163"/>
      <c r="G78" s="163"/>
      <c r="H78" s="163"/>
      <c r="I78" s="163"/>
      <c r="J78" s="163"/>
      <c r="K78" s="163"/>
      <c r="L78" s="163"/>
    </row>
    <row r="79" spans="2:13">
      <c r="B79" s="42" t="s">
        <v>51</v>
      </c>
      <c r="C79" s="245" t="str">
        <f>'AER Summary'!B20</f>
        <v xml:space="preserve">Disconnection Visit (Disconnection Completed- Technical/ Advanced) </v>
      </c>
      <c r="D79" s="245"/>
      <c r="E79" s="245"/>
      <c r="F79" s="245"/>
      <c r="G79" s="245"/>
      <c r="H79" s="245"/>
      <c r="I79" s="245"/>
      <c r="J79" s="245"/>
      <c r="K79" s="245"/>
      <c r="L79" s="245"/>
    </row>
    <row r="80" spans="2:13" ht="28.8">
      <c r="B80" s="43"/>
      <c r="C80" s="241" t="s">
        <v>55</v>
      </c>
      <c r="D80" s="242"/>
      <c r="E80" s="45" t="s">
        <v>58</v>
      </c>
      <c r="F80" s="45" t="s">
        <v>96</v>
      </c>
      <c r="G80" s="45" t="s">
        <v>57</v>
      </c>
      <c r="H80" s="45" t="s">
        <v>65</v>
      </c>
      <c r="I80" s="85"/>
      <c r="J80" s="47" t="s">
        <v>54</v>
      </c>
      <c r="K80" s="47" t="s">
        <v>31</v>
      </c>
      <c r="L80" s="47" t="s">
        <v>52</v>
      </c>
    </row>
    <row r="81" spans="2:13">
      <c r="B81" s="41"/>
      <c r="C81" s="44" t="s">
        <v>47</v>
      </c>
      <c r="D81" s="53" t="str">
        <f>VLOOKUP($C81,'Input Data'!$B$37:$C$41,2,FALSE)</f>
        <v>Field Worker R4</v>
      </c>
      <c r="E81" s="54">
        <f>VLOOKUP($C81,'Input Data'!$B$37:$L$41,11,FALSE)</f>
        <v>147.83000000000001</v>
      </c>
      <c r="F81" s="54">
        <v>1</v>
      </c>
      <c r="G81" s="49">
        <f>H81/E81</f>
        <v>1</v>
      </c>
      <c r="H81" s="55">
        <f>VLOOKUP(C79,'AER Summary'!$B$11:$I$28,3,FALSE)</f>
        <v>147.83000000000001</v>
      </c>
      <c r="I81" s="41"/>
      <c r="J81" s="54">
        <f>VLOOKUP($C81,'Input Data'!$B$37:$L$41,3,FALSE)*G81</f>
        <v>52.666233213243757</v>
      </c>
      <c r="K81" s="54">
        <f>VLOOKUP($C81,'Input Data'!$B$37:$L$41,6,FALSE)*G81</f>
        <v>27.508640513444618</v>
      </c>
      <c r="L81" s="54">
        <f>VLOOKUP($C81,'Input Data'!$B$37:$L$41,8,FALSE)*G81</f>
        <v>69.752140142218892</v>
      </c>
    </row>
    <row r="82" spans="2:13">
      <c r="B82" s="41"/>
      <c r="C82" s="48"/>
      <c r="D82" s="48"/>
      <c r="E82" s="48"/>
      <c r="F82" s="80"/>
      <c r="G82" s="50" t="s">
        <v>53</v>
      </c>
      <c r="H82" s="56">
        <f>SUM(H81:H81)</f>
        <v>147.83000000000001</v>
      </c>
      <c r="I82" s="41"/>
      <c r="J82" s="56">
        <f>SUM(J81:J81)</f>
        <v>52.666233213243757</v>
      </c>
      <c r="K82" s="56">
        <f>SUM(K81:K81)</f>
        <v>27.508640513444618</v>
      </c>
      <c r="L82" s="56">
        <f>SUM(L81:L81)</f>
        <v>69.752140142218892</v>
      </c>
      <c r="M82" s="166"/>
    </row>
    <row r="83" spans="2:13" s="147" customFormat="1">
      <c r="B83" s="163"/>
      <c r="C83" s="163"/>
      <c r="D83" s="163"/>
      <c r="E83" s="163"/>
      <c r="F83" s="163"/>
      <c r="G83" s="163"/>
      <c r="H83" s="163"/>
      <c r="I83" s="163"/>
      <c r="J83" s="163"/>
      <c r="K83" s="163"/>
      <c r="L83" s="163"/>
    </row>
    <row r="84" spans="2:13">
      <c r="B84" s="243" t="s">
        <v>14</v>
      </c>
      <c r="C84" s="243"/>
      <c r="D84" s="243"/>
      <c r="E84" s="243"/>
      <c r="F84" s="243"/>
      <c r="G84" s="243"/>
      <c r="H84" s="243"/>
      <c r="I84" s="243"/>
      <c r="J84" s="243"/>
      <c r="K84" s="243"/>
      <c r="L84" s="243"/>
    </row>
    <row r="85" spans="2:13">
      <c r="B85" s="244" t="s">
        <v>64</v>
      </c>
      <c r="C85" s="244"/>
      <c r="D85" s="244"/>
      <c r="E85" s="244"/>
      <c r="F85" s="244"/>
      <c r="G85" s="244"/>
      <c r="H85" s="244"/>
      <c r="I85" s="244"/>
      <c r="J85" s="244"/>
      <c r="K85" s="244"/>
      <c r="L85" s="244"/>
    </row>
    <row r="86" spans="2:13" s="147" customFormat="1">
      <c r="B86" s="163"/>
      <c r="C86" s="163"/>
      <c r="D86" s="163"/>
      <c r="E86" s="163"/>
      <c r="F86" s="163"/>
      <c r="G86" s="163"/>
      <c r="H86" s="163"/>
      <c r="I86" s="163"/>
      <c r="J86" s="163"/>
      <c r="K86" s="163"/>
      <c r="L86" s="163"/>
    </row>
    <row r="87" spans="2:13">
      <c r="B87" s="42" t="s">
        <v>51</v>
      </c>
      <c r="C87" s="245" t="str">
        <f>'AER Summary'!B21</f>
        <v xml:space="preserve">Pillar/ Pole Top Disconnection Completed </v>
      </c>
      <c r="D87" s="245"/>
      <c r="E87" s="245"/>
      <c r="F87" s="245"/>
      <c r="G87" s="245"/>
      <c r="H87" s="245"/>
      <c r="I87" s="245"/>
      <c r="J87" s="245"/>
      <c r="K87" s="245"/>
      <c r="L87" s="245"/>
    </row>
    <row r="88" spans="2:13" ht="28.8">
      <c r="B88" s="43"/>
      <c r="C88" s="241" t="s">
        <v>55</v>
      </c>
      <c r="D88" s="242"/>
      <c r="E88" s="45" t="s">
        <v>58</v>
      </c>
      <c r="F88" s="45" t="s">
        <v>96</v>
      </c>
      <c r="G88" s="45" t="s">
        <v>57</v>
      </c>
      <c r="H88" s="45" t="s">
        <v>65</v>
      </c>
      <c r="I88" s="85"/>
      <c r="J88" s="47" t="s">
        <v>54</v>
      </c>
      <c r="K88" s="47" t="s">
        <v>31</v>
      </c>
      <c r="L88" s="47" t="s">
        <v>52</v>
      </c>
    </row>
    <row r="89" spans="2:13" ht="15" customHeight="1">
      <c r="B89" s="41"/>
      <c r="C89" s="44" t="s">
        <v>47</v>
      </c>
      <c r="D89" s="53" t="str">
        <f>VLOOKUP($C89,'Input Data'!$B$37:$C$41,2,FALSE)</f>
        <v>Field Worker R4</v>
      </c>
      <c r="E89" s="54">
        <f>VLOOKUP($C89,'Input Data'!$B$37:$L$41,11,FALSE)</f>
        <v>147.83000000000001</v>
      </c>
      <c r="F89" s="54">
        <v>1</v>
      </c>
      <c r="G89" s="49">
        <f>H89/E89</f>
        <v>2.8098689424915193</v>
      </c>
      <c r="H89" s="55">
        <f>VLOOKUP(C87,'AER Summary'!$B$11:$I$28,3,FALSE)</f>
        <v>415.38292576852132</v>
      </c>
      <c r="I89" s="41"/>
      <c r="J89" s="54">
        <f>VLOOKUP($C89,'Input Data'!$B$37:$L$41,3,FALSE)*G89</f>
        <v>147.98521302390895</v>
      </c>
      <c r="K89" s="54">
        <f>VLOOKUP($C89,'Input Data'!$B$37:$L$41,6,FALSE)*G89</f>
        <v>77.295674628891987</v>
      </c>
      <c r="L89" s="54">
        <f>VLOOKUP($C89,'Input Data'!$B$37:$L$41,8,FALSE)*G89</f>
        <v>195.99437225793685</v>
      </c>
    </row>
    <row r="90" spans="2:13">
      <c r="B90" s="41"/>
      <c r="C90" s="48"/>
      <c r="D90" s="48"/>
      <c r="E90" s="48"/>
      <c r="F90" s="80"/>
      <c r="G90" s="50" t="s">
        <v>53</v>
      </c>
      <c r="H90" s="56">
        <f>SUM(H89:H89)</f>
        <v>415.38292576852132</v>
      </c>
      <c r="I90" s="41"/>
      <c r="J90" s="56">
        <f>SUM(J89:J89)</f>
        <v>147.98521302390895</v>
      </c>
      <c r="K90" s="56">
        <f>SUM(K89:K89)</f>
        <v>77.295674628891987</v>
      </c>
      <c r="L90" s="56">
        <f>SUM(L89:L89)</f>
        <v>195.99437225793685</v>
      </c>
      <c r="M90" s="166"/>
    </row>
    <row r="91" spans="2:13" s="147" customFormat="1">
      <c r="B91" s="163"/>
      <c r="C91" s="163"/>
      <c r="D91" s="163"/>
      <c r="E91" s="163"/>
      <c r="F91" s="163"/>
      <c r="G91" s="163"/>
      <c r="H91" s="163"/>
      <c r="I91" s="163"/>
      <c r="J91" s="163"/>
      <c r="K91" s="163"/>
      <c r="L91" s="163"/>
    </row>
    <row r="92" spans="2:13">
      <c r="B92" s="243" t="s">
        <v>14</v>
      </c>
      <c r="C92" s="243"/>
      <c r="D92" s="243"/>
      <c r="E92" s="243"/>
      <c r="F92" s="243"/>
      <c r="G92" s="243"/>
      <c r="H92" s="243"/>
      <c r="I92" s="243"/>
      <c r="J92" s="243"/>
      <c r="K92" s="243"/>
      <c r="L92" s="243"/>
    </row>
    <row r="93" spans="2:13">
      <c r="B93" s="244" t="s">
        <v>308</v>
      </c>
      <c r="C93" s="244"/>
      <c r="D93" s="244"/>
      <c r="E93" s="244"/>
      <c r="F93" s="244"/>
      <c r="G93" s="244"/>
      <c r="H93" s="244"/>
      <c r="I93" s="244"/>
      <c r="J93" s="244"/>
      <c r="K93" s="244"/>
      <c r="L93" s="244"/>
    </row>
    <row r="94" spans="2:13" s="147" customFormat="1">
      <c r="B94" s="163"/>
      <c r="C94" s="163"/>
      <c r="D94" s="163"/>
      <c r="E94" s="163"/>
      <c r="F94" s="163"/>
      <c r="G94" s="163"/>
      <c r="H94" s="163"/>
      <c r="I94" s="163"/>
      <c r="J94" s="163"/>
      <c r="K94" s="163"/>
      <c r="L94" s="163"/>
    </row>
    <row r="95" spans="2:13">
      <c r="B95" s="42" t="s">
        <v>51</v>
      </c>
      <c r="C95" s="245" t="str">
        <f>'AER Summary'!B22</f>
        <v xml:space="preserve">Pillar/Pole Top Site Visit </v>
      </c>
      <c r="D95" s="245"/>
      <c r="E95" s="245"/>
      <c r="F95" s="245"/>
      <c r="G95" s="245"/>
      <c r="H95" s="245"/>
      <c r="I95" s="245"/>
      <c r="J95" s="245"/>
      <c r="K95" s="245"/>
      <c r="L95" s="245"/>
    </row>
    <row r="96" spans="2:13" ht="28.8">
      <c r="B96" s="43"/>
      <c r="C96" s="241" t="s">
        <v>55</v>
      </c>
      <c r="D96" s="242"/>
      <c r="E96" s="45" t="s">
        <v>58</v>
      </c>
      <c r="F96" s="45" t="s">
        <v>96</v>
      </c>
      <c r="G96" s="45" t="s">
        <v>57</v>
      </c>
      <c r="H96" s="45" t="s">
        <v>65</v>
      </c>
      <c r="I96" s="85"/>
      <c r="J96" s="47" t="s">
        <v>54</v>
      </c>
      <c r="K96" s="47" t="s">
        <v>31</v>
      </c>
      <c r="L96" s="47" t="s">
        <v>52</v>
      </c>
    </row>
    <row r="97" spans="2:13">
      <c r="B97" s="41"/>
      <c r="C97" s="44" t="s">
        <v>47</v>
      </c>
      <c r="D97" s="53" t="str">
        <f>VLOOKUP($C97,'Input Data'!$B$37:$C$41,2,FALSE)</f>
        <v>Field Worker R4</v>
      </c>
      <c r="E97" s="54">
        <f>VLOOKUP($C97,'Input Data'!$B$37:$L$41,11,FALSE)</f>
        <v>147.83000000000001</v>
      </c>
      <c r="F97" s="54">
        <v>1</v>
      </c>
      <c r="G97" s="49">
        <f>H97/E97</f>
        <v>2.3463361407539725</v>
      </c>
      <c r="H97" s="55">
        <f>VLOOKUP(C95,'AER Summary'!$B$11:$I$28,3,FALSE)</f>
        <v>346.85887168765976</v>
      </c>
      <c r="I97" s="41"/>
      <c r="J97" s="54">
        <f>VLOOKUP($C97,'Input Data'!$B$37:$L$41,3,FALSE)*G97</f>
        <v>123.57268638561105</v>
      </c>
      <c r="K97" s="54">
        <f>VLOOKUP($C97,'Input Data'!$B$37:$L$41,6,FALSE)*G97</f>
        <v>64.544517419704022</v>
      </c>
      <c r="L97" s="54">
        <f>VLOOKUP($C97,'Input Data'!$B$37:$L$41,8,FALSE)*G97</f>
        <v>163.66196731062411</v>
      </c>
    </row>
    <row r="98" spans="2:13">
      <c r="B98" s="41"/>
      <c r="C98" s="48"/>
      <c r="D98" s="48"/>
      <c r="E98" s="48"/>
      <c r="F98" s="80"/>
      <c r="G98" s="50" t="s">
        <v>53</v>
      </c>
      <c r="H98" s="56">
        <f>SUM(H97:H97)</f>
        <v>346.85887168765976</v>
      </c>
      <c r="I98" s="41"/>
      <c r="J98" s="56">
        <f>SUM(J97:J97)</f>
        <v>123.57268638561105</v>
      </c>
      <c r="K98" s="56">
        <f>SUM(K97:K97)</f>
        <v>64.544517419704022</v>
      </c>
      <c r="L98" s="56">
        <f>SUM(L97:L97)</f>
        <v>163.66196731062411</v>
      </c>
      <c r="M98" s="166"/>
    </row>
    <row r="99" spans="2:13" s="147" customFormat="1">
      <c r="B99" s="163"/>
      <c r="C99" s="163"/>
      <c r="D99" s="163"/>
      <c r="E99" s="163"/>
      <c r="F99" s="163"/>
      <c r="G99" s="163"/>
      <c r="H99" s="163"/>
      <c r="I99" s="163"/>
      <c r="J99" s="163"/>
      <c r="K99" s="163"/>
      <c r="L99" s="163"/>
    </row>
    <row r="100" spans="2:13">
      <c r="B100" s="243" t="s">
        <v>14</v>
      </c>
      <c r="C100" s="243"/>
      <c r="D100" s="243"/>
      <c r="E100" s="243"/>
      <c r="F100" s="243"/>
      <c r="G100" s="243"/>
      <c r="H100" s="243"/>
      <c r="I100" s="243"/>
      <c r="J100" s="243"/>
      <c r="K100" s="243"/>
      <c r="L100" s="243"/>
    </row>
    <row r="101" spans="2:13">
      <c r="B101" s="244" t="s">
        <v>308</v>
      </c>
      <c r="C101" s="244"/>
      <c r="D101" s="244"/>
      <c r="E101" s="244"/>
      <c r="F101" s="244"/>
      <c r="G101" s="244"/>
      <c r="H101" s="244"/>
      <c r="I101" s="244"/>
      <c r="J101" s="244"/>
      <c r="K101" s="244"/>
      <c r="L101" s="244"/>
    </row>
    <row r="102" spans="2:13" s="147" customFormat="1">
      <c r="B102" s="163"/>
      <c r="C102" s="163"/>
      <c r="D102" s="163"/>
      <c r="E102" s="163"/>
      <c r="F102" s="163"/>
      <c r="G102" s="163"/>
      <c r="H102" s="163"/>
      <c r="I102" s="163"/>
      <c r="J102" s="163"/>
      <c r="K102" s="163"/>
      <c r="L102" s="163"/>
    </row>
    <row r="103" spans="2:13">
      <c r="B103" s="42" t="s">
        <v>51</v>
      </c>
      <c r="C103" s="245" t="str">
        <f>'AER Summary'!B23</f>
        <v xml:space="preserve">Reconnection/ Disconnection Outside Normal Business Hours </v>
      </c>
      <c r="D103" s="245"/>
      <c r="E103" s="245"/>
      <c r="F103" s="245"/>
      <c r="G103" s="245"/>
      <c r="H103" s="245"/>
      <c r="I103" s="245"/>
      <c r="J103" s="245"/>
      <c r="K103" s="245"/>
      <c r="L103" s="245"/>
    </row>
    <row r="104" spans="2:13" ht="28.8">
      <c r="B104" s="43"/>
      <c r="C104" s="241" t="s">
        <v>55</v>
      </c>
      <c r="D104" s="242"/>
      <c r="E104" s="45" t="s">
        <v>58</v>
      </c>
      <c r="F104" s="45" t="s">
        <v>96</v>
      </c>
      <c r="G104" s="45" t="s">
        <v>57</v>
      </c>
      <c r="H104" s="45" t="s">
        <v>65</v>
      </c>
      <c r="I104" s="85"/>
      <c r="J104" s="47" t="s">
        <v>54</v>
      </c>
      <c r="K104" s="47" t="s">
        <v>31</v>
      </c>
      <c r="L104" s="47" t="s">
        <v>52</v>
      </c>
    </row>
    <row r="105" spans="2:13">
      <c r="B105" s="41"/>
      <c r="C105" s="44" t="s">
        <v>47</v>
      </c>
      <c r="D105" s="53" t="str">
        <f>VLOOKUP($C105,'Input Data'!$B$37:$C$41,2,FALSE)</f>
        <v>Field Worker R4</v>
      </c>
      <c r="E105" s="54">
        <f>VLOOKUP($C105,'Input Data'!$B$37:$L$41,11,FALSE)</f>
        <v>147.83000000000001</v>
      </c>
      <c r="F105" s="54">
        <v>1</v>
      </c>
      <c r="G105" s="49">
        <f>H105/E105</f>
        <v>0.72461607838304409</v>
      </c>
      <c r="H105" s="55">
        <f>VLOOKUP(C103,'AER Summary'!$B$11:$I$28,3,FALSE)</f>
        <v>107.11999486736542</v>
      </c>
      <c r="I105" s="41"/>
      <c r="J105" s="54">
        <f>VLOOKUP($C105,'Input Data'!$B$37:$L$41,3,FALSE)*G105</f>
        <v>38.162799374187522</v>
      </c>
      <c r="K105" s="54">
        <f>VLOOKUP($C105,'Input Data'!$B$37:$L$41,6,FALSE)*G105</f>
        <v>19.933203210501169</v>
      </c>
      <c r="L105" s="54">
        <f>VLOOKUP($C105,'Input Data'!$B$37:$L$41,8,FALSE)*G105</f>
        <v>50.54352224867916</v>
      </c>
    </row>
    <row r="106" spans="2:13">
      <c r="B106" s="41"/>
      <c r="C106" s="48"/>
      <c r="D106" s="48"/>
      <c r="E106" s="48"/>
      <c r="F106" s="80"/>
      <c r="G106" s="50" t="s">
        <v>53</v>
      </c>
      <c r="H106" s="56">
        <f>SUM(H105:H105)</f>
        <v>107.11999486736542</v>
      </c>
      <c r="I106" s="41"/>
      <c r="J106" s="56">
        <f>SUM(J105:J105)</f>
        <v>38.162799374187522</v>
      </c>
      <c r="K106" s="56">
        <f>SUM(K105:K105)</f>
        <v>19.933203210501169</v>
      </c>
      <c r="L106" s="56">
        <f>SUM(L105:L105)</f>
        <v>50.54352224867916</v>
      </c>
      <c r="M106" s="166"/>
    </row>
    <row r="107" spans="2:13" s="147" customFormat="1">
      <c r="B107" s="163"/>
      <c r="C107" s="163"/>
      <c r="D107" s="163"/>
      <c r="E107" s="163"/>
      <c r="F107" s="163"/>
      <c r="G107" s="163"/>
      <c r="H107" s="163"/>
      <c r="I107" s="163"/>
      <c r="J107" s="163"/>
      <c r="K107" s="163"/>
      <c r="L107" s="163"/>
    </row>
    <row r="108" spans="2:13">
      <c r="B108" s="243" t="s">
        <v>14</v>
      </c>
      <c r="C108" s="243"/>
      <c r="D108" s="243"/>
      <c r="E108" s="243"/>
      <c r="F108" s="243"/>
      <c r="G108" s="243"/>
      <c r="H108" s="243"/>
      <c r="I108" s="243"/>
      <c r="J108" s="243"/>
      <c r="K108" s="243"/>
      <c r="L108" s="243"/>
    </row>
    <row r="109" spans="2:13">
      <c r="B109" s="244" t="s">
        <v>308</v>
      </c>
      <c r="C109" s="244"/>
      <c r="D109" s="244"/>
      <c r="E109" s="244"/>
      <c r="F109" s="244"/>
      <c r="G109" s="244"/>
      <c r="H109" s="244"/>
      <c r="I109" s="244"/>
      <c r="J109" s="244"/>
      <c r="K109" s="244"/>
      <c r="L109" s="244"/>
    </row>
    <row r="110" spans="2:13" s="147" customFormat="1">
      <c r="B110" s="163"/>
      <c r="C110" s="163"/>
      <c r="D110" s="163"/>
      <c r="E110" s="163"/>
      <c r="F110" s="163"/>
      <c r="G110" s="163"/>
      <c r="H110" s="163"/>
      <c r="I110" s="163"/>
      <c r="J110" s="163"/>
      <c r="K110" s="163"/>
      <c r="L110" s="163"/>
    </row>
    <row r="111" spans="2:13">
      <c r="B111" s="42" t="s">
        <v>51</v>
      </c>
      <c r="C111" s="245" t="str">
        <f>'AER Summary'!B24</f>
        <v xml:space="preserve">Network Tariff Change Request </v>
      </c>
      <c r="D111" s="245"/>
      <c r="E111" s="245"/>
      <c r="F111" s="245"/>
      <c r="G111" s="245"/>
      <c r="H111" s="245"/>
      <c r="I111" s="245"/>
      <c r="J111" s="245"/>
      <c r="K111" s="245"/>
      <c r="L111" s="245"/>
    </row>
    <row r="112" spans="2:13" ht="28.8">
      <c r="B112" s="43"/>
      <c r="C112" s="241" t="s">
        <v>55</v>
      </c>
      <c r="D112" s="242"/>
      <c r="E112" s="45" t="s">
        <v>58</v>
      </c>
      <c r="F112" s="45" t="s">
        <v>96</v>
      </c>
      <c r="G112" s="45" t="s">
        <v>57</v>
      </c>
      <c r="H112" s="45" t="s">
        <v>65</v>
      </c>
      <c r="I112" s="85"/>
      <c r="J112" s="47" t="s">
        <v>54</v>
      </c>
      <c r="K112" s="47" t="s">
        <v>31</v>
      </c>
      <c r="L112" s="47" t="s">
        <v>52</v>
      </c>
    </row>
    <row r="113" spans="2:13">
      <c r="B113" s="41"/>
      <c r="C113" s="44" t="s">
        <v>41</v>
      </c>
      <c r="D113" s="53" t="str">
        <f>VLOOKUP($C113,'Input Data'!$B$37:$C$41,2,FALSE)</f>
        <v>Admin Support</v>
      </c>
      <c r="E113" s="54">
        <f>VLOOKUP($C113,'Input Data'!$B$37:$L$41,11,FALSE)</f>
        <v>102.26</v>
      </c>
      <c r="F113" s="54">
        <v>1</v>
      </c>
      <c r="G113" s="49">
        <v>0.5</v>
      </c>
      <c r="H113" s="55">
        <f>E113*F113*G113</f>
        <v>51.13</v>
      </c>
      <c r="I113" s="41"/>
      <c r="J113" s="54">
        <f>VLOOKUP($C113,'Input Data'!$B$37:$L$41,3,FALSE)*G113</f>
        <v>21.850883992728793</v>
      </c>
      <c r="K113" s="54">
        <f>VLOOKUP($C113,'Input Data'!$B$37:$L$41,6,FALSE)*G113</f>
        <v>11.413159361961064</v>
      </c>
      <c r="L113" s="54">
        <f>VLOOKUP($C113,'Input Data'!$B$37:$L$41,8,FALSE)*G113</f>
        <v>16.63202167734493</v>
      </c>
    </row>
    <row r="114" spans="2:13">
      <c r="B114" s="41"/>
      <c r="C114" s="48"/>
      <c r="D114" s="48"/>
      <c r="E114" s="48"/>
      <c r="F114" s="80"/>
      <c r="G114" s="50" t="s">
        <v>53</v>
      </c>
      <c r="H114" s="56">
        <f>SUM(H113:H113)</f>
        <v>51.13</v>
      </c>
      <c r="I114" s="41"/>
      <c r="J114" s="56">
        <f>SUM(J113:J113)</f>
        <v>21.850883992728793</v>
      </c>
      <c r="K114" s="56">
        <f>SUM(K113:K113)</f>
        <v>11.413159361961064</v>
      </c>
      <c r="L114" s="56">
        <f>SUM(L113:L113)</f>
        <v>16.63202167734493</v>
      </c>
      <c r="M114" s="166"/>
    </row>
    <row r="115" spans="2:13" s="147" customFormat="1">
      <c r="B115" s="163"/>
      <c r="C115" s="163"/>
      <c r="D115" s="163"/>
      <c r="E115" s="163"/>
      <c r="F115" s="163"/>
      <c r="G115" s="163"/>
      <c r="H115" s="163"/>
      <c r="I115" s="163"/>
      <c r="J115" s="163"/>
      <c r="K115" s="163"/>
      <c r="L115" s="163"/>
    </row>
    <row r="116" spans="2:13">
      <c r="B116" s="243" t="s">
        <v>14</v>
      </c>
      <c r="C116" s="243"/>
      <c r="D116" s="243"/>
      <c r="E116" s="243"/>
      <c r="F116" s="243"/>
      <c r="G116" s="243"/>
      <c r="H116" s="243"/>
      <c r="I116" s="243"/>
      <c r="J116" s="243"/>
      <c r="K116" s="243"/>
      <c r="L116" s="243"/>
    </row>
    <row r="117" spans="2:13">
      <c r="B117" s="244" t="s">
        <v>308</v>
      </c>
      <c r="C117" s="244"/>
      <c r="D117" s="244"/>
      <c r="E117" s="244"/>
      <c r="F117" s="244"/>
      <c r="G117" s="244"/>
      <c r="H117" s="244"/>
      <c r="I117" s="244"/>
      <c r="J117" s="244"/>
      <c r="K117" s="244"/>
      <c r="L117" s="244"/>
    </row>
    <row r="118" spans="2:13" s="147" customFormat="1">
      <c r="B118" s="163"/>
      <c r="C118" s="163"/>
      <c r="D118" s="163"/>
      <c r="E118" s="163"/>
      <c r="F118" s="163"/>
      <c r="G118" s="163"/>
      <c r="H118" s="163"/>
      <c r="I118" s="163"/>
      <c r="J118" s="163"/>
      <c r="K118" s="163"/>
      <c r="L118" s="163"/>
    </row>
    <row r="119" spans="2:13">
      <c r="B119" s="42" t="s">
        <v>51</v>
      </c>
      <c r="C119" s="245" t="str">
        <f>'AER Summary'!B25</f>
        <v xml:space="preserve">Recovery of Debt Collection Costs- Dishonoured Transactions </v>
      </c>
      <c r="D119" s="245"/>
      <c r="E119" s="245"/>
      <c r="F119" s="245"/>
      <c r="G119" s="245"/>
      <c r="H119" s="245"/>
      <c r="I119" s="245"/>
      <c r="J119" s="245"/>
      <c r="K119" s="245"/>
      <c r="L119" s="245"/>
    </row>
    <row r="120" spans="2:13" ht="28.8">
      <c r="B120" s="43"/>
      <c r="C120" s="241" t="s">
        <v>55</v>
      </c>
      <c r="D120" s="242"/>
      <c r="E120" s="45" t="s">
        <v>58</v>
      </c>
      <c r="F120" s="45" t="s">
        <v>96</v>
      </c>
      <c r="G120" s="45" t="s">
        <v>57</v>
      </c>
      <c r="H120" s="45" t="s">
        <v>65</v>
      </c>
      <c r="I120" s="85"/>
      <c r="J120" s="47" t="s">
        <v>54</v>
      </c>
      <c r="K120" s="47" t="s">
        <v>31</v>
      </c>
      <c r="L120" s="47" t="s">
        <v>52</v>
      </c>
    </row>
    <row r="121" spans="2:13">
      <c r="B121" s="41"/>
      <c r="C121" s="44" t="s">
        <v>47</v>
      </c>
      <c r="D121" s="53" t="str">
        <f>VLOOKUP($C121,'Input Data'!$B$37:$C$41,2,FALSE)</f>
        <v>Field Worker R4</v>
      </c>
      <c r="E121" s="54">
        <f>VLOOKUP($C121,'Input Data'!$B$37:$L$41,11,FALSE)</f>
        <v>147.83000000000001</v>
      </c>
      <c r="F121" s="54">
        <v>1</v>
      </c>
      <c r="G121" s="49">
        <f>H121/E121</f>
        <v>0.18507937100959146</v>
      </c>
      <c r="H121" s="55">
        <f>VLOOKUP(C119,'AER Summary'!$B$11:$I$28,3,FALSE)</f>
        <v>27.360283416347908</v>
      </c>
      <c r="I121" s="41"/>
      <c r="J121" s="54">
        <f>VLOOKUP($C121,'Input Data'!$B$37:$L$41,3,FALSE)*G121</f>
        <v>9.7474333165516089</v>
      </c>
      <c r="K121" s="54">
        <f>VLOOKUP($C121,'Input Data'!$B$37:$L$41,6,FALSE)*G121</f>
        <v>5.0912818835572953</v>
      </c>
      <c r="L121" s="54">
        <f>VLOOKUP($C121,'Input Data'!$B$37:$L$41,8,FALSE)*G121</f>
        <v>12.909682224094748</v>
      </c>
    </row>
    <row r="122" spans="2:13">
      <c r="B122" s="41"/>
      <c r="C122" s="48"/>
      <c r="D122" s="48"/>
      <c r="E122" s="48"/>
      <c r="F122" s="80"/>
      <c r="G122" s="50" t="s">
        <v>53</v>
      </c>
      <c r="H122" s="56">
        <f>SUM(H121:H121)</f>
        <v>27.360283416347908</v>
      </c>
      <c r="I122" s="41"/>
      <c r="J122" s="56">
        <f>SUM(J121:J121)</f>
        <v>9.7474333165516089</v>
      </c>
      <c r="K122" s="56">
        <f>SUM(K121:K121)</f>
        <v>5.0912818835572953</v>
      </c>
      <c r="L122" s="56">
        <f>SUM(L121:L121)</f>
        <v>12.909682224094748</v>
      </c>
      <c r="M122" s="166"/>
    </row>
    <row r="123" spans="2:13" s="147" customFormat="1">
      <c r="B123" s="163"/>
      <c r="C123" s="163"/>
      <c r="D123" s="163"/>
      <c r="E123" s="163"/>
      <c r="F123" s="163"/>
      <c r="G123" s="163"/>
      <c r="H123" s="163"/>
      <c r="I123" s="163"/>
      <c r="J123" s="163"/>
      <c r="K123" s="163"/>
      <c r="L123" s="163"/>
    </row>
    <row r="124" spans="2:13">
      <c r="B124" s="243" t="s">
        <v>14</v>
      </c>
      <c r="C124" s="243"/>
      <c r="D124" s="243"/>
      <c r="E124" s="243"/>
      <c r="F124" s="243"/>
      <c r="G124" s="243"/>
      <c r="H124" s="243"/>
      <c r="I124" s="243"/>
      <c r="J124" s="243"/>
      <c r="K124" s="243"/>
      <c r="L124" s="243"/>
    </row>
    <row r="125" spans="2:13">
      <c r="B125" s="244" t="s">
        <v>308</v>
      </c>
      <c r="C125" s="244"/>
      <c r="D125" s="244"/>
      <c r="E125" s="244"/>
      <c r="F125" s="244"/>
      <c r="G125" s="244"/>
      <c r="H125" s="244"/>
      <c r="I125" s="244"/>
      <c r="J125" s="244"/>
      <c r="K125" s="244"/>
      <c r="L125" s="244"/>
    </row>
    <row r="126" spans="2:13" s="147" customFormat="1">
      <c r="B126" s="163"/>
      <c r="C126" s="163"/>
      <c r="D126" s="163"/>
      <c r="E126" s="163"/>
      <c r="F126" s="163"/>
      <c r="G126" s="163"/>
      <c r="H126" s="163"/>
      <c r="I126" s="163"/>
      <c r="J126" s="163"/>
      <c r="K126" s="163"/>
      <c r="L126" s="163"/>
    </row>
    <row r="127" spans="2:13">
      <c r="B127" s="42" t="s">
        <v>51</v>
      </c>
      <c r="C127" s="245" t="str">
        <f>'AER Summary'!B26</f>
        <v xml:space="preserve">Attendance at customers' premises to perform a statutory right where access is prevented  </v>
      </c>
      <c r="D127" s="245"/>
      <c r="E127" s="245"/>
      <c r="F127" s="245"/>
      <c r="G127" s="245"/>
      <c r="H127" s="245"/>
      <c r="I127" s="245"/>
      <c r="J127" s="245"/>
      <c r="K127" s="245"/>
      <c r="L127" s="245"/>
    </row>
    <row r="128" spans="2:13" ht="28.8">
      <c r="B128" s="43"/>
      <c r="C128" s="241" t="s">
        <v>55</v>
      </c>
      <c r="D128" s="242"/>
      <c r="E128" s="45" t="s">
        <v>58</v>
      </c>
      <c r="F128" s="45" t="s">
        <v>96</v>
      </c>
      <c r="G128" s="45" t="s">
        <v>57</v>
      </c>
      <c r="H128" s="45" t="s">
        <v>65</v>
      </c>
      <c r="I128" s="85"/>
      <c r="J128" s="47" t="s">
        <v>54</v>
      </c>
      <c r="K128" s="47" t="s">
        <v>31</v>
      </c>
      <c r="L128" s="47" t="s">
        <v>52</v>
      </c>
    </row>
    <row r="129" spans="2:13">
      <c r="B129" s="41"/>
      <c r="C129" s="44" t="s">
        <v>47</v>
      </c>
      <c r="D129" s="53" t="str">
        <f>VLOOKUP($C129,'Input Data'!$B$37:$C$41,2,FALSE)</f>
        <v>Field Worker R4</v>
      </c>
      <c r="E129" s="54">
        <f>VLOOKUP($C129,'Input Data'!$B$37:$L$41,11,FALSE)</f>
        <v>147.83000000000001</v>
      </c>
      <c r="F129" s="54">
        <v>1</v>
      </c>
      <c r="G129" s="49">
        <f>H129/E129</f>
        <v>0.57131877969026346</v>
      </c>
      <c r="H129" s="55">
        <f>VLOOKUP(C127,'AER Summary'!$B$11:$I$28,3,FALSE)</f>
        <v>84.458055201611657</v>
      </c>
      <c r="I129" s="41"/>
      <c r="J129" s="54">
        <f>VLOOKUP($C129,'Input Data'!$B$37:$L$41,3,FALSE)*G129</f>
        <v>30.089208090273246</v>
      </c>
      <c r="K129" s="54">
        <f>VLOOKUP($C129,'Input Data'!$B$37:$L$41,6,FALSE)*G129</f>
        <v>15.716202929079321</v>
      </c>
      <c r="L129" s="54">
        <f>VLOOKUP($C129,'Input Data'!$B$37:$L$41,8,FALSE)*G129</f>
        <v>39.850707586836734</v>
      </c>
    </row>
    <row r="130" spans="2:13">
      <c r="B130" s="41"/>
      <c r="C130" s="48"/>
      <c r="D130" s="48"/>
      <c r="E130" s="48"/>
      <c r="F130" s="80"/>
      <c r="G130" s="50" t="s">
        <v>53</v>
      </c>
      <c r="H130" s="56">
        <f>SUM(H129:H129)</f>
        <v>84.458055201611657</v>
      </c>
      <c r="I130" s="41"/>
      <c r="J130" s="56">
        <f>SUM(J129:J129)</f>
        <v>30.089208090273246</v>
      </c>
      <c r="K130" s="56">
        <f>SUM(K129:K129)</f>
        <v>15.716202929079321</v>
      </c>
      <c r="L130" s="56">
        <f>SUM(L129:L129)</f>
        <v>39.850707586836734</v>
      </c>
      <c r="M130" s="166"/>
    </row>
    <row r="131" spans="2:13" s="147" customFormat="1">
      <c r="B131" s="163"/>
      <c r="C131" s="163"/>
      <c r="D131" s="163"/>
      <c r="E131" s="163"/>
      <c r="F131" s="163"/>
      <c r="G131" s="163"/>
      <c r="H131" s="163"/>
      <c r="I131" s="163"/>
      <c r="J131" s="163"/>
      <c r="K131" s="163"/>
      <c r="L131" s="163"/>
    </row>
    <row r="132" spans="2:13">
      <c r="B132" s="243" t="s">
        <v>14</v>
      </c>
      <c r="C132" s="243"/>
      <c r="D132" s="243"/>
      <c r="E132" s="243"/>
      <c r="F132" s="243"/>
      <c r="G132" s="243"/>
      <c r="H132" s="243"/>
      <c r="I132" s="243"/>
      <c r="J132" s="243"/>
      <c r="K132" s="243"/>
      <c r="L132" s="243"/>
    </row>
    <row r="133" spans="2:13">
      <c r="B133" s="244" t="s">
        <v>308</v>
      </c>
      <c r="C133" s="244"/>
      <c r="D133" s="244"/>
      <c r="E133" s="244"/>
      <c r="F133" s="244"/>
      <c r="G133" s="244"/>
      <c r="H133" s="244"/>
      <c r="I133" s="244"/>
      <c r="J133" s="244"/>
      <c r="K133" s="244"/>
      <c r="L133" s="244"/>
    </row>
    <row r="134" spans="2:13" s="147" customFormat="1">
      <c r="B134" s="163"/>
      <c r="C134" s="163"/>
      <c r="D134" s="163"/>
      <c r="E134" s="163"/>
      <c r="F134" s="163"/>
      <c r="G134" s="163"/>
      <c r="H134" s="163"/>
      <c r="I134" s="163"/>
      <c r="J134" s="163"/>
      <c r="K134" s="163"/>
      <c r="L134" s="163"/>
    </row>
    <row r="135" spans="2:13">
      <c r="B135" s="42" t="s">
        <v>51</v>
      </c>
      <c r="C135" s="245" t="str">
        <f>'AER Summary'!B27</f>
        <v xml:space="preserve">Vacant Property Disconnection </v>
      </c>
      <c r="D135" s="245"/>
      <c r="E135" s="245"/>
      <c r="F135" s="245"/>
      <c r="G135" s="245"/>
      <c r="H135" s="245"/>
      <c r="I135" s="245"/>
      <c r="J135" s="245"/>
      <c r="K135" s="245"/>
      <c r="L135" s="245"/>
    </row>
    <row r="136" spans="2:13" ht="28.8">
      <c r="B136" s="43"/>
      <c r="C136" s="241" t="s">
        <v>55</v>
      </c>
      <c r="D136" s="242"/>
      <c r="E136" s="45" t="s">
        <v>58</v>
      </c>
      <c r="F136" s="45" t="s">
        <v>96</v>
      </c>
      <c r="G136" s="45" t="s">
        <v>57</v>
      </c>
      <c r="H136" s="45" t="s">
        <v>65</v>
      </c>
      <c r="I136" s="85"/>
      <c r="J136" s="47" t="s">
        <v>54</v>
      </c>
      <c r="K136" s="47" t="s">
        <v>31</v>
      </c>
      <c r="L136" s="47" t="s">
        <v>52</v>
      </c>
    </row>
    <row r="137" spans="2:13">
      <c r="B137" s="41"/>
      <c r="C137" s="44" t="s">
        <v>47</v>
      </c>
      <c r="D137" s="53" t="str">
        <f>VLOOKUP($C137,'Input Data'!$B$37:$C$41,2,FALSE)</f>
        <v>Field Worker R4</v>
      </c>
      <c r="E137" s="54">
        <f>VLOOKUP($C137,'Input Data'!$B$37:$L$41,11,FALSE)</f>
        <v>147.83000000000001</v>
      </c>
      <c r="F137" s="54">
        <v>1</v>
      </c>
      <c r="G137" s="49">
        <f>H137/E137</f>
        <v>1.0320450499821729</v>
      </c>
      <c r="H137" s="55">
        <f>VLOOKUP(C135,'AER Summary'!$B$11:$I$28,3,FALSE)</f>
        <v>152.56721973886465</v>
      </c>
      <c r="I137" s="41"/>
      <c r="J137" s="54">
        <f>VLOOKUP($C137,'Input Data'!$B$37:$L$41,3,FALSE)*G137</f>
        <v>54.353925288934931</v>
      </c>
      <c r="K137" s="54">
        <f>VLOOKUP($C137,'Input Data'!$B$37:$L$41,6,FALSE)*G137</f>
        <v>28.39015627363958</v>
      </c>
      <c r="L137" s="54">
        <f>VLOOKUP($C137,'Input Data'!$B$37:$L$41,8,FALSE)*G137</f>
        <v>71.987350959439823</v>
      </c>
    </row>
    <row r="138" spans="2:13">
      <c r="B138" s="41"/>
      <c r="C138" s="48"/>
      <c r="D138" s="48"/>
      <c r="E138" s="48"/>
      <c r="F138" s="80"/>
      <c r="G138" s="50" t="s">
        <v>53</v>
      </c>
      <c r="H138" s="56">
        <f>SUM(H137:H137)</f>
        <v>152.56721973886465</v>
      </c>
      <c r="I138" s="41"/>
      <c r="J138" s="56">
        <f>SUM(J137:J137)</f>
        <v>54.353925288934931</v>
      </c>
      <c r="K138" s="56">
        <f>SUM(K137:K137)</f>
        <v>28.39015627363958</v>
      </c>
      <c r="L138" s="56">
        <f>SUM(L137:L137)</f>
        <v>71.987350959439823</v>
      </c>
      <c r="M138" s="166"/>
    </row>
    <row r="139" spans="2:13" s="147" customFormat="1">
      <c r="B139" s="163"/>
      <c r="C139" s="163"/>
      <c r="D139" s="163"/>
      <c r="E139" s="163"/>
      <c r="F139" s="163"/>
      <c r="G139" s="163"/>
      <c r="H139" s="163"/>
      <c r="I139" s="163"/>
      <c r="J139" s="163"/>
      <c r="K139" s="163"/>
      <c r="L139" s="163"/>
    </row>
    <row r="140" spans="2:13">
      <c r="B140" s="243" t="s">
        <v>14</v>
      </c>
      <c r="C140" s="243"/>
      <c r="D140" s="243"/>
      <c r="E140" s="243"/>
      <c r="F140" s="243"/>
      <c r="G140" s="243"/>
      <c r="H140" s="243"/>
      <c r="I140" s="243"/>
      <c r="J140" s="243"/>
      <c r="K140" s="243"/>
      <c r="L140" s="243"/>
    </row>
    <row r="141" spans="2:13">
      <c r="B141" s="244" t="s">
        <v>308</v>
      </c>
      <c r="C141" s="244"/>
      <c r="D141" s="244"/>
      <c r="E141" s="244"/>
      <c r="F141" s="244"/>
      <c r="G141" s="244"/>
      <c r="H141" s="244"/>
      <c r="I141" s="244"/>
      <c r="J141" s="244"/>
      <c r="K141" s="244"/>
      <c r="L141" s="244"/>
    </row>
    <row r="142" spans="2:13" s="147" customFormat="1">
      <c r="B142" s="163"/>
      <c r="C142" s="163"/>
      <c r="D142" s="163"/>
      <c r="E142" s="163"/>
      <c r="F142" s="163"/>
      <c r="G142" s="163"/>
      <c r="H142" s="163"/>
      <c r="I142" s="163"/>
      <c r="J142" s="163"/>
      <c r="K142" s="163"/>
      <c r="L142" s="163"/>
    </row>
    <row r="143" spans="2:13">
      <c r="B143" s="42" t="s">
        <v>51</v>
      </c>
      <c r="C143" s="245" t="str">
        <f>'AER Summary'!B28</f>
        <v xml:space="preserve">Vacant Property Site Visit </v>
      </c>
      <c r="D143" s="245"/>
      <c r="E143" s="245"/>
      <c r="F143" s="245"/>
      <c r="G143" s="245"/>
      <c r="H143" s="245"/>
      <c r="I143" s="245"/>
      <c r="J143" s="245"/>
      <c r="K143" s="245"/>
      <c r="L143" s="245"/>
    </row>
    <row r="144" spans="2:13" ht="28.8">
      <c r="B144" s="43"/>
      <c r="C144" s="241" t="s">
        <v>55</v>
      </c>
      <c r="D144" s="242"/>
      <c r="E144" s="45" t="s">
        <v>58</v>
      </c>
      <c r="F144" s="45" t="s">
        <v>96</v>
      </c>
      <c r="G144" s="45" t="s">
        <v>57</v>
      </c>
      <c r="H144" s="45" t="s">
        <v>65</v>
      </c>
      <c r="I144" s="85"/>
      <c r="J144" s="47" t="s">
        <v>54</v>
      </c>
      <c r="K144" s="47" t="s">
        <v>31</v>
      </c>
      <c r="L144" s="47" t="s">
        <v>52</v>
      </c>
    </row>
    <row r="145" spans="2:13">
      <c r="B145" s="41"/>
      <c r="C145" s="44" t="s">
        <v>47</v>
      </c>
      <c r="D145" s="53" t="str">
        <f>VLOOKUP($C145,'Input Data'!$B$37:$C$41,2,FALSE)</f>
        <v>Field Worker R4</v>
      </c>
      <c r="E145" s="54">
        <f>VLOOKUP($C145,'Input Data'!$B$37:$L$41,11,FALSE)</f>
        <v>147.83000000000001</v>
      </c>
      <c r="F145" s="54">
        <v>1</v>
      </c>
      <c r="G145" s="49">
        <f>H145/E145</f>
        <v>0.26343469488373411</v>
      </c>
      <c r="H145" s="55">
        <f>VLOOKUP(C143,'AER Summary'!$B$11:$I$28,3,FALSE)</f>
        <v>38.94355094466242</v>
      </c>
      <c r="I145" s="41"/>
      <c r="J145" s="54">
        <f>VLOOKUP($C145,'Input Data'!$B$37:$L$41,3,FALSE)*G145</f>
        <v>13.874113077206452</v>
      </c>
      <c r="K145" s="54">
        <f>VLOOKUP($C145,'Input Data'!$B$37:$L$41,6,FALSE)*G145</f>
        <v>7.2467303203256099</v>
      </c>
      <c r="L145" s="54">
        <f>VLOOKUP($C145,'Input Data'!$B$37:$L$41,8,FALSE)*G145</f>
        <v>18.375133755852897</v>
      </c>
    </row>
    <row r="146" spans="2:13">
      <c r="B146" s="41"/>
      <c r="C146" s="48"/>
      <c r="D146" s="48"/>
      <c r="E146" s="48"/>
      <c r="F146" s="80"/>
      <c r="G146" s="50" t="s">
        <v>53</v>
      </c>
      <c r="H146" s="56">
        <f>SUM(H145:H145)</f>
        <v>38.94355094466242</v>
      </c>
      <c r="I146" s="41"/>
      <c r="J146" s="56">
        <f>SUM(J145:J145)</f>
        <v>13.874113077206452</v>
      </c>
      <c r="K146" s="56">
        <f>SUM(K145:K145)</f>
        <v>7.2467303203256099</v>
      </c>
      <c r="L146" s="56">
        <f>SUM(L145:L145)</f>
        <v>18.375133755852897</v>
      </c>
      <c r="M146" s="166"/>
    </row>
    <row r="147" spans="2:13" s="147" customFormat="1">
      <c r="B147" s="163"/>
      <c r="C147" s="163"/>
      <c r="D147" s="163"/>
      <c r="E147" s="163"/>
      <c r="F147" s="163"/>
      <c r="G147" s="163"/>
      <c r="H147" s="163"/>
      <c r="I147" s="163"/>
      <c r="J147" s="163"/>
      <c r="K147" s="163"/>
      <c r="L147" s="163"/>
    </row>
    <row r="148" spans="2:13">
      <c r="B148" s="243" t="s">
        <v>14</v>
      </c>
      <c r="C148" s="243"/>
      <c r="D148" s="243"/>
      <c r="E148" s="243"/>
      <c r="F148" s="243"/>
      <c r="G148" s="243"/>
      <c r="H148" s="243"/>
      <c r="I148" s="243"/>
      <c r="J148" s="243"/>
      <c r="K148" s="243"/>
      <c r="L148" s="243"/>
    </row>
    <row r="149" spans="2:13">
      <c r="B149" s="244" t="s">
        <v>308</v>
      </c>
      <c r="C149" s="244"/>
      <c r="D149" s="244"/>
      <c r="E149" s="244"/>
      <c r="F149" s="244"/>
      <c r="G149" s="244"/>
      <c r="H149" s="244"/>
      <c r="I149" s="244"/>
      <c r="J149" s="244"/>
      <c r="K149" s="244"/>
      <c r="L149" s="244"/>
    </row>
    <row r="150" spans="2:13" s="147" customFormat="1">
      <c r="B150" s="163"/>
      <c r="C150" s="163"/>
      <c r="D150" s="163"/>
      <c r="E150" s="163"/>
      <c r="F150" s="163"/>
      <c r="G150" s="163"/>
      <c r="H150" s="163"/>
      <c r="I150" s="163"/>
      <c r="J150" s="163"/>
      <c r="K150" s="163"/>
      <c r="L150" s="163"/>
    </row>
    <row r="151" spans="2:13">
      <c r="B151" s="42" t="s">
        <v>51</v>
      </c>
      <c r="C151" s="245" t="str">
        <f>'AER Summary'!B32</f>
        <v>Distributor arranged outage for purpose of replacing metering - Simple</v>
      </c>
      <c r="D151" s="245"/>
      <c r="E151" s="245"/>
      <c r="F151" s="245"/>
      <c r="G151" s="245"/>
      <c r="H151" s="245"/>
      <c r="I151" s="245"/>
      <c r="J151" s="245"/>
      <c r="K151" s="245"/>
      <c r="L151" s="245"/>
    </row>
    <row r="152" spans="2:13" ht="28.8">
      <c r="B152" s="43"/>
      <c r="C152" s="241" t="s">
        <v>55</v>
      </c>
      <c r="D152" s="242"/>
      <c r="E152" s="45" t="s">
        <v>58</v>
      </c>
      <c r="F152" s="45" t="s">
        <v>96</v>
      </c>
      <c r="G152" s="45" t="s">
        <v>57</v>
      </c>
      <c r="H152" s="45" t="s">
        <v>65</v>
      </c>
      <c r="I152" s="85"/>
      <c r="J152" s="47" t="s">
        <v>54</v>
      </c>
      <c r="K152" s="47" t="s">
        <v>31</v>
      </c>
      <c r="L152" s="47" t="s">
        <v>52</v>
      </c>
    </row>
    <row r="153" spans="2:13">
      <c r="B153" s="43"/>
      <c r="C153" s="44" t="s">
        <v>41</v>
      </c>
      <c r="D153" s="138" t="str">
        <f>VLOOKUP($C153,'Input Data'!$B$37:$C$41,2,FALSE)</f>
        <v>Admin Support</v>
      </c>
      <c r="E153" s="54">
        <f>VLOOKUP($C153,'Input Data'!$B$37:$L$41,11,FALSE)</f>
        <v>102.26</v>
      </c>
      <c r="F153" s="54">
        <v>1</v>
      </c>
      <c r="G153" s="49">
        <f>10/60</f>
        <v>0.16666666666666666</v>
      </c>
      <c r="H153" s="55">
        <f t="shared" ref="H153" si="0">E153*F153*G153</f>
        <v>17.043333333333333</v>
      </c>
      <c r="I153" s="85"/>
      <c r="J153" s="54">
        <f>VLOOKUP($C153,'Input Data'!$B$37:$L$41,3,FALSE)*G153</f>
        <v>7.2836279975762643</v>
      </c>
      <c r="K153" s="54">
        <f>VLOOKUP($C153,'Input Data'!$B$37:$L$41,6,FALSE)*G153</f>
        <v>3.8043864539870214</v>
      </c>
      <c r="L153" s="54">
        <f>VLOOKUP($C153,'Input Data'!$B$37:$L$41,8,FALSE)*G153</f>
        <v>5.5440072257816428</v>
      </c>
    </row>
    <row r="154" spans="2:13">
      <c r="B154" s="41"/>
      <c r="C154" s="44" t="s">
        <v>47</v>
      </c>
      <c r="D154" s="138" t="str">
        <f>VLOOKUP($C154,'Input Data'!$B$37:$C$41,2,FALSE)</f>
        <v>Field Worker R4</v>
      </c>
      <c r="E154" s="54">
        <f>VLOOKUP($C154,'Input Data'!$B$37:$L$41,11,FALSE)</f>
        <v>147.83000000000001</v>
      </c>
      <c r="F154" s="54">
        <v>1</v>
      </c>
      <c r="G154" s="49">
        <f>90/60</f>
        <v>1.5</v>
      </c>
      <c r="H154" s="55">
        <f>E154*F154*G154</f>
        <v>221.745</v>
      </c>
      <c r="I154" s="41"/>
      <c r="J154" s="54">
        <f>VLOOKUP($C154,'Input Data'!$B$37:$L$41,3,FALSE)*G154</f>
        <v>78.999349819865643</v>
      </c>
      <c r="K154" s="54">
        <f>VLOOKUP($C154,'Input Data'!$B$37:$L$41,6,FALSE)*G154</f>
        <v>41.262960770166927</v>
      </c>
      <c r="L154" s="54">
        <f>VLOOKUP($C154,'Input Data'!$B$37:$L$41,8,FALSE)*G154</f>
        <v>104.62821021332834</v>
      </c>
    </row>
    <row r="155" spans="2:13">
      <c r="B155" s="41"/>
      <c r="C155" s="48"/>
      <c r="D155" s="48"/>
      <c r="E155" s="48"/>
      <c r="F155" s="80"/>
      <c r="G155" s="50" t="s">
        <v>53</v>
      </c>
      <c r="H155" s="56">
        <f>SUM(H153:H154)</f>
        <v>238.78833333333333</v>
      </c>
      <c r="I155" s="41"/>
      <c r="J155" s="56">
        <f>SUM(J153:J154)</f>
        <v>86.282977817441903</v>
      </c>
      <c r="K155" s="56">
        <f t="shared" ref="K155:L155" si="1">SUM(K153:K154)</f>
        <v>45.067347224153949</v>
      </c>
      <c r="L155" s="56">
        <f t="shared" si="1"/>
        <v>110.17221743910999</v>
      </c>
      <c r="M155" s="166"/>
    </row>
    <row r="156" spans="2:13" s="147" customFormat="1">
      <c r="B156" s="163"/>
      <c r="C156" s="163"/>
      <c r="D156" s="163"/>
      <c r="E156" s="163"/>
      <c r="F156" s="163"/>
      <c r="G156" s="163"/>
      <c r="H156" s="163"/>
      <c r="I156" s="163"/>
      <c r="J156" s="163"/>
      <c r="K156" s="163"/>
      <c r="L156" s="163"/>
    </row>
    <row r="157" spans="2:13">
      <c r="B157" s="243" t="s">
        <v>14</v>
      </c>
      <c r="C157" s="243"/>
      <c r="D157" s="243"/>
      <c r="E157" s="243"/>
      <c r="F157" s="243"/>
      <c r="G157" s="243"/>
      <c r="H157" s="243"/>
      <c r="I157" s="243"/>
      <c r="J157" s="243"/>
      <c r="K157" s="243"/>
      <c r="L157" s="243"/>
    </row>
    <row r="158" spans="2:13">
      <c r="B158" s="244" t="s">
        <v>308</v>
      </c>
      <c r="C158" s="244"/>
      <c r="D158" s="244"/>
      <c r="E158" s="244"/>
      <c r="F158" s="244"/>
      <c r="G158" s="244"/>
      <c r="H158" s="244"/>
      <c r="I158" s="244"/>
      <c r="J158" s="244"/>
      <c r="K158" s="244"/>
      <c r="L158" s="244"/>
    </row>
    <row r="159" spans="2:13" s="147" customFormat="1">
      <c r="B159" s="163"/>
      <c r="C159" s="163"/>
      <c r="D159" s="163"/>
      <c r="E159" s="163"/>
      <c r="F159" s="163"/>
      <c r="G159" s="163"/>
      <c r="H159" s="163"/>
      <c r="I159" s="163"/>
      <c r="J159" s="163"/>
      <c r="K159" s="163"/>
      <c r="L159" s="163"/>
    </row>
    <row r="160" spans="2:13">
      <c r="B160" s="42" t="s">
        <v>51</v>
      </c>
      <c r="C160" s="245" t="str">
        <f>'AER Summary'!B33</f>
        <v>Distributor arranged outage for purpose of replacing metering - Complex</v>
      </c>
      <c r="D160" s="245"/>
      <c r="E160" s="245"/>
      <c r="F160" s="245"/>
      <c r="G160" s="245"/>
      <c r="H160" s="245"/>
      <c r="I160" s="245"/>
      <c r="J160" s="245"/>
      <c r="K160" s="245"/>
      <c r="L160" s="245"/>
    </row>
    <row r="161" spans="2:13" ht="28.8">
      <c r="B161" s="43"/>
      <c r="C161" s="241" t="s">
        <v>55</v>
      </c>
      <c r="D161" s="242"/>
      <c r="E161" s="45" t="s">
        <v>58</v>
      </c>
      <c r="F161" s="45" t="s">
        <v>96</v>
      </c>
      <c r="G161" s="45" t="s">
        <v>57</v>
      </c>
      <c r="H161" s="45" t="s">
        <v>65</v>
      </c>
      <c r="I161" s="85"/>
      <c r="J161" s="47" t="s">
        <v>54</v>
      </c>
      <c r="K161" s="47" t="s">
        <v>31</v>
      </c>
      <c r="L161" s="47" t="s">
        <v>52</v>
      </c>
    </row>
    <row r="162" spans="2:13">
      <c r="B162" s="43"/>
      <c r="C162" s="44" t="s">
        <v>41</v>
      </c>
      <c r="D162" s="53" t="str">
        <f>VLOOKUP($C162,'Input Data'!$B$37:$C$41,2,FALSE)</f>
        <v>Admin Support</v>
      </c>
      <c r="E162" s="54">
        <f>VLOOKUP($C162,'Input Data'!$B$37:$L$41,11,FALSE)</f>
        <v>102.26</v>
      </c>
      <c r="F162" s="54">
        <v>1</v>
      </c>
      <c r="G162" s="49">
        <f>10/60</f>
        <v>0.16666666666666666</v>
      </c>
      <c r="H162" s="55">
        <f t="shared" ref="H162" si="2">E162*F162*G162</f>
        <v>17.043333333333333</v>
      </c>
      <c r="I162" s="41"/>
      <c r="J162" s="54">
        <f>VLOOKUP($C162,'Input Data'!$B$37:$L$41,3,FALSE)*G162</f>
        <v>7.2836279975762643</v>
      </c>
      <c r="K162" s="54">
        <f>VLOOKUP($C162,'Input Data'!$B$37:$L$41,6,FALSE)*G162</f>
        <v>3.8043864539870214</v>
      </c>
      <c r="L162" s="54">
        <f>VLOOKUP($C162,'Input Data'!$B$37:$L$41,8,FALSE)*G162</f>
        <v>5.5440072257816428</v>
      </c>
    </row>
    <row r="163" spans="2:13">
      <c r="B163" s="41"/>
      <c r="C163" s="44" t="s">
        <v>47</v>
      </c>
      <c r="D163" s="53" t="str">
        <f>VLOOKUP($C163,'Input Data'!$B$37:$C$41,2,FALSE)</f>
        <v>Field Worker R4</v>
      </c>
      <c r="E163" s="54">
        <f>VLOOKUP($C163,'Input Data'!$B$37:$L$41,11,FALSE)</f>
        <v>147.83000000000001</v>
      </c>
      <c r="F163" s="54">
        <v>1</v>
      </c>
      <c r="G163" s="49">
        <f>105/60</f>
        <v>1.75</v>
      </c>
      <c r="H163" s="55">
        <f>E163*F163*G163</f>
        <v>258.70250000000004</v>
      </c>
      <c r="I163" s="41"/>
      <c r="J163" s="54">
        <f>VLOOKUP($C163,'Input Data'!$B$37:$L$41,3,FALSE)*G163</f>
        <v>92.165908123176578</v>
      </c>
      <c r="K163" s="54">
        <f>VLOOKUP($C163,'Input Data'!$B$37:$L$41,6,FALSE)*G163</f>
        <v>48.140120898528082</v>
      </c>
      <c r="L163" s="54">
        <f>VLOOKUP($C163,'Input Data'!$B$37:$L$41,8,FALSE)*G163</f>
        <v>122.06624524888306</v>
      </c>
    </row>
    <row r="164" spans="2:13">
      <c r="B164" s="41"/>
      <c r="C164" s="48"/>
      <c r="D164" s="48"/>
      <c r="E164" s="48"/>
      <c r="F164" s="80"/>
      <c r="G164" s="50" t="s">
        <v>53</v>
      </c>
      <c r="H164" s="56">
        <f>SUM(H162:H163)</f>
        <v>275.74583333333339</v>
      </c>
      <c r="I164" s="41"/>
      <c r="J164" s="56">
        <f>SUM(J162:J163)</f>
        <v>99.449536120752839</v>
      </c>
      <c r="K164" s="56">
        <f t="shared" ref="K164:L164" si="3">SUM(K162:K163)</f>
        <v>51.944507352515103</v>
      </c>
      <c r="L164" s="56">
        <f t="shared" si="3"/>
        <v>127.6102524746647</v>
      </c>
      <c r="M164" s="166"/>
    </row>
    <row r="165" spans="2:13" s="147" customFormat="1">
      <c r="B165" s="163"/>
      <c r="C165" s="163"/>
      <c r="D165" s="163"/>
      <c r="E165" s="163"/>
      <c r="F165" s="163"/>
      <c r="G165" s="163"/>
      <c r="H165" s="163"/>
      <c r="I165" s="163"/>
      <c r="J165" s="163"/>
      <c r="K165" s="163"/>
      <c r="L165" s="163"/>
    </row>
    <row r="166" spans="2:13">
      <c r="B166" s="243" t="s">
        <v>14</v>
      </c>
      <c r="C166" s="243"/>
      <c r="D166" s="243"/>
      <c r="E166" s="243"/>
      <c r="F166" s="243"/>
      <c r="G166" s="243"/>
      <c r="H166" s="243"/>
      <c r="I166" s="243"/>
      <c r="J166" s="243"/>
      <c r="K166" s="243"/>
      <c r="L166" s="243"/>
    </row>
    <row r="167" spans="2:13">
      <c r="B167" s="244" t="s">
        <v>64</v>
      </c>
      <c r="C167" s="244"/>
      <c r="D167" s="244"/>
      <c r="E167" s="244"/>
      <c r="F167" s="244"/>
      <c r="G167" s="244"/>
      <c r="H167" s="244"/>
      <c r="I167" s="244"/>
      <c r="J167" s="244"/>
      <c r="K167" s="244"/>
      <c r="L167" s="244"/>
    </row>
    <row r="168" spans="2:13" s="147" customFormat="1">
      <c r="B168" s="163"/>
      <c r="C168" s="163"/>
      <c r="D168" s="163"/>
      <c r="E168" s="163"/>
      <c r="F168" s="163"/>
      <c r="G168" s="163"/>
      <c r="H168" s="163"/>
      <c r="I168" s="163"/>
      <c r="J168" s="163"/>
      <c r="K168" s="163"/>
      <c r="L168" s="163"/>
    </row>
    <row r="169" spans="2:13">
      <c r="B169" s="42" t="s">
        <v>51</v>
      </c>
      <c r="C169" s="245" t="str">
        <f>'AER Summary'!B35</f>
        <v>Distributor arranged outage for purpose of replacing metering - Site visit only</v>
      </c>
      <c r="D169" s="245"/>
      <c r="E169" s="245"/>
      <c r="F169" s="245"/>
      <c r="G169" s="245"/>
      <c r="H169" s="245"/>
      <c r="I169" s="245"/>
      <c r="J169" s="245"/>
      <c r="K169" s="245"/>
      <c r="L169" s="245"/>
    </row>
    <row r="170" spans="2:13" ht="28.8">
      <c r="B170" s="43"/>
      <c r="C170" s="241" t="s">
        <v>55</v>
      </c>
      <c r="D170" s="242"/>
      <c r="E170" s="45" t="s">
        <v>58</v>
      </c>
      <c r="F170" s="45" t="s">
        <v>96</v>
      </c>
      <c r="G170" s="45" t="s">
        <v>57</v>
      </c>
      <c r="H170" s="45" t="s">
        <v>65</v>
      </c>
      <c r="I170" s="85"/>
      <c r="J170" s="47" t="s">
        <v>54</v>
      </c>
      <c r="K170" s="47" t="s">
        <v>31</v>
      </c>
      <c r="L170" s="47" t="s">
        <v>52</v>
      </c>
    </row>
    <row r="171" spans="2:13">
      <c r="B171" s="43"/>
      <c r="C171" s="44" t="s">
        <v>41</v>
      </c>
      <c r="D171" s="53" t="str">
        <f>VLOOKUP($C171,'Input Data'!$B$37:$C$41,2,FALSE)</f>
        <v>Admin Support</v>
      </c>
      <c r="E171" s="54">
        <f>VLOOKUP($C171,'Input Data'!$B$37:$L$41,11,FALSE)</f>
        <v>102.26</v>
      </c>
      <c r="F171" s="54">
        <v>1</v>
      </c>
      <c r="G171" s="49">
        <f>10/60</f>
        <v>0.16666666666666666</v>
      </c>
      <c r="H171" s="55">
        <f t="shared" ref="H171" si="4">E171*F171*G171</f>
        <v>17.043333333333333</v>
      </c>
      <c r="I171" s="41"/>
      <c r="J171" s="54">
        <f>VLOOKUP($C171,'Input Data'!$B$37:$L$41,3,FALSE)*G171</f>
        <v>7.2836279975762643</v>
      </c>
      <c r="K171" s="54">
        <f>VLOOKUP($C171,'Input Data'!$B$37:$L$41,6,FALSE)*G171</f>
        <v>3.8043864539870214</v>
      </c>
      <c r="L171" s="54">
        <f>VLOOKUP($C171,'Input Data'!$B$37:$L$41,8,FALSE)*G171</f>
        <v>5.5440072257816428</v>
      </c>
    </row>
    <row r="172" spans="2:13">
      <c r="B172" s="41"/>
      <c r="C172" s="44" t="s">
        <v>47</v>
      </c>
      <c r="D172" s="53" t="str">
        <f>VLOOKUP($C172,'Input Data'!$B$37:$C$41,2,FALSE)</f>
        <v>Field Worker R4</v>
      </c>
      <c r="E172" s="54">
        <f>VLOOKUP($C172,'Input Data'!$B$37:$L$41,11,FALSE)</f>
        <v>147.83000000000001</v>
      </c>
      <c r="F172" s="54">
        <v>1</v>
      </c>
      <c r="G172" s="49">
        <f>45/60</f>
        <v>0.75</v>
      </c>
      <c r="H172" s="55">
        <f>E172*F172*G172</f>
        <v>110.8725</v>
      </c>
      <c r="I172" s="41"/>
      <c r="J172" s="54">
        <f>VLOOKUP($C172,'Input Data'!$B$37:$L$41,3,FALSE)*G172</f>
        <v>39.499674909932821</v>
      </c>
      <c r="K172" s="54">
        <f>VLOOKUP($C172,'Input Data'!$B$37:$L$41,6,FALSE)*G172</f>
        <v>20.631480385083464</v>
      </c>
      <c r="L172" s="54">
        <f>VLOOKUP($C172,'Input Data'!$B$37:$L$41,8,FALSE)*G172</f>
        <v>52.314105106664172</v>
      </c>
    </row>
    <row r="173" spans="2:13">
      <c r="B173" s="41"/>
      <c r="C173" s="48"/>
      <c r="D173" s="48"/>
      <c r="E173" s="48"/>
      <c r="F173" s="80"/>
      <c r="G173" s="50" t="s">
        <v>53</v>
      </c>
      <c r="H173" s="56">
        <f>SUM(H172:H172)</f>
        <v>110.8725</v>
      </c>
      <c r="I173" s="41"/>
      <c r="J173" s="56">
        <f>SUM(J172:J172)</f>
        <v>39.499674909932821</v>
      </c>
      <c r="K173" s="56">
        <f>SUM(K172:K172)</f>
        <v>20.631480385083464</v>
      </c>
      <c r="L173" s="56">
        <f>SUM(L172:L172)</f>
        <v>52.314105106664172</v>
      </c>
      <c r="M173" s="166"/>
    </row>
    <row r="174" spans="2:13" s="147" customFormat="1">
      <c r="B174" s="163"/>
      <c r="C174" s="163"/>
      <c r="D174" s="163"/>
      <c r="E174" s="163"/>
      <c r="F174" s="163"/>
      <c r="G174" s="163"/>
      <c r="H174" s="163"/>
      <c r="I174" s="163"/>
      <c r="J174" s="163"/>
      <c r="K174" s="163"/>
      <c r="L174" s="163"/>
    </row>
    <row r="175" spans="2:13">
      <c r="B175" s="243" t="s">
        <v>14</v>
      </c>
      <c r="C175" s="243"/>
      <c r="D175" s="243"/>
      <c r="E175" s="243"/>
      <c r="F175" s="243"/>
      <c r="G175" s="243"/>
      <c r="H175" s="243"/>
      <c r="I175" s="243"/>
      <c r="J175" s="243"/>
      <c r="K175" s="243"/>
      <c r="L175" s="243"/>
    </row>
    <row r="176" spans="2:13">
      <c r="B176" s="244" t="s">
        <v>64</v>
      </c>
      <c r="C176" s="244"/>
      <c r="D176" s="244"/>
      <c r="E176" s="244"/>
      <c r="F176" s="244"/>
      <c r="G176" s="244"/>
      <c r="H176" s="244"/>
      <c r="I176" s="244"/>
      <c r="J176" s="244"/>
      <c r="K176" s="244"/>
      <c r="L176" s="244"/>
    </row>
    <row r="177" spans="2:13" s="147" customFormat="1">
      <c r="B177" s="163"/>
      <c r="C177" s="163"/>
      <c r="D177" s="163"/>
      <c r="E177" s="163"/>
      <c r="F177" s="163"/>
      <c r="G177" s="163"/>
      <c r="H177" s="163"/>
      <c r="I177" s="163"/>
      <c r="J177" s="163"/>
      <c r="K177" s="163"/>
      <c r="L177" s="163"/>
    </row>
    <row r="178" spans="2:13">
      <c r="B178" s="42" t="s">
        <v>51</v>
      </c>
      <c r="C178" s="245" t="str">
        <f>'AER Summary'!B36</f>
        <v>Correction of metering and market billing data</v>
      </c>
      <c r="D178" s="245"/>
      <c r="E178" s="245"/>
      <c r="F178" s="245"/>
      <c r="G178" s="245"/>
      <c r="H178" s="245"/>
      <c r="I178" s="245"/>
      <c r="J178" s="245"/>
      <c r="K178" s="245"/>
      <c r="L178" s="245"/>
    </row>
    <row r="179" spans="2:13" ht="28.8">
      <c r="B179" s="43"/>
      <c r="C179" s="241" t="s">
        <v>55</v>
      </c>
      <c r="D179" s="242"/>
      <c r="E179" s="45" t="s">
        <v>58</v>
      </c>
      <c r="F179" s="45" t="s">
        <v>96</v>
      </c>
      <c r="G179" s="45" t="s">
        <v>57</v>
      </c>
      <c r="H179" s="45" t="s">
        <v>65</v>
      </c>
      <c r="I179" s="85"/>
      <c r="J179" s="47" t="s">
        <v>54</v>
      </c>
      <c r="K179" s="47" t="s">
        <v>31</v>
      </c>
      <c r="L179" s="47" t="s">
        <v>52</v>
      </c>
    </row>
    <row r="180" spans="2:13">
      <c r="B180" s="41"/>
      <c r="C180" s="44" t="s">
        <v>41</v>
      </c>
      <c r="D180" s="53" t="str">
        <f>VLOOKUP($C180,'Input Data'!$B$37:$C$41,2,FALSE)</f>
        <v>Admin Support</v>
      </c>
      <c r="E180" s="54">
        <f>VLOOKUP($C180,'Input Data'!$B$37:$L$41,11,FALSE)</f>
        <v>102.26</v>
      </c>
      <c r="F180" s="54">
        <v>1</v>
      </c>
      <c r="G180" s="49">
        <f>30/60</f>
        <v>0.5</v>
      </c>
      <c r="H180" s="55">
        <f>E180*F180*G180</f>
        <v>51.13</v>
      </c>
      <c r="I180" s="41"/>
      <c r="J180" s="54">
        <f>VLOOKUP($C180,'Input Data'!$B$37:$L$41,3,FALSE)*G180</f>
        <v>21.850883992728793</v>
      </c>
      <c r="K180" s="54">
        <f>VLOOKUP($C180,'Input Data'!$B$37:$L$41,6,FALSE)*G180</f>
        <v>11.413159361961064</v>
      </c>
      <c r="L180" s="54">
        <f>VLOOKUP($C180,'Input Data'!$B$37:$L$41,8,FALSE)*G180</f>
        <v>16.63202167734493</v>
      </c>
    </row>
    <row r="181" spans="2:13">
      <c r="B181" s="41"/>
      <c r="C181" s="48"/>
      <c r="D181" s="48"/>
      <c r="E181" s="48"/>
      <c r="F181" s="80"/>
      <c r="G181" s="50" t="s">
        <v>53</v>
      </c>
      <c r="H181" s="56">
        <f>SUM(H180:H180)</f>
        <v>51.13</v>
      </c>
      <c r="I181" s="41"/>
      <c r="J181" s="56">
        <f>SUM(J180:J180)</f>
        <v>21.850883992728793</v>
      </c>
      <c r="K181" s="56">
        <f>SUM(K180:K180)</f>
        <v>11.413159361961064</v>
      </c>
      <c r="L181" s="56">
        <f>SUM(L180:L180)</f>
        <v>16.63202167734493</v>
      </c>
      <c r="M181" s="166"/>
    </row>
    <row r="182" spans="2:13" s="147" customFormat="1">
      <c r="B182" s="163"/>
      <c r="C182" s="163"/>
      <c r="D182" s="163"/>
      <c r="E182" s="163"/>
      <c r="F182" s="163"/>
      <c r="G182" s="163"/>
      <c r="H182" s="163"/>
      <c r="I182" s="163"/>
      <c r="J182" s="163"/>
      <c r="K182" s="163"/>
      <c r="L182" s="163"/>
    </row>
    <row r="183" spans="2:13">
      <c r="B183" s="243" t="s">
        <v>14</v>
      </c>
      <c r="C183" s="243"/>
      <c r="D183" s="243"/>
      <c r="E183" s="243"/>
      <c r="F183" s="243"/>
      <c r="G183" s="243"/>
      <c r="H183" s="243"/>
      <c r="I183" s="243"/>
      <c r="J183" s="243"/>
      <c r="K183" s="243"/>
      <c r="L183" s="243"/>
    </row>
    <row r="184" spans="2:13">
      <c r="B184" s="244" t="s">
        <v>308</v>
      </c>
      <c r="C184" s="244"/>
      <c r="D184" s="244"/>
      <c r="E184" s="244"/>
      <c r="F184" s="244"/>
      <c r="G184" s="244"/>
      <c r="H184" s="244"/>
      <c r="I184" s="244"/>
      <c r="J184" s="244"/>
      <c r="K184" s="244"/>
      <c r="L184" s="244"/>
    </row>
    <row r="185" spans="2:13" s="147" customFormat="1">
      <c r="B185" s="163"/>
      <c r="C185" s="163"/>
      <c r="D185" s="163"/>
      <c r="E185" s="163"/>
      <c r="F185" s="163"/>
      <c r="G185" s="163"/>
      <c r="H185" s="163"/>
      <c r="I185" s="163"/>
      <c r="J185" s="163"/>
      <c r="K185" s="163"/>
      <c r="L185" s="163"/>
    </row>
    <row r="186" spans="2:13">
      <c r="B186" s="42" t="s">
        <v>51</v>
      </c>
      <c r="C186" s="245" t="str">
        <f>'AER Summary'!B37</f>
        <v>Final read after type 5 meter equipment removed</v>
      </c>
      <c r="D186" s="245"/>
      <c r="E186" s="245"/>
      <c r="F186" s="245"/>
      <c r="G186" s="245"/>
      <c r="H186" s="245"/>
      <c r="I186" s="245"/>
      <c r="J186" s="245"/>
      <c r="K186" s="245"/>
      <c r="L186" s="245"/>
    </row>
    <row r="187" spans="2:13" ht="28.8">
      <c r="B187" s="43"/>
      <c r="C187" s="241" t="s">
        <v>55</v>
      </c>
      <c r="D187" s="242"/>
      <c r="E187" s="45" t="s">
        <v>58</v>
      </c>
      <c r="F187" s="45" t="s">
        <v>96</v>
      </c>
      <c r="G187" s="45" t="s">
        <v>57</v>
      </c>
      <c r="H187" s="45" t="s">
        <v>65</v>
      </c>
      <c r="I187" s="85"/>
      <c r="J187" s="47" t="s">
        <v>54</v>
      </c>
      <c r="K187" s="47" t="s">
        <v>31</v>
      </c>
      <c r="L187" s="47" t="s">
        <v>52</v>
      </c>
    </row>
    <row r="188" spans="2:13">
      <c r="B188" s="43"/>
      <c r="C188" s="44" t="s">
        <v>41</v>
      </c>
      <c r="D188" s="53" t="str">
        <f>VLOOKUP($C188,'Input Data'!$B$37:$C$41,2,FALSE)</f>
        <v>Admin Support</v>
      </c>
      <c r="E188" s="54">
        <f>VLOOKUP($C188,'Input Data'!$B$37:$L$41,11,FALSE)</f>
        <v>102.26</v>
      </c>
      <c r="F188" s="54">
        <v>1</v>
      </c>
      <c r="G188" s="49">
        <f>10/60</f>
        <v>0.16666666666666666</v>
      </c>
      <c r="H188" s="55">
        <f>E188*F188*G188</f>
        <v>17.043333333333333</v>
      </c>
      <c r="I188" s="41"/>
      <c r="J188" s="54">
        <f>VLOOKUP($C188,'Input Data'!$B$37:$L$41,3,FALSE)*G188</f>
        <v>7.2836279975762643</v>
      </c>
      <c r="K188" s="54">
        <f>VLOOKUP($C188,'Input Data'!$B$37:$L$41,6,FALSE)*G188</f>
        <v>3.8043864539870214</v>
      </c>
      <c r="L188" s="54">
        <f>VLOOKUP($C188,'Input Data'!$B$37:$L$41,8,FALSE)*G188</f>
        <v>5.5440072257816428</v>
      </c>
    </row>
    <row r="189" spans="2:13">
      <c r="B189" s="41"/>
      <c r="C189" s="44" t="s">
        <v>43</v>
      </c>
      <c r="D189" s="53" t="str">
        <f>VLOOKUP($C189,'Input Data'!$B$37:$C$41,2,FALSE)</f>
        <v>Technical Specialist R2</v>
      </c>
      <c r="E189" s="54">
        <f>VLOOKUP($C189,'Input Data'!$B$37:$L$41,11,FALSE)</f>
        <v>153.38999999999999</v>
      </c>
      <c r="F189" s="54">
        <v>1</v>
      </c>
      <c r="G189" s="49">
        <v>0.33333333333333331</v>
      </c>
      <c r="H189" s="55">
        <f>E189*F189*G189</f>
        <v>51.129999999999995</v>
      </c>
      <c r="I189" s="41"/>
      <c r="J189" s="54">
        <f>VLOOKUP($C189,'Input Data'!$B$37:$L$41,3,FALSE)*G189</f>
        <v>22.037643684974334</v>
      </c>
      <c r="K189" s="54">
        <f>VLOOKUP($C189,'Input Data'!$B$37:$L$41,6,FALSE)*G189</f>
        <v>11.510707732576115</v>
      </c>
      <c r="L189" s="54">
        <f>VLOOKUP($C189,'Input Data'!$B$37:$L$41,8,FALSE)*G189</f>
        <v>19.793527336354764</v>
      </c>
    </row>
    <row r="190" spans="2:13">
      <c r="B190" s="41"/>
      <c r="C190" s="48"/>
      <c r="D190" s="48"/>
      <c r="E190" s="48"/>
      <c r="F190" s="80"/>
      <c r="G190" s="50" t="s">
        <v>53</v>
      </c>
      <c r="H190" s="56">
        <f>SUM(H188:H189)</f>
        <v>68.173333333333332</v>
      </c>
      <c r="I190" s="41"/>
      <c r="J190" s="56">
        <f>SUM(J188:J189)</f>
        <v>29.321271682550599</v>
      </c>
      <c r="K190" s="56">
        <f t="shared" ref="K190:L190" si="5">SUM(K188:K189)</f>
        <v>15.315094186563137</v>
      </c>
      <c r="L190" s="56">
        <f t="shared" si="5"/>
        <v>25.337534562136405</v>
      </c>
      <c r="M190" s="166"/>
    </row>
    <row r="191" spans="2:13" s="147" customFormat="1">
      <c r="B191" s="163"/>
      <c r="C191" s="163"/>
      <c r="D191" s="163"/>
      <c r="E191" s="163"/>
      <c r="F191" s="163"/>
      <c r="G191" s="163"/>
      <c r="H191" s="163"/>
      <c r="I191" s="163"/>
      <c r="J191" s="163"/>
      <c r="K191" s="163"/>
      <c r="L191" s="163"/>
    </row>
    <row r="192" spans="2:13">
      <c r="B192" s="243" t="s">
        <v>14</v>
      </c>
      <c r="C192" s="243"/>
      <c r="D192" s="243"/>
      <c r="E192" s="243"/>
      <c r="F192" s="243"/>
      <c r="G192" s="243"/>
      <c r="H192" s="243"/>
      <c r="I192" s="243"/>
      <c r="J192" s="243"/>
      <c r="K192" s="243"/>
      <c r="L192" s="243"/>
    </row>
    <row r="193" spans="2:13">
      <c r="B193" s="244" t="s">
        <v>308</v>
      </c>
      <c r="C193" s="244"/>
      <c r="D193" s="244"/>
      <c r="E193" s="244"/>
      <c r="F193" s="244"/>
      <c r="G193" s="244"/>
      <c r="H193" s="244"/>
      <c r="I193" s="244"/>
      <c r="J193" s="244"/>
      <c r="K193" s="244"/>
      <c r="L193" s="244"/>
    </row>
    <row r="194" spans="2:13" s="147" customFormat="1">
      <c r="B194" s="163"/>
      <c r="C194" s="163"/>
      <c r="D194" s="163"/>
      <c r="E194" s="163"/>
      <c r="F194" s="163"/>
      <c r="G194" s="163"/>
      <c r="H194" s="163"/>
      <c r="I194" s="163"/>
      <c r="J194" s="163"/>
      <c r="K194" s="163"/>
      <c r="L194" s="163"/>
    </row>
    <row r="195" spans="2:13">
      <c r="B195" s="42" t="s">
        <v>51</v>
      </c>
      <c r="C195" s="245" t="str">
        <f>'AER Summary'!B38</f>
        <v>Type 5 and 6 CT testing</v>
      </c>
      <c r="D195" s="245"/>
      <c r="E195" s="245"/>
      <c r="F195" s="245"/>
      <c r="G195" s="245"/>
      <c r="H195" s="245"/>
      <c r="I195" s="245"/>
      <c r="J195" s="245"/>
      <c r="K195" s="245"/>
      <c r="L195" s="245"/>
    </row>
    <row r="196" spans="2:13" ht="28.8">
      <c r="B196" s="43"/>
      <c r="C196" s="241" t="s">
        <v>55</v>
      </c>
      <c r="D196" s="242"/>
      <c r="E196" s="45" t="s">
        <v>58</v>
      </c>
      <c r="F196" s="45" t="s">
        <v>96</v>
      </c>
      <c r="G196" s="45" t="s">
        <v>57</v>
      </c>
      <c r="H196" s="45" t="s">
        <v>65</v>
      </c>
      <c r="I196" s="85"/>
      <c r="J196" s="47" t="s">
        <v>54</v>
      </c>
      <c r="K196" s="47" t="s">
        <v>31</v>
      </c>
      <c r="L196" s="47" t="s">
        <v>52</v>
      </c>
    </row>
    <row r="197" spans="2:13">
      <c r="B197" s="41"/>
      <c r="C197" s="44" t="s">
        <v>47</v>
      </c>
      <c r="D197" s="53" t="str">
        <f>VLOOKUP($C197,'Input Data'!$B$37:$C$41,2,FALSE)</f>
        <v>Field Worker R4</v>
      </c>
      <c r="E197" s="54">
        <f>VLOOKUP($C197,'Input Data'!$B$37:$L$41,11,FALSE)</f>
        <v>147.83000000000001</v>
      </c>
      <c r="F197" s="54">
        <v>2</v>
      </c>
      <c r="G197" s="49">
        <v>2</v>
      </c>
      <c r="H197" s="55">
        <f>E197*F197*G197</f>
        <v>591.32000000000005</v>
      </c>
      <c r="I197" s="41"/>
      <c r="J197" s="54">
        <f>VLOOKUP($C197,'Input Data'!$B$37:$L$41,3,FALSE)*G197*F197</f>
        <v>210.66493285297503</v>
      </c>
      <c r="K197" s="54">
        <f>VLOOKUP($C197,'Input Data'!$B$37:$L$41,6,FALSE)*G197*F197</f>
        <v>110.03456205377847</v>
      </c>
      <c r="L197" s="54">
        <f>VLOOKUP($C197,'Input Data'!$B$37:$L$41,8,FALSE)*G197*F197</f>
        <v>279.00856056887557</v>
      </c>
    </row>
    <row r="198" spans="2:13">
      <c r="B198" s="41"/>
      <c r="C198" s="48"/>
      <c r="D198" s="48"/>
      <c r="E198" s="48"/>
      <c r="F198" s="80"/>
      <c r="G198" s="50" t="s">
        <v>53</v>
      </c>
      <c r="H198" s="56">
        <f>SUM(H197:H197)</f>
        <v>591.32000000000005</v>
      </c>
      <c r="I198" s="41"/>
      <c r="J198" s="56">
        <f>SUM(J197:J197)</f>
        <v>210.66493285297503</v>
      </c>
      <c r="K198" s="56">
        <f>SUM(K197:K197)</f>
        <v>110.03456205377847</v>
      </c>
      <c r="L198" s="56">
        <f>SUM(L197:L197)</f>
        <v>279.00856056887557</v>
      </c>
      <c r="M198" s="166"/>
    </row>
    <row r="199" spans="2:13" s="147" customFormat="1">
      <c r="B199" s="163"/>
      <c r="C199" s="163"/>
      <c r="D199" s="163"/>
      <c r="E199" s="163"/>
      <c r="F199" s="163"/>
      <c r="G199" s="163"/>
      <c r="H199" s="163"/>
      <c r="I199" s="163"/>
      <c r="J199" s="163"/>
      <c r="K199" s="163"/>
      <c r="L199" s="163"/>
    </row>
    <row r="200" spans="2:13">
      <c r="B200" s="243" t="s">
        <v>14</v>
      </c>
      <c r="C200" s="243"/>
      <c r="D200" s="243"/>
      <c r="E200" s="243"/>
      <c r="F200" s="243"/>
      <c r="G200" s="243"/>
      <c r="H200" s="243"/>
      <c r="I200" s="243"/>
      <c r="J200" s="243"/>
      <c r="K200" s="243"/>
      <c r="L200" s="243"/>
      <c r="M200" s="7"/>
    </row>
    <row r="201" spans="2:13">
      <c r="B201" s="244" t="s">
        <v>64</v>
      </c>
      <c r="C201" s="244"/>
      <c r="D201" s="244"/>
      <c r="E201" s="244"/>
      <c r="F201" s="244"/>
      <c r="G201" s="244"/>
      <c r="H201" s="244"/>
      <c r="I201" s="244"/>
      <c r="J201" s="244"/>
      <c r="K201" s="244"/>
      <c r="L201" s="244"/>
      <c r="M201" s="7"/>
    </row>
    <row r="202" spans="2:13" s="147" customFormat="1">
      <c r="B202" s="163"/>
      <c r="C202" s="163"/>
      <c r="D202" s="163"/>
      <c r="E202" s="163"/>
      <c r="F202" s="163"/>
      <c r="G202" s="163"/>
      <c r="H202" s="163"/>
      <c r="I202" s="163"/>
      <c r="J202" s="163"/>
      <c r="K202" s="163"/>
      <c r="L202" s="163"/>
    </row>
    <row r="203" spans="2:13">
      <c r="B203" s="42" t="s">
        <v>51</v>
      </c>
      <c r="C203" s="245" t="str">
        <f>'AER Summary'!B39</f>
        <v>Type 5 and 6 CT recovery</v>
      </c>
      <c r="D203" s="245"/>
      <c r="E203" s="245"/>
      <c r="F203" s="245"/>
      <c r="G203" s="245"/>
      <c r="H203" s="245"/>
      <c r="I203" s="245"/>
      <c r="J203" s="245"/>
      <c r="K203" s="245"/>
      <c r="L203" s="245"/>
    </row>
    <row r="204" spans="2:13" ht="28.8">
      <c r="B204" s="43"/>
      <c r="C204" s="241" t="s">
        <v>55</v>
      </c>
      <c r="D204" s="242"/>
      <c r="E204" s="45" t="s">
        <v>58</v>
      </c>
      <c r="F204" s="45" t="s">
        <v>96</v>
      </c>
      <c r="G204" s="45" t="s">
        <v>57</v>
      </c>
      <c r="H204" s="45" t="s">
        <v>65</v>
      </c>
      <c r="I204" s="85"/>
      <c r="J204" s="47" t="s">
        <v>54</v>
      </c>
      <c r="K204" s="47" t="s">
        <v>31</v>
      </c>
      <c r="L204" s="47" t="s">
        <v>52</v>
      </c>
    </row>
    <row r="205" spans="2:13">
      <c r="B205" s="41"/>
      <c r="C205" s="44" t="s">
        <v>47</v>
      </c>
      <c r="D205" s="53" t="str">
        <f>VLOOKUP($C205,'Input Data'!$B$37:$C$41,2,FALSE)</f>
        <v>Field Worker R4</v>
      </c>
      <c r="E205" s="54">
        <f>VLOOKUP($C205,'Input Data'!$B$37:$L$41,11,FALSE)</f>
        <v>147.83000000000001</v>
      </c>
      <c r="F205" s="54">
        <v>2</v>
      </c>
      <c r="G205" s="49">
        <v>2</v>
      </c>
      <c r="H205" s="55">
        <f>E205*F205*G205</f>
        <v>591.32000000000005</v>
      </c>
      <c r="I205" s="41"/>
      <c r="J205" s="54">
        <f>VLOOKUP($C205,'Input Data'!$B$37:$L$41,3,FALSE)*G205*F205</f>
        <v>210.66493285297503</v>
      </c>
      <c r="K205" s="54">
        <f>VLOOKUP($C205,'Input Data'!$B$37:$L$41,6,FALSE)*G205*F205</f>
        <v>110.03456205377847</v>
      </c>
      <c r="L205" s="54">
        <f>VLOOKUP($C205,'Input Data'!$B$37:$L$41,8,FALSE)*G205*F205</f>
        <v>279.00856056887557</v>
      </c>
    </row>
    <row r="206" spans="2:13">
      <c r="B206" s="41"/>
      <c r="C206" s="48"/>
      <c r="D206" s="48"/>
      <c r="E206" s="48"/>
      <c r="F206" s="80"/>
      <c r="G206" s="50" t="s">
        <v>53</v>
      </c>
      <c r="H206" s="56">
        <f>SUM(H205:H205)</f>
        <v>591.32000000000005</v>
      </c>
      <c r="I206" s="41"/>
      <c r="J206" s="56">
        <f>SUM(J205:J205)</f>
        <v>210.66493285297503</v>
      </c>
      <c r="K206" s="56">
        <f>SUM(K205:K205)</f>
        <v>110.03456205377847</v>
      </c>
      <c r="L206" s="56">
        <f>SUM(L205:L205)</f>
        <v>279.00856056887557</v>
      </c>
      <c r="M206" s="166"/>
    </row>
    <row r="207" spans="2:13" s="147" customFormat="1">
      <c r="B207" s="163"/>
      <c r="C207" s="163"/>
      <c r="D207" s="163"/>
      <c r="E207" s="163"/>
      <c r="F207" s="163"/>
      <c r="G207" s="163"/>
      <c r="H207" s="163"/>
      <c r="I207" s="163"/>
      <c r="J207" s="163"/>
      <c r="K207" s="163"/>
      <c r="L207" s="163"/>
    </row>
    <row r="208" spans="2:13">
      <c r="B208" s="243" t="s">
        <v>14</v>
      </c>
      <c r="C208" s="243"/>
      <c r="D208" s="243"/>
      <c r="E208" s="243"/>
      <c r="F208" s="243"/>
      <c r="G208" s="243"/>
      <c r="H208" s="243"/>
      <c r="I208" s="243"/>
      <c r="J208" s="243"/>
      <c r="K208" s="243"/>
      <c r="L208" s="243"/>
      <c r="M208" s="7"/>
    </row>
    <row r="209" spans="2:13">
      <c r="B209" s="244" t="s">
        <v>64</v>
      </c>
      <c r="C209" s="244"/>
      <c r="D209" s="244"/>
      <c r="E209" s="244"/>
      <c r="F209" s="244"/>
      <c r="G209" s="244"/>
      <c r="H209" s="244"/>
      <c r="I209" s="244"/>
      <c r="J209" s="244"/>
      <c r="K209" s="244"/>
      <c r="L209" s="244"/>
      <c r="M209" s="7"/>
    </row>
    <row r="210" spans="2:13" s="147" customFormat="1">
      <c r="B210" s="163"/>
      <c r="C210" s="163"/>
      <c r="D210" s="163"/>
      <c r="E210" s="163"/>
      <c r="F210" s="163"/>
      <c r="G210" s="163"/>
      <c r="H210" s="163"/>
      <c r="I210" s="163"/>
      <c r="J210" s="163"/>
      <c r="K210" s="163"/>
      <c r="L210" s="163"/>
    </row>
    <row r="211" spans="2:13">
      <c r="B211" s="42" t="s">
        <v>51</v>
      </c>
      <c r="C211" s="240" t="str">
        <f>'AER Summary'!B40</f>
        <v>Metering Site Alteration</v>
      </c>
      <c r="D211" s="240"/>
      <c r="E211" s="240"/>
      <c r="F211" s="240"/>
      <c r="G211" s="240"/>
      <c r="H211" s="240"/>
      <c r="I211" s="240"/>
      <c r="J211" s="240"/>
      <c r="K211" s="240"/>
      <c r="L211" s="240"/>
    </row>
    <row r="212" spans="2:13" ht="28.8">
      <c r="B212" s="43"/>
      <c r="C212" s="241" t="s">
        <v>55</v>
      </c>
      <c r="D212" s="242"/>
      <c r="E212" s="45" t="s">
        <v>58</v>
      </c>
      <c r="F212" s="45" t="s">
        <v>96</v>
      </c>
      <c r="G212" s="45" t="s">
        <v>57</v>
      </c>
      <c r="H212" s="45" t="s">
        <v>65</v>
      </c>
      <c r="I212" s="85"/>
      <c r="J212" s="47" t="s">
        <v>54</v>
      </c>
      <c r="K212" s="47" t="s">
        <v>31</v>
      </c>
      <c r="L212" s="47" t="s">
        <v>52</v>
      </c>
    </row>
    <row r="213" spans="2:13">
      <c r="B213" s="41"/>
      <c r="C213" s="44" t="s">
        <v>41</v>
      </c>
      <c r="D213" s="53" t="str">
        <f>VLOOKUP($C213,'Input Data'!$B$37:$C$41,2,FALSE)</f>
        <v>Admin Support</v>
      </c>
      <c r="E213" s="54">
        <f>VLOOKUP($C213,'Input Data'!$B$37:$L$41,11,FALSE)</f>
        <v>102.26</v>
      </c>
      <c r="F213" s="54">
        <v>1</v>
      </c>
      <c r="G213" s="49">
        <v>0.3</v>
      </c>
      <c r="H213" s="55">
        <f>E213*F213*G213</f>
        <v>30.678000000000001</v>
      </c>
      <c r="I213" s="41"/>
      <c r="J213" s="54">
        <f>VLOOKUP($C213,'Input Data'!$B$37:$L$41,3,FALSE)*G213*F213</f>
        <v>13.110530395637275</v>
      </c>
      <c r="K213" s="54">
        <f>VLOOKUP($C213,'Input Data'!$B$37:$L$41,6,FALSE)*G213*F213</f>
        <v>6.8478956171766381</v>
      </c>
      <c r="L213" s="54">
        <f>VLOOKUP($C213,'Input Data'!$B$37:$L$41,8,FALSE)*G213*F213</f>
        <v>9.9792130064069582</v>
      </c>
    </row>
    <row r="214" spans="2:13">
      <c r="B214" s="41"/>
      <c r="C214" s="48"/>
      <c r="D214" s="48"/>
      <c r="E214" s="48"/>
      <c r="F214" s="80"/>
      <c r="G214" s="50" t="s">
        <v>53</v>
      </c>
      <c r="H214" s="56">
        <f>SUM(H213:H213)</f>
        <v>30.678000000000001</v>
      </c>
      <c r="I214" s="41"/>
      <c r="J214" s="56">
        <f>SUM(J213:J213)</f>
        <v>13.110530395637275</v>
      </c>
      <c r="K214" s="56">
        <f>SUM(K213:K213)</f>
        <v>6.8478956171766381</v>
      </c>
      <c r="L214" s="56">
        <f>SUM(L213:L213)</f>
        <v>9.9792130064069582</v>
      </c>
      <c r="M214" s="166"/>
    </row>
    <row r="215" spans="2:13" s="147" customFormat="1">
      <c r="B215" s="163"/>
      <c r="C215" s="163"/>
      <c r="D215" s="163"/>
      <c r="E215" s="163"/>
      <c r="F215" s="163"/>
      <c r="G215" s="163"/>
      <c r="H215" s="163"/>
      <c r="I215" s="163"/>
      <c r="J215" s="163"/>
      <c r="K215" s="163"/>
      <c r="L215" s="163"/>
    </row>
    <row r="216" spans="2:13">
      <c r="B216" s="243" t="s">
        <v>14</v>
      </c>
      <c r="C216" s="243"/>
      <c r="D216" s="243"/>
      <c r="E216" s="243"/>
      <c r="F216" s="243"/>
      <c r="G216" s="243"/>
      <c r="H216" s="243"/>
      <c r="I216" s="243"/>
      <c r="J216" s="243"/>
      <c r="K216" s="243"/>
      <c r="L216" s="243"/>
    </row>
    <row r="217" spans="2:13">
      <c r="B217" s="244" t="s">
        <v>308</v>
      </c>
      <c r="C217" s="244"/>
      <c r="D217" s="244"/>
      <c r="E217" s="244"/>
      <c r="F217" s="244"/>
      <c r="G217" s="244"/>
      <c r="H217" s="244"/>
      <c r="I217" s="244"/>
      <c r="J217" s="244"/>
      <c r="K217" s="244"/>
      <c r="L217" s="244"/>
    </row>
    <row r="218" spans="2:13" s="147" customFormat="1">
      <c r="B218" s="163"/>
      <c r="C218" s="163"/>
      <c r="D218" s="163"/>
      <c r="E218" s="163"/>
      <c r="F218" s="163"/>
      <c r="G218" s="163"/>
      <c r="H218" s="163"/>
      <c r="I218" s="163"/>
      <c r="J218" s="163"/>
      <c r="K218" s="163"/>
      <c r="L218" s="163"/>
    </row>
    <row r="219" spans="2:13">
      <c r="B219" s="42" t="s">
        <v>51</v>
      </c>
      <c r="C219" s="240" t="str">
        <f>'AER Summary'!B41</f>
        <v>NMI Extinction</v>
      </c>
      <c r="D219" s="240"/>
      <c r="E219" s="240"/>
      <c r="F219" s="240"/>
      <c r="G219" s="240"/>
      <c r="H219" s="240"/>
      <c r="I219" s="240"/>
      <c r="J219" s="240"/>
      <c r="K219" s="240"/>
      <c r="L219" s="240"/>
    </row>
    <row r="220" spans="2:13" ht="28.8">
      <c r="B220" s="43"/>
      <c r="C220" s="241" t="s">
        <v>55</v>
      </c>
      <c r="D220" s="242"/>
      <c r="E220" s="45" t="s">
        <v>58</v>
      </c>
      <c r="F220" s="45" t="s">
        <v>96</v>
      </c>
      <c r="G220" s="45" t="s">
        <v>57</v>
      </c>
      <c r="H220" s="45" t="s">
        <v>65</v>
      </c>
      <c r="I220" s="85"/>
      <c r="J220" s="47" t="s">
        <v>54</v>
      </c>
      <c r="K220" s="47" t="s">
        <v>31</v>
      </c>
      <c r="L220" s="47" t="s">
        <v>52</v>
      </c>
    </row>
    <row r="221" spans="2:13">
      <c r="B221" s="41"/>
      <c r="C221" s="44" t="s">
        <v>41</v>
      </c>
      <c r="D221" s="53" t="str">
        <f>VLOOKUP($C221,'Input Data'!$B$37:$C$41,2,FALSE)</f>
        <v>Admin Support</v>
      </c>
      <c r="E221" s="54">
        <f>VLOOKUP($C221,'Input Data'!$B$37:$L$41,11,FALSE)</f>
        <v>102.26</v>
      </c>
      <c r="F221" s="54">
        <v>1</v>
      </c>
      <c r="G221" s="49">
        <v>0.3</v>
      </c>
      <c r="H221" s="55">
        <f>E221*F221*G221</f>
        <v>30.678000000000001</v>
      </c>
      <c r="I221" s="41"/>
      <c r="J221" s="54">
        <f>VLOOKUP($C221,'Input Data'!$B$37:$L$41,3,FALSE)*G221*F221</f>
        <v>13.110530395637275</v>
      </c>
      <c r="K221" s="54">
        <f>VLOOKUP($C221,'Input Data'!$B$37:$L$41,6,FALSE)*G221*F221</f>
        <v>6.8478956171766381</v>
      </c>
      <c r="L221" s="54">
        <f>VLOOKUP($C221,'Input Data'!$B$37:$L$41,8,FALSE)*G221*F221</f>
        <v>9.9792130064069582</v>
      </c>
    </row>
    <row r="222" spans="2:13">
      <c r="B222" s="41"/>
      <c r="C222" s="48"/>
      <c r="D222" s="48"/>
      <c r="E222" s="48"/>
      <c r="F222" s="80"/>
      <c r="G222" s="50" t="s">
        <v>53</v>
      </c>
      <c r="H222" s="56">
        <f>SUM(H221:H221)</f>
        <v>30.678000000000001</v>
      </c>
      <c r="I222" s="41"/>
      <c r="J222" s="56">
        <f>SUM(J221:J221)</f>
        <v>13.110530395637275</v>
      </c>
      <c r="K222" s="56">
        <f>SUM(K221:K221)</f>
        <v>6.8478956171766381</v>
      </c>
      <c r="L222" s="56">
        <f>SUM(L221:L221)</f>
        <v>9.9792130064069582</v>
      </c>
      <c r="M222" s="166"/>
    </row>
    <row r="223" spans="2:13" s="147" customFormat="1">
      <c r="B223" s="163"/>
      <c r="C223" s="163"/>
      <c r="D223" s="163"/>
      <c r="E223" s="163"/>
      <c r="F223" s="163"/>
      <c r="G223" s="163"/>
      <c r="H223" s="163"/>
      <c r="I223" s="163"/>
      <c r="J223" s="163"/>
      <c r="K223" s="163"/>
      <c r="L223" s="163"/>
    </row>
    <row r="224" spans="2:13">
      <c r="B224" s="243" t="s">
        <v>14</v>
      </c>
      <c r="C224" s="243"/>
      <c r="D224" s="243"/>
      <c r="E224" s="243"/>
      <c r="F224" s="243"/>
      <c r="G224" s="243"/>
      <c r="H224" s="243"/>
      <c r="I224" s="243"/>
      <c r="J224" s="243"/>
      <c r="K224" s="243"/>
      <c r="L224" s="243"/>
    </row>
    <row r="225" spans="2:12">
      <c r="B225" s="244" t="s">
        <v>308</v>
      </c>
      <c r="C225" s="244"/>
      <c r="D225" s="244"/>
      <c r="E225" s="244"/>
      <c r="F225" s="244"/>
      <c r="G225" s="244"/>
      <c r="H225" s="244"/>
      <c r="I225" s="244"/>
      <c r="J225" s="244"/>
      <c r="K225" s="244"/>
      <c r="L225" s="244"/>
    </row>
    <row r="226" spans="2:12" s="147" customFormat="1">
      <c r="B226" s="163"/>
      <c r="C226" s="163"/>
      <c r="D226" s="163"/>
      <c r="E226" s="163"/>
      <c r="F226" s="163"/>
      <c r="G226" s="163"/>
      <c r="H226" s="163"/>
      <c r="I226" s="163"/>
      <c r="J226" s="163"/>
      <c r="K226" s="163"/>
      <c r="L226" s="163"/>
    </row>
    <row r="227" spans="2:12" s="147" customFormat="1">
      <c r="B227" s="163"/>
      <c r="C227" s="163"/>
      <c r="D227" s="163"/>
      <c r="E227" s="163"/>
      <c r="F227" s="163"/>
      <c r="G227" s="163"/>
      <c r="H227" s="163"/>
      <c r="I227" s="163"/>
      <c r="J227" s="163"/>
      <c r="K227" s="163"/>
      <c r="L227" s="163"/>
    </row>
    <row r="228" spans="2:12" s="147" customFormat="1">
      <c r="B228" s="163"/>
      <c r="C228" s="163"/>
      <c r="D228" s="163"/>
      <c r="E228" s="163"/>
      <c r="F228" s="163"/>
      <c r="G228" s="163"/>
      <c r="H228" s="163"/>
      <c r="I228" s="163"/>
      <c r="J228" s="163"/>
      <c r="K228" s="163"/>
      <c r="L228" s="163"/>
    </row>
    <row r="229" spans="2:12" s="147" customFormat="1">
      <c r="B229" s="163"/>
      <c r="C229" s="163"/>
      <c r="D229" s="163"/>
      <c r="E229" s="163"/>
      <c r="F229" s="163"/>
      <c r="G229" s="163"/>
      <c r="H229" s="163"/>
      <c r="I229" s="163"/>
      <c r="J229" s="163"/>
      <c r="K229" s="163"/>
      <c r="L229" s="163"/>
    </row>
    <row r="230" spans="2:12" s="147" customFormat="1">
      <c r="B230" s="163"/>
      <c r="C230" s="163"/>
      <c r="D230" s="163"/>
      <c r="E230" s="163"/>
      <c r="F230" s="163"/>
      <c r="G230" s="163"/>
      <c r="H230" s="163"/>
      <c r="I230" s="163"/>
      <c r="J230" s="163"/>
      <c r="K230" s="163"/>
      <c r="L230" s="163"/>
    </row>
    <row r="231" spans="2:12" s="147" customFormat="1" hidden="1">
      <c r="B231" s="163"/>
      <c r="C231" s="163"/>
      <c r="D231" s="163"/>
      <c r="E231" s="163"/>
      <c r="F231" s="163"/>
      <c r="G231" s="163"/>
      <c r="H231" s="163"/>
      <c r="I231" s="163"/>
      <c r="J231" s="163"/>
      <c r="K231" s="163"/>
      <c r="L231" s="163"/>
    </row>
    <row r="232" spans="2:12" s="147" customFormat="1" hidden="1">
      <c r="B232" s="163"/>
      <c r="C232" s="163"/>
      <c r="D232" s="163"/>
      <c r="E232" s="163"/>
      <c r="F232" s="163"/>
      <c r="G232" s="163"/>
      <c r="H232" s="163"/>
      <c r="I232" s="163"/>
      <c r="J232" s="163"/>
      <c r="K232" s="163"/>
      <c r="L232" s="163"/>
    </row>
    <row r="233" spans="2:12" s="147" customFormat="1" hidden="1">
      <c r="B233" s="163"/>
      <c r="C233" s="163"/>
      <c r="D233" s="163"/>
      <c r="E233" s="163"/>
      <c r="F233" s="163"/>
      <c r="G233" s="163"/>
      <c r="H233" s="163"/>
      <c r="I233" s="163"/>
      <c r="J233" s="163"/>
      <c r="K233" s="163"/>
      <c r="L233" s="163"/>
    </row>
    <row r="234" spans="2:12" s="147" customFormat="1" hidden="1">
      <c r="B234" s="163"/>
      <c r="C234" s="163"/>
      <c r="D234" s="163"/>
      <c r="E234" s="163"/>
      <c r="F234" s="163"/>
      <c r="G234" s="163"/>
      <c r="H234" s="163"/>
      <c r="I234" s="163"/>
      <c r="J234" s="163"/>
      <c r="K234" s="163"/>
      <c r="L234" s="163"/>
    </row>
    <row r="235" spans="2:12" s="147" customFormat="1" hidden="1">
      <c r="B235" s="163"/>
      <c r="C235" s="163"/>
      <c r="D235" s="163"/>
      <c r="E235" s="163"/>
      <c r="F235" s="163"/>
      <c r="G235" s="163"/>
      <c r="H235" s="163"/>
      <c r="I235" s="163"/>
      <c r="J235" s="163"/>
      <c r="K235" s="163"/>
      <c r="L235" s="163"/>
    </row>
    <row r="236" spans="2:12" s="147" customFormat="1" hidden="1">
      <c r="B236" s="163"/>
      <c r="C236" s="163"/>
      <c r="D236" s="163"/>
      <c r="E236" s="163"/>
      <c r="F236" s="163"/>
      <c r="G236" s="163"/>
      <c r="H236" s="163"/>
      <c r="I236" s="163"/>
      <c r="J236" s="163"/>
      <c r="K236" s="163"/>
      <c r="L236" s="163"/>
    </row>
    <row r="237" spans="2:12" s="147" customFormat="1" hidden="1">
      <c r="B237" s="163"/>
      <c r="C237" s="163"/>
      <c r="D237" s="163"/>
      <c r="E237" s="163"/>
      <c r="F237" s="163"/>
      <c r="G237" s="163"/>
      <c r="H237" s="163"/>
      <c r="I237" s="163"/>
      <c r="J237" s="163"/>
      <c r="K237" s="163"/>
      <c r="L237" s="163"/>
    </row>
    <row r="238" spans="2:12" s="147" customFormat="1" hidden="1">
      <c r="B238" s="163"/>
      <c r="C238" s="163"/>
      <c r="D238" s="163"/>
      <c r="E238" s="163"/>
      <c r="F238" s="163"/>
      <c r="G238" s="163"/>
      <c r="H238" s="163"/>
      <c r="I238" s="163"/>
      <c r="J238" s="163"/>
      <c r="K238" s="163"/>
      <c r="L238" s="163"/>
    </row>
    <row r="239" spans="2:12" s="147" customFormat="1" hidden="1">
      <c r="B239" s="163"/>
      <c r="C239" s="163"/>
      <c r="D239" s="163"/>
      <c r="E239" s="163"/>
      <c r="F239" s="163"/>
      <c r="G239" s="163"/>
      <c r="H239" s="163"/>
      <c r="I239" s="163"/>
      <c r="J239" s="163"/>
      <c r="K239" s="163"/>
      <c r="L239" s="163"/>
    </row>
    <row r="240" spans="2:12" s="147" customFormat="1" hidden="1">
      <c r="B240" s="163"/>
      <c r="C240" s="163"/>
      <c r="D240" s="163"/>
      <c r="E240" s="163"/>
      <c r="F240" s="163"/>
      <c r="G240" s="163"/>
      <c r="H240" s="163"/>
      <c r="I240" s="163"/>
      <c r="J240" s="163"/>
      <c r="K240" s="163"/>
      <c r="L240" s="163"/>
    </row>
    <row r="241" spans="2:12" s="147" customFormat="1" hidden="1">
      <c r="B241" s="163"/>
      <c r="C241" s="163"/>
      <c r="D241" s="163"/>
      <c r="E241" s="163"/>
      <c r="F241" s="163"/>
      <c r="G241" s="163"/>
      <c r="H241" s="163"/>
      <c r="I241" s="163"/>
      <c r="J241" s="163"/>
      <c r="K241" s="163"/>
      <c r="L241" s="163"/>
    </row>
    <row r="242" spans="2:12" s="147" customFormat="1" hidden="1">
      <c r="B242" s="163"/>
      <c r="C242" s="163"/>
      <c r="D242" s="163"/>
      <c r="E242" s="163"/>
      <c r="F242" s="163"/>
      <c r="G242" s="163"/>
      <c r="H242" s="163"/>
      <c r="I242" s="163"/>
      <c r="J242" s="163"/>
      <c r="K242" s="163"/>
      <c r="L242" s="163"/>
    </row>
    <row r="243" spans="2:12" s="147" customFormat="1" hidden="1">
      <c r="B243" s="163"/>
      <c r="C243" s="163"/>
      <c r="D243" s="163"/>
      <c r="E243" s="163"/>
      <c r="F243" s="163"/>
      <c r="G243" s="163"/>
      <c r="H243" s="163"/>
      <c r="I243" s="163"/>
      <c r="J243" s="163"/>
      <c r="K243" s="163"/>
      <c r="L243" s="163"/>
    </row>
    <row r="244" spans="2:12" s="147" customFormat="1" hidden="1">
      <c r="B244" s="163"/>
      <c r="C244" s="163"/>
      <c r="D244" s="163"/>
      <c r="E244" s="163"/>
      <c r="F244" s="163"/>
      <c r="G244" s="163"/>
      <c r="H244" s="163"/>
      <c r="I244" s="163"/>
      <c r="J244" s="163"/>
      <c r="K244" s="163"/>
      <c r="L244" s="163"/>
    </row>
    <row r="245" spans="2:12" s="147" customFormat="1" hidden="1">
      <c r="B245" s="163"/>
      <c r="C245" s="163"/>
      <c r="D245" s="163"/>
      <c r="E245" s="163"/>
      <c r="F245" s="163"/>
      <c r="G245" s="163"/>
      <c r="H245" s="163"/>
      <c r="I245" s="163"/>
      <c r="J245" s="163"/>
      <c r="K245" s="163"/>
      <c r="L245" s="163"/>
    </row>
    <row r="246" spans="2:12" s="147" customFormat="1" hidden="1">
      <c r="B246" s="163"/>
      <c r="C246" s="163"/>
      <c r="D246" s="163"/>
      <c r="E246" s="163"/>
      <c r="F246" s="163"/>
      <c r="G246" s="163"/>
      <c r="H246" s="163"/>
      <c r="I246" s="163"/>
      <c r="J246" s="163"/>
      <c r="K246" s="163"/>
      <c r="L246" s="163"/>
    </row>
    <row r="247" spans="2:12" s="147" customFormat="1" hidden="1">
      <c r="B247" s="163"/>
      <c r="C247" s="163"/>
      <c r="D247" s="163"/>
      <c r="E247" s="163"/>
      <c r="F247" s="163"/>
      <c r="G247" s="163"/>
      <c r="H247" s="163"/>
      <c r="I247" s="163"/>
      <c r="J247" s="163"/>
      <c r="K247" s="163"/>
      <c r="L247" s="163"/>
    </row>
    <row r="248" spans="2:12" s="147" customFormat="1" hidden="1">
      <c r="B248" s="163"/>
      <c r="C248" s="163"/>
      <c r="D248" s="163"/>
      <c r="E248" s="163"/>
      <c r="F248" s="163"/>
      <c r="G248" s="163"/>
      <c r="H248" s="163"/>
      <c r="I248" s="163"/>
      <c r="J248" s="163"/>
      <c r="K248" s="163"/>
      <c r="L248" s="163"/>
    </row>
    <row r="249" spans="2:12" s="147" customFormat="1" hidden="1">
      <c r="B249" s="163"/>
      <c r="C249" s="163"/>
      <c r="D249" s="163"/>
      <c r="E249" s="163"/>
      <c r="F249" s="163"/>
      <c r="G249" s="163"/>
      <c r="H249" s="163"/>
      <c r="I249" s="163"/>
      <c r="J249" s="163"/>
      <c r="K249" s="163"/>
      <c r="L249" s="163"/>
    </row>
    <row r="250" spans="2:12" s="147" customFormat="1" hidden="1">
      <c r="B250" s="163"/>
      <c r="C250" s="163"/>
      <c r="D250" s="163"/>
      <c r="E250" s="163"/>
      <c r="F250" s="163"/>
      <c r="G250" s="163"/>
      <c r="H250" s="163"/>
      <c r="I250" s="163"/>
      <c r="J250" s="163"/>
      <c r="K250" s="163"/>
      <c r="L250" s="163"/>
    </row>
    <row r="251" spans="2:12" s="147" customFormat="1" hidden="1">
      <c r="B251" s="163"/>
      <c r="C251" s="163"/>
      <c r="D251" s="163"/>
      <c r="E251" s="163"/>
      <c r="F251" s="163"/>
      <c r="G251" s="163"/>
      <c r="H251" s="163"/>
      <c r="I251" s="163"/>
      <c r="J251" s="163"/>
      <c r="K251" s="163"/>
      <c r="L251" s="163"/>
    </row>
    <row r="252" spans="2:12" s="147" customFormat="1" hidden="1">
      <c r="B252" s="163"/>
      <c r="C252" s="163"/>
      <c r="D252" s="163"/>
      <c r="E252" s="163"/>
      <c r="F252" s="163"/>
      <c r="G252" s="163"/>
      <c r="H252" s="163"/>
      <c r="I252" s="163"/>
      <c r="J252" s="163"/>
      <c r="K252" s="163"/>
      <c r="L252" s="163"/>
    </row>
    <row r="253" spans="2:12" s="147" customFormat="1" hidden="1">
      <c r="B253" s="163"/>
      <c r="C253" s="163"/>
      <c r="D253" s="163"/>
      <c r="E253" s="163"/>
      <c r="F253" s="163"/>
      <c r="G253" s="163"/>
      <c r="H253" s="163"/>
      <c r="I253" s="163"/>
      <c r="J253" s="163"/>
      <c r="K253" s="163"/>
      <c r="L253" s="163"/>
    </row>
    <row r="254" spans="2:12" s="147" customFormat="1" hidden="1">
      <c r="B254" s="163"/>
      <c r="C254" s="163"/>
      <c r="D254" s="163"/>
      <c r="E254" s="163"/>
      <c r="F254" s="163"/>
      <c r="G254" s="163"/>
      <c r="H254" s="163"/>
      <c r="I254" s="163"/>
      <c r="J254" s="163"/>
      <c r="K254" s="163"/>
      <c r="L254" s="163"/>
    </row>
    <row r="255" spans="2:12" s="147" customFormat="1" hidden="1">
      <c r="B255" s="163"/>
      <c r="C255" s="163"/>
      <c r="D255" s="163"/>
      <c r="E255" s="163"/>
      <c r="F255" s="163"/>
      <c r="G255" s="163"/>
      <c r="H255" s="163"/>
      <c r="I255" s="163"/>
      <c r="J255" s="163"/>
      <c r="K255" s="163"/>
      <c r="L255" s="163"/>
    </row>
    <row r="256" spans="2:12" s="147" customFormat="1" hidden="1">
      <c r="B256" s="163"/>
      <c r="C256" s="163"/>
      <c r="D256" s="163"/>
      <c r="E256" s="163"/>
      <c r="F256" s="163"/>
      <c r="G256" s="163"/>
      <c r="H256" s="163"/>
      <c r="I256" s="163"/>
      <c r="J256" s="163"/>
      <c r="K256" s="163"/>
      <c r="L256" s="163"/>
    </row>
    <row r="257" spans="2:12" s="147" customFormat="1" hidden="1">
      <c r="B257" s="163"/>
      <c r="C257" s="163"/>
      <c r="D257" s="163"/>
      <c r="E257" s="163"/>
      <c r="F257" s="163"/>
      <c r="G257" s="163"/>
      <c r="H257" s="163"/>
      <c r="I257" s="163"/>
      <c r="J257" s="163"/>
      <c r="K257" s="163"/>
      <c r="L257" s="163"/>
    </row>
    <row r="258" spans="2:12" s="147" customFormat="1" hidden="1">
      <c r="B258" s="163"/>
      <c r="C258" s="163"/>
      <c r="D258" s="163"/>
      <c r="E258" s="163"/>
      <c r="F258" s="163"/>
      <c r="G258" s="163"/>
      <c r="H258" s="163"/>
      <c r="I258" s="163"/>
      <c r="J258" s="163"/>
      <c r="K258" s="163"/>
      <c r="L258" s="163"/>
    </row>
    <row r="259" spans="2:12" s="147" customFormat="1" hidden="1">
      <c r="B259" s="163"/>
      <c r="C259" s="163"/>
      <c r="D259" s="163"/>
      <c r="E259" s="163"/>
      <c r="F259" s="163"/>
      <c r="G259" s="163"/>
      <c r="H259" s="163"/>
      <c r="I259" s="163"/>
      <c r="J259" s="163"/>
      <c r="K259" s="163"/>
      <c r="L259" s="163"/>
    </row>
    <row r="260" spans="2:12" s="147" customFormat="1" hidden="1">
      <c r="B260" s="163"/>
      <c r="C260" s="163"/>
      <c r="D260" s="163"/>
      <c r="E260" s="163"/>
      <c r="F260" s="163"/>
      <c r="G260" s="163"/>
      <c r="H260" s="163"/>
      <c r="I260" s="163"/>
      <c r="J260" s="163"/>
      <c r="K260" s="163"/>
      <c r="L260" s="163"/>
    </row>
    <row r="261" spans="2:12" s="147" customFormat="1" hidden="1">
      <c r="B261" s="163"/>
      <c r="C261" s="163"/>
      <c r="D261" s="163"/>
      <c r="E261" s="163"/>
      <c r="F261" s="163"/>
      <c r="G261" s="163"/>
      <c r="H261" s="163"/>
      <c r="I261" s="163"/>
      <c r="J261" s="163"/>
      <c r="K261" s="163"/>
      <c r="L261" s="163"/>
    </row>
    <row r="262" spans="2:12" s="147" customFormat="1" hidden="1">
      <c r="B262" s="163"/>
      <c r="C262" s="163"/>
      <c r="D262" s="163"/>
      <c r="E262" s="163"/>
      <c r="F262" s="163"/>
      <c r="G262" s="163"/>
      <c r="H262" s="163"/>
      <c r="I262" s="163"/>
      <c r="J262" s="163"/>
      <c r="K262" s="163"/>
      <c r="L262" s="163"/>
    </row>
    <row r="263" spans="2:12" s="147" customFormat="1" hidden="1">
      <c r="B263" s="163"/>
      <c r="C263" s="163"/>
      <c r="D263" s="163"/>
      <c r="E263" s="163"/>
      <c r="F263" s="163"/>
      <c r="G263" s="163"/>
      <c r="H263" s="163"/>
      <c r="I263" s="163"/>
      <c r="J263" s="163"/>
      <c r="K263" s="163"/>
      <c r="L263" s="163"/>
    </row>
    <row r="264" spans="2:12" s="147" customFormat="1" hidden="1">
      <c r="B264" s="163"/>
      <c r="C264" s="163"/>
      <c r="D264" s="163"/>
      <c r="E264" s="163"/>
      <c r="F264" s="163"/>
      <c r="G264" s="163"/>
      <c r="H264" s="163"/>
      <c r="I264" s="163"/>
      <c r="J264" s="163"/>
      <c r="K264" s="163"/>
      <c r="L264" s="163"/>
    </row>
    <row r="265" spans="2:12" s="147" customFormat="1" hidden="1">
      <c r="B265" s="163"/>
      <c r="C265" s="163"/>
      <c r="D265" s="163"/>
      <c r="E265" s="163"/>
      <c r="F265" s="163"/>
      <c r="G265" s="163"/>
      <c r="H265" s="163"/>
      <c r="I265" s="163"/>
      <c r="J265" s="163"/>
      <c r="K265" s="163"/>
      <c r="L265" s="163"/>
    </row>
    <row r="266" spans="2:12" s="147" customFormat="1" hidden="1">
      <c r="B266" s="163"/>
      <c r="C266" s="163"/>
      <c r="D266" s="163"/>
      <c r="E266" s="163"/>
      <c r="F266" s="163"/>
      <c r="G266" s="163"/>
      <c r="H266" s="163"/>
      <c r="I266" s="163"/>
      <c r="J266" s="163"/>
      <c r="K266" s="163"/>
      <c r="L266" s="163"/>
    </row>
    <row r="267" spans="2:12" s="147" customFormat="1" hidden="1">
      <c r="B267" s="163"/>
      <c r="C267" s="163"/>
      <c r="D267" s="163"/>
      <c r="E267" s="163"/>
      <c r="F267" s="163"/>
      <c r="G267" s="163"/>
      <c r="H267" s="163"/>
      <c r="I267" s="163"/>
      <c r="J267" s="163"/>
      <c r="K267" s="163"/>
      <c r="L267" s="163"/>
    </row>
    <row r="268" spans="2:12" s="147" customFormat="1" hidden="1">
      <c r="B268" s="163"/>
      <c r="C268" s="163"/>
      <c r="D268" s="163"/>
      <c r="E268" s="163"/>
      <c r="F268" s="163"/>
      <c r="G268" s="163"/>
      <c r="H268" s="163"/>
      <c r="I268" s="163"/>
      <c r="J268" s="163"/>
      <c r="K268" s="163"/>
      <c r="L268" s="163"/>
    </row>
    <row r="269" spans="2:12" s="147" customFormat="1" hidden="1">
      <c r="B269" s="163"/>
      <c r="C269" s="163"/>
      <c r="D269" s="163"/>
      <c r="E269" s="163"/>
      <c r="F269" s="163"/>
      <c r="G269" s="163"/>
      <c r="H269" s="163"/>
      <c r="I269" s="163"/>
      <c r="J269" s="163"/>
      <c r="K269" s="163"/>
      <c r="L269" s="163"/>
    </row>
    <row r="270" spans="2:12" s="147" customFormat="1" hidden="1">
      <c r="B270" s="163"/>
      <c r="C270" s="163"/>
      <c r="D270" s="163"/>
      <c r="E270" s="163"/>
      <c r="F270" s="163"/>
      <c r="G270" s="163"/>
      <c r="H270" s="163"/>
      <c r="I270" s="163"/>
      <c r="J270" s="163"/>
      <c r="K270" s="163"/>
      <c r="L270" s="163"/>
    </row>
    <row r="271" spans="2:12" s="147" customFormat="1" hidden="1">
      <c r="B271" s="163"/>
      <c r="C271" s="163"/>
      <c r="D271" s="163"/>
      <c r="E271" s="163"/>
      <c r="F271" s="163"/>
      <c r="G271" s="163"/>
      <c r="H271" s="163"/>
      <c r="I271" s="163"/>
      <c r="J271" s="163"/>
      <c r="K271" s="163"/>
      <c r="L271" s="163"/>
    </row>
    <row r="272" spans="2:12" s="147" customFormat="1" hidden="1">
      <c r="B272" s="163"/>
      <c r="C272" s="163"/>
      <c r="D272" s="163"/>
      <c r="E272" s="163"/>
      <c r="F272" s="163"/>
      <c r="G272" s="163"/>
      <c r="H272" s="163"/>
      <c r="I272" s="163"/>
      <c r="J272" s="163"/>
      <c r="K272" s="163"/>
      <c r="L272" s="163"/>
    </row>
    <row r="273" spans="2:12" s="147" customFormat="1" hidden="1">
      <c r="B273" s="163"/>
      <c r="C273" s="163"/>
      <c r="D273" s="163"/>
      <c r="E273" s="163"/>
      <c r="F273" s="163"/>
      <c r="G273" s="163"/>
      <c r="H273" s="163"/>
      <c r="I273" s="163"/>
      <c r="J273" s="163"/>
      <c r="K273" s="163"/>
      <c r="L273" s="163"/>
    </row>
    <row r="274" spans="2:12" s="147" customFormat="1" hidden="1">
      <c r="B274" s="163"/>
      <c r="C274" s="163"/>
      <c r="D274" s="163"/>
      <c r="E274" s="163"/>
      <c r="F274" s="163"/>
      <c r="G274" s="163"/>
      <c r="H274" s="163"/>
      <c r="I274" s="163"/>
      <c r="J274" s="163"/>
      <c r="K274" s="163"/>
      <c r="L274" s="163"/>
    </row>
    <row r="275" spans="2:12" s="147" customFormat="1" hidden="1">
      <c r="B275" s="163"/>
      <c r="C275" s="163"/>
      <c r="D275" s="163"/>
      <c r="E275" s="163"/>
      <c r="F275" s="163"/>
      <c r="G275" s="163"/>
      <c r="H275" s="163"/>
      <c r="I275" s="163"/>
      <c r="J275" s="163"/>
      <c r="K275" s="163"/>
      <c r="L275" s="163"/>
    </row>
    <row r="276" spans="2:12" s="147" customFormat="1" hidden="1">
      <c r="B276" s="163"/>
      <c r="C276" s="163"/>
      <c r="D276" s="163"/>
      <c r="E276" s="163"/>
      <c r="F276" s="163"/>
      <c r="G276" s="163"/>
      <c r="H276" s="163"/>
      <c r="I276" s="163"/>
      <c r="J276" s="163"/>
      <c r="K276" s="163"/>
      <c r="L276" s="163"/>
    </row>
    <row r="277" spans="2:12" s="147" customFormat="1" hidden="1">
      <c r="B277" s="163"/>
      <c r="C277" s="163"/>
      <c r="D277" s="163"/>
      <c r="E277" s="163"/>
      <c r="F277" s="163"/>
      <c r="G277" s="163"/>
      <c r="H277" s="163"/>
      <c r="I277" s="163"/>
      <c r="J277" s="163"/>
      <c r="K277" s="163"/>
      <c r="L277" s="163"/>
    </row>
    <row r="278" spans="2:12" s="147" customFormat="1" hidden="1">
      <c r="B278" s="163"/>
      <c r="C278" s="163"/>
      <c r="D278" s="163"/>
      <c r="E278" s="163"/>
      <c r="F278" s="163"/>
      <c r="G278" s="163"/>
      <c r="H278" s="163"/>
      <c r="I278" s="163"/>
      <c r="J278" s="163"/>
      <c r="K278" s="163"/>
      <c r="L278" s="163"/>
    </row>
    <row r="279" spans="2:12" s="147" customFormat="1" hidden="1">
      <c r="B279" s="163"/>
      <c r="C279" s="163"/>
      <c r="D279" s="163"/>
      <c r="E279" s="163"/>
      <c r="F279" s="163"/>
      <c r="G279" s="163"/>
      <c r="H279" s="163"/>
      <c r="I279" s="163"/>
      <c r="J279" s="163"/>
      <c r="K279" s="163"/>
      <c r="L279" s="163"/>
    </row>
    <row r="280" spans="2:12" s="147" customFormat="1" hidden="1">
      <c r="B280" s="163"/>
      <c r="C280" s="163"/>
      <c r="D280" s="163"/>
      <c r="E280" s="163"/>
      <c r="F280" s="163"/>
      <c r="G280" s="163"/>
      <c r="H280" s="163"/>
      <c r="I280" s="163"/>
      <c r="J280" s="163"/>
      <c r="K280" s="163"/>
      <c r="L280" s="163"/>
    </row>
    <row r="281" spans="2:12" s="147" customFormat="1" hidden="1">
      <c r="B281" s="163"/>
      <c r="C281" s="163"/>
      <c r="D281" s="163"/>
      <c r="E281" s="163"/>
      <c r="F281" s="163"/>
      <c r="G281" s="163"/>
      <c r="H281" s="163"/>
      <c r="I281" s="163"/>
      <c r="J281" s="163"/>
      <c r="K281" s="163"/>
      <c r="L281" s="163"/>
    </row>
    <row r="282" spans="2:12" s="147" customFormat="1" hidden="1">
      <c r="B282" s="163"/>
      <c r="C282" s="163"/>
      <c r="D282" s="163"/>
      <c r="E282" s="163"/>
      <c r="F282" s="163"/>
      <c r="G282" s="163"/>
      <c r="H282" s="163"/>
      <c r="I282" s="163"/>
      <c r="J282" s="163"/>
      <c r="K282" s="163"/>
      <c r="L282" s="163"/>
    </row>
    <row r="283" spans="2:12" s="147" customFormat="1" hidden="1">
      <c r="B283" s="163"/>
      <c r="C283" s="163"/>
      <c r="D283" s="163"/>
      <c r="E283" s="163"/>
      <c r="F283" s="163"/>
      <c r="G283" s="163"/>
      <c r="H283" s="163"/>
      <c r="I283" s="163"/>
      <c r="J283" s="163"/>
      <c r="K283" s="163"/>
      <c r="L283" s="163"/>
    </row>
    <row r="284" spans="2:12" s="147" customFormat="1" hidden="1">
      <c r="B284" s="163"/>
      <c r="C284" s="163"/>
      <c r="D284" s="163"/>
      <c r="E284" s="163"/>
      <c r="F284" s="163"/>
      <c r="G284" s="163"/>
      <c r="H284" s="163"/>
      <c r="I284" s="163"/>
      <c r="J284" s="163"/>
      <c r="K284" s="163"/>
      <c r="L284" s="163"/>
    </row>
    <row r="285" spans="2:12" s="147" customFormat="1" hidden="1">
      <c r="B285" s="163"/>
      <c r="C285" s="163"/>
      <c r="D285" s="163"/>
      <c r="E285" s="163"/>
      <c r="F285" s="163"/>
      <c r="G285" s="163"/>
      <c r="H285" s="163"/>
      <c r="I285" s="163"/>
      <c r="J285" s="163"/>
      <c r="K285" s="163"/>
      <c r="L285" s="163"/>
    </row>
    <row r="286" spans="2:12" s="147" customFormat="1" hidden="1">
      <c r="B286" s="163"/>
      <c r="C286" s="163"/>
      <c r="D286" s="163"/>
      <c r="E286" s="163"/>
      <c r="F286" s="163"/>
      <c r="G286" s="163"/>
      <c r="H286" s="163"/>
      <c r="I286" s="163"/>
      <c r="J286" s="163"/>
      <c r="K286" s="163"/>
      <c r="L286" s="163"/>
    </row>
    <row r="287" spans="2:12" s="147" customFormat="1" hidden="1">
      <c r="B287" s="163"/>
      <c r="C287" s="163"/>
      <c r="D287" s="163"/>
      <c r="E287" s="163"/>
      <c r="F287" s="163"/>
      <c r="G287" s="163"/>
      <c r="H287" s="163"/>
      <c r="I287" s="163"/>
      <c r="J287" s="163"/>
      <c r="K287" s="163"/>
      <c r="L287" s="163"/>
    </row>
    <row r="288" spans="2:12" s="147" customFormat="1" hidden="1">
      <c r="B288" s="163"/>
      <c r="C288" s="163"/>
      <c r="D288" s="163"/>
      <c r="E288" s="163"/>
      <c r="F288" s="163"/>
      <c r="G288" s="163"/>
      <c r="H288" s="163"/>
      <c r="I288" s="163"/>
      <c r="J288" s="163"/>
      <c r="K288" s="163"/>
      <c r="L288" s="163"/>
    </row>
    <row r="289" spans="2:12" s="147" customFormat="1" hidden="1">
      <c r="B289" s="163"/>
      <c r="C289" s="163"/>
      <c r="D289" s="163"/>
      <c r="E289" s="163"/>
      <c r="F289" s="163"/>
      <c r="G289" s="163"/>
      <c r="H289" s="163"/>
      <c r="I289" s="163"/>
      <c r="J289" s="163"/>
      <c r="K289" s="163"/>
      <c r="L289" s="163"/>
    </row>
    <row r="290" spans="2:12" s="147" customFormat="1" hidden="1">
      <c r="B290" s="163"/>
      <c r="C290" s="163"/>
      <c r="D290" s="163"/>
      <c r="E290" s="163"/>
      <c r="F290" s="163"/>
      <c r="G290" s="163"/>
      <c r="H290" s="163"/>
      <c r="I290" s="163"/>
      <c r="J290" s="163"/>
      <c r="K290" s="163"/>
      <c r="L290" s="163"/>
    </row>
    <row r="291" spans="2:12" s="147" customFormat="1" hidden="1">
      <c r="B291" s="163"/>
      <c r="C291" s="163"/>
      <c r="D291" s="163"/>
      <c r="E291" s="163"/>
      <c r="F291" s="163"/>
      <c r="G291" s="163"/>
      <c r="H291" s="163"/>
      <c r="I291" s="163"/>
      <c r="J291" s="163"/>
      <c r="K291" s="163"/>
      <c r="L291" s="163"/>
    </row>
    <row r="292" spans="2:12" s="147" customFormat="1" hidden="1">
      <c r="B292" s="163"/>
      <c r="C292" s="163"/>
      <c r="D292" s="163"/>
      <c r="E292" s="163"/>
      <c r="F292" s="163"/>
      <c r="G292" s="163"/>
      <c r="H292" s="163"/>
      <c r="I292" s="163"/>
      <c r="J292" s="163"/>
      <c r="K292" s="163"/>
      <c r="L292" s="163"/>
    </row>
    <row r="293" spans="2:12" s="147" customFormat="1" hidden="1">
      <c r="B293" s="163"/>
      <c r="C293" s="163"/>
      <c r="D293" s="163"/>
      <c r="E293" s="163"/>
      <c r="F293" s="163"/>
      <c r="G293" s="163"/>
      <c r="H293" s="163"/>
      <c r="I293" s="163"/>
      <c r="J293" s="163"/>
      <c r="K293" s="163"/>
      <c r="L293" s="163"/>
    </row>
    <row r="294" spans="2:12" s="147" customFormat="1" hidden="1">
      <c r="B294" s="163"/>
      <c r="C294" s="163"/>
      <c r="D294" s="163"/>
      <c r="E294" s="163"/>
      <c r="F294" s="163"/>
      <c r="G294" s="163"/>
      <c r="H294" s="163"/>
      <c r="I294" s="163"/>
      <c r="J294" s="163"/>
      <c r="K294" s="163"/>
      <c r="L294" s="163"/>
    </row>
    <row r="295" spans="2:12" s="147" customFormat="1" hidden="1">
      <c r="B295" s="163"/>
      <c r="C295" s="163"/>
      <c r="D295" s="163"/>
      <c r="E295" s="163"/>
      <c r="F295" s="163"/>
      <c r="G295" s="163"/>
      <c r="H295" s="163"/>
      <c r="I295" s="163"/>
      <c r="J295" s="163"/>
      <c r="K295" s="163"/>
      <c r="L295" s="163"/>
    </row>
    <row r="296" spans="2:12" s="147" customFormat="1" hidden="1">
      <c r="B296" s="163"/>
      <c r="C296" s="163"/>
      <c r="D296" s="163"/>
      <c r="E296" s="163"/>
      <c r="F296" s="163"/>
      <c r="G296" s="163"/>
      <c r="H296" s="163"/>
      <c r="I296" s="163"/>
      <c r="J296" s="163"/>
      <c r="K296" s="163"/>
      <c r="L296" s="163"/>
    </row>
    <row r="297" spans="2:12" s="147" customFormat="1" hidden="1">
      <c r="B297" s="163"/>
      <c r="C297" s="163"/>
      <c r="D297" s="163"/>
      <c r="E297" s="163"/>
      <c r="F297" s="163"/>
      <c r="G297" s="163"/>
      <c r="H297" s="163"/>
      <c r="I297" s="163"/>
      <c r="J297" s="163"/>
      <c r="K297" s="163"/>
      <c r="L297" s="163"/>
    </row>
    <row r="298" spans="2:12" s="147" customFormat="1" hidden="1">
      <c r="B298" s="163"/>
      <c r="C298" s="163"/>
      <c r="D298" s="163"/>
      <c r="E298" s="163"/>
      <c r="F298" s="163"/>
      <c r="G298" s="163"/>
      <c r="H298" s="163"/>
      <c r="I298" s="163"/>
      <c r="J298" s="163"/>
      <c r="K298" s="163"/>
      <c r="L298" s="163"/>
    </row>
    <row r="299" spans="2:12" s="147" customFormat="1" hidden="1">
      <c r="B299" s="163"/>
      <c r="C299" s="163"/>
      <c r="D299" s="163"/>
      <c r="E299" s="163"/>
      <c r="F299" s="163"/>
      <c r="G299" s="163"/>
      <c r="H299" s="163"/>
      <c r="I299" s="163"/>
      <c r="J299" s="163"/>
      <c r="K299" s="163"/>
      <c r="L299" s="163"/>
    </row>
    <row r="300" spans="2:12" s="147" customFormat="1" hidden="1">
      <c r="B300" s="163"/>
      <c r="C300" s="163"/>
      <c r="D300" s="163"/>
      <c r="E300" s="163"/>
      <c r="F300" s="163"/>
      <c r="G300" s="163"/>
      <c r="H300" s="163"/>
      <c r="I300" s="163"/>
      <c r="J300" s="163"/>
      <c r="K300" s="163"/>
      <c r="L300" s="163"/>
    </row>
    <row r="301" spans="2:12" s="147" customFormat="1" hidden="1">
      <c r="B301" s="163"/>
      <c r="C301" s="163"/>
      <c r="D301" s="163"/>
      <c r="E301" s="163"/>
      <c r="F301" s="163"/>
      <c r="G301" s="163"/>
      <c r="H301" s="163"/>
      <c r="I301" s="163"/>
      <c r="J301" s="163"/>
      <c r="K301" s="163"/>
      <c r="L301" s="163"/>
    </row>
    <row r="302" spans="2:12" s="147" customFormat="1" hidden="1">
      <c r="B302" s="163"/>
      <c r="C302" s="163"/>
      <c r="D302" s="163"/>
      <c r="E302" s="163"/>
      <c r="F302" s="163"/>
      <c r="G302" s="163"/>
      <c r="H302" s="163"/>
      <c r="I302" s="163"/>
      <c r="J302" s="163"/>
      <c r="K302" s="163"/>
      <c r="L302" s="163"/>
    </row>
    <row r="303" spans="2:12" s="147" customFormat="1" hidden="1">
      <c r="B303" s="163"/>
      <c r="C303" s="163"/>
      <c r="D303" s="163"/>
      <c r="E303" s="163"/>
      <c r="F303" s="163"/>
      <c r="G303" s="163"/>
      <c r="H303" s="163"/>
      <c r="I303" s="163"/>
      <c r="J303" s="163"/>
      <c r="K303" s="163"/>
      <c r="L303" s="163"/>
    </row>
    <row r="304" spans="2:12" s="147" customFormat="1" hidden="1">
      <c r="B304" s="163"/>
      <c r="C304" s="163"/>
      <c r="D304" s="163"/>
      <c r="E304" s="163"/>
      <c r="F304" s="163"/>
      <c r="G304" s="163"/>
      <c r="H304" s="163"/>
      <c r="I304" s="163"/>
      <c r="J304" s="163"/>
      <c r="K304" s="163"/>
      <c r="L304" s="163"/>
    </row>
    <row r="305" spans="2:12" s="147" customFormat="1" hidden="1">
      <c r="B305" s="163"/>
      <c r="C305" s="163"/>
      <c r="D305" s="163"/>
      <c r="E305" s="163"/>
      <c r="F305" s="163"/>
      <c r="G305" s="163"/>
      <c r="H305" s="163"/>
      <c r="I305" s="163"/>
      <c r="J305" s="163"/>
      <c r="K305" s="163"/>
      <c r="L305" s="163"/>
    </row>
    <row r="306" spans="2:12" s="147" customFormat="1" hidden="1">
      <c r="B306" s="163"/>
      <c r="C306" s="163"/>
      <c r="D306" s="163"/>
      <c r="E306" s="163"/>
      <c r="F306" s="163"/>
      <c r="G306" s="163"/>
      <c r="H306" s="163"/>
      <c r="I306" s="163"/>
      <c r="J306" s="163"/>
      <c r="K306" s="163"/>
      <c r="L306" s="163"/>
    </row>
    <row r="307" spans="2:12" s="147" customFormat="1" hidden="1">
      <c r="B307" s="163"/>
      <c r="C307" s="163"/>
      <c r="D307" s="163"/>
      <c r="E307" s="163"/>
      <c r="F307" s="163"/>
      <c r="G307" s="163"/>
      <c r="H307" s="163"/>
      <c r="I307" s="163"/>
      <c r="J307" s="163"/>
      <c r="K307" s="163"/>
      <c r="L307" s="163"/>
    </row>
    <row r="308" spans="2:12" s="147" customFormat="1" hidden="1">
      <c r="B308" s="163"/>
      <c r="C308" s="163"/>
      <c r="D308" s="163"/>
      <c r="E308" s="163"/>
      <c r="F308" s="163"/>
      <c r="G308" s="163"/>
      <c r="H308" s="163"/>
      <c r="I308" s="163"/>
      <c r="J308" s="163"/>
      <c r="K308" s="163"/>
      <c r="L308" s="163"/>
    </row>
    <row r="309" spans="2:12" s="147" customFormat="1" hidden="1">
      <c r="B309" s="163"/>
      <c r="C309" s="163"/>
      <c r="D309" s="163"/>
      <c r="E309" s="163"/>
      <c r="F309" s="163"/>
      <c r="G309" s="163"/>
      <c r="H309" s="163"/>
      <c r="I309" s="163"/>
      <c r="J309" s="163"/>
      <c r="K309" s="163"/>
      <c r="L309" s="163"/>
    </row>
    <row r="310" spans="2:12" s="147" customFormat="1" hidden="1">
      <c r="B310" s="163"/>
      <c r="C310" s="163"/>
      <c r="D310" s="163"/>
      <c r="E310" s="163"/>
      <c r="F310" s="163"/>
      <c r="G310" s="163"/>
      <c r="H310" s="163"/>
      <c r="I310" s="163"/>
      <c r="J310" s="163"/>
      <c r="K310" s="163"/>
      <c r="L310" s="163"/>
    </row>
    <row r="311" spans="2:12" s="147" customFormat="1" hidden="1">
      <c r="B311" s="163"/>
      <c r="C311" s="163"/>
      <c r="D311" s="163"/>
      <c r="E311" s="163"/>
      <c r="F311" s="163"/>
      <c r="G311" s="163"/>
      <c r="H311" s="163"/>
      <c r="I311" s="163"/>
      <c r="J311" s="163"/>
      <c r="K311" s="163"/>
      <c r="L311" s="163"/>
    </row>
    <row r="312" spans="2:12" s="147" customFormat="1" hidden="1">
      <c r="B312" s="163"/>
      <c r="C312" s="163"/>
      <c r="D312" s="163"/>
      <c r="E312" s="163"/>
      <c r="F312" s="163"/>
      <c r="G312" s="163"/>
      <c r="H312" s="163"/>
      <c r="I312" s="163"/>
      <c r="J312" s="163"/>
      <c r="K312" s="163"/>
      <c r="L312" s="163"/>
    </row>
    <row r="313" spans="2:12" s="147" customFormat="1" hidden="1">
      <c r="B313" s="163"/>
      <c r="C313" s="163"/>
      <c r="D313" s="163"/>
      <c r="E313" s="163"/>
      <c r="F313" s="163"/>
      <c r="G313" s="163"/>
      <c r="H313" s="163"/>
      <c r="I313" s="163"/>
      <c r="J313" s="163"/>
      <c r="K313" s="163"/>
      <c r="L313" s="163"/>
    </row>
    <row r="314" spans="2:12" s="147" customFormat="1" hidden="1">
      <c r="B314" s="163"/>
      <c r="C314" s="163"/>
      <c r="D314" s="163"/>
      <c r="E314" s="163"/>
      <c r="F314" s="163"/>
      <c r="G314" s="163"/>
      <c r="H314" s="163"/>
      <c r="I314" s="163"/>
      <c r="J314" s="163"/>
      <c r="K314" s="163"/>
      <c r="L314" s="163"/>
    </row>
    <row r="315" spans="2:12" s="147" customFormat="1" hidden="1">
      <c r="B315" s="163"/>
      <c r="C315" s="163"/>
      <c r="D315" s="163"/>
      <c r="E315" s="163"/>
      <c r="F315" s="163"/>
      <c r="G315" s="163"/>
      <c r="H315" s="163"/>
      <c r="I315" s="163"/>
      <c r="J315" s="163"/>
      <c r="K315" s="163"/>
      <c r="L315" s="163"/>
    </row>
    <row r="316" spans="2:12" s="147" customFormat="1" hidden="1">
      <c r="B316" s="163"/>
      <c r="C316" s="163"/>
      <c r="D316" s="163"/>
      <c r="E316" s="163"/>
      <c r="F316" s="163"/>
      <c r="G316" s="163"/>
      <c r="H316" s="163"/>
      <c r="I316" s="163"/>
      <c r="J316" s="163"/>
      <c r="K316" s="163"/>
      <c r="L316" s="163"/>
    </row>
    <row r="317" spans="2:12" s="147" customFormat="1" hidden="1">
      <c r="B317" s="163"/>
      <c r="C317" s="163"/>
      <c r="D317" s="163"/>
      <c r="E317" s="163"/>
      <c r="F317" s="163"/>
      <c r="G317" s="163"/>
      <c r="H317" s="163"/>
      <c r="I317" s="163"/>
      <c r="J317" s="163"/>
      <c r="K317" s="163"/>
      <c r="L317" s="163"/>
    </row>
    <row r="318" spans="2:12" s="147" customFormat="1" hidden="1">
      <c r="B318" s="163"/>
      <c r="C318" s="163"/>
      <c r="D318" s="163"/>
      <c r="E318" s="163"/>
      <c r="F318" s="163"/>
      <c r="G318" s="163"/>
      <c r="H318" s="163"/>
      <c r="I318" s="163"/>
      <c r="J318" s="163"/>
      <c r="K318" s="163"/>
      <c r="L318" s="163"/>
    </row>
    <row r="319" spans="2:12" s="147" customFormat="1" hidden="1">
      <c r="B319" s="163"/>
      <c r="C319" s="163"/>
      <c r="D319" s="163"/>
      <c r="E319" s="163"/>
      <c r="F319" s="163"/>
      <c r="G319" s="163"/>
      <c r="H319" s="163"/>
      <c r="I319" s="163"/>
      <c r="J319" s="163"/>
      <c r="K319" s="163"/>
      <c r="L319" s="163"/>
    </row>
    <row r="320" spans="2:12" s="147" customFormat="1" hidden="1">
      <c r="B320" s="163"/>
      <c r="C320" s="163"/>
      <c r="D320" s="163"/>
      <c r="E320" s="163"/>
      <c r="F320" s="163"/>
      <c r="G320" s="163"/>
      <c r="H320" s="163"/>
      <c r="I320" s="163"/>
      <c r="J320" s="163"/>
      <c r="K320" s="163"/>
      <c r="L320" s="163"/>
    </row>
    <row r="321" spans="2:12" s="147" customFormat="1" hidden="1">
      <c r="B321" s="163"/>
      <c r="C321" s="163"/>
      <c r="D321" s="163"/>
      <c r="E321" s="163"/>
      <c r="F321" s="163"/>
      <c r="G321" s="163"/>
      <c r="H321" s="163"/>
      <c r="I321" s="163"/>
      <c r="J321" s="163"/>
      <c r="K321" s="163"/>
      <c r="L321" s="163"/>
    </row>
    <row r="322" spans="2:12" s="147" customFormat="1" hidden="1">
      <c r="B322" s="163"/>
      <c r="C322" s="163"/>
      <c r="D322" s="163"/>
      <c r="E322" s="163"/>
      <c r="F322" s="163"/>
      <c r="G322" s="163"/>
      <c r="H322" s="163"/>
      <c r="I322" s="163"/>
      <c r="J322" s="163"/>
      <c r="K322" s="163"/>
      <c r="L322" s="163"/>
    </row>
    <row r="323" spans="2:12" s="147" customFormat="1" hidden="1">
      <c r="B323" s="163"/>
      <c r="C323" s="163"/>
      <c r="D323" s="163"/>
      <c r="E323" s="163"/>
      <c r="F323" s="163"/>
      <c r="G323" s="163"/>
      <c r="H323" s="163"/>
      <c r="I323" s="163"/>
      <c r="J323" s="163"/>
      <c r="K323" s="163"/>
      <c r="L323" s="163"/>
    </row>
    <row r="324" spans="2:12" s="147" customFormat="1" hidden="1">
      <c r="B324" s="163"/>
      <c r="C324" s="163"/>
      <c r="D324" s="163"/>
      <c r="E324" s="163"/>
      <c r="F324" s="163"/>
      <c r="G324" s="163"/>
      <c r="H324" s="163"/>
      <c r="I324" s="163"/>
      <c r="J324" s="163"/>
      <c r="K324" s="163"/>
      <c r="L324" s="163"/>
    </row>
    <row r="325" spans="2:12" s="147" customFormat="1" hidden="1">
      <c r="B325" s="163"/>
      <c r="C325" s="163"/>
      <c r="D325" s="163"/>
      <c r="E325" s="163"/>
      <c r="F325" s="163"/>
      <c r="G325" s="163"/>
      <c r="H325" s="163"/>
      <c r="I325" s="163"/>
      <c r="J325" s="163"/>
      <c r="K325" s="163"/>
      <c r="L325" s="163"/>
    </row>
    <row r="326" spans="2:12" s="147" customFormat="1" hidden="1">
      <c r="B326" s="163"/>
      <c r="C326" s="163"/>
      <c r="D326" s="163"/>
      <c r="E326" s="163"/>
      <c r="F326" s="163"/>
      <c r="G326" s="163"/>
      <c r="H326" s="163"/>
      <c r="I326" s="163"/>
      <c r="J326" s="163"/>
      <c r="K326" s="163"/>
      <c r="L326" s="163"/>
    </row>
    <row r="327" spans="2:12" s="147" customFormat="1" hidden="1">
      <c r="B327" s="163"/>
      <c r="C327" s="163"/>
      <c r="D327" s="163"/>
      <c r="E327" s="163"/>
      <c r="F327" s="163"/>
      <c r="G327" s="163"/>
      <c r="H327" s="163"/>
      <c r="I327" s="163"/>
      <c r="J327" s="163"/>
      <c r="K327" s="163"/>
      <c r="L327" s="163"/>
    </row>
    <row r="328" spans="2:12" s="147" customFormat="1" hidden="1">
      <c r="B328" s="163"/>
      <c r="C328" s="163"/>
      <c r="D328" s="163"/>
      <c r="E328" s="163"/>
      <c r="F328" s="163"/>
      <c r="G328" s="163"/>
      <c r="H328" s="163"/>
      <c r="I328" s="163"/>
      <c r="J328" s="163"/>
      <c r="K328" s="163"/>
      <c r="L328" s="163"/>
    </row>
    <row r="329" spans="2:12" s="147" customFormat="1" hidden="1">
      <c r="B329" s="163"/>
      <c r="C329" s="163"/>
      <c r="D329" s="163"/>
      <c r="E329" s="163"/>
      <c r="F329" s="163"/>
      <c r="G329" s="163"/>
      <c r="H329" s="163"/>
      <c r="I329" s="163"/>
      <c r="J329" s="163"/>
      <c r="K329" s="163"/>
      <c r="L329" s="163"/>
    </row>
    <row r="330" spans="2:12" s="147" customFormat="1" hidden="1">
      <c r="B330" s="163"/>
      <c r="C330" s="163"/>
      <c r="D330" s="163"/>
      <c r="E330" s="163"/>
      <c r="F330" s="163"/>
      <c r="G330" s="163"/>
      <c r="H330" s="163"/>
      <c r="I330" s="163"/>
      <c r="J330" s="163"/>
      <c r="K330" s="163"/>
      <c r="L330" s="163"/>
    </row>
    <row r="331" spans="2:12" s="147" customFormat="1" hidden="1">
      <c r="B331" s="163"/>
      <c r="C331" s="163"/>
      <c r="D331" s="163"/>
      <c r="E331" s="163"/>
      <c r="F331" s="163"/>
      <c r="G331" s="163"/>
      <c r="H331" s="163"/>
      <c r="I331" s="163"/>
      <c r="J331" s="163"/>
      <c r="K331" s="163"/>
      <c r="L331" s="163"/>
    </row>
    <row r="332" spans="2:12" s="147" customFormat="1" hidden="1">
      <c r="B332" s="163"/>
      <c r="C332" s="163"/>
      <c r="D332" s="163"/>
      <c r="E332" s="163"/>
      <c r="F332" s="163"/>
      <c r="G332" s="163"/>
      <c r="H332" s="163"/>
      <c r="I332" s="163"/>
      <c r="J332" s="163"/>
      <c r="K332" s="163"/>
      <c r="L332" s="163"/>
    </row>
    <row r="333" spans="2:12" s="147" customFormat="1" hidden="1">
      <c r="B333" s="163"/>
      <c r="C333" s="163"/>
      <c r="D333" s="163"/>
      <c r="E333" s="163"/>
      <c r="F333" s="163"/>
      <c r="G333" s="163"/>
      <c r="H333" s="163"/>
      <c r="I333" s="163"/>
      <c r="J333" s="163"/>
      <c r="K333" s="163"/>
      <c r="L333" s="163"/>
    </row>
    <row r="334" spans="2:12" s="147" customFormat="1" hidden="1">
      <c r="B334" s="163"/>
      <c r="C334" s="163"/>
      <c r="D334" s="163"/>
      <c r="E334" s="163"/>
      <c r="F334" s="163"/>
      <c r="G334" s="163"/>
      <c r="H334" s="163"/>
      <c r="I334" s="163"/>
      <c r="J334" s="163"/>
      <c r="K334" s="163"/>
      <c r="L334" s="163"/>
    </row>
    <row r="335" spans="2:12" s="147" customFormat="1" hidden="1">
      <c r="B335" s="163"/>
      <c r="C335" s="163"/>
      <c r="D335" s="163"/>
      <c r="E335" s="163"/>
      <c r="F335" s="163"/>
      <c r="G335" s="163"/>
      <c r="H335" s="163"/>
      <c r="I335" s="163"/>
      <c r="J335" s="163"/>
      <c r="K335" s="163"/>
      <c r="L335" s="163"/>
    </row>
    <row r="336" spans="2:12" s="147" customFormat="1" hidden="1">
      <c r="B336" s="163"/>
      <c r="C336" s="163"/>
      <c r="D336" s="163"/>
      <c r="E336" s="163"/>
      <c r="F336" s="163"/>
      <c r="G336" s="163"/>
      <c r="H336" s="163"/>
      <c r="I336" s="163"/>
      <c r="J336" s="163"/>
      <c r="K336" s="163"/>
      <c r="L336" s="163"/>
    </row>
    <row r="337" spans="2:12" s="147" customFormat="1" hidden="1">
      <c r="B337" s="163"/>
      <c r="C337" s="163"/>
      <c r="D337" s="163"/>
      <c r="E337" s="163"/>
      <c r="F337" s="163"/>
      <c r="G337" s="163"/>
      <c r="H337" s="163"/>
      <c r="I337" s="163"/>
      <c r="J337" s="163"/>
      <c r="K337" s="163"/>
      <c r="L337" s="163"/>
    </row>
    <row r="338" spans="2:12" s="147" customFormat="1" hidden="1">
      <c r="B338" s="163"/>
      <c r="C338" s="163"/>
      <c r="D338" s="163"/>
      <c r="E338" s="163"/>
      <c r="F338" s="163"/>
      <c r="G338" s="163"/>
      <c r="H338" s="163"/>
      <c r="I338" s="163"/>
      <c r="J338" s="163"/>
      <c r="K338" s="163"/>
      <c r="L338" s="163"/>
    </row>
    <row r="339" spans="2:12" s="147" customFormat="1" hidden="1">
      <c r="B339" s="163"/>
      <c r="C339" s="163"/>
      <c r="D339" s="163"/>
      <c r="E339" s="163"/>
      <c r="F339" s="163"/>
      <c r="G339" s="163"/>
      <c r="H339" s="163"/>
      <c r="I339" s="163"/>
      <c r="J339" s="163"/>
      <c r="K339" s="163"/>
      <c r="L339" s="163"/>
    </row>
    <row r="340" spans="2:12" s="147" customFormat="1" hidden="1">
      <c r="B340" s="163"/>
      <c r="C340" s="163"/>
      <c r="D340" s="163"/>
      <c r="E340" s="163"/>
      <c r="F340" s="163"/>
      <c r="G340" s="163"/>
      <c r="H340" s="163"/>
      <c r="I340" s="163"/>
      <c r="J340" s="163"/>
      <c r="K340" s="163"/>
      <c r="L340" s="163"/>
    </row>
    <row r="341" spans="2:12" s="147" customFormat="1" hidden="1">
      <c r="B341" s="163"/>
      <c r="C341" s="163"/>
      <c r="D341" s="163"/>
      <c r="E341" s="163"/>
      <c r="F341" s="163"/>
      <c r="G341" s="163"/>
      <c r="H341" s="163"/>
      <c r="I341" s="163"/>
      <c r="J341" s="163"/>
      <c r="K341" s="163"/>
      <c r="L341" s="163"/>
    </row>
    <row r="342" spans="2:12" s="147" customFormat="1" hidden="1">
      <c r="B342" s="163"/>
      <c r="C342" s="163"/>
      <c r="D342" s="163"/>
      <c r="E342" s="163"/>
      <c r="F342" s="163"/>
      <c r="G342" s="163"/>
      <c r="H342" s="163"/>
      <c r="I342" s="163"/>
      <c r="J342" s="163"/>
      <c r="K342" s="163"/>
      <c r="L342" s="163"/>
    </row>
    <row r="343" spans="2:12" s="147" customFormat="1" hidden="1">
      <c r="B343" s="163"/>
      <c r="C343" s="163"/>
      <c r="D343" s="163"/>
      <c r="E343" s="163"/>
      <c r="F343" s="163"/>
      <c r="G343" s="163"/>
      <c r="H343" s="163"/>
      <c r="I343" s="163"/>
      <c r="J343" s="163"/>
      <c r="K343" s="163"/>
      <c r="L343" s="163"/>
    </row>
    <row r="344" spans="2:12" s="147" customFormat="1" hidden="1">
      <c r="B344" s="163"/>
      <c r="C344" s="163"/>
      <c r="D344" s="163"/>
      <c r="E344" s="163"/>
      <c r="F344" s="163"/>
      <c r="G344" s="163"/>
      <c r="H344" s="163"/>
      <c r="I344" s="163"/>
      <c r="J344" s="163"/>
      <c r="K344" s="163"/>
      <c r="L344" s="163"/>
    </row>
    <row r="345" spans="2:12" s="147" customFormat="1" hidden="1">
      <c r="B345" s="163"/>
      <c r="C345" s="163"/>
      <c r="D345" s="163"/>
      <c r="E345" s="163"/>
      <c r="F345" s="163"/>
      <c r="G345" s="163"/>
      <c r="H345" s="163"/>
      <c r="I345" s="163"/>
      <c r="J345" s="163"/>
      <c r="K345" s="163"/>
      <c r="L345" s="163"/>
    </row>
    <row r="346" spans="2:12" s="147" customFormat="1" hidden="1">
      <c r="B346" s="163"/>
      <c r="C346" s="163"/>
      <c r="D346" s="163"/>
      <c r="E346" s="163"/>
      <c r="F346" s="163"/>
      <c r="G346" s="163"/>
      <c r="H346" s="163"/>
      <c r="I346" s="163"/>
      <c r="J346" s="163"/>
      <c r="K346" s="163"/>
      <c r="L346" s="163"/>
    </row>
    <row r="347" spans="2:12" s="147" customFormat="1" hidden="1">
      <c r="B347" s="163"/>
      <c r="C347" s="163"/>
      <c r="D347" s="163"/>
      <c r="E347" s="163"/>
      <c r="F347" s="163"/>
      <c r="G347" s="163"/>
      <c r="H347" s="163"/>
      <c r="I347" s="163"/>
      <c r="J347" s="163"/>
      <c r="K347" s="163"/>
      <c r="L347" s="163"/>
    </row>
    <row r="348" spans="2:12" s="147" customFormat="1" hidden="1">
      <c r="B348" s="163"/>
      <c r="C348" s="163"/>
      <c r="D348" s="163"/>
      <c r="E348" s="163"/>
      <c r="F348" s="163"/>
      <c r="G348" s="163"/>
      <c r="H348" s="163"/>
      <c r="I348" s="163"/>
      <c r="J348" s="163"/>
      <c r="K348" s="163"/>
      <c r="L348" s="163"/>
    </row>
    <row r="349" spans="2:12" s="147" customFormat="1" hidden="1">
      <c r="B349" s="163"/>
      <c r="C349" s="163"/>
      <c r="D349" s="163"/>
      <c r="E349" s="163"/>
      <c r="F349" s="163"/>
      <c r="G349" s="163"/>
      <c r="H349" s="163"/>
      <c r="I349" s="163"/>
      <c r="J349" s="163"/>
      <c r="K349" s="163"/>
      <c r="L349" s="163"/>
    </row>
    <row r="350" spans="2:12" s="147" customFormat="1" hidden="1">
      <c r="B350" s="163"/>
      <c r="C350" s="163"/>
      <c r="D350" s="163"/>
      <c r="E350" s="163"/>
      <c r="F350" s="163"/>
      <c r="G350" s="163"/>
      <c r="H350" s="163"/>
      <c r="I350" s="163"/>
      <c r="J350" s="163"/>
      <c r="K350" s="163"/>
      <c r="L350" s="163"/>
    </row>
    <row r="351" spans="2:12" s="147" customFormat="1" hidden="1">
      <c r="B351" s="163"/>
      <c r="C351" s="163"/>
      <c r="D351" s="163"/>
      <c r="E351" s="163"/>
      <c r="F351" s="163"/>
      <c r="G351" s="163"/>
      <c r="H351" s="163"/>
      <c r="I351" s="163"/>
      <c r="J351" s="163"/>
      <c r="K351" s="163"/>
      <c r="L351" s="163"/>
    </row>
    <row r="352" spans="2:12" s="147" customFormat="1" hidden="1">
      <c r="B352" s="163"/>
      <c r="C352" s="163"/>
      <c r="D352" s="163"/>
      <c r="E352" s="163"/>
      <c r="F352" s="163"/>
      <c r="G352" s="163"/>
      <c r="H352" s="163"/>
      <c r="I352" s="163"/>
      <c r="J352" s="163"/>
      <c r="K352" s="163"/>
      <c r="L352" s="163"/>
    </row>
    <row r="353" spans="2:12" s="147" customFormat="1" hidden="1">
      <c r="B353" s="163"/>
      <c r="C353" s="163"/>
      <c r="D353" s="163"/>
      <c r="E353" s="163"/>
      <c r="F353" s="163"/>
      <c r="G353" s="163"/>
      <c r="H353" s="163"/>
      <c r="I353" s="163"/>
      <c r="J353" s="163"/>
      <c r="K353" s="163"/>
      <c r="L353" s="163"/>
    </row>
    <row r="354" spans="2:12" s="147" customFormat="1" hidden="1">
      <c r="B354" s="163"/>
      <c r="C354" s="163"/>
      <c r="D354" s="163"/>
      <c r="E354" s="163"/>
      <c r="F354" s="163"/>
      <c r="G354" s="163"/>
      <c r="H354" s="163"/>
      <c r="I354" s="163"/>
      <c r="J354" s="163"/>
      <c r="K354" s="163"/>
      <c r="L354" s="163"/>
    </row>
    <row r="355" spans="2:12" s="147" customFormat="1" hidden="1">
      <c r="B355" s="163"/>
      <c r="C355" s="163"/>
      <c r="D355" s="163"/>
      <c r="E355" s="163"/>
      <c r="F355" s="163"/>
      <c r="G355" s="163"/>
      <c r="H355" s="163"/>
      <c r="I355" s="163"/>
      <c r="J355" s="163"/>
      <c r="K355" s="163"/>
      <c r="L355" s="163"/>
    </row>
    <row r="356" spans="2:12" s="147" customFormat="1" hidden="1">
      <c r="B356" s="163"/>
      <c r="C356" s="163"/>
      <c r="D356" s="163"/>
      <c r="E356" s="163"/>
      <c r="F356" s="163"/>
      <c r="G356" s="163"/>
      <c r="H356" s="163"/>
      <c r="I356" s="163"/>
      <c r="J356" s="163"/>
      <c r="K356" s="163"/>
      <c r="L356" s="163"/>
    </row>
    <row r="357" spans="2:12" s="147" customFormat="1" hidden="1">
      <c r="B357" s="163"/>
      <c r="C357" s="163"/>
      <c r="D357" s="163"/>
      <c r="E357" s="163"/>
      <c r="F357" s="163"/>
      <c r="G357" s="163"/>
      <c r="H357" s="163"/>
      <c r="I357" s="163"/>
      <c r="J357" s="163"/>
      <c r="K357" s="163"/>
      <c r="L357" s="163"/>
    </row>
    <row r="358" spans="2:12" s="147" customFormat="1" hidden="1">
      <c r="B358" s="163"/>
      <c r="C358" s="163"/>
      <c r="D358" s="163"/>
      <c r="E358" s="163"/>
      <c r="F358" s="163"/>
      <c r="G358" s="163"/>
      <c r="H358" s="163"/>
      <c r="I358" s="163"/>
      <c r="J358" s="163"/>
      <c r="K358" s="163"/>
      <c r="L358" s="163"/>
    </row>
    <row r="359" spans="2:12" s="147" customFormat="1" hidden="1">
      <c r="B359" s="163"/>
      <c r="C359" s="163"/>
      <c r="D359" s="163"/>
      <c r="E359" s="163"/>
      <c r="F359" s="163"/>
      <c r="G359" s="163"/>
      <c r="H359" s="163"/>
      <c r="I359" s="163"/>
      <c r="J359" s="163"/>
      <c r="K359" s="163"/>
      <c r="L359" s="163"/>
    </row>
    <row r="360" spans="2:12" s="147" customFormat="1" hidden="1">
      <c r="B360" s="163"/>
      <c r="C360" s="163"/>
      <c r="D360" s="163"/>
      <c r="E360" s="163"/>
      <c r="F360" s="163"/>
      <c r="G360" s="163"/>
      <c r="H360" s="163"/>
      <c r="I360" s="163"/>
      <c r="J360" s="163"/>
      <c r="K360" s="163"/>
      <c r="L360" s="163"/>
    </row>
    <row r="361" spans="2:12" s="147" customFormat="1" hidden="1">
      <c r="B361" s="163"/>
      <c r="C361" s="163"/>
      <c r="D361" s="163"/>
      <c r="E361" s="163"/>
      <c r="F361" s="163"/>
      <c r="G361" s="163"/>
      <c r="H361" s="163"/>
      <c r="I361" s="163"/>
      <c r="J361" s="163"/>
      <c r="K361" s="163"/>
      <c r="L361" s="163"/>
    </row>
    <row r="362" spans="2:12" s="147" customFormat="1" hidden="1">
      <c r="B362" s="163"/>
      <c r="C362" s="163"/>
      <c r="D362" s="163"/>
      <c r="E362" s="163"/>
      <c r="F362" s="163"/>
      <c r="G362" s="163"/>
      <c r="H362" s="163"/>
      <c r="I362" s="163"/>
      <c r="J362" s="163"/>
      <c r="K362" s="163"/>
      <c r="L362" s="163"/>
    </row>
    <row r="363" spans="2:12" s="147" customFormat="1" hidden="1">
      <c r="B363" s="163"/>
      <c r="C363" s="163"/>
      <c r="D363" s="163"/>
      <c r="E363" s="163"/>
      <c r="F363" s="163"/>
      <c r="G363" s="163"/>
      <c r="H363" s="163"/>
      <c r="I363" s="163"/>
      <c r="J363" s="163"/>
      <c r="K363" s="163"/>
      <c r="L363" s="163"/>
    </row>
    <row r="364" spans="2:12" s="147" customFormat="1" hidden="1">
      <c r="B364" s="163"/>
      <c r="C364" s="163"/>
      <c r="D364" s="163"/>
      <c r="E364" s="163"/>
      <c r="F364" s="163"/>
      <c r="G364" s="163"/>
      <c r="H364" s="163"/>
      <c r="I364" s="163"/>
      <c r="J364" s="163"/>
      <c r="K364" s="163"/>
      <c r="L364" s="163"/>
    </row>
    <row r="365" spans="2:12" s="147" customFormat="1" hidden="1">
      <c r="B365" s="163"/>
      <c r="C365" s="163"/>
      <c r="D365" s="163"/>
      <c r="E365" s="163"/>
      <c r="F365" s="163"/>
      <c r="G365" s="163"/>
      <c r="H365" s="163"/>
      <c r="I365" s="163"/>
      <c r="J365" s="163"/>
      <c r="K365" s="163"/>
      <c r="L365" s="163"/>
    </row>
    <row r="366" spans="2:12" s="147" customFormat="1" hidden="1">
      <c r="B366" s="163"/>
      <c r="C366" s="163"/>
      <c r="D366" s="163"/>
      <c r="E366" s="163"/>
      <c r="F366" s="163"/>
      <c r="G366" s="163"/>
      <c r="H366" s="163"/>
      <c r="I366" s="163"/>
      <c r="J366" s="163"/>
      <c r="K366" s="163"/>
      <c r="L366" s="163"/>
    </row>
    <row r="367" spans="2:12" s="147" customFormat="1" hidden="1">
      <c r="B367" s="163"/>
      <c r="C367" s="163"/>
      <c r="D367" s="163"/>
      <c r="E367" s="163"/>
      <c r="F367" s="163"/>
      <c r="G367" s="163"/>
      <c r="H367" s="163"/>
      <c r="I367" s="163"/>
      <c r="J367" s="163"/>
      <c r="K367" s="163"/>
      <c r="L367" s="163"/>
    </row>
    <row r="368" spans="2:12" s="147" customFormat="1" hidden="1">
      <c r="B368" s="163"/>
      <c r="C368" s="163"/>
      <c r="D368" s="163"/>
      <c r="E368" s="163"/>
      <c r="F368" s="163"/>
      <c r="G368" s="163"/>
      <c r="H368" s="163"/>
      <c r="I368" s="163"/>
      <c r="J368" s="163"/>
      <c r="K368" s="163"/>
      <c r="L368" s="163"/>
    </row>
    <row r="369" spans="2:12" s="147" customFormat="1" hidden="1">
      <c r="B369" s="163"/>
      <c r="C369" s="163"/>
      <c r="D369" s="163"/>
      <c r="E369" s="163"/>
      <c r="F369" s="163"/>
      <c r="G369" s="163"/>
      <c r="H369" s="163"/>
      <c r="I369" s="163"/>
      <c r="J369" s="163"/>
      <c r="K369" s="163"/>
      <c r="L369" s="163"/>
    </row>
    <row r="370" spans="2:12" s="147" customFormat="1" hidden="1">
      <c r="B370" s="163"/>
      <c r="C370" s="163"/>
      <c r="D370" s="163"/>
      <c r="E370" s="163"/>
      <c r="F370" s="163"/>
      <c r="G370" s="163"/>
      <c r="H370" s="163"/>
      <c r="I370" s="163"/>
      <c r="J370" s="163"/>
      <c r="K370" s="163"/>
      <c r="L370" s="163"/>
    </row>
    <row r="371" spans="2:12" s="147" customFormat="1" hidden="1">
      <c r="B371" s="163"/>
      <c r="C371" s="163"/>
      <c r="D371" s="163"/>
      <c r="E371" s="163"/>
      <c r="F371" s="163"/>
      <c r="G371" s="163"/>
      <c r="H371" s="163"/>
      <c r="I371" s="163"/>
      <c r="J371" s="163"/>
      <c r="K371" s="163"/>
      <c r="L371" s="163"/>
    </row>
    <row r="372" spans="2:12" s="147" customFormat="1" hidden="1">
      <c r="B372" s="163"/>
      <c r="C372" s="163"/>
      <c r="D372" s="163"/>
      <c r="E372" s="163"/>
      <c r="F372" s="163"/>
      <c r="G372" s="163"/>
      <c r="H372" s="163"/>
      <c r="I372" s="163"/>
      <c r="J372" s="163"/>
      <c r="K372" s="163"/>
      <c r="L372" s="163"/>
    </row>
    <row r="373" spans="2:12" s="147" customFormat="1" hidden="1">
      <c r="B373" s="163"/>
      <c r="C373" s="163"/>
      <c r="D373" s="163"/>
      <c r="E373" s="163"/>
      <c r="F373" s="163"/>
      <c r="G373" s="163"/>
      <c r="H373" s="163"/>
      <c r="I373" s="163"/>
      <c r="J373" s="163"/>
      <c r="K373" s="163"/>
      <c r="L373" s="163"/>
    </row>
    <row r="374" spans="2:12" s="147" customFormat="1" hidden="1">
      <c r="B374" s="163"/>
      <c r="C374" s="163"/>
      <c r="D374" s="163"/>
      <c r="E374" s="163"/>
      <c r="F374" s="163"/>
      <c r="G374" s="163"/>
      <c r="H374" s="163"/>
      <c r="I374" s="163"/>
      <c r="J374" s="163"/>
      <c r="K374" s="163"/>
      <c r="L374" s="163"/>
    </row>
    <row r="375" spans="2:12" s="147" customFormat="1" hidden="1">
      <c r="B375" s="163"/>
      <c r="C375" s="163"/>
      <c r="D375" s="163"/>
      <c r="E375" s="163"/>
      <c r="F375" s="163"/>
      <c r="G375" s="163"/>
      <c r="H375" s="163"/>
      <c r="I375" s="163"/>
      <c r="J375" s="163"/>
      <c r="K375" s="163"/>
      <c r="L375" s="163"/>
    </row>
  </sheetData>
  <mergeCells count="109">
    <mergeCell ref="B45:L45"/>
    <mergeCell ref="C47:L47"/>
    <mergeCell ref="C48:D48"/>
    <mergeCell ref="B61:L61"/>
    <mergeCell ref="B52:L52"/>
    <mergeCell ref="B53:L53"/>
    <mergeCell ref="C55:L55"/>
    <mergeCell ref="C56:D56"/>
    <mergeCell ref="B60:L60"/>
    <mergeCell ref="C63:L63"/>
    <mergeCell ref="C64:D64"/>
    <mergeCell ref="B68:L68"/>
    <mergeCell ref="B69:L69"/>
    <mergeCell ref="C71:L71"/>
    <mergeCell ref="C3:L3"/>
    <mergeCell ref="C7:D7"/>
    <mergeCell ref="C6:L6"/>
    <mergeCell ref="C14:L14"/>
    <mergeCell ref="B11:L11"/>
    <mergeCell ref="B12:L12"/>
    <mergeCell ref="B27:L27"/>
    <mergeCell ref="C15:D15"/>
    <mergeCell ref="B28:L28"/>
    <mergeCell ref="C22:L22"/>
    <mergeCell ref="C23:D23"/>
    <mergeCell ref="B19:L19"/>
    <mergeCell ref="B20:L20"/>
    <mergeCell ref="C30:L30"/>
    <mergeCell ref="B36:L36"/>
    <mergeCell ref="B37:L37"/>
    <mergeCell ref="C39:L39"/>
    <mergeCell ref="C40:D40"/>
    <mergeCell ref="B44:L44"/>
    <mergeCell ref="B100:L100"/>
    <mergeCell ref="B101:L101"/>
    <mergeCell ref="B84:L84"/>
    <mergeCell ref="B85:L85"/>
    <mergeCell ref="C87:L87"/>
    <mergeCell ref="C88:D88"/>
    <mergeCell ref="B92:L92"/>
    <mergeCell ref="C72:D72"/>
    <mergeCell ref="B76:L76"/>
    <mergeCell ref="B77:L77"/>
    <mergeCell ref="C79:L79"/>
    <mergeCell ref="C80:D80"/>
    <mergeCell ref="B31:L31"/>
    <mergeCell ref="B133:L133"/>
    <mergeCell ref="C135:L135"/>
    <mergeCell ref="C136:D136"/>
    <mergeCell ref="B140:L140"/>
    <mergeCell ref="B141:L141"/>
    <mergeCell ref="B124:L124"/>
    <mergeCell ref="B125:L125"/>
    <mergeCell ref="C127:L127"/>
    <mergeCell ref="C128:D128"/>
    <mergeCell ref="B132:L132"/>
    <mergeCell ref="C112:D112"/>
    <mergeCell ref="B116:L116"/>
    <mergeCell ref="B117:L117"/>
    <mergeCell ref="C119:L119"/>
    <mergeCell ref="C120:D120"/>
    <mergeCell ref="C103:L103"/>
    <mergeCell ref="C104:D104"/>
    <mergeCell ref="B108:L108"/>
    <mergeCell ref="B109:L109"/>
    <mergeCell ref="C111:L111"/>
    <mergeCell ref="B93:L93"/>
    <mergeCell ref="C95:L95"/>
    <mergeCell ref="C96:D96"/>
    <mergeCell ref="C151:L151"/>
    <mergeCell ref="C152:D152"/>
    <mergeCell ref="B157:L157"/>
    <mergeCell ref="B158:L158"/>
    <mergeCell ref="C160:L160"/>
    <mergeCell ref="C143:L143"/>
    <mergeCell ref="C144:D144"/>
    <mergeCell ref="B148:L148"/>
    <mergeCell ref="B149:L149"/>
    <mergeCell ref="B175:L175"/>
    <mergeCell ref="B176:L176"/>
    <mergeCell ref="C178:L178"/>
    <mergeCell ref="C179:D179"/>
    <mergeCell ref="B183:L183"/>
    <mergeCell ref="C161:D161"/>
    <mergeCell ref="B166:L166"/>
    <mergeCell ref="B167:L167"/>
    <mergeCell ref="C169:L169"/>
    <mergeCell ref="C170:D170"/>
    <mergeCell ref="C195:L195"/>
    <mergeCell ref="C196:D196"/>
    <mergeCell ref="B200:L200"/>
    <mergeCell ref="B201:L201"/>
    <mergeCell ref="C203:L203"/>
    <mergeCell ref="B184:L184"/>
    <mergeCell ref="C186:L186"/>
    <mergeCell ref="C187:D187"/>
    <mergeCell ref="B192:L192"/>
    <mergeCell ref="B193:L193"/>
    <mergeCell ref="C211:L211"/>
    <mergeCell ref="C212:D212"/>
    <mergeCell ref="B216:L216"/>
    <mergeCell ref="B217:L217"/>
    <mergeCell ref="C219:L219"/>
    <mergeCell ref="C220:D220"/>
    <mergeCell ref="B224:L224"/>
    <mergeCell ref="B225:L225"/>
    <mergeCell ref="C204:D204"/>
    <mergeCell ref="B208:L208"/>
    <mergeCell ref="B209:L209"/>
  </mergeCells>
  <dataValidations count="1">
    <dataValidation type="list" allowBlank="1" showInputMessage="1" showErrorMessage="1" sqref="C8 C57 C24 C32 C16 C49 C41 C65 C73 C81 C89 C97 C105 C113 C121 C129 C137 C145 C162:C163 C153:C154 C171:C172 C180 C188:C189 C197 C205 C213 C221">
      <formula1>Rates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T201"/>
  <sheetViews>
    <sheetView zoomScale="80" zoomScaleNormal="80" workbookViewId="0"/>
  </sheetViews>
  <sheetFormatPr defaultColWidth="0" defaultRowHeight="14.4" zeroHeight="1"/>
  <cols>
    <col min="1" max="1" width="3.6640625" style="147" customWidth="1"/>
    <col min="2" max="2" width="40.6640625" customWidth="1"/>
    <col min="3" max="12" width="20.6640625" customWidth="1"/>
    <col min="13" max="26" width="9.109375" style="147" customWidth="1"/>
    <col min="27" max="98" width="0" style="147" hidden="1" customWidth="1"/>
    <col min="99" max="16384" width="9.109375" hidden="1"/>
  </cols>
  <sheetData>
    <row r="1" spans="1:98" s="147" customFormat="1"/>
    <row r="2" spans="1:98" s="35" customFormat="1" ht="21" customHeight="1">
      <c r="A2" s="162"/>
      <c r="B2" s="27" t="s">
        <v>59</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row>
    <row r="3" spans="1:98" s="147" customFormat="1">
      <c r="B3" s="161"/>
    </row>
    <row r="4" spans="1:98" s="147" customFormat="1"/>
    <row r="5" spans="1:98" s="8" customFormat="1">
      <c r="A5" s="15"/>
      <c r="B5" s="1" t="s">
        <v>297</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row>
    <row r="6" spans="1:98" s="8" customForma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row>
    <row r="7" spans="1:98" s="8" customFormat="1">
      <c r="A7" s="15"/>
      <c r="B7" s="3" t="s">
        <v>284</v>
      </c>
      <c r="C7" s="6" t="s">
        <v>6</v>
      </c>
      <c r="D7" s="6" t="s">
        <v>7</v>
      </c>
      <c r="E7" s="6" t="s">
        <v>8</v>
      </c>
      <c r="F7" s="6" t="s">
        <v>9</v>
      </c>
      <c r="G7" s="6" t="s">
        <v>10</v>
      </c>
      <c r="H7" s="29" t="s">
        <v>19</v>
      </c>
      <c r="I7" s="29" t="s">
        <v>20</v>
      </c>
      <c r="J7" s="29" t="s">
        <v>21</v>
      </c>
      <c r="K7" s="29" t="s">
        <v>22</v>
      </c>
      <c r="L7" s="29" t="s">
        <v>23</v>
      </c>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row>
    <row r="8" spans="1:98" s="8" customFormat="1">
      <c r="A8" s="15"/>
      <c r="B8" s="8" t="s">
        <v>11</v>
      </c>
      <c r="C8" s="145">
        <v>1</v>
      </c>
      <c r="D8" s="145">
        <f>D9*D10</f>
        <v>1.0353329951690822</v>
      </c>
      <c r="E8" s="145">
        <f t="shared" ref="E8:G8" si="0">E9*E10</f>
        <v>1.0621947743913043</v>
      </c>
      <c r="F8" s="145">
        <f t="shared" si="0"/>
        <v>1.0876998293290694</v>
      </c>
      <c r="G8" s="145">
        <f t="shared" si="0"/>
        <v>1.1205581534732714</v>
      </c>
      <c r="H8" s="9"/>
      <c r="I8" s="9"/>
      <c r="J8" s="9"/>
      <c r="K8" s="9"/>
      <c r="L8" s="9"/>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row>
    <row r="9" spans="1:98" s="8" customFormat="1">
      <c r="A9" s="15"/>
      <c r="B9" s="8" t="s">
        <v>12</v>
      </c>
      <c r="C9" s="145">
        <v>1</v>
      </c>
      <c r="D9" s="145">
        <f>C9*(1+D18)</f>
        <v>1.0248792270531402</v>
      </c>
      <c r="E9" s="145">
        <f t="shared" ref="E9:G9" si="1">D9*(1+E18)</f>
        <v>1.0403381642512077</v>
      </c>
      <c r="F9" s="145">
        <f t="shared" si="1"/>
        <v>1.0536231884057969</v>
      </c>
      <c r="G9" s="145">
        <f t="shared" si="1"/>
        <v>1.0736420289855071</v>
      </c>
      <c r="H9" s="9"/>
      <c r="I9" s="9"/>
      <c r="J9" s="9"/>
      <c r="K9" s="9"/>
      <c r="L9" s="9"/>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row>
    <row r="10" spans="1:98" s="8" customFormat="1">
      <c r="A10" s="15"/>
      <c r="B10" s="8" t="s">
        <v>13</v>
      </c>
      <c r="C10" s="145">
        <v>1</v>
      </c>
      <c r="D10" s="145">
        <f>C10*(1+D19)</f>
        <v>1.0102</v>
      </c>
      <c r="E10" s="145">
        <f t="shared" ref="E10:G10" si="2">D10*(1+E19)</f>
        <v>1.0210091399999999</v>
      </c>
      <c r="F10" s="145">
        <f t="shared" si="2"/>
        <v>1.0323423414540001</v>
      </c>
      <c r="G10" s="145">
        <f t="shared" si="2"/>
        <v>1.043698107209994</v>
      </c>
      <c r="H10" s="146"/>
      <c r="I10" s="146"/>
      <c r="J10" s="146"/>
      <c r="K10" s="146"/>
      <c r="L10" s="146"/>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row>
    <row r="11" spans="1:98" s="15" customFormat="1">
      <c r="B11" s="37"/>
    </row>
    <row r="12" spans="1:98" s="8" customFormat="1">
      <c r="A12" s="15"/>
      <c r="B12" s="3" t="s">
        <v>298</v>
      </c>
      <c r="C12" s="6" t="s">
        <v>6</v>
      </c>
      <c r="D12" s="6" t="s">
        <v>7</v>
      </c>
      <c r="E12" s="6" t="s">
        <v>8</v>
      </c>
      <c r="F12" s="6" t="s">
        <v>9</v>
      </c>
      <c r="G12" s="6" t="s">
        <v>10</v>
      </c>
      <c r="H12" s="29" t="s">
        <v>19</v>
      </c>
      <c r="I12" s="29" t="s">
        <v>20</v>
      </c>
      <c r="J12" s="29" t="s">
        <v>21</v>
      </c>
      <c r="K12" s="29" t="s">
        <v>22</v>
      </c>
      <c r="L12" s="29"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s="8" customFormat="1">
      <c r="A13" s="15"/>
      <c r="B13" s="8" t="s">
        <v>11</v>
      </c>
      <c r="C13" s="9"/>
      <c r="D13" s="9"/>
      <c r="E13" s="9"/>
      <c r="F13" s="9"/>
      <c r="G13" s="66">
        <v>1</v>
      </c>
      <c r="H13" s="66">
        <f>H14*H15</f>
        <v>1.0276240678492865</v>
      </c>
      <c r="I13" s="66">
        <f t="shared" ref="I13:L13" si="3">I14*I15</f>
        <v>1.0592497813772299</v>
      </c>
      <c r="J13" s="66">
        <f t="shared" si="3"/>
        <v>1.0963162030397382</v>
      </c>
      <c r="K13" s="66">
        <f t="shared" si="3"/>
        <v>1.1373288908332129</v>
      </c>
      <c r="L13" s="66">
        <f t="shared" si="3"/>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s="8" customFormat="1">
      <c r="A14" s="15"/>
      <c r="B14" s="8" t="s">
        <v>12</v>
      </c>
      <c r="C14" s="9"/>
      <c r="D14" s="9"/>
      <c r="E14" s="9"/>
      <c r="F14" s="9"/>
      <c r="G14" s="65">
        <v>1</v>
      </c>
      <c r="H14" s="65">
        <f>G14*(1+H18)</f>
        <v>1.0242487465753967</v>
      </c>
      <c r="I14" s="65">
        <f t="shared" ref="I14:L14" si="4">H14*(1+I18)</f>
        <v>1.0490854948612711</v>
      </c>
      <c r="J14" s="65">
        <f t="shared" si="4"/>
        <v>1.0745245031620867</v>
      </c>
      <c r="K14" s="65">
        <f t="shared" si="4"/>
        <v>1.1005803755283181</v>
      </c>
      <c r="L14" s="65">
        <f t="shared" si="4"/>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8" customFormat="1">
      <c r="A15" s="15"/>
      <c r="B15" s="8" t="s">
        <v>13</v>
      </c>
      <c r="C15" s="9"/>
      <c r="D15" s="9"/>
      <c r="E15" s="9"/>
      <c r="F15" s="9"/>
      <c r="G15" s="65">
        <v>1</v>
      </c>
      <c r="H15" s="65">
        <f>G15*(1+H19)</f>
        <v>1.0032954116714083</v>
      </c>
      <c r="I15" s="65">
        <f t="shared" ref="I15:L15" si="5">H15*(1+I19)</f>
        <v>1.0096887113259563</v>
      </c>
      <c r="J15" s="65">
        <f t="shared" si="5"/>
        <v>1.0202803191677094</v>
      </c>
      <c r="K15" s="65">
        <f t="shared" si="5"/>
        <v>1.0333901240854437</v>
      </c>
      <c r="L15" s="65">
        <f t="shared" si="5"/>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row>
    <row r="16" spans="1:98" s="8" customFormat="1">
      <c r="A16" s="15"/>
      <c r="C16" s="9"/>
      <c r="D16" s="9"/>
      <c r="E16" s="9"/>
      <c r="F16" s="9"/>
      <c r="G16" s="9"/>
      <c r="H16" s="9"/>
      <c r="I16" s="9"/>
      <c r="J16" s="9"/>
      <c r="K16" s="9"/>
      <c r="L16" s="9"/>
      <c r="M16" s="18"/>
      <c r="N16" s="18"/>
      <c r="O16" s="18"/>
      <c r="P16" s="18"/>
      <c r="Q16" s="18"/>
      <c r="R16" s="18"/>
      <c r="S16" s="18"/>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row>
    <row r="17" spans="1:98" s="8" customFormat="1">
      <c r="A17" s="15"/>
      <c r="B17" s="3" t="s">
        <v>270</v>
      </c>
      <c r="C17" s="6" t="s">
        <v>6</v>
      </c>
      <c r="D17" s="6" t="s">
        <v>7</v>
      </c>
      <c r="E17" s="6" t="s">
        <v>8</v>
      </c>
      <c r="F17" s="6" t="s">
        <v>9</v>
      </c>
      <c r="G17" s="6" t="s">
        <v>10</v>
      </c>
      <c r="H17" s="29" t="s">
        <v>19</v>
      </c>
      <c r="I17" s="29" t="s">
        <v>20</v>
      </c>
      <c r="J17" s="29" t="s">
        <v>21</v>
      </c>
      <c r="K17" s="29" t="s">
        <v>22</v>
      </c>
      <c r="L17" s="29" t="s">
        <v>23</v>
      </c>
      <c r="M17" s="18"/>
      <c r="N17" s="18"/>
      <c r="O17" s="18"/>
      <c r="P17" s="18"/>
      <c r="Q17" s="18"/>
      <c r="R17" s="18"/>
      <c r="S17" s="18"/>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row>
    <row r="18" spans="1:98" s="8" customFormat="1">
      <c r="A18" s="15"/>
      <c r="B18" s="8" t="s">
        <v>271</v>
      </c>
      <c r="C18" s="202">
        <v>2.4498886414253906E-2</v>
      </c>
      <c r="D18" s="202">
        <v>2.4879227053140163E-2</v>
      </c>
      <c r="E18" s="202">
        <v>1.5083667216591934E-2</v>
      </c>
      <c r="F18" s="202">
        <v>1.2769909449732886E-2</v>
      </c>
      <c r="G18" s="203">
        <v>1.9E-2</v>
      </c>
      <c r="H18" s="203">
        <v>2.4248746575396697E-2</v>
      </c>
      <c r="I18" s="203">
        <v>2.4248746575396697E-2</v>
      </c>
      <c r="J18" s="203">
        <v>2.4248746575396697E-2</v>
      </c>
      <c r="K18" s="203">
        <v>2.4248746575396697E-2</v>
      </c>
      <c r="L18" s="203">
        <v>2.4248746575396697E-2</v>
      </c>
      <c r="M18" s="18"/>
      <c r="N18" s="18"/>
      <c r="O18" s="18"/>
      <c r="P18" s="18"/>
      <c r="Q18" s="18"/>
      <c r="R18" s="18"/>
      <c r="S18" s="18"/>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row>
    <row r="19" spans="1:98" s="8" customFormat="1">
      <c r="A19" s="15"/>
      <c r="B19" s="8" t="s">
        <v>272</v>
      </c>
      <c r="C19" s="202">
        <v>0</v>
      </c>
      <c r="D19" s="202">
        <v>1.0200000000000001E-2</v>
      </c>
      <c r="E19" s="202">
        <v>1.0699999999999999E-2</v>
      </c>
      <c r="F19" s="202">
        <v>1.11E-2</v>
      </c>
      <c r="G19" s="202">
        <v>1.0999999999999999E-2</v>
      </c>
      <c r="H19" s="203">
        <v>3.2954116714084369E-3</v>
      </c>
      <c r="I19" s="203">
        <v>6.3723003017598194E-3</v>
      </c>
      <c r="J19" s="203">
        <v>1.0489973516534423E-2</v>
      </c>
      <c r="K19" s="203">
        <v>1.2849218662208877E-2</v>
      </c>
      <c r="L19" s="203">
        <v>1.1382663691661226E-2</v>
      </c>
      <c r="M19" s="18"/>
      <c r="N19" s="18"/>
      <c r="O19" s="18"/>
      <c r="P19" s="18"/>
      <c r="Q19" s="18"/>
      <c r="R19" s="18"/>
      <c r="S19" s="18"/>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row>
    <row r="20" spans="1:98" s="8" customFormat="1">
      <c r="A20" s="15"/>
      <c r="C20" s="9"/>
      <c r="D20" s="9"/>
      <c r="E20" s="9"/>
      <c r="F20" s="9"/>
      <c r="G20" s="9"/>
      <c r="H20" s="9"/>
      <c r="I20" s="9"/>
      <c r="J20" s="9"/>
      <c r="K20" s="9"/>
      <c r="L20" s="9"/>
      <c r="M20" s="18"/>
      <c r="N20" s="18"/>
      <c r="O20" s="18"/>
      <c r="P20" s="18"/>
      <c r="Q20" s="18"/>
      <c r="R20" s="18"/>
      <c r="S20" s="18"/>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row>
    <row r="21" spans="1:98" s="8" customFormat="1">
      <c r="A21" s="15"/>
      <c r="C21" s="9"/>
      <c r="D21" s="9"/>
      <c r="E21" s="9"/>
      <c r="F21" s="9"/>
      <c r="G21" s="9"/>
      <c r="H21" s="9"/>
      <c r="I21" s="9"/>
      <c r="J21" s="9"/>
      <c r="K21" s="9"/>
      <c r="L21" s="9"/>
      <c r="M21" s="18"/>
      <c r="N21" s="18"/>
      <c r="O21" s="18"/>
      <c r="P21" s="18"/>
      <c r="Q21" s="18"/>
      <c r="R21" s="18"/>
      <c r="S21" s="1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row>
    <row r="22" spans="1:98" s="8" customFormat="1">
      <c r="A22" s="15"/>
      <c r="C22" s="9"/>
      <c r="D22" s="9"/>
      <c r="E22" s="9"/>
      <c r="F22" s="9"/>
      <c r="G22" s="9"/>
      <c r="H22" s="9"/>
      <c r="I22" s="9"/>
      <c r="J22" s="9"/>
      <c r="K22" s="9"/>
      <c r="L22" s="9"/>
      <c r="M22" s="18"/>
      <c r="N22" s="18"/>
      <c r="O22" s="18"/>
      <c r="P22" s="18"/>
      <c r="Q22" s="18"/>
      <c r="R22" s="18"/>
      <c r="S22" s="18"/>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row>
    <row r="23" spans="1:98" s="8" customFormat="1">
      <c r="A23" s="15"/>
      <c r="B23" s="132" t="s">
        <v>285</v>
      </c>
      <c r="C23" s="132"/>
      <c r="D23" s="132"/>
      <c r="E23" s="132"/>
      <c r="F23" s="132"/>
      <c r="G23" s="132"/>
      <c r="H23" s="132"/>
      <c r="I23" s="132"/>
      <c r="J23" s="132"/>
      <c r="K23" s="132"/>
      <c r="L23" s="132"/>
      <c r="M23" s="147"/>
      <c r="N23" s="18"/>
      <c r="O23" s="18"/>
      <c r="P23" s="18"/>
      <c r="Q23" s="18"/>
      <c r="R23" s="18"/>
      <c r="S23" s="18"/>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row>
    <row r="24" spans="1:98" s="8" customFormat="1" ht="28.8">
      <c r="A24" s="15"/>
      <c r="B24" s="38" t="s">
        <v>26</v>
      </c>
      <c r="C24" s="38" t="s">
        <v>27</v>
      </c>
      <c r="D24" s="38" t="s">
        <v>28</v>
      </c>
      <c r="E24" s="38" t="s">
        <v>29</v>
      </c>
      <c r="F24" s="38" t="s">
        <v>30</v>
      </c>
      <c r="G24" s="38" t="s">
        <v>31</v>
      </c>
      <c r="H24" s="38" t="s">
        <v>32</v>
      </c>
      <c r="I24" s="38" t="s">
        <v>33</v>
      </c>
      <c r="J24" s="38" t="s">
        <v>34</v>
      </c>
      <c r="K24" s="38" t="s">
        <v>35</v>
      </c>
      <c r="L24" s="38" t="s">
        <v>36</v>
      </c>
      <c r="M24" s="148"/>
      <c r="N24" s="18"/>
      <c r="O24" s="18"/>
      <c r="P24" s="18"/>
      <c r="Q24" s="18"/>
      <c r="R24" s="18"/>
      <c r="S24" s="18"/>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row>
    <row r="25" spans="1:98" s="8" customFormat="1" ht="28.8">
      <c r="A25" s="15"/>
      <c r="B25" s="39"/>
      <c r="C25" s="39"/>
      <c r="D25" s="39" t="s">
        <v>38</v>
      </c>
      <c r="E25" s="39" t="s">
        <v>37</v>
      </c>
      <c r="F25" s="39" t="s">
        <v>37</v>
      </c>
      <c r="G25" s="39" t="s">
        <v>38</v>
      </c>
      <c r="H25" s="39" t="s">
        <v>38</v>
      </c>
      <c r="I25" s="39" t="s">
        <v>38</v>
      </c>
      <c r="J25" s="39" t="s">
        <v>39</v>
      </c>
      <c r="K25" s="39"/>
      <c r="L25" s="39" t="s">
        <v>40</v>
      </c>
      <c r="M25" s="148"/>
      <c r="N25" s="18"/>
      <c r="O25" s="18"/>
      <c r="P25" s="18"/>
      <c r="Q25" s="18"/>
      <c r="R25" s="18"/>
      <c r="S25" s="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row>
    <row r="26" spans="1:98" s="8" customFormat="1">
      <c r="A26" s="15"/>
      <c r="B26" s="149" t="s">
        <v>41</v>
      </c>
      <c r="C26" s="150" t="s">
        <v>42</v>
      </c>
      <c r="D26" s="151">
        <v>39</v>
      </c>
      <c r="E26" s="152">
        <v>0.52232025787876424</v>
      </c>
      <c r="F26" s="153">
        <v>0.5</v>
      </c>
      <c r="G26" s="154">
        <f>E26*D26</f>
        <v>20.370490057271805</v>
      </c>
      <c r="H26" s="155">
        <f>G26+D26</f>
        <v>59.370490057271809</v>
      </c>
      <c r="I26" s="155">
        <f>H26*F26</f>
        <v>29.685245028635904</v>
      </c>
      <c r="J26" s="155">
        <f>I26+H26</f>
        <v>89.055735085907713</v>
      </c>
      <c r="K26" s="156">
        <v>0</v>
      </c>
      <c r="L26" s="157">
        <v>89.055735085907713</v>
      </c>
      <c r="M26" s="147"/>
      <c r="N26" s="18"/>
      <c r="O26" s="18"/>
      <c r="P26" s="18"/>
      <c r="Q26" s="18"/>
      <c r="R26" s="18"/>
      <c r="S26" s="18"/>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row>
    <row r="27" spans="1:98" s="8" customFormat="1">
      <c r="A27" s="15"/>
      <c r="B27" s="158" t="s">
        <v>43</v>
      </c>
      <c r="C27" s="159" t="s">
        <v>44</v>
      </c>
      <c r="D27" s="151">
        <v>59</v>
      </c>
      <c r="E27" s="152">
        <v>0.52232025787876424</v>
      </c>
      <c r="F27" s="153">
        <v>0.59</v>
      </c>
      <c r="G27" s="154">
        <f t="shared" ref="G27:G30" si="6">E27*D27</f>
        <v>30.81689521484709</v>
      </c>
      <c r="H27" s="155">
        <f t="shared" ref="H27:H30" si="7">G27+D27</f>
        <v>89.816895214847094</v>
      </c>
      <c r="I27" s="155">
        <f t="shared" ref="I27:I30" si="8">H27*F27</f>
        <v>52.991968176759784</v>
      </c>
      <c r="J27" s="155">
        <f t="shared" ref="J27:J30" si="9">I27+H27</f>
        <v>142.80886339160688</v>
      </c>
      <c r="K27" s="156">
        <v>0</v>
      </c>
      <c r="L27" s="157">
        <v>142.80886339160688</v>
      </c>
      <c r="M27" s="147"/>
      <c r="N27" s="18"/>
      <c r="O27" s="18"/>
      <c r="P27" s="18"/>
      <c r="Q27" s="18"/>
      <c r="R27" s="18"/>
      <c r="S27" s="18"/>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row>
    <row r="28" spans="1:98" s="8" customFormat="1">
      <c r="A28" s="15"/>
      <c r="B28" s="158" t="s">
        <v>45</v>
      </c>
      <c r="C28" s="159" t="s">
        <v>46</v>
      </c>
      <c r="D28" s="151">
        <v>69</v>
      </c>
      <c r="E28" s="152">
        <v>0.52232025787876424</v>
      </c>
      <c r="F28" s="153">
        <v>0.69000000000000006</v>
      </c>
      <c r="G28" s="154">
        <f t="shared" si="6"/>
        <v>36.040097793634729</v>
      </c>
      <c r="H28" s="155">
        <f t="shared" si="7"/>
        <v>105.04009779363473</v>
      </c>
      <c r="I28" s="155">
        <f t="shared" si="8"/>
        <v>72.477667477607966</v>
      </c>
      <c r="J28" s="155">
        <f t="shared" si="9"/>
        <v>177.51776527124269</v>
      </c>
      <c r="K28" s="156">
        <v>0</v>
      </c>
      <c r="L28" s="157">
        <v>177.51776527124269</v>
      </c>
      <c r="M28" s="147"/>
      <c r="N28" s="18"/>
      <c r="O28" s="18"/>
      <c r="P28" s="18"/>
      <c r="Q28" s="18"/>
      <c r="R28" s="18"/>
      <c r="S28" s="18"/>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row>
    <row r="29" spans="1:98" s="8" customFormat="1">
      <c r="A29" s="15"/>
      <c r="B29" s="158" t="s">
        <v>47</v>
      </c>
      <c r="C29" s="159" t="s">
        <v>48</v>
      </c>
      <c r="D29" s="151">
        <v>47</v>
      </c>
      <c r="E29" s="152">
        <v>0.52232025787876424</v>
      </c>
      <c r="F29" s="153">
        <v>0.87</v>
      </c>
      <c r="G29" s="154">
        <f t="shared" si="6"/>
        <v>24.549052120301919</v>
      </c>
      <c r="H29" s="155">
        <f t="shared" si="7"/>
        <v>71.549052120301923</v>
      </c>
      <c r="I29" s="155">
        <f t="shared" si="8"/>
        <v>62.247675344662674</v>
      </c>
      <c r="J29" s="155">
        <f t="shared" si="9"/>
        <v>133.79672746496459</v>
      </c>
      <c r="K29" s="156">
        <v>0</v>
      </c>
      <c r="L29" s="157">
        <v>133.79672746496459</v>
      </c>
      <c r="M29" s="147"/>
      <c r="N29" s="18"/>
      <c r="O29" s="18"/>
      <c r="P29" s="18"/>
      <c r="Q29" s="18"/>
      <c r="R29" s="18"/>
      <c r="S29" s="18"/>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row>
    <row r="30" spans="1:98" s="8" customFormat="1">
      <c r="A30" s="15"/>
      <c r="B30" s="158" t="s">
        <v>49</v>
      </c>
      <c r="C30" s="159" t="s">
        <v>50</v>
      </c>
      <c r="D30" s="151">
        <v>82</v>
      </c>
      <c r="E30" s="152">
        <v>0.52232025787876424</v>
      </c>
      <c r="F30" s="153">
        <v>0.69000000000000006</v>
      </c>
      <c r="G30" s="154">
        <f t="shared" si="6"/>
        <v>42.830261146058668</v>
      </c>
      <c r="H30" s="155">
        <f t="shared" si="7"/>
        <v>124.83026114605866</v>
      </c>
      <c r="I30" s="155">
        <f t="shared" si="8"/>
        <v>86.132880190780483</v>
      </c>
      <c r="J30" s="155">
        <f t="shared" si="9"/>
        <v>210.96314133683916</v>
      </c>
      <c r="K30" s="156">
        <v>0</v>
      </c>
      <c r="L30" s="157">
        <v>210.96314133683916</v>
      </c>
      <c r="M30" s="147"/>
      <c r="N30" s="18"/>
      <c r="O30" s="18"/>
      <c r="P30" s="18"/>
      <c r="Q30" s="18"/>
      <c r="R30" s="18"/>
      <c r="S30" s="18"/>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row>
    <row r="31" spans="1:98" s="8" customFormat="1">
      <c r="A31" s="15"/>
      <c r="C31" s="9"/>
      <c r="D31" s="9"/>
      <c r="E31" s="9"/>
      <c r="F31" s="9"/>
      <c r="G31" s="9"/>
      <c r="H31" s="9"/>
      <c r="I31" s="9"/>
      <c r="J31" s="9"/>
      <c r="K31" s="9"/>
      <c r="L31" s="9"/>
      <c r="M31" s="18"/>
      <c r="N31" s="18"/>
      <c r="O31" s="18"/>
      <c r="P31" s="18"/>
      <c r="Q31" s="18"/>
      <c r="R31" s="18"/>
      <c r="S31" s="18"/>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row>
    <row r="32" spans="1:98" s="8" customFormat="1">
      <c r="A32" s="15"/>
      <c r="C32" s="9"/>
      <c r="D32" s="9"/>
      <c r="E32" s="9"/>
      <c r="F32" s="9"/>
      <c r="G32" s="9"/>
      <c r="H32" s="9"/>
      <c r="I32" s="9"/>
      <c r="J32" s="9"/>
      <c r="K32" s="9"/>
      <c r="L32" s="9"/>
      <c r="M32" s="18"/>
      <c r="N32" s="18"/>
      <c r="O32" s="18"/>
      <c r="P32" s="18"/>
      <c r="Q32" s="18"/>
      <c r="R32" s="18"/>
      <c r="S32" s="18"/>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row>
    <row r="33" spans="1:98" s="8" customFormat="1">
      <c r="A33" s="15"/>
      <c r="C33" s="9"/>
      <c r="D33" s="9"/>
      <c r="E33" s="9"/>
      <c r="F33" s="9"/>
      <c r="G33" s="9"/>
      <c r="H33" s="9"/>
      <c r="I33" s="9"/>
      <c r="J33" s="9"/>
      <c r="K33" s="9"/>
      <c r="L33" s="9"/>
      <c r="M33" s="18"/>
      <c r="N33" s="18"/>
      <c r="O33" s="18"/>
      <c r="P33" s="18"/>
      <c r="Q33" s="18"/>
      <c r="R33" s="18"/>
      <c r="S33" s="18"/>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row>
    <row r="34" spans="1:98">
      <c r="B34" s="248" t="s">
        <v>287</v>
      </c>
      <c r="C34" s="248"/>
      <c r="D34" s="248"/>
      <c r="E34" s="248"/>
      <c r="F34" s="248"/>
      <c r="G34" s="248"/>
      <c r="H34" s="248"/>
      <c r="I34" s="248"/>
      <c r="J34" s="248"/>
      <c r="K34" s="248"/>
      <c r="L34" s="248"/>
    </row>
    <row r="35" spans="1:98" ht="45" customHeight="1">
      <c r="B35" s="38" t="s">
        <v>26</v>
      </c>
      <c r="C35" s="38" t="s">
        <v>27</v>
      </c>
      <c r="D35" s="38" t="s">
        <v>28</v>
      </c>
      <c r="E35" s="38" t="s">
        <v>29</v>
      </c>
      <c r="F35" s="38" t="s">
        <v>30</v>
      </c>
      <c r="G35" s="38" t="s">
        <v>31</v>
      </c>
      <c r="H35" s="38" t="s">
        <v>32</v>
      </c>
      <c r="I35" s="38" t="s">
        <v>33</v>
      </c>
      <c r="J35" s="38" t="s">
        <v>34</v>
      </c>
      <c r="K35" s="38" t="s">
        <v>35</v>
      </c>
      <c r="L35" s="38" t="s">
        <v>36</v>
      </c>
      <c r="M35" s="148"/>
    </row>
    <row r="36" spans="1:98" ht="43.95" customHeight="1">
      <c r="B36" s="39"/>
      <c r="C36" s="39"/>
      <c r="D36" s="160" t="s">
        <v>288</v>
      </c>
      <c r="E36" s="39" t="s">
        <v>37</v>
      </c>
      <c r="F36" s="39" t="s">
        <v>37</v>
      </c>
      <c r="G36" s="39" t="s">
        <v>38</v>
      </c>
      <c r="H36" s="39" t="s">
        <v>38</v>
      </c>
      <c r="I36" s="39" t="s">
        <v>38</v>
      </c>
      <c r="J36" s="39" t="s">
        <v>39</v>
      </c>
      <c r="K36" s="39"/>
      <c r="L36" s="39" t="s">
        <v>40</v>
      </c>
      <c r="M36" s="148"/>
    </row>
    <row r="37" spans="1:98">
      <c r="B37" s="149" t="s">
        <v>41</v>
      </c>
      <c r="C37" s="150" t="s">
        <v>42</v>
      </c>
      <c r="D37" s="151">
        <f>D26*$G$8</f>
        <v>43.701767985457586</v>
      </c>
      <c r="E37" s="152">
        <f>E26</f>
        <v>0.52232025787876424</v>
      </c>
      <c r="F37" s="152">
        <f>F26</f>
        <v>0.5</v>
      </c>
      <c r="G37" s="154">
        <f>E37*D37</f>
        <v>22.826318723922128</v>
      </c>
      <c r="H37" s="155">
        <f>G37+D37</f>
        <v>66.528086709379721</v>
      </c>
      <c r="I37" s="155">
        <f>H37*F37</f>
        <v>33.264043354689861</v>
      </c>
      <c r="J37" s="155">
        <f>I37+H37</f>
        <v>99.792130064069582</v>
      </c>
      <c r="K37" s="156">
        <v>0</v>
      </c>
      <c r="L37" s="204">
        <v>102.26</v>
      </c>
    </row>
    <row r="38" spans="1:98">
      <c r="B38" s="158" t="s">
        <v>43</v>
      </c>
      <c r="C38" s="159" t="s">
        <v>44</v>
      </c>
      <c r="D38" s="151">
        <f t="shared" ref="D38:D41" si="10">D27*$G$8</f>
        <v>66.11293105492301</v>
      </c>
      <c r="E38" s="152">
        <f t="shared" ref="E38:F38" si="11">E27</f>
        <v>0.52232025787876424</v>
      </c>
      <c r="F38" s="152">
        <f t="shared" si="11"/>
        <v>0.59</v>
      </c>
      <c r="G38" s="154">
        <f t="shared" ref="G38:G41" si="12">E38*D38</f>
        <v>34.532123197728346</v>
      </c>
      <c r="H38" s="155">
        <f>G38+D38</f>
        <v>100.64505425265136</v>
      </c>
      <c r="I38" s="155">
        <f t="shared" ref="I38:I41" si="13">H38*F38</f>
        <v>59.380582009064298</v>
      </c>
      <c r="J38" s="155">
        <f t="shared" ref="J38:J41" si="14">I38+H38</f>
        <v>160.02563626171565</v>
      </c>
      <c r="K38" s="156">
        <v>0</v>
      </c>
      <c r="L38" s="204">
        <v>153.38999999999999</v>
      </c>
    </row>
    <row r="39" spans="1:98">
      <c r="B39" s="158" t="s">
        <v>45</v>
      </c>
      <c r="C39" s="159" t="s">
        <v>46</v>
      </c>
      <c r="D39" s="151">
        <f t="shared" si="10"/>
        <v>77.318512589655725</v>
      </c>
      <c r="E39" s="152">
        <f t="shared" ref="E39:F39" si="15">E28</f>
        <v>0.52232025787876424</v>
      </c>
      <c r="F39" s="152">
        <f t="shared" si="15"/>
        <v>0.69000000000000006</v>
      </c>
      <c r="G39" s="154">
        <f t="shared" si="12"/>
        <v>40.385025434631459</v>
      </c>
      <c r="H39" s="155">
        <f t="shared" ref="H39:H41" si="16">G39+D39</f>
        <v>117.70353802428718</v>
      </c>
      <c r="I39" s="155">
        <f t="shared" si="13"/>
        <v>81.215441236758167</v>
      </c>
      <c r="J39" s="155">
        <f t="shared" si="14"/>
        <v>198.91897926104537</v>
      </c>
      <c r="K39" s="156">
        <v>0</v>
      </c>
      <c r="L39" s="204">
        <v>191.74</v>
      </c>
    </row>
    <row r="40" spans="1:98">
      <c r="B40" s="158" t="s">
        <v>47</v>
      </c>
      <c r="C40" s="159" t="s">
        <v>48</v>
      </c>
      <c r="D40" s="151">
        <f t="shared" si="10"/>
        <v>52.666233213243757</v>
      </c>
      <c r="E40" s="152">
        <f t="shared" ref="E40:F40" si="17">E29</f>
        <v>0.52232025787876424</v>
      </c>
      <c r="F40" s="152">
        <f t="shared" si="17"/>
        <v>0.87</v>
      </c>
      <c r="G40" s="154">
        <f t="shared" si="12"/>
        <v>27.508640513444618</v>
      </c>
      <c r="H40" s="155">
        <f t="shared" si="16"/>
        <v>80.174873726688375</v>
      </c>
      <c r="I40" s="155">
        <f t="shared" si="13"/>
        <v>69.752140142218892</v>
      </c>
      <c r="J40" s="155">
        <f t="shared" si="14"/>
        <v>149.92701386890727</v>
      </c>
      <c r="K40" s="156">
        <v>0</v>
      </c>
      <c r="L40" s="204">
        <v>147.83000000000001</v>
      </c>
    </row>
    <row r="41" spans="1:98">
      <c r="B41" s="158" t="s">
        <v>49</v>
      </c>
      <c r="C41" s="159" t="s">
        <v>50</v>
      </c>
      <c r="D41" s="151">
        <f t="shared" si="10"/>
        <v>91.885768584808247</v>
      </c>
      <c r="E41" s="152">
        <f t="shared" ref="E41:F41" si="18">E30</f>
        <v>0.52232025787876424</v>
      </c>
      <c r="F41" s="152">
        <f t="shared" si="18"/>
        <v>0.69000000000000006</v>
      </c>
      <c r="G41" s="154">
        <f t="shared" si="12"/>
        <v>47.993798342605494</v>
      </c>
      <c r="H41" s="155">
        <f t="shared" si="16"/>
        <v>139.87956692741375</v>
      </c>
      <c r="I41" s="155">
        <f t="shared" si="13"/>
        <v>96.516901179915493</v>
      </c>
      <c r="J41" s="155">
        <f t="shared" si="14"/>
        <v>236.39646810732924</v>
      </c>
      <c r="K41" s="156">
        <v>0</v>
      </c>
      <c r="L41" s="204">
        <v>210.91</v>
      </c>
    </row>
    <row r="42" spans="1:98">
      <c r="C42" s="147"/>
      <c r="D42" s="147"/>
      <c r="E42" s="147"/>
      <c r="F42" s="147"/>
      <c r="G42" s="147"/>
      <c r="H42" s="147"/>
      <c r="I42" s="147"/>
      <c r="J42" s="147"/>
      <c r="K42" s="147"/>
      <c r="L42" s="147"/>
    </row>
    <row r="43" spans="1:98">
      <c r="B43" s="40" t="s">
        <v>14</v>
      </c>
      <c r="C43" s="147"/>
      <c r="D43" s="147"/>
      <c r="E43" s="147"/>
      <c r="F43" s="147"/>
      <c r="G43" s="147"/>
      <c r="H43" s="147"/>
      <c r="I43" s="147"/>
      <c r="J43" s="147"/>
      <c r="K43" s="147"/>
      <c r="L43" s="147"/>
    </row>
    <row r="44" spans="1:98" ht="14.4" customHeight="1">
      <c r="B44" s="249" t="s">
        <v>286</v>
      </c>
      <c r="C44" s="249"/>
      <c r="D44" s="249"/>
      <c r="E44" s="249"/>
      <c r="F44" s="249"/>
      <c r="G44" s="249"/>
      <c r="H44" s="249"/>
      <c r="I44" s="249"/>
      <c r="J44" s="249"/>
      <c r="K44" s="249"/>
      <c r="L44" s="249"/>
    </row>
    <row r="45" spans="1:98" s="147" customFormat="1"/>
    <row r="46" spans="1:98" s="147" customFormat="1"/>
    <row r="47" spans="1:98" s="147" customFormat="1">
      <c r="B47" s="1" t="s">
        <v>294</v>
      </c>
      <c r="C47" s="1"/>
      <c r="D47" s="1"/>
      <c r="E47" s="4"/>
      <c r="F47" s="4"/>
      <c r="G47" s="4"/>
      <c r="H47" s="4"/>
      <c r="I47" s="4"/>
      <c r="J47" s="4"/>
      <c r="K47" s="4"/>
      <c r="L47" s="4"/>
    </row>
    <row r="48" spans="1:98" s="147" customFormat="1"/>
    <row r="49" spans="2:3" s="147" customFormat="1"/>
    <row r="50" spans="2:3" s="147" customFormat="1">
      <c r="B50" s="40" t="s">
        <v>293</v>
      </c>
      <c r="C50" s="199">
        <v>0.01</v>
      </c>
    </row>
    <row r="51" spans="2:3" s="147" customFormat="1"/>
    <row r="52" spans="2:3" s="147" customFormat="1"/>
    <row r="53" spans="2:3" s="147" customFormat="1"/>
    <row r="54" spans="2:3" s="147" customFormat="1"/>
    <row r="55" spans="2:3" s="147" customFormat="1"/>
    <row r="56" spans="2:3" s="147" customFormat="1" hidden="1"/>
    <row r="57" spans="2:3" s="147" customFormat="1" hidden="1"/>
    <row r="58" spans="2:3" s="147" customFormat="1" hidden="1"/>
    <row r="59" spans="2:3" s="147" customFormat="1" hidden="1"/>
    <row r="60" spans="2:3" s="147" customFormat="1" hidden="1"/>
    <row r="61" spans="2:3" s="147" customFormat="1" hidden="1"/>
    <row r="62" spans="2:3" s="147" customFormat="1" hidden="1"/>
    <row r="63" spans="2:3" s="147" customFormat="1" hidden="1"/>
    <row r="64" spans="2:3" s="147" customFormat="1" hidden="1"/>
    <row r="65" s="147" customFormat="1" hidden="1"/>
    <row r="66" s="147" customFormat="1" hidden="1"/>
    <row r="67" s="147" customFormat="1" hidden="1"/>
    <row r="68" s="147" customFormat="1" hidden="1"/>
    <row r="69" s="147" customFormat="1" hidden="1"/>
    <row r="70" s="147" customFormat="1" hidden="1"/>
    <row r="71" s="147" customFormat="1" hidden="1"/>
    <row r="72" s="147" customFormat="1" hidden="1"/>
    <row r="73" s="147" customFormat="1" hidden="1"/>
    <row r="74" s="147" customFormat="1" hidden="1"/>
    <row r="75" s="147" customFormat="1" hidden="1"/>
    <row r="76" s="147" customFormat="1" hidden="1"/>
    <row r="77" s="147" customFormat="1" hidden="1"/>
    <row r="78" s="147" customFormat="1" hidden="1"/>
    <row r="79" s="147" customFormat="1" hidden="1"/>
    <row r="80" s="147" customFormat="1" hidden="1"/>
    <row r="81" s="147" customFormat="1" hidden="1"/>
    <row r="82" s="147" customFormat="1" hidden="1"/>
    <row r="83" s="147" customFormat="1" hidden="1"/>
    <row r="84" s="147" customFormat="1" hidden="1"/>
    <row r="85" s="147" customFormat="1" hidden="1"/>
    <row r="86" s="147" customFormat="1" hidden="1"/>
    <row r="87" s="147" customFormat="1" hidden="1"/>
    <row r="88" s="147" customFormat="1" hidden="1"/>
    <row r="89" s="147" customFormat="1" hidden="1"/>
    <row r="90" s="147" customFormat="1" hidden="1"/>
    <row r="91" s="147" customFormat="1" hidden="1"/>
    <row r="92" s="147" customFormat="1" hidden="1"/>
    <row r="93" s="147" customFormat="1" hidden="1"/>
    <row r="94" s="147" customFormat="1" hidden="1"/>
    <row r="95" s="147" customFormat="1" hidden="1"/>
    <row r="96" s="147" customFormat="1" hidden="1"/>
    <row r="97" s="147" customFormat="1" hidden="1"/>
    <row r="98" s="147" customFormat="1" hidden="1"/>
    <row r="99" s="147" customFormat="1" hidden="1"/>
    <row r="100" s="147" customFormat="1" hidden="1"/>
    <row r="101" s="147" customFormat="1" hidden="1"/>
    <row r="102" s="147" customFormat="1" hidden="1"/>
    <row r="103" s="147" customFormat="1" hidden="1"/>
    <row r="104" s="147" customFormat="1" hidden="1"/>
    <row r="105" s="147" customFormat="1" hidden="1"/>
    <row r="106" s="147" customFormat="1" hidden="1"/>
    <row r="107" s="147" customFormat="1" hidden="1"/>
    <row r="108" s="147" customFormat="1" hidden="1"/>
    <row r="109" s="147" customFormat="1" hidden="1"/>
    <row r="110" s="147" customFormat="1" hidden="1"/>
    <row r="111" s="147" customFormat="1" hidden="1"/>
    <row r="112"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3"/>
  <sheetViews>
    <sheetView workbookViewId="0">
      <selection sqref="A1:A2"/>
    </sheetView>
  </sheetViews>
  <sheetFormatPr defaultColWidth="8.88671875" defaultRowHeight="14.4"/>
  <cols>
    <col min="1" max="1" width="47.6640625" style="98" customWidth="1"/>
    <col min="2" max="2" width="37.88671875" style="98" customWidth="1"/>
    <col min="3" max="3" width="11.33203125" style="98" customWidth="1"/>
    <col min="4" max="4" width="17.109375" style="98" customWidth="1"/>
    <col min="5" max="5" width="11.33203125" style="125" customWidth="1"/>
    <col min="6" max="6" width="19.6640625" style="98" customWidth="1"/>
    <col min="7" max="7" width="19.6640625" style="126" customWidth="1"/>
    <col min="8" max="14" width="19.6640625" style="98" customWidth="1"/>
    <col min="15" max="15" width="26.5546875" style="34" customWidth="1"/>
    <col min="16" max="16384" width="8.88671875" style="98"/>
  </cols>
  <sheetData>
    <row r="1" spans="1:15" ht="24">
      <c r="A1" s="252" t="s">
        <v>124</v>
      </c>
      <c r="B1" s="252" t="s">
        <v>125</v>
      </c>
      <c r="C1" s="253" t="s">
        <v>126</v>
      </c>
      <c r="D1" s="254"/>
      <c r="E1" s="257" t="s">
        <v>127</v>
      </c>
      <c r="F1" s="250" t="s">
        <v>128</v>
      </c>
      <c r="G1" s="93" t="s">
        <v>129</v>
      </c>
      <c r="H1" s="94" t="s">
        <v>130</v>
      </c>
      <c r="I1" s="95" t="s">
        <v>131</v>
      </c>
      <c r="J1" s="95" t="s">
        <v>132</v>
      </c>
      <c r="K1" s="95" t="s">
        <v>133</v>
      </c>
      <c r="L1" s="95" t="s">
        <v>133</v>
      </c>
      <c r="M1" s="96"/>
      <c r="N1" s="97"/>
      <c r="O1" s="250" t="s">
        <v>134</v>
      </c>
    </row>
    <row r="2" spans="1:15">
      <c r="A2" s="252"/>
      <c r="B2" s="252"/>
      <c r="C2" s="255"/>
      <c r="D2" s="256"/>
      <c r="E2" s="257"/>
      <c r="F2" s="251"/>
      <c r="G2" s="99" t="s">
        <v>135</v>
      </c>
      <c r="H2" s="99" t="s">
        <v>135</v>
      </c>
      <c r="I2" s="99" t="s">
        <v>135</v>
      </c>
      <c r="J2" s="99" t="s">
        <v>135</v>
      </c>
      <c r="K2" s="100" t="s">
        <v>136</v>
      </c>
      <c r="L2" s="100" t="s">
        <v>137</v>
      </c>
      <c r="M2" s="100" t="s">
        <v>138</v>
      </c>
      <c r="N2" s="100" t="s">
        <v>139</v>
      </c>
      <c r="O2" s="251"/>
    </row>
    <row r="3" spans="1:15">
      <c r="A3" s="101" t="s">
        <v>140</v>
      </c>
      <c r="B3" s="101" t="s">
        <v>80</v>
      </c>
      <c r="C3" s="101" t="s">
        <v>68</v>
      </c>
      <c r="D3" s="101" t="s">
        <v>69</v>
      </c>
      <c r="E3" s="102" t="s">
        <v>141</v>
      </c>
      <c r="F3" s="103" t="s">
        <v>142</v>
      </c>
      <c r="G3" s="104">
        <v>163</v>
      </c>
      <c r="H3" s="105">
        <v>428.43</v>
      </c>
      <c r="I3" s="106">
        <v>428.43</v>
      </c>
      <c r="J3" s="106">
        <v>428.72246328038557</v>
      </c>
      <c r="K3" s="106">
        <v>443.87051200434843</v>
      </c>
      <c r="L3" s="104">
        <v>455.38676016059338</v>
      </c>
      <c r="M3" s="104">
        <v>466.32135013961368</v>
      </c>
      <c r="N3" s="104">
        <v>482.67141605393874</v>
      </c>
      <c r="O3" s="107" t="s">
        <v>143</v>
      </c>
    </row>
    <row r="4" spans="1:15">
      <c r="A4" s="101" t="s">
        <v>140</v>
      </c>
      <c r="B4" s="101" t="s">
        <v>80</v>
      </c>
      <c r="C4" s="101" t="s">
        <v>68</v>
      </c>
      <c r="D4" s="101" t="s">
        <v>82</v>
      </c>
      <c r="E4" s="102" t="s">
        <v>141</v>
      </c>
      <c r="F4" s="103" t="s">
        <v>142</v>
      </c>
      <c r="G4" s="104">
        <v>244.99999999999997</v>
      </c>
      <c r="H4" s="105">
        <v>571.24</v>
      </c>
      <c r="I4" s="106">
        <v>571.24</v>
      </c>
      <c r="J4" s="106">
        <v>571.62995104051424</v>
      </c>
      <c r="K4" s="106">
        <v>591.82734933913139</v>
      </c>
      <c r="L4" s="104">
        <v>607.18234688079121</v>
      </c>
      <c r="M4" s="104">
        <v>621.7618001861515</v>
      </c>
      <c r="N4" s="104">
        <v>643.56188807191825</v>
      </c>
      <c r="O4" s="107" t="s">
        <v>143</v>
      </c>
    </row>
    <row r="5" spans="1:15">
      <c r="A5" s="101" t="s">
        <v>140</v>
      </c>
      <c r="B5" s="101" t="s">
        <v>80</v>
      </c>
      <c r="C5" s="101" t="s">
        <v>68</v>
      </c>
      <c r="D5" s="101" t="s">
        <v>71</v>
      </c>
      <c r="E5" s="102" t="s">
        <v>141</v>
      </c>
      <c r="F5" s="103" t="s">
        <v>142</v>
      </c>
      <c r="G5" s="104">
        <v>407.90909090909088</v>
      </c>
      <c r="H5" s="105">
        <v>999.67</v>
      </c>
      <c r="I5" s="106">
        <v>999.67</v>
      </c>
      <c r="J5" s="106">
        <v>1000.3524143208997</v>
      </c>
      <c r="K5" s="106">
        <v>1035.6978613434796</v>
      </c>
      <c r="L5" s="104">
        <v>1062.5691070413845</v>
      </c>
      <c r="M5" s="104">
        <v>1088.083150325765</v>
      </c>
      <c r="N5" s="104">
        <v>1126.2333041258569</v>
      </c>
      <c r="O5" s="107" t="s">
        <v>143</v>
      </c>
    </row>
    <row r="6" spans="1:15">
      <c r="A6" s="101" t="s">
        <v>140</v>
      </c>
      <c r="B6" s="101" t="s">
        <v>80</v>
      </c>
      <c r="C6" s="101" t="s">
        <v>68</v>
      </c>
      <c r="D6" s="101" t="s">
        <v>72</v>
      </c>
      <c r="E6" s="102" t="s">
        <v>141</v>
      </c>
      <c r="F6" s="103" t="s">
        <v>142</v>
      </c>
      <c r="G6" s="104">
        <v>489.90909090909082</v>
      </c>
      <c r="H6" s="105">
        <v>1285.29</v>
      </c>
      <c r="I6" s="106">
        <v>1285.29</v>
      </c>
      <c r="J6" s="106">
        <v>1286.1673898411568</v>
      </c>
      <c r="K6" s="106">
        <v>1331.6115360130455</v>
      </c>
      <c r="L6" s="104">
        <v>1366.1602804817801</v>
      </c>
      <c r="M6" s="104">
        <v>1398.9640504188408</v>
      </c>
      <c r="N6" s="104">
        <v>1448.0142481618161</v>
      </c>
      <c r="O6" s="107" t="s">
        <v>143</v>
      </c>
    </row>
    <row r="7" spans="1:15">
      <c r="A7" s="101" t="s">
        <v>140</v>
      </c>
      <c r="B7" s="101" t="s">
        <v>80</v>
      </c>
      <c r="C7" s="101" t="s">
        <v>76</v>
      </c>
      <c r="D7" s="101"/>
      <c r="E7" s="102" t="s">
        <v>141</v>
      </c>
      <c r="F7" s="103" t="s">
        <v>144</v>
      </c>
      <c r="G7" s="104">
        <v>82</v>
      </c>
      <c r="H7" s="105">
        <v>142.81</v>
      </c>
      <c r="I7" s="106">
        <v>142.81</v>
      </c>
      <c r="J7" s="106">
        <v>142.90748776012856</v>
      </c>
      <c r="K7" s="106">
        <v>147.95683733478285</v>
      </c>
      <c r="L7" s="104">
        <v>151.7955867201978</v>
      </c>
      <c r="M7" s="104">
        <v>155.44045004653788</v>
      </c>
      <c r="N7" s="104">
        <v>160.89047201797956</v>
      </c>
      <c r="O7" s="107" t="s">
        <v>145</v>
      </c>
    </row>
    <row r="8" spans="1:15">
      <c r="A8" s="101" t="s">
        <v>140</v>
      </c>
      <c r="B8" s="101" t="s">
        <v>80</v>
      </c>
      <c r="C8" s="101" t="s">
        <v>77</v>
      </c>
      <c r="D8" s="101"/>
      <c r="E8" s="102" t="s">
        <v>141</v>
      </c>
      <c r="F8" s="103" t="s">
        <v>144</v>
      </c>
      <c r="G8" s="104">
        <v>82</v>
      </c>
      <c r="H8" s="105">
        <v>142.81</v>
      </c>
      <c r="I8" s="106">
        <v>142.81</v>
      </c>
      <c r="J8" s="106">
        <v>142.90748776012856</v>
      </c>
      <c r="K8" s="106">
        <v>147.95683733478285</v>
      </c>
      <c r="L8" s="104">
        <v>151.7955867201978</v>
      </c>
      <c r="M8" s="104">
        <v>155.44045004653788</v>
      </c>
      <c r="N8" s="104">
        <v>160.89047201797956</v>
      </c>
      <c r="O8" s="107" t="s">
        <v>145</v>
      </c>
    </row>
    <row r="9" spans="1:15">
      <c r="A9" s="101" t="s">
        <v>140</v>
      </c>
      <c r="B9" s="101" t="s">
        <v>80</v>
      </c>
      <c r="C9" s="101" t="s">
        <v>78</v>
      </c>
      <c r="D9" s="101"/>
      <c r="E9" s="102" t="s">
        <v>141</v>
      </c>
      <c r="F9" s="103" t="s">
        <v>144</v>
      </c>
      <c r="G9" s="104">
        <v>82</v>
      </c>
      <c r="H9" s="105">
        <v>142.81</v>
      </c>
      <c r="I9" s="106">
        <v>142.81</v>
      </c>
      <c r="J9" s="106">
        <v>142.90748776012856</v>
      </c>
      <c r="K9" s="106">
        <v>147.95683733478285</v>
      </c>
      <c r="L9" s="104">
        <v>151.7955867201978</v>
      </c>
      <c r="M9" s="104">
        <v>155.44045004653788</v>
      </c>
      <c r="N9" s="104">
        <v>160.89047201797956</v>
      </c>
      <c r="O9" s="107" t="s">
        <v>145</v>
      </c>
    </row>
    <row r="10" spans="1:15">
      <c r="A10" s="101" t="s">
        <v>140</v>
      </c>
      <c r="B10" s="101" t="s">
        <v>80</v>
      </c>
      <c r="C10" s="101" t="s">
        <v>79</v>
      </c>
      <c r="D10" s="101"/>
      <c r="E10" s="102" t="s">
        <v>141</v>
      </c>
      <c r="F10" s="103" t="s">
        <v>144</v>
      </c>
      <c r="G10" s="104">
        <v>82</v>
      </c>
      <c r="H10" s="105">
        <v>142.81</v>
      </c>
      <c r="I10" s="106">
        <v>142.81</v>
      </c>
      <c r="J10" s="106">
        <v>142.90748776012856</v>
      </c>
      <c r="K10" s="106">
        <v>147.95683733478285</v>
      </c>
      <c r="L10" s="104">
        <v>151.7955867201978</v>
      </c>
      <c r="M10" s="104">
        <v>155.44045004653788</v>
      </c>
      <c r="N10" s="104">
        <v>160.89047201797956</v>
      </c>
      <c r="O10" s="107" t="s">
        <v>145</v>
      </c>
    </row>
    <row r="11" spans="1:15">
      <c r="A11" s="101" t="s">
        <v>140</v>
      </c>
      <c r="B11" s="101" t="s">
        <v>80</v>
      </c>
      <c r="C11" s="101" t="s">
        <v>79</v>
      </c>
      <c r="D11" s="101"/>
      <c r="E11" s="102" t="s">
        <v>141</v>
      </c>
      <c r="F11" s="103" t="s">
        <v>144</v>
      </c>
      <c r="G11" s="104">
        <v>98.36363636363636</v>
      </c>
      <c r="H11" s="105">
        <v>166.43754737754293</v>
      </c>
      <c r="I11" s="106">
        <v>166.43754737754293</v>
      </c>
      <c r="J11" s="106">
        <v>166.5511642369724</v>
      </c>
      <c r="K11" s="106">
        <v>172.43591571836234</v>
      </c>
      <c r="L11" s="104">
        <v>176.90977632129992</v>
      </c>
      <c r="M11" s="104">
        <v>181.15767291511264</v>
      </c>
      <c r="N11" s="104">
        <v>187.50938701132773</v>
      </c>
      <c r="O11" s="107" t="s">
        <v>145</v>
      </c>
    </row>
    <row r="12" spans="1:15">
      <c r="A12" s="101" t="s">
        <v>140</v>
      </c>
      <c r="B12" s="101" t="s">
        <v>80</v>
      </c>
      <c r="C12" s="101" t="s">
        <v>79</v>
      </c>
      <c r="D12" s="101"/>
      <c r="E12" s="102" t="s">
        <v>141</v>
      </c>
      <c r="F12" s="103" t="s">
        <v>144</v>
      </c>
      <c r="G12" s="104" t="s">
        <v>146</v>
      </c>
      <c r="H12" s="105">
        <v>210.96</v>
      </c>
      <c r="I12" s="106">
        <v>210.96</v>
      </c>
      <c r="J12" s="106">
        <v>211.10400964832095</v>
      </c>
      <c r="K12" s="106">
        <v>218.56294660139895</v>
      </c>
      <c r="L12" s="104">
        <v>224.23357590149797</v>
      </c>
      <c r="M12" s="104">
        <v>229.61779526516091</v>
      </c>
      <c r="N12" s="104">
        <v>237.66860847918892</v>
      </c>
      <c r="O12" s="107" t="s">
        <v>145</v>
      </c>
    </row>
    <row r="13" spans="1:15">
      <c r="A13" s="101" t="s">
        <v>140</v>
      </c>
      <c r="B13" s="101" t="s">
        <v>80</v>
      </c>
      <c r="C13" s="101" t="s">
        <v>147</v>
      </c>
      <c r="D13" s="101"/>
      <c r="E13" s="102" t="s">
        <v>141</v>
      </c>
      <c r="F13" s="103" t="s">
        <v>142</v>
      </c>
      <c r="G13" s="104" t="s">
        <v>146</v>
      </c>
      <c r="H13" s="105">
        <v>535.54</v>
      </c>
      <c r="I13" s="106">
        <v>535.54</v>
      </c>
      <c r="J13" s="106">
        <v>535.90558080708092</v>
      </c>
      <c r="K13" s="106">
        <v>554.84073010482177</v>
      </c>
      <c r="L13" s="104">
        <v>569.23610750041826</v>
      </c>
      <c r="M13" s="104">
        <v>582.90440878035781</v>
      </c>
      <c r="N13" s="104">
        <v>603.34208658013301</v>
      </c>
      <c r="O13" s="107" t="s">
        <v>148</v>
      </c>
    </row>
    <row r="14" spans="1:15">
      <c r="A14" s="101" t="s">
        <v>140</v>
      </c>
      <c r="B14" s="101" t="s">
        <v>80</v>
      </c>
      <c r="C14" s="101" t="s">
        <v>149</v>
      </c>
      <c r="D14" s="101"/>
      <c r="E14" s="102" t="s">
        <v>141</v>
      </c>
      <c r="F14" s="103" t="s">
        <v>144</v>
      </c>
      <c r="G14" s="104" t="s">
        <v>146</v>
      </c>
      <c r="H14" s="105">
        <v>142.81</v>
      </c>
      <c r="I14" s="106">
        <v>142.81</v>
      </c>
      <c r="J14" s="106">
        <v>142.90748776012856</v>
      </c>
      <c r="K14" s="106">
        <v>147.95683733478285</v>
      </c>
      <c r="L14" s="104">
        <v>151.7955867201978</v>
      </c>
      <c r="M14" s="104">
        <v>155.44045004653788</v>
      </c>
      <c r="N14" s="104">
        <v>160.89047201797956</v>
      </c>
      <c r="O14" s="107" t="s">
        <v>145</v>
      </c>
    </row>
    <row r="15" spans="1:15">
      <c r="A15" s="108" t="s">
        <v>140</v>
      </c>
      <c r="B15" s="108" t="s">
        <v>81</v>
      </c>
      <c r="C15" s="108" t="s">
        <v>150</v>
      </c>
      <c r="D15" s="108"/>
      <c r="E15" s="109" t="s">
        <v>141</v>
      </c>
      <c r="F15" s="110" t="s">
        <v>142</v>
      </c>
      <c r="G15" s="111"/>
      <c r="H15" s="112">
        <v>1285.29</v>
      </c>
      <c r="I15" s="113">
        <v>1285.29</v>
      </c>
      <c r="J15" s="113">
        <v>1286.1673898411568</v>
      </c>
      <c r="K15" s="113">
        <v>1331.6115360130455</v>
      </c>
      <c r="L15" s="111">
        <v>1366.1602804817801</v>
      </c>
      <c r="M15" s="104">
        <v>1398.9640504188408</v>
      </c>
      <c r="N15" s="104">
        <v>1448.0142481618161</v>
      </c>
      <c r="O15" s="114" t="s">
        <v>143</v>
      </c>
    </row>
    <row r="16" spans="1:15">
      <c r="A16" s="101" t="s">
        <v>140</v>
      </c>
      <c r="B16" s="101" t="s">
        <v>81</v>
      </c>
      <c r="C16" s="101" t="s">
        <v>68</v>
      </c>
      <c r="D16" s="101" t="s">
        <v>69</v>
      </c>
      <c r="E16" s="102" t="s">
        <v>141</v>
      </c>
      <c r="F16" s="103" t="s">
        <v>142</v>
      </c>
      <c r="G16" s="104">
        <v>82</v>
      </c>
      <c r="H16" s="105">
        <v>285.62</v>
      </c>
      <c r="I16" s="106">
        <v>285.62</v>
      </c>
      <c r="J16" s="106">
        <v>285.81497552025712</v>
      </c>
      <c r="K16" s="106">
        <v>295.91367466956569</v>
      </c>
      <c r="L16" s="104">
        <v>303.59117344039561</v>
      </c>
      <c r="M16" s="104">
        <v>310.88090009307575</v>
      </c>
      <c r="N16" s="104">
        <v>321.78094403595912</v>
      </c>
      <c r="O16" s="107" t="s">
        <v>143</v>
      </c>
    </row>
    <row r="17" spans="1:15">
      <c r="A17" s="101" t="s">
        <v>140</v>
      </c>
      <c r="B17" s="101" t="s">
        <v>81</v>
      </c>
      <c r="C17" s="101" t="s">
        <v>68</v>
      </c>
      <c r="D17" s="101" t="s">
        <v>151</v>
      </c>
      <c r="E17" s="102" t="s">
        <v>141</v>
      </c>
      <c r="F17" s="103" t="s">
        <v>142</v>
      </c>
      <c r="G17" s="104">
        <v>163</v>
      </c>
      <c r="H17" s="105">
        <v>428.43</v>
      </c>
      <c r="I17" s="106">
        <v>428.43</v>
      </c>
      <c r="J17" s="106">
        <v>428.72246328038557</v>
      </c>
      <c r="K17" s="106">
        <v>443.87051200434843</v>
      </c>
      <c r="L17" s="104">
        <v>455.38676016059338</v>
      </c>
      <c r="M17" s="104">
        <v>466.32135013961368</v>
      </c>
      <c r="N17" s="104">
        <v>482.67141605393874</v>
      </c>
      <c r="O17" s="107" t="s">
        <v>143</v>
      </c>
    </row>
    <row r="18" spans="1:15">
      <c r="A18" s="101" t="s">
        <v>140</v>
      </c>
      <c r="B18" s="101" t="s">
        <v>81</v>
      </c>
      <c r="C18" s="101" t="s">
        <v>68</v>
      </c>
      <c r="D18" s="101" t="s">
        <v>71</v>
      </c>
      <c r="E18" s="102" t="s">
        <v>141</v>
      </c>
      <c r="F18" s="103" t="s">
        <v>142</v>
      </c>
      <c r="G18" s="104">
        <v>244.99999999999997</v>
      </c>
      <c r="H18" s="105">
        <v>714.05</v>
      </c>
      <c r="I18" s="106">
        <v>714.05</v>
      </c>
      <c r="J18" s="106">
        <v>714.53743880064258</v>
      </c>
      <c r="K18" s="106">
        <v>739.78418667391406</v>
      </c>
      <c r="L18" s="104">
        <v>758.97793360098888</v>
      </c>
      <c r="M18" s="104">
        <v>777.20225023268927</v>
      </c>
      <c r="N18" s="104">
        <v>804.45236008989775</v>
      </c>
      <c r="O18" s="107" t="s">
        <v>143</v>
      </c>
    </row>
    <row r="19" spans="1:15">
      <c r="A19" s="101" t="s">
        <v>140</v>
      </c>
      <c r="B19" s="101" t="s">
        <v>81</v>
      </c>
      <c r="C19" s="101" t="s">
        <v>68</v>
      </c>
      <c r="D19" s="101" t="s">
        <v>72</v>
      </c>
      <c r="E19" s="102" t="s">
        <v>141</v>
      </c>
      <c r="F19" s="103" t="s">
        <v>142</v>
      </c>
      <c r="G19" s="104">
        <v>325.90909090909088</v>
      </c>
      <c r="H19" s="105">
        <v>856.86</v>
      </c>
      <c r="I19" s="106">
        <v>856.86</v>
      </c>
      <c r="J19" s="106">
        <v>857.44492656077114</v>
      </c>
      <c r="K19" s="106">
        <v>887.74102400869685</v>
      </c>
      <c r="L19" s="104">
        <v>910.77352032118677</v>
      </c>
      <c r="M19" s="104">
        <v>932.64270027922737</v>
      </c>
      <c r="N19" s="104">
        <v>965.34283210787748</v>
      </c>
      <c r="O19" s="107" t="s">
        <v>143</v>
      </c>
    </row>
    <row r="20" spans="1:15">
      <c r="A20" s="101" t="s">
        <v>140</v>
      </c>
      <c r="B20" s="101" t="s">
        <v>81</v>
      </c>
      <c r="C20" s="101" t="s">
        <v>76</v>
      </c>
      <c r="D20" s="101" t="s">
        <v>83</v>
      </c>
      <c r="E20" s="102" t="s">
        <v>141</v>
      </c>
      <c r="F20" s="103" t="s">
        <v>142</v>
      </c>
      <c r="G20" s="104">
        <v>82</v>
      </c>
      <c r="H20" s="105">
        <v>285.62</v>
      </c>
      <c r="I20" s="106">
        <v>285.62</v>
      </c>
      <c r="J20" s="106">
        <v>285.81497552025712</v>
      </c>
      <c r="K20" s="106">
        <v>295.91367466956569</v>
      </c>
      <c r="L20" s="104">
        <v>303.59117344039561</v>
      </c>
      <c r="M20" s="104">
        <v>310.88090009307575</v>
      </c>
      <c r="N20" s="104">
        <v>321.78094403595912</v>
      </c>
      <c r="O20" s="107" t="s">
        <v>143</v>
      </c>
    </row>
    <row r="21" spans="1:15">
      <c r="A21" s="101" t="s">
        <v>140</v>
      </c>
      <c r="B21" s="101" t="s">
        <v>81</v>
      </c>
      <c r="C21" s="101" t="s">
        <v>76</v>
      </c>
      <c r="D21" s="101" t="s">
        <v>84</v>
      </c>
      <c r="E21" s="102" t="s">
        <v>141</v>
      </c>
      <c r="F21" s="103" t="s">
        <v>142</v>
      </c>
      <c r="G21" s="104">
        <v>163</v>
      </c>
      <c r="H21" s="105">
        <v>428.43</v>
      </c>
      <c r="I21" s="106">
        <v>428.43</v>
      </c>
      <c r="J21" s="106">
        <v>428.72246328038557</v>
      </c>
      <c r="K21" s="106">
        <v>443.87051200434843</v>
      </c>
      <c r="L21" s="104">
        <v>455.38676016059338</v>
      </c>
      <c r="M21" s="104">
        <v>466.32135013961368</v>
      </c>
      <c r="N21" s="104">
        <v>482.67141605393874</v>
      </c>
      <c r="O21" s="107" t="s">
        <v>143</v>
      </c>
    </row>
    <row r="22" spans="1:15">
      <c r="A22" s="101" t="s">
        <v>140</v>
      </c>
      <c r="B22" s="101" t="s">
        <v>81</v>
      </c>
      <c r="C22" s="101" t="s">
        <v>76</v>
      </c>
      <c r="D22" s="101" t="s">
        <v>85</v>
      </c>
      <c r="E22" s="102" t="s">
        <v>141</v>
      </c>
      <c r="F22" s="103" t="s">
        <v>142</v>
      </c>
      <c r="G22" s="104">
        <v>244.99999999999997</v>
      </c>
      <c r="H22" s="105">
        <v>714.05</v>
      </c>
      <c r="I22" s="106">
        <v>714.05</v>
      </c>
      <c r="J22" s="106">
        <v>714.53743880064258</v>
      </c>
      <c r="K22" s="106">
        <v>739.78418667391406</v>
      </c>
      <c r="L22" s="104">
        <v>758.97793360098888</v>
      </c>
      <c r="M22" s="104">
        <v>777.20225023268927</v>
      </c>
      <c r="N22" s="104">
        <v>804.45236008989775</v>
      </c>
      <c r="O22" s="107" t="s">
        <v>143</v>
      </c>
    </row>
    <row r="23" spans="1:15">
      <c r="A23" s="101" t="s">
        <v>140</v>
      </c>
      <c r="B23" s="101" t="s">
        <v>81</v>
      </c>
      <c r="C23" s="101" t="s">
        <v>77</v>
      </c>
      <c r="D23" s="101" t="s">
        <v>86</v>
      </c>
      <c r="E23" s="102" t="s">
        <v>141</v>
      </c>
      <c r="F23" s="103" t="s">
        <v>142</v>
      </c>
      <c r="G23" s="104">
        <v>163</v>
      </c>
      <c r="H23" s="105">
        <v>428.43</v>
      </c>
      <c r="I23" s="106">
        <v>428.43</v>
      </c>
      <c r="J23" s="106">
        <v>428.72246328038557</v>
      </c>
      <c r="K23" s="106">
        <v>443.87051200434843</v>
      </c>
      <c r="L23" s="104">
        <v>455.38676016059338</v>
      </c>
      <c r="M23" s="104">
        <v>466.32135013961368</v>
      </c>
      <c r="N23" s="104">
        <v>482.67141605393874</v>
      </c>
      <c r="O23" s="107" t="s">
        <v>143</v>
      </c>
    </row>
    <row r="24" spans="1:15">
      <c r="A24" s="101" t="s">
        <v>140</v>
      </c>
      <c r="B24" s="101" t="s">
        <v>81</v>
      </c>
      <c r="C24" s="101" t="s">
        <v>77</v>
      </c>
      <c r="D24" s="101" t="s">
        <v>87</v>
      </c>
      <c r="E24" s="102" t="s">
        <v>141</v>
      </c>
      <c r="F24" s="103" t="s">
        <v>142</v>
      </c>
      <c r="G24" s="104">
        <v>244.99999999999997</v>
      </c>
      <c r="H24" s="105">
        <v>571.24</v>
      </c>
      <c r="I24" s="106">
        <v>571.24</v>
      </c>
      <c r="J24" s="106">
        <v>571.62995104051424</v>
      </c>
      <c r="K24" s="106">
        <v>591.82734933913139</v>
      </c>
      <c r="L24" s="104">
        <v>607.18234688079121</v>
      </c>
      <c r="M24" s="104">
        <v>621.7618001861515</v>
      </c>
      <c r="N24" s="104">
        <v>643.56188807191825</v>
      </c>
      <c r="O24" s="107" t="s">
        <v>143</v>
      </c>
    </row>
    <row r="25" spans="1:15">
      <c r="A25" s="101" t="s">
        <v>140</v>
      </c>
      <c r="B25" s="101" t="s">
        <v>81</v>
      </c>
      <c r="C25" s="101" t="s">
        <v>77</v>
      </c>
      <c r="D25" s="101" t="s">
        <v>72</v>
      </c>
      <c r="E25" s="102" t="s">
        <v>141</v>
      </c>
      <c r="F25" s="103" t="s">
        <v>142</v>
      </c>
      <c r="G25" s="104">
        <v>489.99999999999994</v>
      </c>
      <c r="H25" s="105">
        <v>856.86</v>
      </c>
      <c r="I25" s="106">
        <v>856.86</v>
      </c>
      <c r="J25" s="106">
        <v>857.44492656077114</v>
      </c>
      <c r="K25" s="106">
        <v>887.74102400869685</v>
      </c>
      <c r="L25" s="104">
        <v>910.77352032118677</v>
      </c>
      <c r="M25" s="104">
        <v>932.64270027922737</v>
      </c>
      <c r="N25" s="104">
        <v>965.34283210787748</v>
      </c>
      <c r="O25" s="107" t="s">
        <v>143</v>
      </c>
    </row>
    <row r="26" spans="1:15">
      <c r="A26" s="101" t="s">
        <v>140</v>
      </c>
      <c r="B26" s="101" t="s">
        <v>81</v>
      </c>
      <c r="C26" s="101" t="s">
        <v>78</v>
      </c>
      <c r="D26" s="101"/>
      <c r="E26" s="102" t="s">
        <v>141</v>
      </c>
      <c r="F26" s="103" t="s">
        <v>144</v>
      </c>
      <c r="G26" s="104">
        <v>98.36363636363636</v>
      </c>
      <c r="H26" s="105" t="s">
        <v>299</v>
      </c>
      <c r="I26" s="106">
        <v>166.43754737754293</v>
      </c>
      <c r="J26" s="106">
        <v>166.5511642369724</v>
      </c>
      <c r="K26" s="106">
        <v>172.43591571836234</v>
      </c>
      <c r="L26" s="104">
        <v>176.90977632129992</v>
      </c>
      <c r="M26" s="104">
        <v>181.15767291511264</v>
      </c>
      <c r="N26" s="104">
        <v>187.50938701132773</v>
      </c>
      <c r="O26" s="107" t="s">
        <v>145</v>
      </c>
    </row>
    <row r="27" spans="1:15">
      <c r="A27" s="101" t="s">
        <v>140</v>
      </c>
      <c r="B27" s="101" t="s">
        <v>81</v>
      </c>
      <c r="C27" s="101" t="s">
        <v>79</v>
      </c>
      <c r="D27" s="101"/>
      <c r="E27" s="102" t="s">
        <v>141</v>
      </c>
      <c r="F27" s="103" t="s">
        <v>144</v>
      </c>
      <c r="G27" s="104">
        <v>82</v>
      </c>
      <c r="H27" s="105" t="s">
        <v>300</v>
      </c>
      <c r="I27" s="106">
        <v>142.81</v>
      </c>
      <c r="J27" s="106">
        <v>142.90748776012856</v>
      </c>
      <c r="K27" s="106">
        <v>147.95683733478285</v>
      </c>
      <c r="L27" s="104">
        <v>151.7955867201978</v>
      </c>
      <c r="M27" s="104">
        <v>155.44045004653788</v>
      </c>
      <c r="N27" s="104">
        <v>160.89047201797956</v>
      </c>
      <c r="O27" s="107" t="s">
        <v>145</v>
      </c>
    </row>
    <row r="28" spans="1:15">
      <c r="A28" s="101" t="s">
        <v>140</v>
      </c>
      <c r="B28" s="101" t="s">
        <v>81</v>
      </c>
      <c r="C28" s="101" t="s">
        <v>79</v>
      </c>
      <c r="D28" s="101"/>
      <c r="E28" s="102" t="s">
        <v>141</v>
      </c>
      <c r="F28" s="103" t="s">
        <v>144</v>
      </c>
      <c r="G28" s="104">
        <v>98.36363636363636</v>
      </c>
      <c r="H28" s="105" t="s">
        <v>300</v>
      </c>
      <c r="I28" s="106">
        <v>166.43754737754293</v>
      </c>
      <c r="J28" s="106">
        <v>166.5511642369724</v>
      </c>
      <c r="K28" s="106">
        <v>172.43591571836234</v>
      </c>
      <c r="L28" s="104">
        <v>176.90977632129992</v>
      </c>
      <c r="M28" s="104">
        <v>181.15767291511264</v>
      </c>
      <c r="N28" s="104">
        <v>187.50938701132773</v>
      </c>
      <c r="O28" s="107" t="s">
        <v>145</v>
      </c>
    </row>
    <row r="29" spans="1:15">
      <c r="A29" s="101" t="s">
        <v>140</v>
      </c>
      <c r="B29" s="101" t="s">
        <v>81</v>
      </c>
      <c r="C29" s="101" t="s">
        <v>152</v>
      </c>
      <c r="D29" s="101"/>
      <c r="E29" s="102" t="s">
        <v>141</v>
      </c>
      <c r="F29" s="103" t="s">
        <v>142</v>
      </c>
      <c r="G29" s="115" t="s">
        <v>146</v>
      </c>
      <c r="H29" s="105">
        <v>856.86</v>
      </c>
      <c r="I29" s="106">
        <v>856.86</v>
      </c>
      <c r="J29" s="106">
        <v>857.44492656077114</v>
      </c>
      <c r="K29" s="106">
        <v>887.74102400869685</v>
      </c>
      <c r="L29" s="104">
        <v>910.77352032118677</v>
      </c>
      <c r="M29" s="104">
        <v>932.64270027922737</v>
      </c>
      <c r="N29" s="104">
        <v>965.34283210787748</v>
      </c>
      <c r="O29" s="107" t="s">
        <v>148</v>
      </c>
    </row>
    <row r="30" spans="1:15">
      <c r="A30" s="108" t="s">
        <v>140</v>
      </c>
      <c r="B30" s="108" t="s">
        <v>81</v>
      </c>
      <c r="C30" s="108" t="s">
        <v>153</v>
      </c>
      <c r="D30" s="108"/>
      <c r="E30" s="109" t="s">
        <v>141</v>
      </c>
      <c r="F30" s="110" t="s">
        <v>144</v>
      </c>
      <c r="G30" s="116" t="s">
        <v>146</v>
      </c>
      <c r="H30" s="112">
        <v>142.81</v>
      </c>
      <c r="I30" s="113">
        <v>142.81</v>
      </c>
      <c r="J30" s="113">
        <v>142.90748776012856</v>
      </c>
      <c r="K30" s="113">
        <v>147.95683733478285</v>
      </c>
      <c r="L30" s="111">
        <v>151.7955867201978</v>
      </c>
      <c r="M30" s="104">
        <v>155.44045004653788</v>
      </c>
      <c r="N30" s="104">
        <v>160.89047201797956</v>
      </c>
      <c r="O30" s="114" t="s">
        <v>148</v>
      </c>
    </row>
    <row r="31" spans="1:15">
      <c r="A31" s="101" t="s">
        <v>140</v>
      </c>
      <c r="B31" s="101" t="s">
        <v>81</v>
      </c>
      <c r="C31" s="101" t="s">
        <v>149</v>
      </c>
      <c r="D31" s="101"/>
      <c r="E31" s="102" t="s">
        <v>141</v>
      </c>
      <c r="F31" s="103" t="s">
        <v>144</v>
      </c>
      <c r="G31" s="115" t="s">
        <v>146</v>
      </c>
      <c r="H31" s="105" t="s">
        <v>301</v>
      </c>
      <c r="I31" s="106">
        <v>142.81</v>
      </c>
      <c r="J31" s="106">
        <v>142.90748776012856</v>
      </c>
      <c r="K31" s="106">
        <v>147.95683733478285</v>
      </c>
      <c r="L31" s="104">
        <v>151.7955867201978</v>
      </c>
      <c r="M31" s="104">
        <v>155.44045004653788</v>
      </c>
      <c r="N31" s="104">
        <v>160.89047201797956</v>
      </c>
      <c r="O31" s="107" t="s">
        <v>145</v>
      </c>
    </row>
    <row r="32" spans="1:15">
      <c r="A32" s="101" t="s">
        <v>140</v>
      </c>
      <c r="B32" s="101" t="s">
        <v>154</v>
      </c>
      <c r="C32" s="101" t="s">
        <v>68</v>
      </c>
      <c r="D32" s="101"/>
      <c r="E32" s="102" t="s">
        <v>141</v>
      </c>
      <c r="F32" s="103" t="s">
        <v>144</v>
      </c>
      <c r="G32" s="104">
        <v>82</v>
      </c>
      <c r="H32" s="105" t="s">
        <v>301</v>
      </c>
      <c r="I32" s="106">
        <v>142.81</v>
      </c>
      <c r="J32" s="106">
        <v>142.90748776012856</v>
      </c>
      <c r="K32" s="106">
        <v>147.95683733478285</v>
      </c>
      <c r="L32" s="104">
        <v>151.7955867201978</v>
      </c>
      <c r="M32" s="104">
        <v>155.44045004653788</v>
      </c>
      <c r="N32" s="104">
        <v>160.89047201797956</v>
      </c>
      <c r="O32" s="107" t="s">
        <v>145</v>
      </c>
    </row>
    <row r="33" spans="1:15">
      <c r="A33" s="101" t="s">
        <v>140</v>
      </c>
      <c r="B33" s="101" t="s">
        <v>154</v>
      </c>
      <c r="C33" s="101" t="s">
        <v>76</v>
      </c>
      <c r="D33" s="101"/>
      <c r="E33" s="102" t="s">
        <v>141</v>
      </c>
      <c r="F33" s="103" t="s">
        <v>144</v>
      </c>
      <c r="G33" s="104">
        <v>82</v>
      </c>
      <c r="H33" s="105" t="s">
        <v>301</v>
      </c>
      <c r="I33" s="106">
        <v>142.81</v>
      </c>
      <c r="J33" s="106">
        <v>142.90748776012856</v>
      </c>
      <c r="K33" s="106">
        <v>147.95683733478285</v>
      </c>
      <c r="L33" s="104">
        <v>151.7955867201978</v>
      </c>
      <c r="M33" s="104">
        <v>155.44045004653788</v>
      </c>
      <c r="N33" s="104">
        <v>160.89047201797956</v>
      </c>
      <c r="O33" s="107" t="s">
        <v>145</v>
      </c>
    </row>
    <row r="34" spans="1:15">
      <c r="A34" s="101" t="s">
        <v>140</v>
      </c>
      <c r="B34" s="101" t="s">
        <v>154</v>
      </c>
      <c r="C34" s="101" t="s">
        <v>77</v>
      </c>
      <c r="D34" s="101"/>
      <c r="E34" s="102" t="s">
        <v>141</v>
      </c>
      <c r="F34" s="103" t="s">
        <v>144</v>
      </c>
      <c r="G34" s="104">
        <v>82</v>
      </c>
      <c r="H34" s="105" t="s">
        <v>301</v>
      </c>
      <c r="I34" s="106">
        <v>142.81</v>
      </c>
      <c r="J34" s="106">
        <v>142.90748776012856</v>
      </c>
      <c r="K34" s="106">
        <v>147.95683733478285</v>
      </c>
      <c r="L34" s="104">
        <v>151.7955867201978</v>
      </c>
      <c r="M34" s="104">
        <v>155.44045004653788</v>
      </c>
      <c r="N34" s="104">
        <v>160.89047201797956</v>
      </c>
      <c r="O34" s="107" t="s">
        <v>145</v>
      </c>
    </row>
    <row r="35" spans="1:15" ht="24">
      <c r="A35" s="101" t="s">
        <v>140</v>
      </c>
      <c r="B35" s="101" t="s">
        <v>154</v>
      </c>
      <c r="C35" s="101" t="s">
        <v>155</v>
      </c>
      <c r="D35" s="101"/>
      <c r="E35" s="102" t="s">
        <v>141</v>
      </c>
      <c r="F35" s="103" t="s">
        <v>144</v>
      </c>
      <c r="G35" s="104">
        <v>98.36363636363636</v>
      </c>
      <c r="H35" s="105" t="s">
        <v>302</v>
      </c>
      <c r="I35" s="106">
        <v>166.43754737754293</v>
      </c>
      <c r="J35" s="106">
        <v>166.5511642369724</v>
      </c>
      <c r="K35" s="106">
        <v>172.43591571836234</v>
      </c>
      <c r="L35" s="104">
        <v>176.90977632129992</v>
      </c>
      <c r="M35" s="104">
        <v>181.15767291511264</v>
      </c>
      <c r="N35" s="104">
        <v>187.50938701132773</v>
      </c>
      <c r="O35" s="107" t="s">
        <v>145</v>
      </c>
    </row>
    <row r="36" spans="1:15" ht="24">
      <c r="A36" s="101" t="s">
        <v>140</v>
      </c>
      <c r="B36" s="101" t="s">
        <v>154</v>
      </c>
      <c r="C36" s="101" t="s">
        <v>156</v>
      </c>
      <c r="D36" s="101"/>
      <c r="E36" s="102" t="s">
        <v>141</v>
      </c>
      <c r="F36" s="103" t="s">
        <v>144</v>
      </c>
      <c r="G36" s="104" t="s">
        <v>146</v>
      </c>
      <c r="H36" s="105" t="s">
        <v>302</v>
      </c>
      <c r="I36" s="106">
        <v>210.96</v>
      </c>
      <c r="J36" s="106">
        <v>211.10400964832095</v>
      </c>
      <c r="K36" s="106">
        <v>218.56294660139895</v>
      </c>
      <c r="L36" s="104">
        <v>224.23357590149797</v>
      </c>
      <c r="M36" s="104">
        <v>229.61779526516091</v>
      </c>
      <c r="N36" s="104">
        <v>237.66860847918892</v>
      </c>
      <c r="O36" s="107" t="s">
        <v>145</v>
      </c>
    </row>
    <row r="37" spans="1:15" ht="24">
      <c r="A37" s="101" t="s">
        <v>140</v>
      </c>
      <c r="B37" s="101" t="s">
        <v>154</v>
      </c>
      <c r="C37" s="101" t="s">
        <v>157</v>
      </c>
      <c r="D37" s="101"/>
      <c r="E37" s="102" t="s">
        <v>141</v>
      </c>
      <c r="F37" s="103" t="s">
        <v>144</v>
      </c>
      <c r="G37" s="104">
        <v>82</v>
      </c>
      <c r="H37" s="105" t="s">
        <v>303</v>
      </c>
      <c r="I37" s="106">
        <v>166.43754737754293</v>
      </c>
      <c r="J37" s="106">
        <v>166.5511642369724</v>
      </c>
      <c r="K37" s="106">
        <v>172.43591571836234</v>
      </c>
      <c r="L37" s="104">
        <v>176.90977632129992</v>
      </c>
      <c r="M37" s="104">
        <v>181.15767291511264</v>
      </c>
      <c r="N37" s="104">
        <v>187.50938701132773</v>
      </c>
      <c r="O37" s="107" t="s">
        <v>145</v>
      </c>
    </row>
    <row r="38" spans="1:15" ht="24">
      <c r="A38" s="101" t="s">
        <v>140</v>
      </c>
      <c r="B38" s="101" t="s">
        <v>154</v>
      </c>
      <c r="C38" s="101" t="s">
        <v>158</v>
      </c>
      <c r="D38" s="101"/>
      <c r="E38" s="102" t="s">
        <v>141</v>
      </c>
      <c r="F38" s="103" t="s">
        <v>144</v>
      </c>
      <c r="G38" s="104">
        <v>98.36363636363636</v>
      </c>
      <c r="H38" s="105" t="s">
        <v>303</v>
      </c>
      <c r="I38" s="106">
        <v>210.96</v>
      </c>
      <c r="J38" s="106">
        <v>211.10400964832095</v>
      </c>
      <c r="K38" s="106">
        <v>218.56294660139895</v>
      </c>
      <c r="L38" s="104">
        <v>224.23357590149797</v>
      </c>
      <c r="M38" s="104">
        <v>229.61779526516091</v>
      </c>
      <c r="N38" s="104">
        <v>237.66860847918892</v>
      </c>
      <c r="O38" s="107" t="s">
        <v>145</v>
      </c>
    </row>
    <row r="39" spans="1:15">
      <c r="A39" s="101" t="s">
        <v>159</v>
      </c>
      <c r="B39" s="101" t="s">
        <v>160</v>
      </c>
      <c r="C39" s="101" t="s">
        <v>68</v>
      </c>
      <c r="D39" s="101" t="s">
        <v>161</v>
      </c>
      <c r="E39" s="102" t="s">
        <v>141</v>
      </c>
      <c r="F39" s="103" t="s">
        <v>142</v>
      </c>
      <c r="G39" s="104" t="s">
        <v>162</v>
      </c>
      <c r="H39" s="105">
        <v>71.41</v>
      </c>
      <c r="I39" s="106">
        <v>71.41</v>
      </c>
      <c r="J39" s="106">
        <v>71.458747293262221</v>
      </c>
      <c r="K39" s="106">
        <v>73.983598866163717</v>
      </c>
      <c r="L39" s="104">
        <v>75.903107959451887</v>
      </c>
      <c r="M39" s="104">
        <v>77.725667234950436</v>
      </c>
      <c r="N39" s="104">
        <v>80.450869034408825</v>
      </c>
      <c r="O39" s="107" t="s">
        <v>163</v>
      </c>
    </row>
    <row r="40" spans="1:15">
      <c r="A40" s="101" t="s">
        <v>159</v>
      </c>
      <c r="B40" s="101" t="s">
        <v>160</v>
      </c>
      <c r="C40" s="101" t="s">
        <v>68</v>
      </c>
      <c r="D40" s="101" t="s">
        <v>164</v>
      </c>
      <c r="E40" s="102" t="s">
        <v>141</v>
      </c>
      <c r="F40" s="103" t="s">
        <v>142</v>
      </c>
      <c r="G40" s="104" t="s">
        <v>162</v>
      </c>
      <c r="H40" s="105">
        <v>171.37</v>
      </c>
      <c r="I40" s="106">
        <v>171.37</v>
      </c>
      <c r="J40" s="106">
        <v>171.48698394687509</v>
      </c>
      <c r="K40" s="106">
        <v>177.54613272223051</v>
      </c>
      <c r="L40" s="104">
        <v>182.15257822449621</v>
      </c>
      <c r="M40" s="104">
        <v>186.52636317117293</v>
      </c>
      <c r="N40" s="104">
        <v>193.06631321140796</v>
      </c>
      <c r="O40" s="107" t="s">
        <v>163</v>
      </c>
    </row>
    <row r="41" spans="1:15">
      <c r="A41" s="101" t="s">
        <v>159</v>
      </c>
      <c r="B41" s="101" t="s">
        <v>160</v>
      </c>
      <c r="C41" s="101" t="s">
        <v>68</v>
      </c>
      <c r="D41" s="101" t="s">
        <v>165</v>
      </c>
      <c r="E41" s="102" t="s">
        <v>141</v>
      </c>
      <c r="F41" s="103" t="s">
        <v>142</v>
      </c>
      <c r="G41" s="104" t="s">
        <v>162</v>
      </c>
      <c r="H41" s="105">
        <v>357.03</v>
      </c>
      <c r="I41" s="106">
        <v>357.03</v>
      </c>
      <c r="J41" s="106">
        <v>357.27372281351927</v>
      </c>
      <c r="K41" s="106">
        <v>369.89727353572937</v>
      </c>
      <c r="L41" s="104">
        <v>379.49428139984747</v>
      </c>
      <c r="M41" s="104">
        <v>388.60656732802613</v>
      </c>
      <c r="N41" s="104">
        <v>402.23181307036788</v>
      </c>
      <c r="O41" s="107" t="s">
        <v>163</v>
      </c>
    </row>
    <row r="42" spans="1:15">
      <c r="A42" s="101" t="s">
        <v>159</v>
      </c>
      <c r="B42" s="101" t="s">
        <v>160</v>
      </c>
      <c r="C42" s="101" t="s">
        <v>68</v>
      </c>
      <c r="D42" s="101" t="s">
        <v>166</v>
      </c>
      <c r="E42" s="102" t="s">
        <v>141</v>
      </c>
      <c r="F42" s="103" t="s">
        <v>142</v>
      </c>
      <c r="G42" s="104" t="s">
        <v>167</v>
      </c>
      <c r="H42" s="105">
        <v>42.84</v>
      </c>
      <c r="I42" s="106">
        <v>42.84</v>
      </c>
      <c r="J42" s="106">
        <v>42.869244280119787</v>
      </c>
      <c r="K42" s="106">
        <v>44.383943081171466</v>
      </c>
      <c r="L42" s="104">
        <v>45.535487256447553</v>
      </c>
      <c r="M42" s="104">
        <v>46.628869686952484</v>
      </c>
      <c r="N42" s="104">
        <v>48.263761790142475</v>
      </c>
      <c r="O42" s="107" t="s">
        <v>163</v>
      </c>
    </row>
    <row r="43" spans="1:15">
      <c r="A43" s="101" t="s">
        <v>159</v>
      </c>
      <c r="B43" s="101" t="s">
        <v>160</v>
      </c>
      <c r="C43" s="101" t="s">
        <v>68</v>
      </c>
      <c r="D43" s="101" t="s">
        <v>168</v>
      </c>
      <c r="E43" s="102" t="s">
        <v>141</v>
      </c>
      <c r="F43" s="103" t="s">
        <v>142</v>
      </c>
      <c r="G43" s="104" t="s">
        <v>167</v>
      </c>
      <c r="H43" s="105">
        <v>99.97</v>
      </c>
      <c r="I43" s="106">
        <v>99.97</v>
      </c>
      <c r="J43" s="106">
        <v>100.03824348000875</v>
      </c>
      <c r="K43" s="106">
        <v>103.57289425361135</v>
      </c>
      <c r="L43" s="104">
        <v>106.26009946375025</v>
      </c>
      <c r="M43" s="104">
        <v>108.81158035958541</v>
      </c>
      <c r="N43" s="104">
        <v>112.62671022783711</v>
      </c>
      <c r="O43" s="107" t="s">
        <v>163</v>
      </c>
    </row>
    <row r="44" spans="1:15">
      <c r="A44" s="101" t="s">
        <v>159</v>
      </c>
      <c r="B44" s="101" t="s">
        <v>160</v>
      </c>
      <c r="C44" s="101" t="s">
        <v>68</v>
      </c>
      <c r="D44" s="101" t="s">
        <v>169</v>
      </c>
      <c r="E44" s="102" t="s">
        <v>141</v>
      </c>
      <c r="F44" s="103" t="s">
        <v>142</v>
      </c>
      <c r="G44" s="104" t="s">
        <v>167</v>
      </c>
      <c r="H44" s="105">
        <v>214.22</v>
      </c>
      <c r="I44" s="106">
        <v>214.22</v>
      </c>
      <c r="J44" s="106">
        <v>214.36623505339077</v>
      </c>
      <c r="K44" s="106">
        <v>221.94043620094655</v>
      </c>
      <c r="L44" s="104">
        <v>227.69869467964969</v>
      </c>
      <c r="M44" s="104">
        <v>233.16611728148834</v>
      </c>
      <c r="N44" s="104">
        <v>241.34134105238843</v>
      </c>
      <c r="O44" s="107" t="s">
        <v>163</v>
      </c>
    </row>
    <row r="45" spans="1:15">
      <c r="A45" s="101" t="s">
        <v>159</v>
      </c>
      <c r="B45" s="101" t="s">
        <v>160</v>
      </c>
      <c r="C45" s="101" t="s">
        <v>68</v>
      </c>
      <c r="D45" s="101" t="s">
        <v>170</v>
      </c>
      <c r="E45" s="102" t="s">
        <v>141</v>
      </c>
      <c r="F45" s="103" t="s">
        <v>142</v>
      </c>
      <c r="G45" s="104" t="s">
        <v>171</v>
      </c>
      <c r="H45" s="105">
        <v>14.28</v>
      </c>
      <c r="I45" s="106">
        <v>14.28</v>
      </c>
      <c r="J45" s="106">
        <v>14.289748093373261</v>
      </c>
      <c r="K45" s="106">
        <v>14.794647693723819</v>
      </c>
      <c r="L45" s="104">
        <v>15.17849575214918</v>
      </c>
      <c r="M45" s="104">
        <v>15.542956562317491</v>
      </c>
      <c r="N45" s="104">
        <v>16.087920596714152</v>
      </c>
      <c r="O45" s="107" t="s">
        <v>163</v>
      </c>
    </row>
    <row r="46" spans="1:15">
      <c r="A46" s="101" t="s">
        <v>159</v>
      </c>
      <c r="B46" s="101" t="s">
        <v>160</v>
      </c>
      <c r="C46" s="101" t="s">
        <v>68</v>
      </c>
      <c r="D46" s="101" t="s">
        <v>172</v>
      </c>
      <c r="E46" s="102" t="s">
        <v>141</v>
      </c>
      <c r="F46" s="103" t="s">
        <v>142</v>
      </c>
      <c r="G46" s="104" t="s">
        <v>171</v>
      </c>
      <c r="H46" s="105">
        <v>57.12</v>
      </c>
      <c r="I46" s="106">
        <v>57.12</v>
      </c>
      <c r="J46" s="106">
        <v>57.158992373493042</v>
      </c>
      <c r="K46" s="106">
        <v>59.178590774895277</v>
      </c>
      <c r="L46" s="104">
        <v>60.71398300859672</v>
      </c>
      <c r="M46" s="104">
        <v>62.171826249269962</v>
      </c>
      <c r="N46" s="104">
        <v>64.351682386856609</v>
      </c>
      <c r="O46" s="107" t="s">
        <v>163</v>
      </c>
    </row>
    <row r="47" spans="1:15">
      <c r="A47" s="101" t="s">
        <v>159</v>
      </c>
      <c r="B47" s="101" t="s">
        <v>160</v>
      </c>
      <c r="C47" s="101" t="s">
        <v>68</v>
      </c>
      <c r="D47" s="101" t="s">
        <v>173</v>
      </c>
      <c r="E47" s="102" t="s">
        <v>141</v>
      </c>
      <c r="F47" s="103" t="s">
        <v>142</v>
      </c>
      <c r="G47" s="104" t="s">
        <v>171</v>
      </c>
      <c r="H47" s="105">
        <v>99.97</v>
      </c>
      <c r="I47" s="106">
        <v>99.97</v>
      </c>
      <c r="J47" s="106">
        <v>100.03824348000875</v>
      </c>
      <c r="K47" s="106">
        <v>103.57289425361135</v>
      </c>
      <c r="L47" s="104">
        <v>106.26009946375025</v>
      </c>
      <c r="M47" s="104">
        <v>108.81158035958541</v>
      </c>
      <c r="N47" s="104">
        <v>112.62671022783711</v>
      </c>
      <c r="O47" s="107" t="s">
        <v>163</v>
      </c>
    </row>
    <row r="48" spans="1:15">
      <c r="A48" s="101" t="s">
        <v>159</v>
      </c>
      <c r="B48" s="101" t="s">
        <v>160</v>
      </c>
      <c r="C48" s="101" t="s">
        <v>68</v>
      </c>
      <c r="D48" s="101" t="s">
        <v>174</v>
      </c>
      <c r="E48" s="102" t="s">
        <v>141</v>
      </c>
      <c r="F48" s="103" t="s">
        <v>142</v>
      </c>
      <c r="G48" s="104">
        <v>41</v>
      </c>
      <c r="H48" s="105">
        <v>71.41</v>
      </c>
      <c r="I48" s="106">
        <v>71.41</v>
      </c>
      <c r="J48" s="106">
        <v>71.458747293262221</v>
      </c>
      <c r="K48" s="106">
        <v>73.983598866163717</v>
      </c>
      <c r="L48" s="104">
        <v>75.903107959451887</v>
      </c>
      <c r="M48" s="104">
        <v>77.725667234950436</v>
      </c>
      <c r="N48" s="104">
        <v>80.450869034408825</v>
      </c>
      <c r="O48" s="107" t="s">
        <v>143</v>
      </c>
    </row>
    <row r="49" spans="1:15">
      <c r="A49" s="101" t="s">
        <v>159</v>
      </c>
      <c r="B49" s="101" t="s">
        <v>160</v>
      </c>
      <c r="C49" s="101" t="s">
        <v>76</v>
      </c>
      <c r="D49" s="101" t="s">
        <v>175</v>
      </c>
      <c r="E49" s="102" t="s">
        <v>176</v>
      </c>
      <c r="F49" s="103" t="s">
        <v>142</v>
      </c>
      <c r="G49" s="104" t="s">
        <v>177</v>
      </c>
      <c r="H49" s="105">
        <v>85.69</v>
      </c>
      <c r="I49" s="106">
        <v>85.69</v>
      </c>
      <c r="J49" s="106">
        <v>85.748495386635483</v>
      </c>
      <c r="K49" s="106">
        <v>88.778246559887549</v>
      </c>
      <c r="L49" s="104">
        <v>91.081603711601076</v>
      </c>
      <c r="M49" s="104">
        <v>93.268623797267921</v>
      </c>
      <c r="N49" s="104">
        <v>96.538789631122953</v>
      </c>
      <c r="O49" s="107" t="s">
        <v>178</v>
      </c>
    </row>
    <row r="50" spans="1:15">
      <c r="A50" s="101" t="s">
        <v>159</v>
      </c>
      <c r="B50" s="101" t="s">
        <v>160</v>
      </c>
      <c r="C50" s="101" t="s">
        <v>76</v>
      </c>
      <c r="D50" s="101" t="s">
        <v>179</v>
      </c>
      <c r="E50" s="102" t="s">
        <v>176</v>
      </c>
      <c r="F50" s="103" t="s">
        <v>142</v>
      </c>
      <c r="G50" s="104" t="s">
        <v>177</v>
      </c>
      <c r="H50" s="105">
        <v>171.37</v>
      </c>
      <c r="I50" s="106">
        <v>171.37</v>
      </c>
      <c r="J50" s="106">
        <v>171.48698394687509</v>
      </c>
      <c r="K50" s="106">
        <v>177.54613272223051</v>
      </c>
      <c r="L50" s="104">
        <v>182.15257822449621</v>
      </c>
      <c r="M50" s="104">
        <v>186.52636317117293</v>
      </c>
      <c r="N50" s="104">
        <v>193.06631321140796</v>
      </c>
      <c r="O50" s="107" t="s">
        <v>178</v>
      </c>
    </row>
    <row r="51" spans="1:15">
      <c r="A51" s="101" t="s">
        <v>159</v>
      </c>
      <c r="B51" s="101" t="s">
        <v>160</v>
      </c>
      <c r="C51" s="101" t="s">
        <v>76</v>
      </c>
      <c r="D51" s="101" t="s">
        <v>180</v>
      </c>
      <c r="E51" s="102" t="s">
        <v>176</v>
      </c>
      <c r="F51" s="103" t="s">
        <v>142</v>
      </c>
      <c r="G51" s="104" t="s">
        <v>177</v>
      </c>
      <c r="H51" s="105">
        <v>314.18</v>
      </c>
      <c r="I51" s="106">
        <v>314.18</v>
      </c>
      <c r="J51" s="106">
        <v>314.39447170700362</v>
      </c>
      <c r="K51" s="106">
        <v>325.50297005701333</v>
      </c>
      <c r="L51" s="104">
        <v>333.94816494469399</v>
      </c>
      <c r="M51" s="104">
        <v>341.96681321771081</v>
      </c>
      <c r="N51" s="104">
        <v>353.95678522938755</v>
      </c>
      <c r="O51" s="107" t="s">
        <v>178</v>
      </c>
    </row>
    <row r="52" spans="1:15">
      <c r="A52" s="101" t="s">
        <v>159</v>
      </c>
      <c r="B52" s="101" t="s">
        <v>160</v>
      </c>
      <c r="C52" s="101" t="s">
        <v>76</v>
      </c>
      <c r="D52" s="101" t="s">
        <v>181</v>
      </c>
      <c r="E52" s="102" t="s">
        <v>176</v>
      </c>
      <c r="F52" s="103" t="s">
        <v>142</v>
      </c>
      <c r="G52" s="104" t="s">
        <v>182</v>
      </c>
      <c r="H52" s="105">
        <v>71.41</v>
      </c>
      <c r="I52" s="106">
        <v>71.41</v>
      </c>
      <c r="J52" s="106">
        <v>71.458747293262221</v>
      </c>
      <c r="K52" s="106">
        <v>73.983598866163717</v>
      </c>
      <c r="L52" s="104">
        <v>75.903107959451887</v>
      </c>
      <c r="M52" s="104">
        <v>77.725667234950436</v>
      </c>
      <c r="N52" s="104">
        <v>80.450869034408825</v>
      </c>
      <c r="O52" s="107" t="s">
        <v>178</v>
      </c>
    </row>
    <row r="53" spans="1:15">
      <c r="A53" s="101" t="s">
        <v>159</v>
      </c>
      <c r="B53" s="101" t="s">
        <v>160</v>
      </c>
      <c r="C53" s="101" t="s">
        <v>76</v>
      </c>
      <c r="D53" s="101" t="s">
        <v>183</v>
      </c>
      <c r="E53" s="102" t="s">
        <v>176</v>
      </c>
      <c r="F53" s="103" t="s">
        <v>142</v>
      </c>
      <c r="G53" s="104" t="s">
        <v>182</v>
      </c>
      <c r="H53" s="105">
        <v>142.81</v>
      </c>
      <c r="I53" s="106">
        <v>142.81</v>
      </c>
      <c r="J53" s="106">
        <v>142.90748776012856</v>
      </c>
      <c r="K53" s="106">
        <v>147.95683733478285</v>
      </c>
      <c r="L53" s="104">
        <v>151.7955867201978</v>
      </c>
      <c r="M53" s="104">
        <v>155.44045004653788</v>
      </c>
      <c r="N53" s="104">
        <v>160.89047201797956</v>
      </c>
      <c r="O53" s="107" t="s">
        <v>178</v>
      </c>
    </row>
    <row r="54" spans="1:15">
      <c r="A54" s="101" t="s">
        <v>159</v>
      </c>
      <c r="B54" s="101" t="s">
        <v>160</v>
      </c>
      <c r="C54" s="101" t="s">
        <v>76</v>
      </c>
      <c r="D54" s="101" t="s">
        <v>184</v>
      </c>
      <c r="E54" s="102" t="s">
        <v>176</v>
      </c>
      <c r="F54" s="103" t="s">
        <v>142</v>
      </c>
      <c r="G54" s="104" t="s">
        <v>182</v>
      </c>
      <c r="H54" s="105">
        <v>285.62</v>
      </c>
      <c r="I54" s="106">
        <v>285.62</v>
      </c>
      <c r="J54" s="106">
        <v>285.81497552025712</v>
      </c>
      <c r="K54" s="106">
        <v>295.91367466956569</v>
      </c>
      <c r="L54" s="104">
        <v>303.59117344039561</v>
      </c>
      <c r="M54" s="104">
        <v>310.88090009307575</v>
      </c>
      <c r="N54" s="104">
        <v>321.78094403595912</v>
      </c>
      <c r="O54" s="107" t="s">
        <v>178</v>
      </c>
    </row>
    <row r="55" spans="1:15">
      <c r="A55" s="101" t="s">
        <v>159</v>
      </c>
      <c r="B55" s="101" t="s">
        <v>160</v>
      </c>
      <c r="C55" s="101" t="s">
        <v>76</v>
      </c>
      <c r="D55" s="101" t="s">
        <v>185</v>
      </c>
      <c r="E55" s="102" t="s">
        <v>176</v>
      </c>
      <c r="F55" s="103" t="s">
        <v>142</v>
      </c>
      <c r="G55" s="104" t="s">
        <v>186</v>
      </c>
      <c r="H55" s="105">
        <v>57.12</v>
      </c>
      <c r="I55" s="106">
        <v>57.12</v>
      </c>
      <c r="J55" s="106">
        <v>57.158992373493042</v>
      </c>
      <c r="K55" s="106">
        <v>59.178590774895277</v>
      </c>
      <c r="L55" s="104">
        <v>60.71398300859672</v>
      </c>
      <c r="M55" s="104">
        <v>62.171826249269962</v>
      </c>
      <c r="N55" s="104">
        <v>64.351682386856609</v>
      </c>
      <c r="O55" s="107" t="s">
        <v>178</v>
      </c>
    </row>
    <row r="56" spans="1:15">
      <c r="A56" s="101" t="s">
        <v>159</v>
      </c>
      <c r="B56" s="101" t="s">
        <v>160</v>
      </c>
      <c r="C56" s="101" t="s">
        <v>76</v>
      </c>
      <c r="D56" s="101" t="s">
        <v>187</v>
      </c>
      <c r="E56" s="102" t="s">
        <v>176</v>
      </c>
      <c r="F56" s="103" t="s">
        <v>142</v>
      </c>
      <c r="G56" s="104" t="s">
        <v>186</v>
      </c>
      <c r="H56" s="105">
        <v>99.97</v>
      </c>
      <c r="I56" s="106">
        <v>99.97</v>
      </c>
      <c r="J56" s="106">
        <v>100.03824348000875</v>
      </c>
      <c r="K56" s="106">
        <v>103.57289425361135</v>
      </c>
      <c r="L56" s="104">
        <v>106.26009946375025</v>
      </c>
      <c r="M56" s="104">
        <v>108.81158035958541</v>
      </c>
      <c r="N56" s="104">
        <v>112.62671022783711</v>
      </c>
      <c r="O56" s="107" t="s">
        <v>178</v>
      </c>
    </row>
    <row r="57" spans="1:15">
      <c r="A57" s="101" t="s">
        <v>159</v>
      </c>
      <c r="B57" s="101" t="s">
        <v>160</v>
      </c>
      <c r="C57" s="101" t="s">
        <v>76</v>
      </c>
      <c r="D57" s="101" t="s">
        <v>188</v>
      </c>
      <c r="E57" s="102" t="s">
        <v>176</v>
      </c>
      <c r="F57" s="103" t="s">
        <v>142</v>
      </c>
      <c r="G57" s="104" t="s">
        <v>186</v>
      </c>
      <c r="H57" s="105">
        <v>214.22</v>
      </c>
      <c r="I57" s="106">
        <v>214.22</v>
      </c>
      <c r="J57" s="106">
        <v>214.36623505339077</v>
      </c>
      <c r="K57" s="106">
        <v>221.94043620094655</v>
      </c>
      <c r="L57" s="104">
        <v>227.69869467964969</v>
      </c>
      <c r="M57" s="104">
        <v>233.16611728148834</v>
      </c>
      <c r="N57" s="104">
        <v>241.34134105238843</v>
      </c>
      <c r="O57" s="107" t="s">
        <v>178</v>
      </c>
    </row>
    <row r="58" spans="1:15">
      <c r="A58" s="101" t="s">
        <v>159</v>
      </c>
      <c r="B58" s="101" t="s">
        <v>160</v>
      </c>
      <c r="C58" s="101" t="s">
        <v>76</v>
      </c>
      <c r="D58" s="101" t="s">
        <v>174</v>
      </c>
      <c r="E58" s="102" t="s">
        <v>176</v>
      </c>
      <c r="F58" s="103" t="s">
        <v>142</v>
      </c>
      <c r="G58" s="104">
        <v>41</v>
      </c>
      <c r="H58" s="105">
        <v>71.41</v>
      </c>
      <c r="I58" s="106">
        <v>71.41</v>
      </c>
      <c r="J58" s="106">
        <v>71.458747293262221</v>
      </c>
      <c r="K58" s="106">
        <v>73.983598866163717</v>
      </c>
      <c r="L58" s="104">
        <v>75.903107959451887</v>
      </c>
      <c r="M58" s="104">
        <v>77.725667234950436</v>
      </c>
      <c r="N58" s="104">
        <v>80.450869034408825</v>
      </c>
      <c r="O58" s="107" t="s">
        <v>143</v>
      </c>
    </row>
    <row r="59" spans="1:15">
      <c r="A59" s="101" t="s">
        <v>159</v>
      </c>
      <c r="B59" s="101" t="s">
        <v>160</v>
      </c>
      <c r="C59" s="101" t="s">
        <v>77</v>
      </c>
      <c r="D59" s="101" t="s">
        <v>161</v>
      </c>
      <c r="E59" s="102" t="s">
        <v>176</v>
      </c>
      <c r="F59" s="103" t="s">
        <v>142</v>
      </c>
      <c r="G59" s="104" t="s">
        <v>162</v>
      </c>
      <c r="H59" s="105">
        <v>71.41</v>
      </c>
      <c r="I59" s="106">
        <v>71.41</v>
      </c>
      <c r="J59" s="106">
        <v>71.458747293262221</v>
      </c>
      <c r="K59" s="106">
        <v>73.983598866163717</v>
      </c>
      <c r="L59" s="104">
        <v>75.903107959451887</v>
      </c>
      <c r="M59" s="104">
        <v>77.725667234950436</v>
      </c>
      <c r="N59" s="104">
        <v>80.450869034408825</v>
      </c>
      <c r="O59" s="107" t="s">
        <v>163</v>
      </c>
    </row>
    <row r="60" spans="1:15">
      <c r="A60" s="101" t="s">
        <v>159</v>
      </c>
      <c r="B60" s="101" t="s">
        <v>160</v>
      </c>
      <c r="C60" s="101" t="s">
        <v>77</v>
      </c>
      <c r="D60" s="101" t="s">
        <v>164</v>
      </c>
      <c r="E60" s="102" t="s">
        <v>176</v>
      </c>
      <c r="F60" s="103" t="s">
        <v>142</v>
      </c>
      <c r="G60" s="104" t="s">
        <v>162</v>
      </c>
      <c r="H60" s="105">
        <v>171.37</v>
      </c>
      <c r="I60" s="106">
        <v>171.37</v>
      </c>
      <c r="J60" s="106">
        <v>171.48698394687509</v>
      </c>
      <c r="K60" s="106">
        <v>177.54613272223051</v>
      </c>
      <c r="L60" s="104">
        <v>182.15257822449621</v>
      </c>
      <c r="M60" s="104">
        <v>186.52636317117293</v>
      </c>
      <c r="N60" s="104">
        <v>193.06631321140796</v>
      </c>
      <c r="O60" s="107" t="s">
        <v>163</v>
      </c>
    </row>
    <row r="61" spans="1:15">
      <c r="A61" s="101" t="s">
        <v>159</v>
      </c>
      <c r="B61" s="101" t="s">
        <v>160</v>
      </c>
      <c r="C61" s="101" t="s">
        <v>77</v>
      </c>
      <c r="D61" s="101" t="s">
        <v>165</v>
      </c>
      <c r="E61" s="102" t="s">
        <v>176</v>
      </c>
      <c r="F61" s="103" t="s">
        <v>142</v>
      </c>
      <c r="G61" s="104" t="s">
        <v>162</v>
      </c>
      <c r="H61" s="105">
        <v>357.03</v>
      </c>
      <c r="I61" s="106">
        <v>357.03</v>
      </c>
      <c r="J61" s="106">
        <v>357.27372281351927</v>
      </c>
      <c r="K61" s="106">
        <v>369.89727353572937</v>
      </c>
      <c r="L61" s="104">
        <v>379.49428139984747</v>
      </c>
      <c r="M61" s="104">
        <v>388.60656732802613</v>
      </c>
      <c r="N61" s="104">
        <v>402.23181307036788</v>
      </c>
      <c r="O61" s="107" t="s">
        <v>163</v>
      </c>
    </row>
    <row r="62" spans="1:15">
      <c r="A62" s="101" t="s">
        <v>159</v>
      </c>
      <c r="B62" s="101" t="s">
        <v>160</v>
      </c>
      <c r="C62" s="101" t="s">
        <v>77</v>
      </c>
      <c r="D62" s="101" t="s">
        <v>166</v>
      </c>
      <c r="E62" s="102" t="s">
        <v>176</v>
      </c>
      <c r="F62" s="103" t="s">
        <v>142</v>
      </c>
      <c r="G62" s="104" t="s">
        <v>162</v>
      </c>
      <c r="H62" s="105">
        <v>71.41</v>
      </c>
      <c r="I62" s="106">
        <v>71.41</v>
      </c>
      <c r="J62" s="106">
        <v>71.458747293262221</v>
      </c>
      <c r="K62" s="106">
        <v>73.983598866163717</v>
      </c>
      <c r="L62" s="104">
        <v>75.903107959451887</v>
      </c>
      <c r="M62" s="104">
        <v>77.725667234950436</v>
      </c>
      <c r="N62" s="104">
        <v>80.450869034408825</v>
      </c>
      <c r="O62" s="107" t="s">
        <v>163</v>
      </c>
    </row>
    <row r="63" spans="1:15">
      <c r="A63" s="101" t="s">
        <v>159</v>
      </c>
      <c r="B63" s="101" t="s">
        <v>160</v>
      </c>
      <c r="C63" s="101" t="s">
        <v>77</v>
      </c>
      <c r="D63" s="101" t="s">
        <v>168</v>
      </c>
      <c r="E63" s="102" t="s">
        <v>176</v>
      </c>
      <c r="F63" s="103" t="s">
        <v>142</v>
      </c>
      <c r="G63" s="104" t="s">
        <v>162</v>
      </c>
      <c r="H63" s="105">
        <v>171.37</v>
      </c>
      <c r="I63" s="106">
        <v>171.37</v>
      </c>
      <c r="J63" s="106">
        <v>171.48698394687509</v>
      </c>
      <c r="K63" s="106">
        <v>177.54613272223051</v>
      </c>
      <c r="L63" s="104">
        <v>182.15257822449621</v>
      </c>
      <c r="M63" s="104">
        <v>186.52636317117293</v>
      </c>
      <c r="N63" s="104">
        <v>193.06631321140796</v>
      </c>
      <c r="O63" s="107" t="s">
        <v>163</v>
      </c>
    </row>
    <row r="64" spans="1:15">
      <c r="A64" s="101" t="s">
        <v>159</v>
      </c>
      <c r="B64" s="101" t="s">
        <v>160</v>
      </c>
      <c r="C64" s="101" t="s">
        <v>77</v>
      </c>
      <c r="D64" s="101" t="s">
        <v>169</v>
      </c>
      <c r="E64" s="102" t="s">
        <v>176</v>
      </c>
      <c r="F64" s="103" t="s">
        <v>142</v>
      </c>
      <c r="G64" s="104" t="s">
        <v>162</v>
      </c>
      <c r="H64" s="105">
        <v>357.03</v>
      </c>
      <c r="I64" s="106">
        <v>357.03</v>
      </c>
      <c r="J64" s="106">
        <v>357.27372281351927</v>
      </c>
      <c r="K64" s="106">
        <v>369.89727353572937</v>
      </c>
      <c r="L64" s="104">
        <v>379.49428139984747</v>
      </c>
      <c r="M64" s="104">
        <v>388.60656732802613</v>
      </c>
      <c r="N64" s="104">
        <v>402.23181307036788</v>
      </c>
      <c r="O64" s="107" t="s">
        <v>163</v>
      </c>
    </row>
    <row r="65" spans="1:15">
      <c r="A65" s="101" t="s">
        <v>159</v>
      </c>
      <c r="B65" s="101" t="s">
        <v>160</v>
      </c>
      <c r="C65" s="101" t="s">
        <v>77</v>
      </c>
      <c r="D65" s="101" t="s">
        <v>170</v>
      </c>
      <c r="E65" s="102" t="s">
        <v>176</v>
      </c>
      <c r="F65" s="103" t="s">
        <v>142</v>
      </c>
      <c r="G65" s="104" t="s">
        <v>162</v>
      </c>
      <c r="H65" s="105">
        <v>71.41</v>
      </c>
      <c r="I65" s="106">
        <v>71.41</v>
      </c>
      <c r="J65" s="106">
        <v>71.458747293262221</v>
      </c>
      <c r="K65" s="106">
        <v>73.983598866163717</v>
      </c>
      <c r="L65" s="104">
        <v>75.903107959451887</v>
      </c>
      <c r="M65" s="104">
        <v>77.725667234950436</v>
      </c>
      <c r="N65" s="104">
        <v>80.450869034408825</v>
      </c>
      <c r="O65" s="107" t="s">
        <v>163</v>
      </c>
    </row>
    <row r="66" spans="1:15">
      <c r="A66" s="101" t="s">
        <v>159</v>
      </c>
      <c r="B66" s="101" t="s">
        <v>160</v>
      </c>
      <c r="C66" s="101" t="s">
        <v>77</v>
      </c>
      <c r="D66" s="101" t="s">
        <v>172</v>
      </c>
      <c r="E66" s="102" t="s">
        <v>176</v>
      </c>
      <c r="F66" s="103" t="s">
        <v>142</v>
      </c>
      <c r="G66" s="104" t="s">
        <v>162</v>
      </c>
      <c r="H66" s="105">
        <v>171.37</v>
      </c>
      <c r="I66" s="106">
        <v>171.37</v>
      </c>
      <c r="J66" s="106">
        <v>171.48698394687509</v>
      </c>
      <c r="K66" s="106">
        <v>177.54613272223051</v>
      </c>
      <c r="L66" s="104">
        <v>182.15257822449621</v>
      </c>
      <c r="M66" s="104">
        <v>186.52636317117293</v>
      </c>
      <c r="N66" s="104">
        <v>193.06631321140796</v>
      </c>
      <c r="O66" s="107" t="s">
        <v>163</v>
      </c>
    </row>
    <row r="67" spans="1:15">
      <c r="A67" s="101" t="s">
        <v>159</v>
      </c>
      <c r="B67" s="101" t="s">
        <v>160</v>
      </c>
      <c r="C67" s="101" t="s">
        <v>77</v>
      </c>
      <c r="D67" s="101" t="s">
        <v>173</v>
      </c>
      <c r="E67" s="102" t="s">
        <v>176</v>
      </c>
      <c r="F67" s="103" t="s">
        <v>142</v>
      </c>
      <c r="G67" s="104" t="s">
        <v>162</v>
      </c>
      <c r="H67" s="105">
        <v>357.03</v>
      </c>
      <c r="I67" s="106">
        <v>357.03</v>
      </c>
      <c r="J67" s="106">
        <v>357.27372281351927</v>
      </c>
      <c r="K67" s="106">
        <v>369.89727353572937</v>
      </c>
      <c r="L67" s="104">
        <v>379.49428139984747</v>
      </c>
      <c r="M67" s="104">
        <v>388.60656732802613</v>
      </c>
      <c r="N67" s="104">
        <v>402.23181307036788</v>
      </c>
      <c r="O67" s="107" t="s">
        <v>163</v>
      </c>
    </row>
    <row r="68" spans="1:15">
      <c r="A68" s="101" t="s">
        <v>159</v>
      </c>
      <c r="B68" s="101" t="s">
        <v>160</v>
      </c>
      <c r="C68" s="101" t="s">
        <v>77</v>
      </c>
      <c r="D68" s="101" t="s">
        <v>174</v>
      </c>
      <c r="E68" s="102" t="s">
        <v>176</v>
      </c>
      <c r="F68" s="103" t="s">
        <v>142</v>
      </c>
      <c r="G68" s="104">
        <v>41</v>
      </c>
      <c r="H68" s="105">
        <v>71.41</v>
      </c>
      <c r="I68" s="106">
        <v>71.41</v>
      </c>
      <c r="J68" s="106">
        <v>71.458747293262221</v>
      </c>
      <c r="K68" s="106">
        <v>73.983598866163717</v>
      </c>
      <c r="L68" s="104">
        <v>75.903107959451887</v>
      </c>
      <c r="M68" s="104">
        <v>77.725667234950436</v>
      </c>
      <c r="N68" s="104">
        <v>80.450869034408825</v>
      </c>
      <c r="O68" s="107" t="s">
        <v>143</v>
      </c>
    </row>
    <row r="69" spans="1:15">
      <c r="A69" s="101" t="s">
        <v>159</v>
      </c>
      <c r="B69" s="101" t="s">
        <v>160</v>
      </c>
      <c r="C69" s="101" t="s">
        <v>189</v>
      </c>
      <c r="D69" s="101"/>
      <c r="E69" s="102" t="s">
        <v>176</v>
      </c>
      <c r="F69" s="103" t="s">
        <v>142</v>
      </c>
      <c r="G69" s="104" t="s">
        <v>146</v>
      </c>
      <c r="H69" s="105">
        <v>428.43</v>
      </c>
      <c r="I69" s="106">
        <v>428.43</v>
      </c>
      <c r="J69" s="106">
        <v>428.72246328038557</v>
      </c>
      <c r="K69" s="106">
        <v>443.87051200434843</v>
      </c>
      <c r="L69" s="104">
        <v>455.38676016059338</v>
      </c>
      <c r="M69" s="104">
        <v>466.32135013961368</v>
      </c>
      <c r="N69" s="104">
        <v>482.67141605393874</v>
      </c>
      <c r="O69" s="107" t="s">
        <v>148</v>
      </c>
    </row>
    <row r="70" spans="1:15">
      <c r="A70" s="101" t="s">
        <v>159</v>
      </c>
      <c r="B70" s="101" t="s">
        <v>160</v>
      </c>
      <c r="C70" s="101" t="s">
        <v>190</v>
      </c>
      <c r="D70" s="101"/>
      <c r="E70" s="102" t="s">
        <v>176</v>
      </c>
      <c r="F70" s="103" t="s">
        <v>142</v>
      </c>
      <c r="G70" s="104" t="s">
        <v>146</v>
      </c>
      <c r="H70" s="105">
        <v>1142.48</v>
      </c>
      <c r="I70" s="106">
        <v>1142.48</v>
      </c>
      <c r="J70" s="106">
        <v>1143.2599020810285</v>
      </c>
      <c r="K70" s="106">
        <v>1183.6546986782628</v>
      </c>
      <c r="L70" s="104">
        <v>1214.3646937615824</v>
      </c>
      <c r="M70" s="104">
        <v>1243.523600372303</v>
      </c>
      <c r="N70" s="104">
        <v>1287.1237761438365</v>
      </c>
      <c r="O70" s="107" t="s">
        <v>148</v>
      </c>
    </row>
    <row r="71" spans="1:15">
      <c r="A71" s="101" t="s">
        <v>159</v>
      </c>
      <c r="B71" s="101" t="s">
        <v>160</v>
      </c>
      <c r="C71" s="101" t="s">
        <v>191</v>
      </c>
      <c r="D71" s="101"/>
      <c r="E71" s="102" t="s">
        <v>176</v>
      </c>
      <c r="F71" s="103" t="s">
        <v>142</v>
      </c>
      <c r="G71" s="104" t="s">
        <v>146</v>
      </c>
      <c r="H71" s="105">
        <v>999.67000000000007</v>
      </c>
      <c r="I71" s="106">
        <v>999.67000000000007</v>
      </c>
      <c r="J71" s="106">
        <v>1000.3524143208998</v>
      </c>
      <c r="K71" s="106">
        <v>1035.6978613434799</v>
      </c>
      <c r="L71" s="104">
        <v>1062.5691070413848</v>
      </c>
      <c r="M71" s="104">
        <v>1088.0831503257652</v>
      </c>
      <c r="N71" s="104">
        <v>1126.2333041258571</v>
      </c>
      <c r="O71" s="107" t="s">
        <v>148</v>
      </c>
    </row>
    <row r="72" spans="1:15">
      <c r="A72" s="101" t="s">
        <v>159</v>
      </c>
      <c r="B72" s="101" t="s">
        <v>160</v>
      </c>
      <c r="C72" s="101" t="s">
        <v>78</v>
      </c>
      <c r="D72" s="101"/>
      <c r="E72" s="102" t="s">
        <v>176</v>
      </c>
      <c r="F72" s="103" t="s">
        <v>144</v>
      </c>
      <c r="G72" s="104">
        <v>123</v>
      </c>
      <c r="H72" s="105">
        <v>142.81</v>
      </c>
      <c r="I72" s="106">
        <v>142.81</v>
      </c>
      <c r="J72" s="106">
        <v>142.90748776012856</v>
      </c>
      <c r="K72" s="106">
        <v>147.95683733478285</v>
      </c>
      <c r="L72" s="104">
        <v>151.7955867201978</v>
      </c>
      <c r="M72" s="104">
        <v>155.44045004653788</v>
      </c>
      <c r="N72" s="104">
        <v>160.89047201797956</v>
      </c>
      <c r="O72" s="107" t="s">
        <v>145</v>
      </c>
    </row>
    <row r="73" spans="1:15">
      <c r="A73" s="101" t="s">
        <v>159</v>
      </c>
      <c r="B73" s="101" t="s">
        <v>160</v>
      </c>
      <c r="C73" s="101" t="s">
        <v>78</v>
      </c>
      <c r="D73" s="101"/>
      <c r="E73" s="102" t="s">
        <v>176</v>
      </c>
      <c r="F73" s="103" t="s">
        <v>144</v>
      </c>
      <c r="G73" s="104">
        <v>139.36363636363637</v>
      </c>
      <c r="H73" s="105">
        <v>166.43754737754293</v>
      </c>
      <c r="I73" s="106">
        <v>166.43754737754293</v>
      </c>
      <c r="J73" s="106">
        <v>166.5511642369724</v>
      </c>
      <c r="K73" s="106">
        <v>172.43591571836234</v>
      </c>
      <c r="L73" s="104">
        <v>176.90977632129992</v>
      </c>
      <c r="M73" s="104">
        <v>181.15767291511264</v>
      </c>
      <c r="N73" s="104">
        <v>187.50938701132773</v>
      </c>
      <c r="O73" s="107" t="s">
        <v>145</v>
      </c>
    </row>
    <row r="74" spans="1:15">
      <c r="A74" s="101" t="s">
        <v>159</v>
      </c>
      <c r="B74" s="101" t="s">
        <v>160</v>
      </c>
      <c r="C74" s="101" t="s">
        <v>78</v>
      </c>
      <c r="D74" s="101"/>
      <c r="E74" s="102" t="s">
        <v>176</v>
      </c>
      <c r="F74" s="103" t="s">
        <v>144</v>
      </c>
      <c r="G74" s="104" t="s">
        <v>146</v>
      </c>
      <c r="H74" s="105">
        <v>210.96</v>
      </c>
      <c r="I74" s="106">
        <v>210.96</v>
      </c>
      <c r="J74" s="106">
        <v>211.10400964832095</v>
      </c>
      <c r="K74" s="106">
        <v>218.56294660139895</v>
      </c>
      <c r="L74" s="104">
        <v>224.23357590149797</v>
      </c>
      <c r="M74" s="104">
        <v>229.61779526516091</v>
      </c>
      <c r="N74" s="104">
        <v>237.66860847918892</v>
      </c>
      <c r="O74" s="107" t="s">
        <v>145</v>
      </c>
    </row>
    <row r="75" spans="1:15">
      <c r="A75" s="101" t="s">
        <v>159</v>
      </c>
      <c r="B75" s="101" t="s">
        <v>160</v>
      </c>
      <c r="C75" s="101" t="s">
        <v>79</v>
      </c>
      <c r="D75" s="101"/>
      <c r="E75" s="102" t="s">
        <v>176</v>
      </c>
      <c r="F75" s="103" t="s">
        <v>144</v>
      </c>
      <c r="G75" s="104">
        <v>123</v>
      </c>
      <c r="H75" s="105">
        <v>142.81</v>
      </c>
      <c r="I75" s="106">
        <v>142.81</v>
      </c>
      <c r="J75" s="106">
        <v>142.90748776012856</v>
      </c>
      <c r="K75" s="106">
        <v>147.95683733478285</v>
      </c>
      <c r="L75" s="104">
        <v>151.7955867201978</v>
      </c>
      <c r="M75" s="104">
        <v>155.44045004653788</v>
      </c>
      <c r="N75" s="104">
        <v>160.89047201797956</v>
      </c>
      <c r="O75" s="107" t="s">
        <v>145</v>
      </c>
    </row>
    <row r="76" spans="1:15">
      <c r="A76" s="101" t="s">
        <v>159</v>
      </c>
      <c r="B76" s="101" t="s">
        <v>160</v>
      </c>
      <c r="C76" s="101" t="s">
        <v>79</v>
      </c>
      <c r="D76" s="101"/>
      <c r="E76" s="102" t="s">
        <v>176</v>
      </c>
      <c r="F76" s="103" t="s">
        <v>144</v>
      </c>
      <c r="G76" s="104">
        <v>139.36363636363637</v>
      </c>
      <c r="H76" s="105">
        <v>166.43754737754293</v>
      </c>
      <c r="I76" s="106">
        <v>166.43754737754293</v>
      </c>
      <c r="J76" s="106">
        <v>166.5511642369724</v>
      </c>
      <c r="K76" s="106">
        <v>172.43591571836234</v>
      </c>
      <c r="L76" s="104">
        <v>176.90977632129992</v>
      </c>
      <c r="M76" s="104">
        <v>181.15767291511264</v>
      </c>
      <c r="N76" s="104">
        <v>187.50938701132773</v>
      </c>
      <c r="O76" s="107" t="s">
        <v>145</v>
      </c>
    </row>
    <row r="77" spans="1:15">
      <c r="A77" s="101" t="s">
        <v>159</v>
      </c>
      <c r="B77" s="101" t="s">
        <v>160</v>
      </c>
      <c r="C77" s="101" t="s">
        <v>79</v>
      </c>
      <c r="D77" s="101"/>
      <c r="E77" s="102" t="s">
        <v>176</v>
      </c>
      <c r="F77" s="103" t="s">
        <v>144</v>
      </c>
      <c r="G77" s="104" t="s">
        <v>146</v>
      </c>
      <c r="H77" s="105">
        <v>210.96</v>
      </c>
      <c r="I77" s="106">
        <v>210.96</v>
      </c>
      <c r="J77" s="106">
        <v>211.10400964832095</v>
      </c>
      <c r="K77" s="106">
        <v>218.56294660139895</v>
      </c>
      <c r="L77" s="104">
        <v>224.23357590149797</v>
      </c>
      <c r="M77" s="104">
        <v>229.61779526516091</v>
      </c>
      <c r="N77" s="104">
        <v>237.66860847918892</v>
      </c>
      <c r="O77" s="107" t="s">
        <v>145</v>
      </c>
    </row>
    <row r="78" spans="1:15">
      <c r="A78" s="101" t="s">
        <v>159</v>
      </c>
      <c r="B78" s="101" t="s">
        <v>192</v>
      </c>
      <c r="C78" s="101" t="s">
        <v>193</v>
      </c>
      <c r="D78" s="101" t="s">
        <v>194</v>
      </c>
      <c r="E78" s="102" t="s">
        <v>195</v>
      </c>
      <c r="F78" s="117" t="s">
        <v>142</v>
      </c>
      <c r="G78" s="104">
        <v>20.545454545454547</v>
      </c>
      <c r="H78" s="118">
        <v>29.41</v>
      </c>
      <c r="I78" s="119">
        <v>29.41</v>
      </c>
      <c r="J78" s="119">
        <v>29.430076430399694</v>
      </c>
      <c r="K78" s="106">
        <v>30.469929178740728</v>
      </c>
      <c r="L78" s="104">
        <v>31.260473394307244</v>
      </c>
      <c r="M78" s="104">
        <v>32.011089110487212</v>
      </c>
      <c r="N78" s="104">
        <v>33.133455514661293</v>
      </c>
      <c r="O78" s="107" t="s">
        <v>143</v>
      </c>
    </row>
    <row r="79" spans="1:15">
      <c r="A79" s="101" t="s">
        <v>159</v>
      </c>
      <c r="B79" s="101" t="s">
        <v>192</v>
      </c>
      <c r="C79" s="101" t="s">
        <v>193</v>
      </c>
      <c r="D79" s="101" t="s">
        <v>196</v>
      </c>
      <c r="E79" s="102" t="s">
        <v>195</v>
      </c>
      <c r="F79" s="117" t="s">
        <v>142</v>
      </c>
      <c r="G79" s="104">
        <v>33.81818181818182</v>
      </c>
      <c r="H79" s="118">
        <v>50.83</v>
      </c>
      <c r="I79" s="119">
        <v>50.83</v>
      </c>
      <c r="J79" s="119">
        <v>50.864698570459588</v>
      </c>
      <c r="K79" s="106">
        <v>52.661900719326461</v>
      </c>
      <c r="L79" s="104">
        <v>54.028217022531017</v>
      </c>
      <c r="M79" s="104">
        <v>55.325523953963454</v>
      </c>
      <c r="N79" s="104">
        <v>57.265336409732527</v>
      </c>
      <c r="O79" s="107" t="s">
        <v>143</v>
      </c>
    </row>
    <row r="80" spans="1:15">
      <c r="A80" s="101" t="s">
        <v>159</v>
      </c>
      <c r="B80" s="101" t="s">
        <v>192</v>
      </c>
      <c r="C80" s="101" t="s">
        <v>193</v>
      </c>
      <c r="D80" s="101" t="s">
        <v>197</v>
      </c>
      <c r="E80" s="102" t="s">
        <v>195</v>
      </c>
      <c r="F80" s="117" t="s">
        <v>142</v>
      </c>
      <c r="G80" s="104">
        <v>98.36363636363636</v>
      </c>
      <c r="H80" s="118">
        <v>165.08</v>
      </c>
      <c r="I80" s="119">
        <v>165.08</v>
      </c>
      <c r="J80" s="119">
        <v>165.19269014384162</v>
      </c>
      <c r="K80" s="106">
        <v>171.02944266666168</v>
      </c>
      <c r="L80" s="104">
        <v>175.46681223843049</v>
      </c>
      <c r="M80" s="104">
        <v>179.68006087586639</v>
      </c>
      <c r="N80" s="104">
        <v>185.97996723428383</v>
      </c>
      <c r="O80" s="107" t="s">
        <v>143</v>
      </c>
    </row>
    <row r="81" spans="1:15">
      <c r="A81" s="101" t="s">
        <v>159</v>
      </c>
      <c r="B81" s="101" t="s">
        <v>198</v>
      </c>
      <c r="C81" s="101" t="s">
        <v>199</v>
      </c>
      <c r="D81" s="101"/>
      <c r="E81" s="102" t="s">
        <v>176</v>
      </c>
      <c r="F81" s="103" t="s">
        <v>144</v>
      </c>
      <c r="G81" s="104">
        <v>123</v>
      </c>
      <c r="H81" s="105">
        <v>142.81</v>
      </c>
      <c r="I81" s="106">
        <v>142.81</v>
      </c>
      <c r="J81" s="106">
        <v>142.90748776012856</v>
      </c>
      <c r="K81" s="106">
        <v>147.95683733478285</v>
      </c>
      <c r="L81" s="104">
        <v>151.7955867201978</v>
      </c>
      <c r="M81" s="104">
        <v>155.44045004653788</v>
      </c>
      <c r="N81" s="104">
        <v>160.89047201797956</v>
      </c>
      <c r="O81" s="107" t="s">
        <v>145</v>
      </c>
    </row>
    <row r="82" spans="1:15">
      <c r="A82" s="101" t="s">
        <v>159</v>
      </c>
      <c r="B82" s="101" t="s">
        <v>198</v>
      </c>
      <c r="C82" s="101" t="s">
        <v>199</v>
      </c>
      <c r="D82" s="101"/>
      <c r="E82" s="102" t="s">
        <v>195</v>
      </c>
      <c r="F82" s="103" t="s">
        <v>144</v>
      </c>
      <c r="G82" s="104">
        <v>82</v>
      </c>
      <c r="H82" s="105">
        <v>166.43754737754293</v>
      </c>
      <c r="I82" s="106">
        <v>166.43754737754293</v>
      </c>
      <c r="J82" s="106">
        <v>166.5511642369724</v>
      </c>
      <c r="K82" s="106">
        <v>172.43591571836234</v>
      </c>
      <c r="L82" s="104">
        <v>176.90977632129992</v>
      </c>
      <c r="M82" s="104">
        <v>181.15767291511264</v>
      </c>
      <c r="N82" s="104">
        <v>187.50938701132773</v>
      </c>
      <c r="O82" s="107" t="s">
        <v>145</v>
      </c>
    </row>
    <row r="83" spans="1:15">
      <c r="A83" s="101" t="s">
        <v>159</v>
      </c>
      <c r="B83" s="101" t="s">
        <v>198</v>
      </c>
      <c r="C83" s="101" t="s">
        <v>199</v>
      </c>
      <c r="D83" s="101"/>
      <c r="E83" s="102" t="s">
        <v>176</v>
      </c>
      <c r="F83" s="103" t="s">
        <v>144</v>
      </c>
      <c r="G83" s="104" t="s">
        <v>146</v>
      </c>
      <c r="H83" s="105">
        <v>210.96</v>
      </c>
      <c r="I83" s="106">
        <v>210.96</v>
      </c>
      <c r="J83" s="106">
        <v>211.10400964832095</v>
      </c>
      <c r="K83" s="106">
        <v>218.56294660139895</v>
      </c>
      <c r="L83" s="104">
        <v>224.23357590149797</v>
      </c>
      <c r="M83" s="104">
        <v>229.61779526516091</v>
      </c>
      <c r="N83" s="104">
        <v>237.66860847918892</v>
      </c>
      <c r="O83" s="107" t="s">
        <v>145</v>
      </c>
    </row>
    <row r="84" spans="1:15">
      <c r="A84" s="101" t="s">
        <v>200</v>
      </c>
      <c r="B84" s="101" t="s">
        <v>201</v>
      </c>
      <c r="C84" s="101" t="s">
        <v>202</v>
      </c>
      <c r="D84" s="101"/>
      <c r="E84" s="102" t="s">
        <v>203</v>
      </c>
      <c r="F84" s="117" t="s">
        <v>144</v>
      </c>
      <c r="G84" s="104">
        <v>82</v>
      </c>
      <c r="H84" s="118">
        <v>142.81</v>
      </c>
      <c r="I84" s="119">
        <v>142.81</v>
      </c>
      <c r="J84" s="119">
        <v>142.90748776012856</v>
      </c>
      <c r="K84" s="106">
        <v>147.95683733478285</v>
      </c>
      <c r="L84" s="104">
        <v>151.7955867201978</v>
      </c>
      <c r="M84" s="104">
        <v>155.44045004653788</v>
      </c>
      <c r="N84" s="104">
        <v>160.89047201797956</v>
      </c>
      <c r="O84" s="107" t="s">
        <v>145</v>
      </c>
    </row>
    <row r="85" spans="1:15">
      <c r="A85" s="101" t="s">
        <v>204</v>
      </c>
      <c r="B85" s="101" t="s">
        <v>68</v>
      </c>
      <c r="C85" s="101"/>
      <c r="D85" s="101"/>
      <c r="E85" s="102" t="s">
        <v>141</v>
      </c>
      <c r="F85" s="117" t="s">
        <v>142</v>
      </c>
      <c r="G85" s="104">
        <v>27.636363636363633</v>
      </c>
      <c r="H85" s="118">
        <v>1799.25</v>
      </c>
      <c r="I85" s="119">
        <v>1799.25</v>
      </c>
      <c r="J85" s="119">
        <v>1800.4782392858433</v>
      </c>
      <c r="K85" s="106">
        <v>1864.0945282165676</v>
      </c>
      <c r="L85" s="104">
        <v>1912.4585771746788</v>
      </c>
      <c r="M85" s="104">
        <v>1958.379873581915</v>
      </c>
      <c r="N85" s="104">
        <v>2027.0441970334693</v>
      </c>
      <c r="O85" s="107" t="s">
        <v>143</v>
      </c>
    </row>
    <row r="86" spans="1:15">
      <c r="A86" s="101" t="s">
        <v>204</v>
      </c>
      <c r="B86" s="101" t="s">
        <v>76</v>
      </c>
      <c r="C86" s="101"/>
      <c r="D86" s="101"/>
      <c r="E86" s="102" t="s">
        <v>141</v>
      </c>
      <c r="F86" s="117" t="s">
        <v>142</v>
      </c>
      <c r="G86" s="104">
        <v>908.18181818181813</v>
      </c>
      <c r="H86" s="118">
        <v>1060.6600000000001</v>
      </c>
      <c r="I86" s="119">
        <v>1060.6600000000001</v>
      </c>
      <c r="J86" s="119">
        <v>1061.3840485096136</v>
      </c>
      <c r="K86" s="106">
        <v>1098.8859259681446</v>
      </c>
      <c r="L86" s="104">
        <v>1127.396589949198</v>
      </c>
      <c r="M86" s="104">
        <v>1154.4672484165033</v>
      </c>
      <c r="N86" s="104">
        <v>1194.9449481870329</v>
      </c>
      <c r="O86" s="107" t="s">
        <v>143</v>
      </c>
    </row>
    <row r="87" spans="1:15">
      <c r="A87" s="101" t="s">
        <v>204</v>
      </c>
      <c r="B87" s="101" t="s">
        <v>77</v>
      </c>
      <c r="C87" s="101"/>
      <c r="D87" s="101"/>
      <c r="E87" s="102" t="s">
        <v>141</v>
      </c>
      <c r="F87" s="117" t="s">
        <v>142</v>
      </c>
      <c r="G87" s="104">
        <v>908.18181818181813</v>
      </c>
      <c r="H87" s="118">
        <v>2392.7199999999998</v>
      </c>
      <c r="I87" s="119">
        <v>2392.7199999999998</v>
      </c>
      <c r="J87" s="119">
        <v>2394.3533654044868</v>
      </c>
      <c r="K87" s="106">
        <v>2478.9530412973991</v>
      </c>
      <c r="L87" s="104">
        <v>2543.2696327788785</v>
      </c>
      <c r="M87" s="104">
        <v>2604.3377469039428</v>
      </c>
      <c r="N87" s="104">
        <v>2695.6505161183395</v>
      </c>
      <c r="O87" s="107" t="s">
        <v>143</v>
      </c>
    </row>
    <row r="88" spans="1:15">
      <c r="A88" s="101" t="s">
        <v>204</v>
      </c>
      <c r="B88" s="101" t="s">
        <v>78</v>
      </c>
      <c r="C88" s="101"/>
      <c r="D88" s="101"/>
      <c r="E88" s="102" t="s">
        <v>141</v>
      </c>
      <c r="F88" s="103" t="s">
        <v>144</v>
      </c>
      <c r="G88" s="104">
        <v>908.18181818181813</v>
      </c>
      <c r="H88" s="105">
        <v>142.81</v>
      </c>
      <c r="I88" s="106">
        <v>142.81</v>
      </c>
      <c r="J88" s="106">
        <v>142.90748776012856</v>
      </c>
      <c r="K88" s="106">
        <v>147.95683733478285</v>
      </c>
      <c r="L88" s="104">
        <v>151.7955867201978</v>
      </c>
      <c r="M88" s="104">
        <v>155.44045004653788</v>
      </c>
      <c r="N88" s="104">
        <v>160.89047201797956</v>
      </c>
      <c r="O88" s="107" t="s">
        <v>145</v>
      </c>
    </row>
    <row r="89" spans="1:15">
      <c r="A89" s="101" t="s">
        <v>204</v>
      </c>
      <c r="B89" s="101" t="s">
        <v>79</v>
      </c>
      <c r="C89" s="101"/>
      <c r="D89" s="101"/>
      <c r="E89" s="102" t="s">
        <v>141</v>
      </c>
      <c r="F89" s="103" t="s">
        <v>144</v>
      </c>
      <c r="G89" s="104">
        <v>908.18181818181813</v>
      </c>
      <c r="H89" s="105">
        <v>142.81</v>
      </c>
      <c r="I89" s="106">
        <v>142.81</v>
      </c>
      <c r="J89" s="106">
        <v>142.90748776012856</v>
      </c>
      <c r="K89" s="106">
        <v>147.95683733478285</v>
      </c>
      <c r="L89" s="104">
        <v>151.7955867201978</v>
      </c>
      <c r="M89" s="104">
        <v>155.44045004653788</v>
      </c>
      <c r="N89" s="104">
        <v>160.89047201797956</v>
      </c>
      <c r="O89" s="107" t="s">
        <v>145</v>
      </c>
    </row>
    <row r="90" spans="1:15">
      <c r="A90" s="101" t="s">
        <v>204</v>
      </c>
      <c r="B90" s="101" t="s">
        <v>205</v>
      </c>
      <c r="C90" s="101"/>
      <c r="D90" s="101"/>
      <c r="E90" s="102" t="s">
        <v>141</v>
      </c>
      <c r="F90" s="103" t="s">
        <v>144</v>
      </c>
      <c r="G90" s="104" t="s">
        <v>146</v>
      </c>
      <c r="H90" s="105">
        <v>142.81</v>
      </c>
      <c r="I90" s="106">
        <v>142.81</v>
      </c>
      <c r="J90" s="106">
        <v>142.90748776012856</v>
      </c>
      <c r="K90" s="106">
        <v>147.95683733478285</v>
      </c>
      <c r="L90" s="104">
        <v>151.7955867201978</v>
      </c>
      <c r="M90" s="104">
        <v>155.44045004653788</v>
      </c>
      <c r="N90" s="104">
        <v>160.89047201797956</v>
      </c>
      <c r="O90" s="107" t="s">
        <v>145</v>
      </c>
    </row>
    <row r="91" spans="1:15">
      <c r="A91" s="101" t="s">
        <v>206</v>
      </c>
      <c r="B91" s="101" t="s">
        <v>68</v>
      </c>
      <c r="C91" s="101"/>
      <c r="D91" s="101"/>
      <c r="E91" s="102" t="s">
        <v>176</v>
      </c>
      <c r="F91" s="103" t="s">
        <v>142</v>
      </c>
      <c r="G91" s="104">
        <v>27.636363636363633</v>
      </c>
      <c r="H91" s="120">
        <v>1820.47</v>
      </c>
      <c r="I91" s="121">
        <v>1820.47</v>
      </c>
      <c r="J91" s="106">
        <v>1821.7127248979848</v>
      </c>
      <c r="K91" s="106">
        <v>1886.0792918062609</v>
      </c>
      <c r="L91" s="104">
        <v>1935.0137368287833</v>
      </c>
      <c r="M91" s="104">
        <v>1981.4766199581322</v>
      </c>
      <c r="N91" s="104">
        <v>2050.95075691178</v>
      </c>
      <c r="O91" s="107" t="s">
        <v>143</v>
      </c>
    </row>
    <row r="92" spans="1:15">
      <c r="A92" s="101" t="s">
        <v>206</v>
      </c>
      <c r="B92" s="101" t="s">
        <v>76</v>
      </c>
      <c r="C92" s="101"/>
      <c r="D92" s="101"/>
      <c r="E92" s="102" t="s">
        <v>176</v>
      </c>
      <c r="F92" s="103" t="s">
        <v>142</v>
      </c>
      <c r="G92" s="104">
        <v>1210.5454545454543</v>
      </c>
      <c r="H92" s="120">
        <v>1820.47</v>
      </c>
      <c r="I92" s="121">
        <v>1820.47</v>
      </c>
      <c r="J92" s="106">
        <v>1821.7127248979848</v>
      </c>
      <c r="K92" s="106">
        <v>1886.0792918062609</v>
      </c>
      <c r="L92" s="104">
        <v>1935.0137368287833</v>
      </c>
      <c r="M92" s="104">
        <v>1981.4766199581322</v>
      </c>
      <c r="N92" s="104">
        <v>2050.95075691178</v>
      </c>
      <c r="O92" s="107" t="s">
        <v>143</v>
      </c>
    </row>
    <row r="93" spans="1:15">
      <c r="A93" s="101" t="s">
        <v>206</v>
      </c>
      <c r="B93" s="101" t="s">
        <v>207</v>
      </c>
      <c r="C93" s="101"/>
      <c r="D93" s="101"/>
      <c r="E93" s="102" t="s">
        <v>176</v>
      </c>
      <c r="F93" s="103" t="s">
        <v>142</v>
      </c>
      <c r="G93" s="104">
        <v>1210.5454545454543</v>
      </c>
      <c r="H93" s="120">
        <v>1820.47</v>
      </c>
      <c r="I93" s="121">
        <v>1820.47</v>
      </c>
      <c r="J93" s="106">
        <v>1821.7127248979848</v>
      </c>
      <c r="K93" s="106">
        <v>1886.0792918062609</v>
      </c>
      <c r="L93" s="104">
        <v>1935.0137368287833</v>
      </c>
      <c r="M93" s="104">
        <v>1981.4766199581322</v>
      </c>
      <c r="N93" s="104">
        <v>2050.95075691178</v>
      </c>
      <c r="O93" s="107" t="s">
        <v>143</v>
      </c>
    </row>
    <row r="94" spans="1:15">
      <c r="A94" s="101" t="s">
        <v>206</v>
      </c>
      <c r="B94" s="101" t="s">
        <v>78</v>
      </c>
      <c r="C94" s="101"/>
      <c r="D94" s="101"/>
      <c r="E94" s="102" t="s">
        <v>176</v>
      </c>
      <c r="F94" s="103" t="s">
        <v>142</v>
      </c>
      <c r="G94" s="104">
        <v>1210.5454545454543</v>
      </c>
      <c r="H94" s="120">
        <v>1820.47</v>
      </c>
      <c r="I94" s="121">
        <v>1820.47</v>
      </c>
      <c r="J94" s="106">
        <v>1821.7127248979848</v>
      </c>
      <c r="K94" s="106">
        <v>1886.0792918062609</v>
      </c>
      <c r="L94" s="104">
        <v>1935.0137368287833</v>
      </c>
      <c r="M94" s="104">
        <v>1981.4766199581322</v>
      </c>
      <c r="N94" s="104">
        <v>2050.95075691178</v>
      </c>
      <c r="O94" s="107" t="s">
        <v>143</v>
      </c>
    </row>
    <row r="95" spans="1:15">
      <c r="A95" s="101" t="s">
        <v>206</v>
      </c>
      <c r="B95" s="101" t="s">
        <v>79</v>
      </c>
      <c r="C95" s="101"/>
      <c r="D95" s="101"/>
      <c r="E95" s="102" t="s">
        <v>176</v>
      </c>
      <c r="F95" s="103" t="s">
        <v>142</v>
      </c>
      <c r="G95" s="104">
        <v>1210.5454545454543</v>
      </c>
      <c r="H95" s="120">
        <v>1820.47</v>
      </c>
      <c r="I95" s="121">
        <v>1820.47</v>
      </c>
      <c r="J95" s="106">
        <v>1821.7127248979848</v>
      </c>
      <c r="K95" s="106">
        <v>1886.0792918062609</v>
      </c>
      <c r="L95" s="104">
        <v>1935.0137368287833</v>
      </c>
      <c r="M95" s="104">
        <v>1981.4766199581322</v>
      </c>
      <c r="N95" s="104">
        <v>2050.95075691178</v>
      </c>
      <c r="O95" s="107" t="s">
        <v>143</v>
      </c>
    </row>
    <row r="96" spans="1:15">
      <c r="A96" s="101" t="s">
        <v>206</v>
      </c>
      <c r="B96" s="101" t="s">
        <v>205</v>
      </c>
      <c r="C96" s="101"/>
      <c r="D96" s="101"/>
      <c r="E96" s="102" t="s">
        <v>176</v>
      </c>
      <c r="F96" s="103" t="s">
        <v>144</v>
      </c>
      <c r="G96" s="104" t="s">
        <v>146</v>
      </c>
      <c r="H96" s="105">
        <v>142.81</v>
      </c>
      <c r="I96" s="106">
        <v>142.81</v>
      </c>
      <c r="J96" s="106">
        <v>142.90748776012856</v>
      </c>
      <c r="K96" s="106">
        <v>147.95683733478285</v>
      </c>
      <c r="L96" s="104">
        <v>151.7955867201978</v>
      </c>
      <c r="M96" s="104">
        <v>155.44045004653788</v>
      </c>
      <c r="N96" s="104">
        <v>160.89047201797956</v>
      </c>
      <c r="O96" s="107" t="s">
        <v>145</v>
      </c>
    </row>
    <row r="97" spans="1:15">
      <c r="A97" s="101" t="s">
        <v>208</v>
      </c>
      <c r="B97" s="101" t="s">
        <v>208</v>
      </c>
      <c r="C97" s="101"/>
      <c r="D97" s="101"/>
      <c r="E97" s="102" t="s">
        <v>209</v>
      </c>
      <c r="F97" s="103" t="s">
        <v>142</v>
      </c>
      <c r="G97" s="104" t="s">
        <v>146</v>
      </c>
      <c r="H97" s="105">
        <v>928.27</v>
      </c>
      <c r="I97" s="106">
        <v>928.27</v>
      </c>
      <c r="J97" s="106">
        <v>928.9036738540334</v>
      </c>
      <c r="K97" s="106">
        <v>961.72462287486064</v>
      </c>
      <c r="L97" s="104">
        <v>986.67662828063862</v>
      </c>
      <c r="M97" s="104">
        <v>1010.3683675141777</v>
      </c>
      <c r="N97" s="104">
        <v>1045.7937011422864</v>
      </c>
      <c r="O97" s="107" t="s">
        <v>143</v>
      </c>
    </row>
    <row r="98" spans="1:15">
      <c r="A98" s="101" t="s">
        <v>210</v>
      </c>
      <c r="B98" s="101" t="s">
        <v>210</v>
      </c>
      <c r="C98" s="101"/>
      <c r="D98" s="101"/>
      <c r="E98" s="102" t="s">
        <v>141</v>
      </c>
      <c r="F98" s="103" t="s">
        <v>144</v>
      </c>
      <c r="G98" s="104">
        <v>65.63636363636364</v>
      </c>
      <c r="H98" s="105">
        <v>132.39529398962279</v>
      </c>
      <c r="I98" s="106">
        <v>132.39529398962279</v>
      </c>
      <c r="J98" s="106">
        <v>132.48567225908997</v>
      </c>
      <c r="K98" s="106">
        <v>137.166787876993</v>
      </c>
      <c r="L98" s="104">
        <v>140.72558875532437</v>
      </c>
      <c r="M98" s="104">
        <v>144.10464310475919</v>
      </c>
      <c r="N98" s="104">
        <v>149.15721128036964</v>
      </c>
      <c r="O98" s="107" t="s">
        <v>145</v>
      </c>
    </row>
    <row r="99" spans="1:15">
      <c r="A99" s="101" t="s">
        <v>211</v>
      </c>
      <c r="B99" s="101"/>
      <c r="C99" s="101"/>
      <c r="D99" s="101"/>
      <c r="E99" s="102" t="s">
        <v>212</v>
      </c>
      <c r="F99" s="103" t="s">
        <v>142</v>
      </c>
      <c r="G99" s="104">
        <v>197.81818181818178</v>
      </c>
      <c r="H99" s="120">
        <v>464.42</v>
      </c>
      <c r="I99" s="121">
        <v>464.42</v>
      </c>
      <c r="J99" s="106">
        <v>464.73703147930047</v>
      </c>
      <c r="K99" s="106">
        <v>481.1575827674522</v>
      </c>
      <c r="L99" s="104">
        <v>493.64124630344003</v>
      </c>
      <c r="M99" s="104">
        <v>505.4943898229335</v>
      </c>
      <c r="N99" s="104">
        <v>523.2179330200272</v>
      </c>
      <c r="O99" s="107" t="s">
        <v>213</v>
      </c>
    </row>
    <row r="100" spans="1:15">
      <c r="A100" s="101" t="s">
        <v>214</v>
      </c>
      <c r="B100" s="101" t="s">
        <v>215</v>
      </c>
      <c r="C100" s="101"/>
      <c r="D100" s="101" t="s">
        <v>216</v>
      </c>
      <c r="E100" s="102" t="s">
        <v>217</v>
      </c>
      <c r="F100" s="103" t="s">
        <v>142</v>
      </c>
      <c r="G100" s="104">
        <v>163</v>
      </c>
      <c r="H100" s="105">
        <v>541.11</v>
      </c>
      <c r="I100" s="106">
        <v>541.11</v>
      </c>
      <c r="J100" s="106">
        <v>541.47938310960831</v>
      </c>
      <c r="K100" s="106">
        <v>560.61147153717764</v>
      </c>
      <c r="L100" s="104">
        <v>575.15657117965281</v>
      </c>
      <c r="M100" s="104">
        <v>588.96703259353058</v>
      </c>
      <c r="N100" s="104">
        <v>609.61727689691838</v>
      </c>
      <c r="O100" s="107" t="s">
        <v>143</v>
      </c>
    </row>
    <row r="101" spans="1:15">
      <c r="A101" s="101" t="s">
        <v>214</v>
      </c>
      <c r="B101" s="101" t="s">
        <v>218</v>
      </c>
      <c r="C101" s="101"/>
      <c r="D101" s="101" t="s">
        <v>216</v>
      </c>
      <c r="E101" s="102" t="s">
        <v>195</v>
      </c>
      <c r="F101" s="103" t="s">
        <v>142</v>
      </c>
      <c r="G101" s="104">
        <v>163</v>
      </c>
      <c r="H101" s="105">
        <v>374.68</v>
      </c>
      <c r="I101" s="106">
        <v>374.68</v>
      </c>
      <c r="J101" s="106">
        <v>374.93577140231747</v>
      </c>
      <c r="K101" s="106">
        <v>388.18337520199162</v>
      </c>
      <c r="L101" s="104">
        <v>398.25481711591419</v>
      </c>
      <c r="M101" s="104">
        <v>407.8175745636637</v>
      </c>
      <c r="N101" s="104">
        <v>422.11639279949992</v>
      </c>
      <c r="O101" s="107" t="s">
        <v>143</v>
      </c>
    </row>
    <row r="102" spans="1:15">
      <c r="A102" s="101" t="s">
        <v>67</v>
      </c>
      <c r="B102" s="101" t="s">
        <v>68</v>
      </c>
      <c r="C102" s="101" t="s">
        <v>68</v>
      </c>
      <c r="D102" s="101" t="s">
        <v>69</v>
      </c>
      <c r="E102" s="102" t="s">
        <v>141</v>
      </c>
      <c r="F102" s="103" t="s">
        <v>142</v>
      </c>
      <c r="G102" s="104">
        <v>197.81818181818178</v>
      </c>
      <c r="H102" s="105">
        <v>356.24</v>
      </c>
      <c r="I102" s="106">
        <v>356.24</v>
      </c>
      <c r="J102" s="106">
        <v>356.48318352824168</v>
      </c>
      <c r="K102" s="106">
        <v>369.07880212970406</v>
      </c>
      <c r="L102" s="104">
        <v>378.65457470207451</v>
      </c>
      <c r="M102" s="104">
        <v>387.74669788235178</v>
      </c>
      <c r="N102" s="104">
        <v>401.34179505416324</v>
      </c>
      <c r="O102" s="107" t="s">
        <v>143</v>
      </c>
    </row>
    <row r="103" spans="1:15">
      <c r="A103" s="101" t="s">
        <v>67</v>
      </c>
      <c r="B103" s="101" t="s">
        <v>68</v>
      </c>
      <c r="C103" s="101" t="s">
        <v>68</v>
      </c>
      <c r="D103" s="101" t="s">
        <v>70</v>
      </c>
      <c r="E103" s="102" t="s">
        <v>141</v>
      </c>
      <c r="F103" s="103" t="s">
        <v>142</v>
      </c>
      <c r="G103" s="104">
        <v>264.45454545454544</v>
      </c>
      <c r="H103" s="105">
        <v>445.3</v>
      </c>
      <c r="I103" s="106">
        <v>445.3</v>
      </c>
      <c r="J103" s="106">
        <v>445.60397941030203</v>
      </c>
      <c r="K103" s="106">
        <v>461.34850266213004</v>
      </c>
      <c r="L103" s="104">
        <v>473.31821837759315</v>
      </c>
      <c r="M103" s="104">
        <v>484.68337235293967</v>
      </c>
      <c r="N103" s="104">
        <v>501.67724381770398</v>
      </c>
      <c r="O103" s="107" t="s">
        <v>143</v>
      </c>
    </row>
    <row r="104" spans="1:15">
      <c r="A104" s="101" t="s">
        <v>67</v>
      </c>
      <c r="B104" s="101" t="s">
        <v>68</v>
      </c>
      <c r="C104" s="101" t="s">
        <v>68</v>
      </c>
      <c r="D104" s="101" t="s">
        <v>71</v>
      </c>
      <c r="E104" s="102" t="s">
        <v>141</v>
      </c>
      <c r="F104" s="103" t="s">
        <v>142</v>
      </c>
      <c r="G104" s="104">
        <v>330.09090909090907</v>
      </c>
      <c r="H104" s="105">
        <v>623.41999999999996</v>
      </c>
      <c r="I104" s="106">
        <v>623.41999999999996</v>
      </c>
      <c r="J104" s="106">
        <v>623.84557117442284</v>
      </c>
      <c r="K104" s="106">
        <v>645.88790372698213</v>
      </c>
      <c r="L104" s="104">
        <v>662.6455057286305</v>
      </c>
      <c r="M104" s="104">
        <v>678.55672129411562</v>
      </c>
      <c r="N104" s="104">
        <v>702.34814134478563</v>
      </c>
      <c r="O104" s="107" t="s">
        <v>143</v>
      </c>
    </row>
    <row r="105" spans="1:15">
      <c r="A105" s="101" t="s">
        <v>67</v>
      </c>
      <c r="B105" s="101" t="s">
        <v>68</v>
      </c>
      <c r="C105" s="101" t="s">
        <v>68</v>
      </c>
      <c r="D105" s="101" t="s">
        <v>72</v>
      </c>
      <c r="E105" s="102" t="s">
        <v>141</v>
      </c>
      <c r="F105" s="103" t="s">
        <v>142</v>
      </c>
      <c r="G105" s="104">
        <v>396.63636363636363</v>
      </c>
      <c r="H105" s="105">
        <v>712.48</v>
      </c>
      <c r="I105" s="106">
        <v>712.48</v>
      </c>
      <c r="J105" s="106">
        <v>712.96636705648336</v>
      </c>
      <c r="K105" s="106">
        <v>738.15760425940812</v>
      </c>
      <c r="L105" s="104">
        <v>757.30914940414903</v>
      </c>
      <c r="M105" s="104">
        <v>775.49339576470356</v>
      </c>
      <c r="N105" s="104">
        <v>802.68359010832648</v>
      </c>
      <c r="O105" s="107" t="s">
        <v>143</v>
      </c>
    </row>
    <row r="106" spans="1:15">
      <c r="A106" s="101" t="s">
        <v>67</v>
      </c>
      <c r="B106" s="101" t="s">
        <v>76</v>
      </c>
      <c r="C106" s="101" t="s">
        <v>76</v>
      </c>
      <c r="D106" s="101" t="s">
        <v>73</v>
      </c>
      <c r="E106" s="102" t="s">
        <v>141</v>
      </c>
      <c r="F106" s="103" t="s">
        <v>142</v>
      </c>
      <c r="G106" s="104">
        <v>197.81818181818178</v>
      </c>
      <c r="H106" s="105">
        <v>356.24</v>
      </c>
      <c r="I106" s="106">
        <v>356.24</v>
      </c>
      <c r="J106" s="106">
        <v>356.48318352824168</v>
      </c>
      <c r="K106" s="106">
        <v>369.07880212970406</v>
      </c>
      <c r="L106" s="104">
        <v>378.65457470207451</v>
      </c>
      <c r="M106" s="104">
        <v>387.74669788235178</v>
      </c>
      <c r="N106" s="104">
        <v>401.34179505416324</v>
      </c>
      <c r="O106" s="107" t="s">
        <v>143</v>
      </c>
    </row>
    <row r="107" spans="1:15">
      <c r="A107" s="101" t="s">
        <v>67</v>
      </c>
      <c r="B107" s="101" t="s">
        <v>76</v>
      </c>
      <c r="C107" s="101" t="s">
        <v>76</v>
      </c>
      <c r="D107" s="101" t="s">
        <v>74</v>
      </c>
      <c r="E107" s="102" t="s">
        <v>141</v>
      </c>
      <c r="F107" s="103" t="s">
        <v>142</v>
      </c>
      <c r="G107" s="104">
        <v>264.45454545454544</v>
      </c>
      <c r="H107" s="105">
        <v>445.3</v>
      </c>
      <c r="I107" s="106">
        <v>445.3</v>
      </c>
      <c r="J107" s="106">
        <v>445.60397941030203</v>
      </c>
      <c r="K107" s="106">
        <v>461.34850266213004</v>
      </c>
      <c r="L107" s="104">
        <v>473.31821837759315</v>
      </c>
      <c r="M107" s="104">
        <v>484.68337235293967</v>
      </c>
      <c r="N107" s="104">
        <v>501.67724381770398</v>
      </c>
      <c r="O107" s="107" t="s">
        <v>143</v>
      </c>
    </row>
    <row r="108" spans="1:15">
      <c r="A108" s="101" t="s">
        <v>67</v>
      </c>
      <c r="B108" s="101" t="s">
        <v>76</v>
      </c>
      <c r="C108" s="101" t="s">
        <v>76</v>
      </c>
      <c r="D108" s="101" t="s">
        <v>75</v>
      </c>
      <c r="E108" s="102" t="s">
        <v>141</v>
      </c>
      <c r="F108" s="103" t="s">
        <v>142</v>
      </c>
      <c r="G108" s="104">
        <v>396.63636363636363</v>
      </c>
      <c r="H108" s="105">
        <v>801.54</v>
      </c>
      <c r="I108" s="106">
        <v>801.54</v>
      </c>
      <c r="J108" s="106">
        <v>802.08716293854366</v>
      </c>
      <c r="K108" s="106">
        <v>830.4273047918341</v>
      </c>
      <c r="L108" s="104">
        <v>851.97279307966767</v>
      </c>
      <c r="M108" s="104">
        <v>872.4300702352914</v>
      </c>
      <c r="N108" s="104">
        <v>903.01903887186711</v>
      </c>
      <c r="O108" s="107" t="s">
        <v>143</v>
      </c>
    </row>
    <row r="109" spans="1:15">
      <c r="A109" s="101" t="s">
        <v>67</v>
      </c>
      <c r="B109" s="101" t="s">
        <v>207</v>
      </c>
      <c r="C109" s="101" t="s">
        <v>207</v>
      </c>
      <c r="D109" s="101" t="s">
        <v>219</v>
      </c>
      <c r="E109" s="102" t="s">
        <v>141</v>
      </c>
      <c r="F109" s="103" t="s">
        <v>144</v>
      </c>
      <c r="G109" s="104">
        <v>65.63636363636364</v>
      </c>
      <c r="H109" s="105">
        <v>89.06</v>
      </c>
      <c r="I109" s="106">
        <v>89.06</v>
      </c>
      <c r="J109" s="106">
        <v>89.12079588206042</v>
      </c>
      <c r="K109" s="106">
        <v>92.269700532426015</v>
      </c>
      <c r="L109" s="104">
        <v>94.663643675518628</v>
      </c>
      <c r="M109" s="104">
        <v>96.936674470587946</v>
      </c>
      <c r="N109" s="104">
        <v>100.33544876354081</v>
      </c>
      <c r="O109" s="107" t="s">
        <v>145</v>
      </c>
    </row>
    <row r="110" spans="1:15">
      <c r="A110" s="101" t="s">
        <v>67</v>
      </c>
      <c r="B110" s="101" t="s">
        <v>78</v>
      </c>
      <c r="C110" s="101" t="s">
        <v>78</v>
      </c>
      <c r="D110" s="101" t="s">
        <v>219</v>
      </c>
      <c r="E110" s="102" t="s">
        <v>141</v>
      </c>
      <c r="F110" s="103" t="s">
        <v>144</v>
      </c>
      <c r="G110" s="104">
        <v>65.63636363636364</v>
      </c>
      <c r="H110" s="105">
        <v>89.06</v>
      </c>
      <c r="I110" s="106">
        <v>89.06</v>
      </c>
      <c r="J110" s="106">
        <v>89.12079588206042</v>
      </c>
      <c r="K110" s="106">
        <v>92.269700532426015</v>
      </c>
      <c r="L110" s="104">
        <v>94.663643675518628</v>
      </c>
      <c r="M110" s="104">
        <v>96.936674470587946</v>
      </c>
      <c r="N110" s="104">
        <v>100.33544876354081</v>
      </c>
      <c r="O110" s="107" t="s">
        <v>145</v>
      </c>
    </row>
    <row r="111" spans="1:15">
      <c r="A111" s="101" t="s">
        <v>67</v>
      </c>
      <c r="B111" s="101" t="s">
        <v>79</v>
      </c>
      <c r="C111" s="101" t="s">
        <v>79</v>
      </c>
      <c r="D111" s="101" t="s">
        <v>219</v>
      </c>
      <c r="E111" s="102" t="s">
        <v>141</v>
      </c>
      <c r="F111" s="103" t="s">
        <v>144</v>
      </c>
      <c r="G111" s="104">
        <v>65.63636363636364</v>
      </c>
      <c r="H111" s="105">
        <v>89.06</v>
      </c>
      <c r="I111" s="106">
        <v>89.06</v>
      </c>
      <c r="J111" s="106">
        <v>89.12079588206042</v>
      </c>
      <c r="K111" s="106">
        <v>92.269700532426015</v>
      </c>
      <c r="L111" s="104">
        <v>94.663643675518628</v>
      </c>
      <c r="M111" s="104">
        <v>96.936674470587946</v>
      </c>
      <c r="N111" s="104">
        <v>100.33544876354081</v>
      </c>
      <c r="O111" s="107" t="s">
        <v>145</v>
      </c>
    </row>
    <row r="112" spans="1:15">
      <c r="A112" s="101" t="s">
        <v>67</v>
      </c>
      <c r="B112" s="101" t="s">
        <v>220</v>
      </c>
      <c r="C112" s="101" t="s">
        <v>220</v>
      </c>
      <c r="D112" s="101" t="s">
        <v>221</v>
      </c>
      <c r="E112" s="102" t="s">
        <v>141</v>
      </c>
      <c r="F112" s="103" t="s">
        <v>142</v>
      </c>
      <c r="G112" s="104" t="s">
        <v>146</v>
      </c>
      <c r="H112" s="105">
        <v>106.87</v>
      </c>
      <c r="I112" s="106">
        <v>106.87</v>
      </c>
      <c r="J112" s="106">
        <v>106.94295369319332</v>
      </c>
      <c r="K112" s="106">
        <v>110.7215685594023</v>
      </c>
      <c r="L112" s="104">
        <v>113.59424657088118</v>
      </c>
      <c r="M112" s="104">
        <v>116.32183248003295</v>
      </c>
      <c r="N112" s="104">
        <v>120.40028530608137</v>
      </c>
      <c r="O112" s="107" t="s">
        <v>143</v>
      </c>
    </row>
    <row r="113" spans="1:15">
      <c r="A113" s="101" t="s">
        <v>67</v>
      </c>
      <c r="B113" s="101" t="s">
        <v>330</v>
      </c>
      <c r="C113" s="101" t="s">
        <v>330</v>
      </c>
      <c r="D113" s="101" t="s">
        <v>219</v>
      </c>
      <c r="E113" s="102" t="s">
        <v>141</v>
      </c>
      <c r="F113" s="103" t="s">
        <v>144</v>
      </c>
      <c r="G113" s="104" t="s">
        <v>146</v>
      </c>
      <c r="H113" s="105">
        <v>89.06</v>
      </c>
      <c r="I113" s="106">
        <v>89.06</v>
      </c>
      <c r="J113" s="106">
        <v>89.12079588206042</v>
      </c>
      <c r="K113" s="106">
        <v>92.269700532426015</v>
      </c>
      <c r="L113" s="104">
        <v>94.663643675518628</v>
      </c>
      <c r="M113" s="104">
        <v>96.936674470587946</v>
      </c>
      <c r="N113" s="104">
        <v>100.33544876354081</v>
      </c>
      <c r="O113" s="107" t="s">
        <v>145</v>
      </c>
    </row>
    <row r="114" spans="1:15">
      <c r="A114" s="101" t="s">
        <v>222</v>
      </c>
      <c r="B114" s="101" t="s">
        <v>223</v>
      </c>
      <c r="C114" s="101"/>
      <c r="D114" s="101"/>
      <c r="E114" s="102" t="s">
        <v>224</v>
      </c>
      <c r="F114" s="122" t="s">
        <v>142</v>
      </c>
      <c r="G114" s="123">
        <v>37.909090909090907</v>
      </c>
      <c r="H114" s="124">
        <v>29.64</v>
      </c>
      <c r="I114" s="121">
        <v>29.64</v>
      </c>
      <c r="J114" s="106">
        <v>29.660233437505848</v>
      </c>
      <c r="K114" s="106">
        <v>30.708218322267093</v>
      </c>
      <c r="L114" s="104">
        <v>31.504944964544944</v>
      </c>
      <c r="M114" s="104">
        <v>32.26143084783547</v>
      </c>
      <c r="N114" s="104">
        <v>33.392574683936111</v>
      </c>
      <c r="O114" s="107" t="s">
        <v>143</v>
      </c>
    </row>
    <row r="115" spans="1:15">
      <c r="A115" s="101" t="s">
        <v>222</v>
      </c>
      <c r="B115" s="101" t="s">
        <v>225</v>
      </c>
      <c r="C115" s="101"/>
      <c r="D115" s="101"/>
      <c r="E115" s="102" t="s">
        <v>224</v>
      </c>
      <c r="F115" s="122" t="s">
        <v>142</v>
      </c>
      <c r="G115" s="123">
        <v>74.818181818181813</v>
      </c>
      <c r="H115" s="124">
        <v>230.33</v>
      </c>
      <c r="I115" s="121">
        <v>230.33</v>
      </c>
      <c r="J115" s="106">
        <v>230.48723237721734</v>
      </c>
      <c r="K115" s="106">
        <v>238.63103664533668</v>
      </c>
      <c r="L115" s="104">
        <v>244.82233379499448</v>
      </c>
      <c r="M115" s="104">
        <v>250.70092331922885</v>
      </c>
      <c r="N115" s="104">
        <v>259.49094895246299</v>
      </c>
      <c r="O115" s="107" t="s">
        <v>143</v>
      </c>
    </row>
    <row r="116" spans="1:15">
      <c r="A116" s="101" t="s">
        <v>226</v>
      </c>
      <c r="B116" s="101"/>
      <c r="C116" s="101"/>
      <c r="D116" s="101"/>
      <c r="E116" s="102" t="s">
        <v>141</v>
      </c>
      <c r="F116" s="103" t="s">
        <v>144</v>
      </c>
      <c r="G116" s="104" t="s">
        <v>146</v>
      </c>
      <c r="H116" s="105">
        <v>199.83</v>
      </c>
      <c r="I116" s="106">
        <v>199.83</v>
      </c>
      <c r="J116" s="106">
        <v>199.96641186966238</v>
      </c>
      <c r="K116" s="106">
        <v>207.03182413423184</v>
      </c>
      <c r="L116" s="104">
        <v>212.40327774173463</v>
      </c>
      <c r="M116" s="104">
        <v>217.50343206217815</v>
      </c>
      <c r="N116" s="104">
        <v>225.12949389645581</v>
      </c>
      <c r="O116" s="107" t="s">
        <v>145</v>
      </c>
    </row>
    <row r="117" spans="1:15">
      <c r="A117" s="101" t="s">
        <v>227</v>
      </c>
      <c r="B117" s="101"/>
      <c r="C117" s="101"/>
      <c r="D117" s="101"/>
      <c r="E117" s="102" t="s">
        <v>141</v>
      </c>
      <c r="F117" s="103" t="s">
        <v>144</v>
      </c>
      <c r="G117" s="104" t="s">
        <v>146</v>
      </c>
      <c r="H117" s="105">
        <v>202.06</v>
      </c>
      <c r="I117" s="106">
        <v>202.06</v>
      </c>
      <c r="J117" s="106">
        <v>202.19793415595245</v>
      </c>
      <c r="K117" s="106">
        <v>209.34219278668311</v>
      </c>
      <c r="L117" s="104">
        <v>214.7735890531697</v>
      </c>
      <c r="M117" s="104">
        <v>219.93065847211992</v>
      </c>
      <c r="N117" s="104">
        <v>227.64182323333767</v>
      </c>
      <c r="O117" s="107" t="s">
        <v>145</v>
      </c>
    </row>
    <row r="118" spans="1:15">
      <c r="A118" s="101" t="s">
        <v>228</v>
      </c>
      <c r="B118" s="101" t="s">
        <v>229</v>
      </c>
      <c r="C118" s="101"/>
      <c r="D118" s="101"/>
      <c r="E118" s="102" t="s">
        <v>141</v>
      </c>
      <c r="F118" s="103" t="s">
        <v>142</v>
      </c>
      <c r="G118" s="104" t="s">
        <v>146</v>
      </c>
      <c r="H118" s="105">
        <v>7.42</v>
      </c>
      <c r="I118" s="106">
        <v>7.42</v>
      </c>
      <c r="J118" s="106">
        <v>7.4250651857723806</v>
      </c>
      <c r="K118" s="106">
        <v>7.6874149781113967</v>
      </c>
      <c r="L118" s="104">
        <v>7.8868654398422215</v>
      </c>
      <c r="M118" s="104">
        <v>8.0762421353218343</v>
      </c>
      <c r="N118" s="104">
        <v>8.3594097218220611</v>
      </c>
      <c r="O118" s="107" t="s">
        <v>143</v>
      </c>
    </row>
    <row r="119" spans="1:15">
      <c r="A119" s="101" t="s">
        <v>228</v>
      </c>
      <c r="B119" s="101" t="s">
        <v>230</v>
      </c>
      <c r="C119" s="101"/>
      <c r="D119" s="101"/>
      <c r="E119" s="102" t="s">
        <v>141</v>
      </c>
      <c r="F119" s="103" t="s">
        <v>142</v>
      </c>
      <c r="G119" s="104" t="s">
        <v>146</v>
      </c>
      <c r="H119" s="105">
        <v>188.7</v>
      </c>
      <c r="I119" s="106">
        <v>188.7</v>
      </c>
      <c r="J119" s="106">
        <v>188.82881409100381</v>
      </c>
      <c r="K119" s="106">
        <v>195.50070166706476</v>
      </c>
      <c r="L119" s="104">
        <v>200.57297958197131</v>
      </c>
      <c r="M119" s="104">
        <v>205.38906885919542</v>
      </c>
      <c r="N119" s="104">
        <v>212.59037931372276</v>
      </c>
      <c r="O119" s="107" t="s">
        <v>143</v>
      </c>
    </row>
    <row r="120" spans="1:15">
      <c r="A120" s="101" t="s">
        <v>228</v>
      </c>
      <c r="B120" s="101" t="s">
        <v>231</v>
      </c>
      <c r="C120" s="101"/>
      <c r="D120" s="101"/>
      <c r="E120" s="102" t="s">
        <v>141</v>
      </c>
      <c r="F120" s="103" t="s">
        <v>142</v>
      </c>
      <c r="G120" s="104" t="s">
        <v>146</v>
      </c>
      <c r="H120" s="105">
        <v>188.7</v>
      </c>
      <c r="I120" s="106">
        <v>188.7</v>
      </c>
      <c r="J120" s="106">
        <v>188.82881409100381</v>
      </c>
      <c r="K120" s="106">
        <v>195.50070166706476</v>
      </c>
      <c r="L120" s="104">
        <v>200.57297958197131</v>
      </c>
      <c r="M120" s="104">
        <v>205.38906885919542</v>
      </c>
      <c r="N120" s="104">
        <v>212.59037931372276</v>
      </c>
      <c r="O120" s="107" t="s">
        <v>143</v>
      </c>
    </row>
    <row r="121" spans="1:15">
      <c r="A121" s="101" t="s">
        <v>228</v>
      </c>
      <c r="B121" s="101" t="s">
        <v>232</v>
      </c>
      <c r="C121" s="101"/>
      <c r="D121" s="101"/>
      <c r="E121" s="102" t="s">
        <v>141</v>
      </c>
      <c r="F121" s="103" t="s">
        <v>142</v>
      </c>
      <c r="G121" s="104" t="s">
        <v>146</v>
      </c>
      <c r="H121" s="105">
        <v>241.33</v>
      </c>
      <c r="I121" s="106">
        <v>241.33</v>
      </c>
      <c r="J121" s="106">
        <v>241.49474141272893</v>
      </c>
      <c r="K121" s="106">
        <v>250.0274739444236</v>
      </c>
      <c r="L121" s="104">
        <v>256.51445237157992</v>
      </c>
      <c r="M121" s="104">
        <v>262.67378901849298</v>
      </c>
      <c r="N121" s="104">
        <v>271.88360487430157</v>
      </c>
      <c r="O121" s="107" t="s">
        <v>143</v>
      </c>
    </row>
    <row r="122" spans="1:15">
      <c r="A122" s="101" t="s">
        <v>228</v>
      </c>
      <c r="B122" s="101" t="s">
        <v>233</v>
      </c>
      <c r="C122" s="101"/>
      <c r="D122" s="101"/>
      <c r="E122" s="102" t="s">
        <v>141</v>
      </c>
      <c r="F122" s="103" t="s">
        <v>144</v>
      </c>
      <c r="G122" s="104" t="s">
        <v>146</v>
      </c>
      <c r="H122" s="105">
        <v>210.96</v>
      </c>
      <c r="I122" s="106">
        <v>210.96</v>
      </c>
      <c r="J122" s="106">
        <v>211.10400964832095</v>
      </c>
      <c r="K122" s="106">
        <v>218.56294660139895</v>
      </c>
      <c r="L122" s="104">
        <v>224.23357590149797</v>
      </c>
      <c r="M122" s="104">
        <v>229.61779526516091</v>
      </c>
      <c r="N122" s="104">
        <v>237.66860847918892</v>
      </c>
      <c r="O122" s="107" t="s">
        <v>145</v>
      </c>
    </row>
    <row r="123" spans="1:15">
      <c r="A123" s="101" t="s">
        <v>234</v>
      </c>
      <c r="B123" s="101" t="s">
        <v>235</v>
      </c>
      <c r="C123" s="101"/>
      <c r="D123" s="101"/>
      <c r="E123" s="102" t="s">
        <v>236</v>
      </c>
      <c r="F123" s="103" t="s">
        <v>142</v>
      </c>
      <c r="G123" s="104">
        <v>226.5454545454545</v>
      </c>
      <c r="H123" s="105">
        <v>749.78</v>
      </c>
      <c r="I123" s="106">
        <v>749.78</v>
      </c>
      <c r="J123" s="106">
        <v>750.29182951326356</v>
      </c>
      <c r="K123" s="106">
        <v>776.80188710085747</v>
      </c>
      <c r="L123" s="104">
        <v>796.95606057747978</v>
      </c>
      <c r="M123" s="104">
        <v>816.09229490857194</v>
      </c>
      <c r="N123" s="104">
        <v>844.70595973419722</v>
      </c>
      <c r="O123" s="107" t="s">
        <v>143</v>
      </c>
    </row>
    <row r="124" spans="1:15">
      <c r="A124" s="101" t="s">
        <v>234</v>
      </c>
      <c r="B124" s="101" t="s">
        <v>237</v>
      </c>
      <c r="C124" s="101"/>
      <c r="D124" s="101"/>
      <c r="E124" s="102" t="s">
        <v>238</v>
      </c>
      <c r="F124" s="103" t="s">
        <v>144</v>
      </c>
      <c r="G124" s="104" t="s">
        <v>146</v>
      </c>
      <c r="H124" s="105">
        <v>264.79000000000002</v>
      </c>
      <c r="I124" s="106">
        <v>264.79000000000002</v>
      </c>
      <c r="J124" s="106">
        <v>264.97075613755646</v>
      </c>
      <c r="K124" s="106">
        <v>274.3329665841128</v>
      </c>
      <c r="L124" s="104">
        <v>281.45055253582507</v>
      </c>
      <c r="M124" s="104">
        <v>288.20864622801463</v>
      </c>
      <c r="N124" s="104">
        <v>298.31376014033202</v>
      </c>
      <c r="O124" s="107" t="s">
        <v>145</v>
      </c>
    </row>
    <row r="125" spans="1:15">
      <c r="A125" s="101" t="s">
        <v>234</v>
      </c>
      <c r="B125" s="101" t="s">
        <v>239</v>
      </c>
      <c r="C125" s="101"/>
      <c r="D125" s="101"/>
      <c r="E125" s="102" t="s">
        <v>240</v>
      </c>
      <c r="F125" s="103" t="s">
        <v>144</v>
      </c>
      <c r="G125" s="104" t="s">
        <v>146</v>
      </c>
      <c r="H125" s="105">
        <v>132.4</v>
      </c>
      <c r="I125" s="106">
        <v>132.4</v>
      </c>
      <c r="J125" s="106">
        <v>132.49038148197619</v>
      </c>
      <c r="K125" s="106">
        <v>137.17166349082871</v>
      </c>
      <c r="L125" s="104">
        <v>140.73059086726553</v>
      </c>
      <c r="M125" s="104">
        <v>144.10976532568881</v>
      </c>
      <c r="N125" s="104">
        <v>149.16251309558504</v>
      </c>
      <c r="O125" s="107" t="s">
        <v>241</v>
      </c>
    </row>
    <row r="126" spans="1:15">
      <c r="A126" s="101" t="s">
        <v>234</v>
      </c>
      <c r="B126" s="101" t="s">
        <v>242</v>
      </c>
      <c r="C126" s="101"/>
      <c r="D126" s="101"/>
      <c r="E126" s="102" t="s">
        <v>141</v>
      </c>
      <c r="F126" s="103" t="s">
        <v>144</v>
      </c>
      <c r="G126" s="104" t="s">
        <v>146</v>
      </c>
      <c r="H126" s="105">
        <v>135</v>
      </c>
      <c r="I126" s="106">
        <v>135</v>
      </c>
      <c r="J126" s="106">
        <v>135.09215634491531</v>
      </c>
      <c r="K126" s="106">
        <v>139.86536685243109</v>
      </c>
      <c r="L126" s="104">
        <v>143.49418253082212</v>
      </c>
      <c r="M126" s="104">
        <v>146.93971540006035</v>
      </c>
      <c r="N126" s="104">
        <v>152.09168631347416</v>
      </c>
      <c r="O126" s="107" t="s">
        <v>145</v>
      </c>
    </row>
    <row r="127" spans="1:15">
      <c r="A127" s="101" t="s">
        <v>243</v>
      </c>
      <c r="B127" s="101" t="s">
        <v>243</v>
      </c>
      <c r="C127" s="101"/>
      <c r="D127" s="101"/>
      <c r="E127" s="102" t="s">
        <v>141</v>
      </c>
      <c r="F127" s="103" t="s">
        <v>142</v>
      </c>
      <c r="G127" s="104" t="s">
        <v>146</v>
      </c>
      <c r="H127" s="105">
        <v>202.06</v>
      </c>
      <c r="I127" s="106">
        <v>202.06</v>
      </c>
      <c r="J127" s="106">
        <v>202.19793415595245</v>
      </c>
      <c r="K127" s="106">
        <v>209.34219278668311</v>
      </c>
      <c r="L127" s="104">
        <v>214.7735890531697</v>
      </c>
      <c r="M127" s="104">
        <v>219.93065847211992</v>
      </c>
      <c r="N127" s="104">
        <v>227.64182323333767</v>
      </c>
      <c r="O127" s="107" t="s">
        <v>143</v>
      </c>
    </row>
    <row r="128" spans="1:15">
      <c r="A128" s="101" t="s">
        <v>244</v>
      </c>
      <c r="B128" s="101" t="s">
        <v>245</v>
      </c>
      <c r="C128" s="101"/>
      <c r="D128" s="101"/>
      <c r="E128" s="102" t="s">
        <v>141</v>
      </c>
      <c r="F128" s="103" t="s">
        <v>142</v>
      </c>
      <c r="G128" s="104" t="s">
        <v>146</v>
      </c>
      <c r="H128" s="105">
        <v>5177.6400000000003</v>
      </c>
      <c r="I128" s="106">
        <v>5177.6400000000003</v>
      </c>
      <c r="J128" s="106">
        <v>5181.1744620569425</v>
      </c>
      <c r="K128" s="106">
        <v>5345.9321839311706</v>
      </c>
      <c r="L128" s="104">
        <v>5484.632728327786</v>
      </c>
      <c r="M128" s="104">
        <v>5616.3278396407068</v>
      </c>
      <c r="N128" s="104">
        <v>5813.2464030886213</v>
      </c>
      <c r="O128" s="107" t="s">
        <v>246</v>
      </c>
    </row>
    <row r="129" spans="1:15">
      <c r="A129" s="101" t="s">
        <v>244</v>
      </c>
      <c r="B129" s="101" t="s">
        <v>247</v>
      </c>
      <c r="C129" s="101"/>
      <c r="D129" s="101"/>
      <c r="E129" s="102" t="s">
        <v>141</v>
      </c>
      <c r="F129" s="103" t="s">
        <v>142</v>
      </c>
      <c r="G129" s="104" t="s">
        <v>146</v>
      </c>
      <c r="H129" s="105">
        <v>2579.39</v>
      </c>
      <c r="I129" s="106">
        <v>2579.39</v>
      </c>
      <c r="J129" s="106">
        <v>2581.1507937371189</v>
      </c>
      <c r="K129" s="106">
        <v>2670.7645497223302</v>
      </c>
      <c r="L129" s="104">
        <v>2740.0577027696381</v>
      </c>
      <c r="M129" s="104">
        <v>2805.8510242269335</v>
      </c>
      <c r="N129" s="104">
        <v>2904.2292116681733</v>
      </c>
      <c r="O129" s="107" t="s">
        <v>246</v>
      </c>
    </row>
    <row r="130" spans="1:15">
      <c r="A130" s="101" t="s">
        <v>244</v>
      </c>
      <c r="B130" s="101" t="s">
        <v>248</v>
      </c>
      <c r="C130" s="101"/>
      <c r="D130" s="101"/>
      <c r="E130" s="102" t="s">
        <v>141</v>
      </c>
      <c r="F130" s="103" t="s">
        <v>142</v>
      </c>
      <c r="G130" s="104" t="s">
        <v>146</v>
      </c>
      <c r="H130" s="105">
        <v>1862.37</v>
      </c>
      <c r="I130" s="106">
        <v>1862.37</v>
      </c>
      <c r="J130" s="106">
        <v>1863.6413274968879</v>
      </c>
      <c r="K130" s="106">
        <v>1928.0119678771377</v>
      </c>
      <c r="L130" s="104">
        <v>1978.0343587992581</v>
      </c>
      <c r="M130" s="104">
        <v>2025.5302382803757</v>
      </c>
      <c r="N130" s="104">
        <v>2096.5489743889143</v>
      </c>
      <c r="O130" s="107" t="s">
        <v>246</v>
      </c>
    </row>
    <row r="131" spans="1:15">
      <c r="A131" s="101" t="s">
        <v>244</v>
      </c>
      <c r="B131" s="101" t="s">
        <v>249</v>
      </c>
      <c r="C131" s="101"/>
      <c r="D131" s="101"/>
      <c r="E131" s="102" t="s">
        <v>141</v>
      </c>
      <c r="F131" s="103" t="s">
        <v>142</v>
      </c>
      <c r="G131" s="104" t="s">
        <v>146</v>
      </c>
      <c r="H131" s="105">
        <v>2584.7399999999998</v>
      </c>
      <c r="I131" s="106">
        <v>2584.7399999999998</v>
      </c>
      <c r="J131" s="106">
        <v>2586.5044458589355</v>
      </c>
      <c r="K131" s="106">
        <v>2675.7842506925231</v>
      </c>
      <c r="L131" s="104">
        <v>2745.2076401950117</v>
      </c>
      <c r="M131" s="104">
        <v>2811.1246201753265</v>
      </c>
      <c r="N131" s="104">
        <v>2909.6877093829899</v>
      </c>
      <c r="O131" s="107" t="s">
        <v>246</v>
      </c>
    </row>
    <row r="132" spans="1:15">
      <c r="A132" s="101" t="s">
        <v>244</v>
      </c>
      <c r="B132" s="101" t="s">
        <v>250</v>
      </c>
      <c r="C132" s="101"/>
      <c r="D132" s="101"/>
      <c r="E132" s="102" t="s">
        <v>141</v>
      </c>
      <c r="F132" s="103" t="s">
        <v>142</v>
      </c>
      <c r="G132" s="104" t="s">
        <v>146</v>
      </c>
      <c r="H132" s="105">
        <v>2021.03</v>
      </c>
      <c r="I132" s="106">
        <v>2021.03</v>
      </c>
      <c r="J132" s="106">
        <v>2022.409635094549</v>
      </c>
      <c r="K132" s="106">
        <v>2093.5001921877952</v>
      </c>
      <c r="L132" s="104">
        <v>2147.8161854253567</v>
      </c>
      <c r="M132" s="104">
        <v>2199.3888076281792</v>
      </c>
      <c r="N132" s="104">
        <v>2276.5033381234766</v>
      </c>
      <c r="O132" s="107" t="s">
        <v>246</v>
      </c>
    </row>
    <row r="133" spans="1:15">
      <c r="A133" s="101" t="s">
        <v>251</v>
      </c>
      <c r="B133" s="101"/>
      <c r="C133" s="101"/>
      <c r="D133" s="101"/>
      <c r="E133" s="102" t="s">
        <v>141</v>
      </c>
      <c r="F133" s="103" t="s">
        <v>144</v>
      </c>
      <c r="G133" s="104" t="s">
        <v>146</v>
      </c>
      <c r="H133" s="105">
        <v>210.96</v>
      </c>
      <c r="I133" s="106">
        <v>210.96</v>
      </c>
      <c r="J133" s="106">
        <v>211.10400964832095</v>
      </c>
      <c r="K133" s="106">
        <v>218.56294660139895</v>
      </c>
      <c r="L133" s="104">
        <v>224.23357590149797</v>
      </c>
      <c r="M133" s="104">
        <v>229.61779526516091</v>
      </c>
      <c r="N133" s="104">
        <v>237.66860847918892</v>
      </c>
      <c r="O133" s="107" t="s">
        <v>145</v>
      </c>
    </row>
    <row r="134" spans="1:15">
      <c r="A134" s="101" t="s">
        <v>252</v>
      </c>
      <c r="B134" s="101"/>
      <c r="C134" s="101"/>
      <c r="D134" s="101"/>
      <c r="E134" s="102" t="s">
        <v>141</v>
      </c>
      <c r="F134" s="103" t="s">
        <v>144</v>
      </c>
      <c r="G134" s="104" t="s">
        <v>146</v>
      </c>
      <c r="H134" s="105">
        <v>210.96</v>
      </c>
      <c r="I134" s="106">
        <v>210.96</v>
      </c>
      <c r="J134" s="106">
        <v>211.10400964832095</v>
      </c>
      <c r="K134" s="106">
        <v>218.56294660139895</v>
      </c>
      <c r="L134" s="104">
        <v>224.23357590149797</v>
      </c>
      <c r="M134" s="104">
        <v>229.61779526516091</v>
      </c>
      <c r="N134" s="104">
        <v>237.66860847918892</v>
      </c>
      <c r="O134" s="107" t="s">
        <v>253</v>
      </c>
    </row>
    <row r="135" spans="1:15">
      <c r="A135" s="101" t="s">
        <v>254</v>
      </c>
      <c r="B135" s="101"/>
      <c r="C135" s="101"/>
      <c r="D135" s="101"/>
      <c r="E135" s="102" t="s">
        <v>255</v>
      </c>
      <c r="F135" s="103" t="s">
        <v>144</v>
      </c>
      <c r="G135" s="104" t="s">
        <v>146</v>
      </c>
      <c r="H135" s="105">
        <v>210.96</v>
      </c>
      <c r="I135" s="106">
        <v>210.96</v>
      </c>
      <c r="J135" s="106">
        <v>211.10400964832095</v>
      </c>
      <c r="K135" s="106">
        <v>218.56294660139895</v>
      </c>
      <c r="L135" s="104">
        <v>224.23357590149797</v>
      </c>
      <c r="M135" s="104">
        <v>229.61779526516091</v>
      </c>
      <c r="N135" s="104">
        <v>237.66860847918892</v>
      </c>
      <c r="O135" s="107" t="s">
        <v>145</v>
      </c>
    </row>
    <row r="136" spans="1:15">
      <c r="A136" s="101" t="s">
        <v>256</v>
      </c>
      <c r="B136" s="101" t="s">
        <v>98</v>
      </c>
      <c r="C136" s="101"/>
      <c r="D136" s="101"/>
      <c r="E136" s="102"/>
      <c r="F136" s="103" t="s">
        <v>142</v>
      </c>
      <c r="G136" s="101"/>
      <c r="H136" s="105">
        <v>52.4</v>
      </c>
      <c r="I136" s="106">
        <v>52.4</v>
      </c>
      <c r="J136" s="106">
        <v>52.435770314618971</v>
      </c>
      <c r="K136" s="106">
        <v>54.288483133832507</v>
      </c>
      <c r="L136" s="104">
        <v>55.697001219370947</v>
      </c>
      <c r="M136" s="104">
        <v>57.034378421949341</v>
      </c>
      <c r="N136" s="104">
        <v>59.034106391304036</v>
      </c>
      <c r="O136" s="107" t="s">
        <v>143</v>
      </c>
    </row>
    <row r="137" spans="1:15">
      <c r="A137" s="101" t="s">
        <v>256</v>
      </c>
      <c r="B137" s="101" t="s">
        <v>99</v>
      </c>
      <c r="C137" s="101"/>
      <c r="D137" s="101"/>
      <c r="E137" s="102"/>
      <c r="F137" s="103" t="s">
        <v>142</v>
      </c>
      <c r="G137" s="101"/>
      <c r="H137" s="105">
        <v>9.69</v>
      </c>
      <c r="I137" s="106">
        <v>9.69</v>
      </c>
      <c r="J137" s="106">
        <v>9.6966147776461415</v>
      </c>
      <c r="K137" s="106">
        <v>10.039225220741164</v>
      </c>
      <c r="L137" s="104">
        <v>10.29969354610123</v>
      </c>
      <c r="M137" s="104">
        <v>10.54700623871544</v>
      </c>
      <c r="N137" s="104">
        <v>10.916803262056032</v>
      </c>
      <c r="O137" s="107" t="s">
        <v>143</v>
      </c>
    </row>
    <row r="138" spans="1:15">
      <c r="A138" s="101" t="s">
        <v>256</v>
      </c>
      <c r="B138" s="101" t="s">
        <v>100</v>
      </c>
      <c r="C138" s="101"/>
      <c r="D138" s="101"/>
      <c r="E138" s="102"/>
      <c r="F138" s="103" t="s">
        <v>142</v>
      </c>
      <c r="G138" s="101"/>
      <c r="H138" s="105">
        <v>548.30999999999995</v>
      </c>
      <c r="I138" s="106">
        <v>548.30999999999995</v>
      </c>
      <c r="J138" s="106">
        <v>548.68429811467036</v>
      </c>
      <c r="K138" s="106">
        <v>568.07095776930726</v>
      </c>
      <c r="L138" s="104">
        <v>582.80959424796333</v>
      </c>
      <c r="M138" s="104">
        <v>596.80381741486713</v>
      </c>
      <c r="N138" s="104">
        <v>617.72883350030372</v>
      </c>
      <c r="O138" s="107" t="s">
        <v>143</v>
      </c>
    </row>
    <row r="139" spans="1:15">
      <c r="A139" s="101" t="s">
        <v>256</v>
      </c>
      <c r="B139" s="101" t="s">
        <v>101</v>
      </c>
      <c r="C139" s="101"/>
      <c r="D139" s="101"/>
      <c r="E139" s="102"/>
      <c r="F139" s="103" t="s">
        <v>144</v>
      </c>
      <c r="G139" s="101"/>
      <c r="H139" s="105" t="s">
        <v>304</v>
      </c>
      <c r="I139" s="106">
        <v>0</v>
      </c>
      <c r="J139" s="106">
        <v>0</v>
      </c>
      <c r="K139" s="106">
        <v>0</v>
      </c>
      <c r="L139" s="104">
        <v>0</v>
      </c>
      <c r="M139" s="104">
        <v>0</v>
      </c>
      <c r="N139" s="104">
        <v>0</v>
      </c>
      <c r="O139" s="107" t="s">
        <v>145</v>
      </c>
    </row>
    <row r="140" spans="1:15">
      <c r="A140" s="101" t="s">
        <v>256</v>
      </c>
      <c r="B140" s="101" t="s">
        <v>102</v>
      </c>
      <c r="C140" s="101"/>
      <c r="D140" s="101"/>
      <c r="E140" s="102"/>
      <c r="F140" s="103" t="s">
        <v>142</v>
      </c>
      <c r="G140" s="101"/>
      <c r="H140" s="105">
        <v>13.83</v>
      </c>
      <c r="I140" s="106">
        <v>13.83</v>
      </c>
      <c r="J140" s="106">
        <v>13.839440905556877</v>
      </c>
      <c r="K140" s="106">
        <v>14.328429804215716</v>
      </c>
      <c r="L140" s="104">
        <v>14.700181810379775</v>
      </c>
      <c r="M140" s="104">
        <v>15.053157510983958</v>
      </c>
      <c r="N140" s="104">
        <v>15.580948309002574</v>
      </c>
      <c r="O140" s="107" t="s">
        <v>143</v>
      </c>
    </row>
    <row r="141" spans="1:15">
      <c r="A141" s="101" t="s">
        <v>256</v>
      </c>
      <c r="B141" s="101" t="s">
        <v>103</v>
      </c>
      <c r="C141" s="101"/>
      <c r="D141" s="101"/>
      <c r="E141" s="102"/>
      <c r="F141" s="103" t="s">
        <v>142</v>
      </c>
      <c r="G141" s="101"/>
      <c r="H141" s="105">
        <v>156.78</v>
      </c>
      <c r="I141" s="106">
        <v>156.78</v>
      </c>
      <c r="J141" s="106">
        <v>156.8870242352283</v>
      </c>
      <c r="K141" s="106">
        <v>162.4303127046233</v>
      </c>
      <c r="L141" s="104">
        <v>166.64457731246139</v>
      </c>
      <c r="M141" s="104">
        <v>170.6459894846034</v>
      </c>
      <c r="N141" s="104">
        <v>176.62914503871468</v>
      </c>
      <c r="O141" s="107" t="s">
        <v>143</v>
      </c>
    </row>
    <row r="142" spans="1:15">
      <c r="A142" s="101" t="s">
        <v>256</v>
      </c>
      <c r="B142" s="101" t="s">
        <v>104</v>
      </c>
      <c r="C142" s="101"/>
      <c r="D142" s="101"/>
      <c r="E142" s="102"/>
      <c r="F142" s="103" t="s">
        <v>142</v>
      </c>
      <c r="G142" s="101"/>
      <c r="H142" s="105">
        <v>198.39</v>
      </c>
      <c r="I142" s="106">
        <v>198.39</v>
      </c>
      <c r="J142" s="106">
        <v>198.52542886864995</v>
      </c>
      <c r="K142" s="106">
        <v>205.53992688780593</v>
      </c>
      <c r="L142" s="104">
        <v>210.87267312807256</v>
      </c>
      <c r="M142" s="104">
        <v>215.9360750979109</v>
      </c>
      <c r="N142" s="104">
        <v>223.50718257577884</v>
      </c>
      <c r="O142" s="107" t="s">
        <v>143</v>
      </c>
    </row>
    <row r="143" spans="1:15">
      <c r="A143" s="101" t="s">
        <v>256</v>
      </c>
      <c r="B143" s="101" t="s">
        <v>105</v>
      </c>
      <c r="C143" s="101"/>
      <c r="D143" s="101"/>
      <c r="E143" s="102"/>
      <c r="F143" s="103" t="s">
        <v>142</v>
      </c>
      <c r="G143" s="101"/>
      <c r="H143" s="105">
        <v>41.89</v>
      </c>
      <c r="I143" s="106">
        <v>41.89</v>
      </c>
      <c r="J143" s="106">
        <v>41.918595772507423</v>
      </c>
      <c r="K143" s="106">
        <v>43.39970531443214</v>
      </c>
      <c r="L143" s="104">
        <v>44.5257133793788</v>
      </c>
      <c r="M143" s="104">
        <v>45.594849467470574</v>
      </c>
      <c r="N143" s="104">
        <v>47.193486960529128</v>
      </c>
      <c r="O143" s="107" t="s">
        <v>143</v>
      </c>
    </row>
    <row r="144" spans="1:15">
      <c r="A144" s="101" t="s">
        <v>256</v>
      </c>
      <c r="B144" s="101" t="s">
        <v>106</v>
      </c>
      <c r="C144" s="101"/>
      <c r="D144" s="101"/>
      <c r="E144" s="102"/>
      <c r="F144" s="103" t="s">
        <v>142</v>
      </c>
      <c r="G144" s="101"/>
      <c r="H144" s="105">
        <v>138.66999999999999</v>
      </c>
      <c r="I144" s="106">
        <v>138.66999999999999</v>
      </c>
      <c r="J144" s="106">
        <v>138.76466163221778</v>
      </c>
      <c r="K144" s="106">
        <v>143.66763275130825</v>
      </c>
      <c r="L144" s="104">
        <v>147.39509845591922</v>
      </c>
      <c r="M144" s="104">
        <v>150.93429877426934</v>
      </c>
      <c r="N144" s="104">
        <v>156.22632697103302</v>
      </c>
      <c r="O144" s="107" t="s">
        <v>143</v>
      </c>
    </row>
    <row r="145" spans="1:15">
      <c r="A145" s="101" t="s">
        <v>256</v>
      </c>
      <c r="B145" s="101" t="s">
        <v>107</v>
      </c>
      <c r="C145" s="101"/>
      <c r="D145" s="101"/>
      <c r="E145" s="102"/>
      <c r="F145" s="103" t="s">
        <v>142</v>
      </c>
      <c r="G145" s="101"/>
      <c r="H145" s="105">
        <v>233.2</v>
      </c>
      <c r="I145" s="106">
        <v>233.2</v>
      </c>
      <c r="J145" s="106">
        <v>233.35919155284626</v>
      </c>
      <c r="K145" s="106">
        <v>241.60447074064388</v>
      </c>
      <c r="L145" s="104">
        <v>247.87291382361266</v>
      </c>
      <c r="M145" s="104">
        <v>253.82475282440049</v>
      </c>
      <c r="N145" s="104">
        <v>262.72430554297904</v>
      </c>
      <c r="O145" s="107" t="s">
        <v>143</v>
      </c>
    </row>
    <row r="146" spans="1:15">
      <c r="A146" s="101" t="s">
        <v>256</v>
      </c>
      <c r="B146" s="101" t="s">
        <v>108</v>
      </c>
      <c r="C146" s="101"/>
      <c r="D146" s="101"/>
      <c r="E146" s="102"/>
      <c r="F146" s="103" t="s">
        <v>142</v>
      </c>
      <c r="G146" s="101"/>
      <c r="H146" s="105">
        <v>370.44</v>
      </c>
      <c r="I146" s="106">
        <v>370.44</v>
      </c>
      <c r="J146" s="106">
        <v>370.69287701044755</v>
      </c>
      <c r="K146" s="106">
        <v>383.79056664307092</v>
      </c>
      <c r="L146" s="104">
        <v>393.74803686457591</v>
      </c>
      <c r="M146" s="104">
        <v>403.2025790577656</v>
      </c>
      <c r="N146" s="104">
        <v>417.33958724417312</v>
      </c>
      <c r="O146" s="107" t="s">
        <v>143</v>
      </c>
    </row>
    <row r="147" spans="1:15">
      <c r="A147" s="101" t="s">
        <v>256</v>
      </c>
      <c r="B147" s="101" t="s">
        <v>109</v>
      </c>
      <c r="C147" s="101"/>
      <c r="D147" s="101"/>
      <c r="E147" s="102"/>
      <c r="F147" s="103" t="s">
        <v>142</v>
      </c>
      <c r="G147" s="101"/>
      <c r="H147" s="105">
        <v>309.33</v>
      </c>
      <c r="I147" s="106">
        <v>309.33</v>
      </c>
      <c r="J147" s="106">
        <v>309.54116090498252</v>
      </c>
      <c r="K147" s="106">
        <v>320.47817724787041</v>
      </c>
      <c r="L147" s="104">
        <v>328.79300357229033</v>
      </c>
      <c r="M147" s="104">
        <v>336.68786788667154</v>
      </c>
      <c r="N147" s="104">
        <v>348.49275057294039</v>
      </c>
      <c r="O147" s="107" t="s">
        <v>143</v>
      </c>
    </row>
    <row r="148" spans="1:15">
      <c r="A148" s="101" t="s">
        <v>256</v>
      </c>
      <c r="B148" s="101" t="s">
        <v>110</v>
      </c>
      <c r="C148" s="101"/>
      <c r="D148" s="101"/>
      <c r="E148" s="102"/>
      <c r="F148" s="103" t="s">
        <v>142</v>
      </c>
      <c r="G148" s="101"/>
      <c r="H148" s="105">
        <v>95.53</v>
      </c>
      <c r="I148" s="106">
        <v>95.53</v>
      </c>
      <c r="J148" s="106">
        <v>95.595212560220432</v>
      </c>
      <c r="K148" s="106">
        <v>98.97287774379808</v>
      </c>
      <c r="L148" s="104">
        <v>101.5407352382921</v>
      </c>
      <c r="M148" s="104">
        <v>103.97889638642786</v>
      </c>
      <c r="N148" s="104">
        <v>107.6245836557495</v>
      </c>
      <c r="O148" s="107" t="s">
        <v>143</v>
      </c>
    </row>
    <row r="149" spans="1:15">
      <c r="A149" s="101" t="s">
        <v>256</v>
      </c>
      <c r="B149" s="101" t="s">
        <v>111</v>
      </c>
      <c r="C149" s="101"/>
      <c r="D149" s="101"/>
      <c r="E149" s="102"/>
      <c r="F149" s="103" t="s">
        <v>142</v>
      </c>
      <c r="G149" s="101"/>
      <c r="H149" s="105" t="s">
        <v>305</v>
      </c>
      <c r="I149" s="106">
        <v>0</v>
      </c>
      <c r="J149" s="106">
        <v>0</v>
      </c>
      <c r="K149" s="106">
        <v>0</v>
      </c>
      <c r="L149" s="104">
        <v>0</v>
      </c>
      <c r="M149" s="104">
        <v>0</v>
      </c>
      <c r="N149" s="104">
        <v>0</v>
      </c>
      <c r="O149" s="107" t="s">
        <v>143</v>
      </c>
    </row>
    <row r="150" spans="1:15">
      <c r="A150" s="101" t="s">
        <v>256</v>
      </c>
      <c r="B150" s="101" t="s">
        <v>112</v>
      </c>
      <c r="C150" s="101"/>
      <c r="D150" s="101"/>
      <c r="E150" s="102"/>
      <c r="F150" s="103" t="s">
        <v>142</v>
      </c>
      <c r="G150" s="101"/>
      <c r="H150" s="105">
        <v>24.4</v>
      </c>
      <c r="I150" s="106">
        <v>24.4</v>
      </c>
      <c r="J150" s="106">
        <v>24.416656406043945</v>
      </c>
      <c r="K150" s="106">
        <v>25.279370008883838</v>
      </c>
      <c r="L150" s="104">
        <v>25.935244842607844</v>
      </c>
      <c r="M150" s="104">
        <v>26.557993005640533</v>
      </c>
      <c r="N150" s="104">
        <v>27.489164044805698</v>
      </c>
      <c r="O150" s="107" t="s">
        <v>143</v>
      </c>
    </row>
    <row r="151" spans="1:15">
      <c r="A151" s="101" t="s">
        <v>256</v>
      </c>
      <c r="B151" s="101" t="s">
        <v>113</v>
      </c>
      <c r="C151" s="101"/>
      <c r="D151" s="101"/>
      <c r="E151" s="102"/>
      <c r="F151" s="103" t="s">
        <v>142</v>
      </c>
      <c r="G151" s="101"/>
      <c r="H151" s="105">
        <v>75.319999999999993</v>
      </c>
      <c r="I151" s="106">
        <v>75.319999999999993</v>
      </c>
      <c r="J151" s="106">
        <v>75.3714164140668</v>
      </c>
      <c r="K151" s="106">
        <v>78.034514306111902</v>
      </c>
      <c r="L151" s="104">
        <v>80.059124653492731</v>
      </c>
      <c r="M151" s="104">
        <v>81.981476769870682</v>
      </c>
      <c r="N151" s="104">
        <v>84.855894912080529</v>
      </c>
      <c r="O151" s="107" t="s">
        <v>143</v>
      </c>
    </row>
    <row r="152" spans="1:15">
      <c r="A152" s="101" t="s">
        <v>256</v>
      </c>
      <c r="B152" s="101" t="s">
        <v>114</v>
      </c>
      <c r="C152" s="101"/>
      <c r="D152" s="101"/>
      <c r="E152" s="102"/>
      <c r="F152" s="103" t="s">
        <v>142</v>
      </c>
      <c r="G152" s="101"/>
      <c r="H152" s="105">
        <v>136.06</v>
      </c>
      <c r="I152" s="106">
        <v>136.06</v>
      </c>
      <c r="J152" s="106">
        <v>136.15287994288278</v>
      </c>
      <c r="K152" s="106">
        <v>140.96356899216127</v>
      </c>
      <c r="L152" s="104">
        <v>144.6208775936567</v>
      </c>
      <c r="M152" s="104">
        <v>148.09346427653489</v>
      </c>
      <c r="N152" s="104">
        <v>153.2858877023059</v>
      </c>
      <c r="O152" s="107" t="s">
        <v>143</v>
      </c>
    </row>
    <row r="153" spans="1:15">
      <c r="A153" s="101" t="s">
        <v>256</v>
      </c>
      <c r="B153" s="101" t="s">
        <v>115</v>
      </c>
      <c r="C153" s="101"/>
      <c r="D153" s="101"/>
      <c r="E153" s="102"/>
      <c r="F153" s="103" t="s">
        <v>142</v>
      </c>
      <c r="G153" s="101"/>
      <c r="H153" s="105">
        <v>34.729999999999997</v>
      </c>
      <c r="I153" s="106">
        <v>34.729999999999997</v>
      </c>
      <c r="J153" s="106">
        <v>34.753708073028946</v>
      </c>
      <c r="K153" s="106">
        <v>35.98166067248097</v>
      </c>
      <c r="L153" s="104">
        <v>36.915207105892229</v>
      </c>
      <c r="M153" s="104">
        <v>37.801602339585891</v>
      </c>
      <c r="N153" s="104">
        <v>39.12699456049598</v>
      </c>
      <c r="O153" s="107" t="s">
        <v>143</v>
      </c>
    </row>
  </sheetData>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AER FD method and comparison</vt:lpstr>
      <vt:lpstr>AER FD AER Summary</vt:lpstr>
      <vt:lpstr>AER FD Fee Breakdown</vt:lpstr>
      <vt:lpstr>AER FD Input Data</vt: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Cremona;Yuelin Linda Li</dc:creator>
  <cp:lastModifiedBy>Bohan, Dane</cp:lastModifiedBy>
  <dcterms:created xsi:type="dcterms:W3CDTF">2017-04-27T04:13:24Z</dcterms:created>
  <dcterms:modified xsi:type="dcterms:W3CDTF">2019-04-13T08:58:37Z</dcterms:modified>
</cp:coreProperties>
</file>