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T:\AER\NSWACT2019-24\Ausgrid\Alternative Control Services\Fee based and quoted\Final decision\"/>
    </mc:Choice>
  </mc:AlternateContent>
  <bookViews>
    <workbookView xWindow="-96" yWindow="5880" windowWidth="23256" windowHeight="6096"/>
  </bookViews>
  <sheets>
    <sheet name="AER FD method and comparison" sheetId="10" r:id="rId1"/>
    <sheet name="AER FD AER Summary" sheetId="11" r:id="rId2"/>
    <sheet name="AER FD Input Data" sheetId="12" r:id="rId3"/>
    <sheet name="Cover" sheetId="9" r:id="rId4"/>
    <sheet name="AER Summary" sheetId="1" r:id="rId5"/>
    <sheet name="Service Description" sheetId="2" r:id="rId6"/>
    <sheet name="Fee Breakdown" sheetId="4" r:id="rId7"/>
    <sheet name="Input Data" sheetId="7" r:id="rId8"/>
    <sheet name="15-19 prices" sheetId="8" r:id="rId9"/>
  </sheets>
  <externalReferences>
    <externalReference r:id="rId10"/>
    <externalReference r:id="rId11"/>
    <externalReference r:id="rId12"/>
    <externalReference r:id="rId13"/>
  </externalReferences>
  <definedNames>
    <definedName name="_xlnm._FilterDatabase" localSheetId="8" hidden="1">'15-19 prices'!$A$2:$XEG$153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8">'[2]Input Data'!$B$20:$B$24</definedName>
    <definedName name="Rates" localSheetId="0">'[4]Input Data'!$B$37:$B$41</definedName>
    <definedName name="Rates">'Input Data'!$B$37:$B$41</definedName>
    <definedName name="Rates1">'[3]Input Data'!$B$16:$B$20</definedName>
  </definedNames>
  <calcPr calcId="162913"/>
</workbook>
</file>

<file path=xl/calcChain.xml><?xml version="1.0" encoding="utf-8"?>
<calcChain xmlns="http://schemas.openxmlformats.org/spreadsheetml/2006/main">
  <c r="L10" i="11" l="1"/>
  <c r="L11" i="11"/>
  <c r="L12" i="11"/>
  <c r="L13" i="11"/>
  <c r="L14" i="11"/>
  <c r="L15" i="11"/>
  <c r="L16" i="11"/>
  <c r="L17" i="11"/>
  <c r="L18" i="11"/>
  <c r="L9" i="11"/>
  <c r="K9" i="11"/>
  <c r="K10" i="11"/>
  <c r="K11" i="11"/>
  <c r="K12" i="11"/>
  <c r="K13" i="11"/>
  <c r="K14" i="11"/>
  <c r="K15" i="11"/>
  <c r="K16" i="11"/>
  <c r="K17" i="11"/>
  <c r="K18" i="11"/>
  <c r="F41" i="12"/>
  <c r="E41" i="12"/>
  <c r="F40" i="12"/>
  <c r="E40" i="12"/>
  <c r="F39" i="12"/>
  <c r="E39" i="12"/>
  <c r="F38" i="12"/>
  <c r="E38" i="12"/>
  <c r="F37" i="12"/>
  <c r="E37" i="12"/>
  <c r="H30" i="12"/>
  <c r="I30" i="12" s="1"/>
  <c r="J30" i="12" s="1"/>
  <c r="G30" i="12"/>
  <c r="G29" i="12"/>
  <c r="H29" i="12" s="1"/>
  <c r="I29" i="12" s="1"/>
  <c r="J29" i="12" s="1"/>
  <c r="H28" i="12"/>
  <c r="I28" i="12" s="1"/>
  <c r="J28" i="12" s="1"/>
  <c r="G28" i="12"/>
  <c r="G27" i="12"/>
  <c r="H27" i="12" s="1"/>
  <c r="I27" i="12" s="1"/>
  <c r="J27" i="12" s="1"/>
  <c r="H26" i="12"/>
  <c r="I26" i="12" s="1"/>
  <c r="J26" i="12" s="1"/>
  <c r="G26" i="12"/>
  <c r="H15" i="12"/>
  <c r="I15" i="12" s="1"/>
  <c r="I14" i="12"/>
  <c r="E97" i="11" s="1"/>
  <c r="H14" i="12"/>
  <c r="F10" i="12"/>
  <c r="G10" i="12" s="1"/>
  <c r="E10" i="12"/>
  <c r="D10" i="12"/>
  <c r="D9" i="12"/>
  <c r="D8" i="12" s="1"/>
  <c r="H106" i="11"/>
  <c r="G105" i="11"/>
  <c r="F105" i="11"/>
  <c r="E105" i="11"/>
  <c r="E103" i="11" s="1"/>
  <c r="F103" i="11" s="1"/>
  <c r="D105" i="11"/>
  <c r="H104" i="11"/>
  <c r="G104" i="11"/>
  <c r="F104" i="11"/>
  <c r="E104" i="11"/>
  <c r="D98" i="11"/>
  <c r="C98" i="11"/>
  <c r="D97" i="11"/>
  <c r="C97" i="11"/>
  <c r="C96" i="11"/>
  <c r="D91" i="11"/>
  <c r="H85" i="11"/>
  <c r="G85" i="11"/>
  <c r="F85" i="11"/>
  <c r="E85" i="11"/>
  <c r="D85" i="11"/>
  <c r="C85" i="11"/>
  <c r="H84" i="11"/>
  <c r="B83" i="11"/>
  <c r="H81" i="11"/>
  <c r="G81" i="11"/>
  <c r="F81" i="11"/>
  <c r="E81" i="11"/>
  <c r="D81" i="11"/>
  <c r="C81" i="11"/>
  <c r="H80" i="11"/>
  <c r="B79" i="11"/>
  <c r="H77" i="11"/>
  <c r="G77" i="11"/>
  <c r="F77" i="11"/>
  <c r="E77" i="11"/>
  <c r="D77" i="11"/>
  <c r="C77" i="11"/>
  <c r="H76" i="11"/>
  <c r="B75" i="11"/>
  <c r="H73" i="11"/>
  <c r="G73" i="11"/>
  <c r="F73" i="11"/>
  <c r="E73" i="11"/>
  <c r="D73" i="11"/>
  <c r="C73" i="11"/>
  <c r="H72" i="11"/>
  <c r="B71" i="11"/>
  <c r="H69" i="11"/>
  <c r="G69" i="11"/>
  <c r="F69" i="11"/>
  <c r="E69" i="11"/>
  <c r="D69" i="11"/>
  <c r="C69" i="11"/>
  <c r="H68" i="11"/>
  <c r="B67" i="11"/>
  <c r="H65" i="11"/>
  <c r="G65" i="11"/>
  <c r="F65" i="11"/>
  <c r="E65" i="11"/>
  <c r="D65" i="11"/>
  <c r="C65" i="11"/>
  <c r="H64" i="11"/>
  <c r="B63" i="11"/>
  <c r="H61" i="11"/>
  <c r="G61" i="11"/>
  <c r="F61" i="11"/>
  <c r="E61" i="11"/>
  <c r="D61" i="11"/>
  <c r="C61" i="11"/>
  <c r="H60" i="11"/>
  <c r="B59" i="11"/>
  <c r="H57" i="11"/>
  <c r="H91" i="11" s="1"/>
  <c r="G57" i="11"/>
  <c r="G91" i="11" s="1"/>
  <c r="F57" i="11"/>
  <c r="F91" i="11" s="1"/>
  <c r="E57" i="11"/>
  <c r="E91" i="11" s="1"/>
  <c r="D57" i="11"/>
  <c r="C57" i="11"/>
  <c r="C91" i="11" s="1"/>
  <c r="H56" i="11"/>
  <c r="B55" i="11"/>
  <c r="G43" i="11"/>
  <c r="F43" i="11"/>
  <c r="F42" i="11"/>
  <c r="G42" i="11" s="1"/>
  <c r="D26" i="11"/>
  <c r="D25" i="11"/>
  <c r="D18" i="11"/>
  <c r="D16" i="11"/>
  <c r="D15" i="11"/>
  <c r="D14" i="11"/>
  <c r="D12" i="11"/>
  <c r="D11" i="11"/>
  <c r="D10" i="11"/>
  <c r="D9" i="11"/>
  <c r="J15" i="12" l="1"/>
  <c r="E98" i="11"/>
  <c r="H13" i="12"/>
  <c r="D96" i="11" s="1"/>
  <c r="E10" i="11" s="1"/>
  <c r="E14" i="11"/>
  <c r="E9" i="11"/>
  <c r="F25" i="11"/>
  <c r="G103" i="11"/>
  <c r="G26" i="11" s="1"/>
  <c r="K15" i="12"/>
  <c r="F98" i="11"/>
  <c r="E25" i="11"/>
  <c r="J14" i="12"/>
  <c r="E15" i="11"/>
  <c r="E26" i="11"/>
  <c r="F26" i="11"/>
  <c r="E9" i="12"/>
  <c r="I13" i="12"/>
  <c r="E96" i="11" s="1"/>
  <c r="H14" i="7"/>
  <c r="I14" i="7"/>
  <c r="J14" i="7" s="1"/>
  <c r="H15" i="7"/>
  <c r="I15" i="7" s="1"/>
  <c r="H28" i="7"/>
  <c r="I28" i="7" s="1"/>
  <c r="J28" i="7" s="1"/>
  <c r="H29" i="7"/>
  <c r="I29" i="7"/>
  <c r="J29" i="7" s="1"/>
  <c r="G27" i="7"/>
  <c r="H27" i="7" s="1"/>
  <c r="I27" i="7" s="1"/>
  <c r="J27" i="7" s="1"/>
  <c r="G28" i="7"/>
  <c r="G29" i="7"/>
  <c r="G30" i="7"/>
  <c r="H30" i="7"/>
  <c r="I30" i="7" s="1"/>
  <c r="J30" i="7" s="1"/>
  <c r="G26" i="7"/>
  <c r="H26" i="7"/>
  <c r="I26" i="7"/>
  <c r="J26" i="7"/>
  <c r="F37" i="7"/>
  <c r="F38" i="7"/>
  <c r="F39" i="7"/>
  <c r="F40" i="7"/>
  <c r="F41" i="7"/>
  <c r="E38" i="7"/>
  <c r="E39" i="7"/>
  <c r="E40" i="7"/>
  <c r="E41" i="7"/>
  <c r="E37" i="7"/>
  <c r="B9" i="2"/>
  <c r="H84" i="1"/>
  <c r="H80" i="1"/>
  <c r="H76" i="1"/>
  <c r="H72" i="1"/>
  <c r="H68" i="1"/>
  <c r="H64" i="1"/>
  <c r="H56" i="1"/>
  <c r="H60" i="1"/>
  <c r="F104" i="1"/>
  <c r="F42" i="1" s="1"/>
  <c r="G42" i="1" s="1"/>
  <c r="G104" i="1"/>
  <c r="H104" i="1"/>
  <c r="H106" i="1"/>
  <c r="E105" i="1"/>
  <c r="F105" i="1"/>
  <c r="G105" i="1"/>
  <c r="D105" i="1"/>
  <c r="E104" i="1"/>
  <c r="E103" i="1" s="1"/>
  <c r="D10" i="7"/>
  <c r="E10" i="7" s="1"/>
  <c r="D9" i="7"/>
  <c r="E9" i="7"/>
  <c r="F9" i="7" s="1"/>
  <c r="H13" i="7"/>
  <c r="D96" i="1" s="1"/>
  <c r="C96" i="1"/>
  <c r="B12" i="2"/>
  <c r="D3" i="2"/>
  <c r="D53" i="4"/>
  <c r="D52" i="4"/>
  <c r="D35" i="4"/>
  <c r="D26" i="4"/>
  <c r="D25" i="4"/>
  <c r="D44" i="4"/>
  <c r="D17" i="4"/>
  <c r="D8" i="4"/>
  <c r="C68" i="4"/>
  <c r="C60" i="4"/>
  <c r="C50" i="4"/>
  <c r="C41" i="4"/>
  <c r="C33" i="4"/>
  <c r="C23" i="4"/>
  <c r="D70" i="4"/>
  <c r="D62" i="4"/>
  <c r="D43" i="4"/>
  <c r="B83" i="1"/>
  <c r="B79" i="1"/>
  <c r="B75" i="1"/>
  <c r="B71" i="1"/>
  <c r="B67" i="1"/>
  <c r="B63" i="1"/>
  <c r="C3" i="4"/>
  <c r="C15" i="4"/>
  <c r="C5" i="4"/>
  <c r="B59" i="1"/>
  <c r="B55" i="1"/>
  <c r="C97" i="1"/>
  <c r="D97" i="1"/>
  <c r="C98" i="1"/>
  <c r="D98" i="1"/>
  <c r="D7" i="4"/>
  <c r="D8" i="7"/>
  <c r="F43" i="1"/>
  <c r="G43" i="1" s="1"/>
  <c r="D25" i="1"/>
  <c r="D26" i="1"/>
  <c r="E7" i="4"/>
  <c r="H7" i="4" s="1"/>
  <c r="H9" i="4" s="1"/>
  <c r="E25" i="4"/>
  <c r="H25" i="4"/>
  <c r="E52" i="4"/>
  <c r="H52" i="4"/>
  <c r="E62" i="4"/>
  <c r="H62" i="4"/>
  <c r="H63" i="4" s="1"/>
  <c r="E43" i="4"/>
  <c r="H43" i="4" s="1"/>
  <c r="H45" i="4" s="1"/>
  <c r="E17" i="4"/>
  <c r="H17" i="4" s="1"/>
  <c r="H18" i="4" s="1"/>
  <c r="E70" i="4"/>
  <c r="H70" i="4"/>
  <c r="H71" i="4" s="1"/>
  <c r="E44" i="4"/>
  <c r="H44" i="4"/>
  <c r="E53" i="4"/>
  <c r="H53" i="4"/>
  <c r="E26" i="4"/>
  <c r="H26" i="4" s="1"/>
  <c r="E35" i="4"/>
  <c r="H35" i="4"/>
  <c r="H36" i="4" s="1"/>
  <c r="E8" i="4"/>
  <c r="H8" i="4" s="1"/>
  <c r="H54" i="4"/>
  <c r="D77" i="1" s="1"/>
  <c r="D15" i="1"/>
  <c r="E16" i="11" l="1"/>
  <c r="E11" i="11"/>
  <c r="E18" i="11"/>
  <c r="E12" i="11"/>
  <c r="F12" i="11"/>
  <c r="F14" i="11"/>
  <c r="F9" i="11"/>
  <c r="E8" i="12"/>
  <c r="F9" i="12"/>
  <c r="F18" i="11"/>
  <c r="F10" i="11"/>
  <c r="G98" i="11"/>
  <c r="L15" i="12"/>
  <c r="H98" i="11" s="1"/>
  <c r="G25" i="11"/>
  <c r="H103" i="11"/>
  <c r="F15" i="11"/>
  <c r="F11" i="11"/>
  <c r="J13" i="12"/>
  <c r="F96" i="11" s="1"/>
  <c r="F97" i="11"/>
  <c r="K14" i="12"/>
  <c r="F16" i="11"/>
  <c r="E57" i="1"/>
  <c r="D57" i="1"/>
  <c r="F57" i="1"/>
  <c r="C57" i="1"/>
  <c r="G57" i="1"/>
  <c r="D9" i="1"/>
  <c r="G9" i="7"/>
  <c r="G8" i="7" s="1"/>
  <c r="D73" i="1"/>
  <c r="D14" i="1"/>
  <c r="C73" i="1"/>
  <c r="E73" i="1"/>
  <c r="F73" i="1"/>
  <c r="G73" i="1"/>
  <c r="J15" i="7"/>
  <c r="E98" i="1"/>
  <c r="G61" i="1"/>
  <c r="C61" i="1"/>
  <c r="D61" i="1"/>
  <c r="F61" i="1"/>
  <c r="D10" i="1"/>
  <c r="E61" i="1"/>
  <c r="G81" i="1"/>
  <c r="C81" i="1"/>
  <c r="H81" i="1" s="1"/>
  <c r="D16" i="1"/>
  <c r="D81" i="1"/>
  <c r="F81" i="1"/>
  <c r="E81" i="1"/>
  <c r="D18" i="1"/>
  <c r="C85" i="1"/>
  <c r="E85" i="1"/>
  <c r="F85" i="1"/>
  <c r="G85" i="1"/>
  <c r="D85" i="1"/>
  <c r="K14" i="7"/>
  <c r="F97" i="1"/>
  <c r="F10" i="7"/>
  <c r="G10" i="7" s="1"/>
  <c r="E8" i="7"/>
  <c r="E26" i="1"/>
  <c r="F103" i="1"/>
  <c r="G103" i="1" s="1"/>
  <c r="H103" i="1" s="1"/>
  <c r="H26" i="1" s="1"/>
  <c r="H27" i="4"/>
  <c r="G69" i="1"/>
  <c r="E69" i="1"/>
  <c r="D12" i="1"/>
  <c r="F69" i="1"/>
  <c r="C69" i="1"/>
  <c r="H69" i="1" s="1"/>
  <c r="D69" i="1"/>
  <c r="G77" i="1"/>
  <c r="E25" i="1"/>
  <c r="E15" i="1"/>
  <c r="C77" i="1"/>
  <c r="H77" i="1" s="1"/>
  <c r="I13" i="7"/>
  <c r="E96" i="1" s="1"/>
  <c r="F15" i="1" s="1"/>
  <c r="F77" i="1"/>
  <c r="E77" i="1"/>
  <c r="E97" i="1"/>
  <c r="F26" i="1"/>
  <c r="F25" i="1"/>
  <c r="H25" i="1"/>
  <c r="G26" i="1"/>
  <c r="K13" i="12" l="1"/>
  <c r="G96" i="11" s="1"/>
  <c r="L14" i="12"/>
  <c r="G97" i="11"/>
  <c r="G18" i="11"/>
  <c r="G14" i="11"/>
  <c r="G9" i="11"/>
  <c r="G12" i="11"/>
  <c r="G11" i="11"/>
  <c r="G16" i="11"/>
  <c r="G15" i="11"/>
  <c r="G10" i="11"/>
  <c r="G9" i="12"/>
  <c r="G8" i="12" s="1"/>
  <c r="F8" i="12"/>
  <c r="H25" i="11"/>
  <c r="H26" i="11"/>
  <c r="E18" i="1"/>
  <c r="F18" i="1"/>
  <c r="G10" i="1"/>
  <c r="E10" i="1"/>
  <c r="F10" i="1"/>
  <c r="D37" i="7"/>
  <c r="D39" i="7"/>
  <c r="G39" i="7" s="1"/>
  <c r="H39" i="7" s="1"/>
  <c r="I39" i="7" s="1"/>
  <c r="J39" i="7" s="1"/>
  <c r="D38" i="7"/>
  <c r="D41" i="7"/>
  <c r="D40" i="7"/>
  <c r="G40" i="7" s="1"/>
  <c r="H40" i="7" s="1"/>
  <c r="I40" i="7" s="1"/>
  <c r="J40" i="7" s="1"/>
  <c r="F9" i="1"/>
  <c r="E9" i="1"/>
  <c r="G9" i="1"/>
  <c r="L14" i="7"/>
  <c r="G97" i="1"/>
  <c r="K13" i="7"/>
  <c r="G96" i="1" s="1"/>
  <c r="H15" i="1" s="1"/>
  <c r="H57" i="1"/>
  <c r="F98" i="1"/>
  <c r="K15" i="7"/>
  <c r="F12" i="1"/>
  <c r="G12" i="1"/>
  <c r="E12" i="1"/>
  <c r="J13" i="7"/>
  <c r="F96" i="1" s="1"/>
  <c r="G15" i="1" s="1"/>
  <c r="F65" i="1"/>
  <c r="F91" i="1" s="1"/>
  <c r="D65" i="1"/>
  <c r="D91" i="1" s="1"/>
  <c r="C65" i="1"/>
  <c r="G65" i="1"/>
  <c r="G91" i="1" s="1"/>
  <c r="E65" i="1"/>
  <c r="E91" i="1" s="1"/>
  <c r="D11" i="1"/>
  <c r="H73" i="1"/>
  <c r="F8" i="7"/>
  <c r="H61" i="1"/>
  <c r="G14" i="1"/>
  <c r="E14" i="1"/>
  <c r="F14" i="1"/>
  <c r="H85" i="1"/>
  <c r="G25" i="1"/>
  <c r="G16" i="1"/>
  <c r="E16" i="1"/>
  <c r="F16" i="1"/>
  <c r="H14" i="11" l="1"/>
  <c r="H9" i="11"/>
  <c r="H10" i="11"/>
  <c r="H15" i="11"/>
  <c r="H18" i="11"/>
  <c r="H16" i="11"/>
  <c r="H12" i="11"/>
  <c r="H11" i="11"/>
  <c r="L13" i="12"/>
  <c r="H96" i="11" s="1"/>
  <c r="H97" i="11"/>
  <c r="D37" i="12"/>
  <c r="G37" i="12" s="1"/>
  <c r="H37" i="12" s="1"/>
  <c r="I37" i="12" s="1"/>
  <c r="J37" i="12" s="1"/>
  <c r="D38" i="12"/>
  <c r="G38" i="12" s="1"/>
  <c r="H38" i="12" s="1"/>
  <c r="I38" i="12" s="1"/>
  <c r="J38" i="12" s="1"/>
  <c r="D39" i="12"/>
  <c r="G39" i="12" s="1"/>
  <c r="H39" i="12" s="1"/>
  <c r="I39" i="12" s="1"/>
  <c r="J39" i="12" s="1"/>
  <c r="D40" i="12"/>
  <c r="G40" i="12" s="1"/>
  <c r="H40" i="12" s="1"/>
  <c r="I40" i="12" s="1"/>
  <c r="J40" i="12" s="1"/>
  <c r="D41" i="12"/>
  <c r="G41" i="12" s="1"/>
  <c r="H41" i="12" s="1"/>
  <c r="I41" i="12" s="1"/>
  <c r="J41" i="12" s="1"/>
  <c r="H16" i="1"/>
  <c r="H12" i="1"/>
  <c r="G41" i="7"/>
  <c r="J26" i="4"/>
  <c r="J35" i="4"/>
  <c r="J36" i="4" s="1"/>
  <c r="H9" i="1"/>
  <c r="G18" i="1"/>
  <c r="H10" i="1"/>
  <c r="H97" i="1"/>
  <c r="H11" i="1"/>
  <c r="G11" i="1"/>
  <c r="E11" i="1"/>
  <c r="F11" i="1"/>
  <c r="H65" i="1"/>
  <c r="H91" i="1" s="1"/>
  <c r="G98" i="1"/>
  <c r="L15" i="7"/>
  <c r="H98" i="1" s="1"/>
  <c r="J53" i="4"/>
  <c r="J44" i="4"/>
  <c r="J8" i="4"/>
  <c r="G38" i="7"/>
  <c r="J43" i="4"/>
  <c r="J45" i="4" s="1"/>
  <c r="J62" i="4"/>
  <c r="J63" i="4" s="1"/>
  <c r="J17" i="4"/>
  <c r="J18" i="4" s="1"/>
  <c r="J70" i="4"/>
  <c r="J71" i="4" s="1"/>
  <c r="J7" i="4"/>
  <c r="J52" i="4"/>
  <c r="J54" i="4" s="1"/>
  <c r="J25" i="4"/>
  <c r="J27" i="4" s="1"/>
  <c r="G37" i="7"/>
  <c r="H14" i="1"/>
  <c r="C91" i="1"/>
  <c r="H18" i="1"/>
  <c r="I9" i="11" l="1"/>
  <c r="I14" i="11"/>
  <c r="I15" i="11"/>
  <c r="I11" i="11"/>
  <c r="I12" i="11"/>
  <c r="I18" i="11"/>
  <c r="I16" i="11"/>
  <c r="I10" i="11"/>
  <c r="K44" i="4"/>
  <c r="H38" i="7"/>
  <c r="I38" i="7" s="1"/>
  <c r="K53" i="4"/>
  <c r="K8" i="4"/>
  <c r="K62" i="4"/>
  <c r="K63" i="4" s="1"/>
  <c r="K25" i="4"/>
  <c r="K70" i="4"/>
  <c r="K71" i="4" s="1"/>
  <c r="K7" i="4"/>
  <c r="K9" i="4" s="1"/>
  <c r="H37" i="7"/>
  <c r="I37" i="7" s="1"/>
  <c r="K43" i="4"/>
  <c r="K45" i="4" s="1"/>
  <c r="K52" i="4"/>
  <c r="K54" i="4" s="1"/>
  <c r="K17" i="4"/>
  <c r="K18" i="4" s="1"/>
  <c r="J9" i="4"/>
  <c r="H41" i="7"/>
  <c r="I41" i="7" s="1"/>
  <c r="K26" i="4"/>
  <c r="K35" i="4"/>
  <c r="K36" i="4" s="1"/>
  <c r="L13" i="7"/>
  <c r="H96" i="1" s="1"/>
  <c r="K27" i="4" l="1"/>
  <c r="J41" i="7"/>
  <c r="L26" i="4"/>
  <c r="L35" i="4"/>
  <c r="L36" i="4" s="1"/>
  <c r="L44" i="4"/>
  <c r="L8" i="4"/>
  <c r="L53" i="4"/>
  <c r="J38" i="7"/>
  <c r="I15" i="1"/>
  <c r="I16" i="1"/>
  <c r="I18" i="1"/>
  <c r="I9" i="1"/>
  <c r="I10" i="1"/>
  <c r="I12" i="1"/>
  <c r="I14" i="1"/>
  <c r="I11" i="1"/>
  <c r="L62" i="4"/>
  <c r="L63" i="4" s="1"/>
  <c r="L17" i="4"/>
  <c r="L18" i="4" s="1"/>
  <c r="L70" i="4"/>
  <c r="L71" i="4" s="1"/>
  <c r="L25" i="4"/>
  <c r="L27" i="4" s="1"/>
  <c r="L43" i="4"/>
  <c r="L45" i="4" s="1"/>
  <c r="J37" i="7"/>
  <c r="L52" i="4"/>
  <c r="L54" i="4" s="1"/>
  <c r="L7" i="4"/>
  <c r="L9" i="4" s="1"/>
</calcChain>
</file>

<file path=xl/comments1.xml><?xml version="1.0" encoding="utf-8"?>
<comments xmlns="http://schemas.openxmlformats.org/spreadsheetml/2006/main">
  <authors>
    <author>Linda Li</author>
    <author>Bohan, Dane</author>
  </authors>
  <commentList>
    <comment ref="G18" authorId="0" shapeId="0">
      <text>
        <r>
          <rPr>
            <b/>
            <sz val="9"/>
            <color indexed="81"/>
            <rFont val="Tahoma"/>
            <family val="2"/>
          </rPr>
          <t>Linda Li:</t>
        </r>
        <r>
          <rPr>
            <sz val="9"/>
            <color indexed="81"/>
            <rFont val="Tahoma"/>
            <family val="2"/>
          </rPr>
          <t xml:space="preserve">
BIS Oxford forecast</t>
        </r>
      </text>
    </comment>
    <comment ref="H19" authorId="1" shapeId="0">
      <text>
        <r>
          <rPr>
            <b/>
            <sz val="9"/>
            <color indexed="81"/>
            <rFont val="Tahoma"/>
            <family val="2"/>
          </rPr>
          <t>AER:</t>
        </r>
        <r>
          <rPr>
            <sz val="9"/>
            <color indexed="81"/>
            <rFont val="Tahoma"/>
            <family val="2"/>
          </rPr>
          <t xml:space="preserve">
FD change</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Linda Li</author>
  </authors>
  <commentList>
    <comment ref="G18" authorId="0" shapeId="0">
      <text>
        <r>
          <rPr>
            <b/>
            <sz val="9"/>
            <color indexed="81"/>
            <rFont val="Tahoma"/>
            <family val="2"/>
          </rPr>
          <t>Linda Li:</t>
        </r>
        <r>
          <rPr>
            <sz val="9"/>
            <color indexed="81"/>
            <rFont val="Tahoma"/>
            <family val="2"/>
          </rPr>
          <t xml:space="preserve">
BIS Oxford forecast</t>
        </r>
      </text>
    </comment>
    <comment ref="L37" authorId="0" shape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3.xml><?xml version="1.0" encoding="utf-8"?>
<comments xmlns="http://schemas.openxmlformats.org/spreadsheetml/2006/main">
  <authors>
    <author>Matthew McQuarrie</author>
  </authors>
  <commentList>
    <comment ref="H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shape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shape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<sst xmlns="http://schemas.openxmlformats.org/spreadsheetml/2006/main" count="1555" uniqueCount="305">
  <si>
    <t>Service:</t>
  </si>
  <si>
    <t>Pricing Mechanism</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</si>
  <si>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</si>
  <si>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</si>
  <si>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</si>
  <si>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</si>
  <si>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</si>
  <si>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</si>
  <si>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</si>
  <si>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</si>
  <si>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</si>
  <si>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</si>
  <si>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</si>
  <si>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</si>
  <si>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</si>
  <si>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</si>
  <si>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</si>
  <si>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</si>
  <si>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</si>
  <si>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</si>
  <si>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</si>
  <si>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</si>
  <si>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</si>
  <si>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</si>
  <si>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Total Cost</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</si>
  <si>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</si>
  <si>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</si>
  <si>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</si>
  <si>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</si>
  <si>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</si>
  <si>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</si>
  <si>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</si>
  <si>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</si>
  <si>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</si>
  <si>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</si>
  <si>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</si>
  <si>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</si>
  <si>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</si>
  <si>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</si>
  <si>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</si>
  <si>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</si>
  <si>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</si>
  <si>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</si>
  <si>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</si>
  <si>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</si>
  <si>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</si>
  <si>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</si>
  <si>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</si>
  <si>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</si>
  <si>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</si>
  <si>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</si>
  <si>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</si>
  <si>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</si>
  <si>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</si>
  <si>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</si>
  <si>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</si>
  <si>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</si>
  <si>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</si>
  <si>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</si>
  <si>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</si>
  <si>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Authorisation of ASPs</t>
  </si>
  <si>
    <t>Fee Based</t>
  </si>
  <si>
    <t>Fixed</t>
  </si>
  <si>
    <t>Existing Service Description (2015-19)</t>
  </si>
  <si>
    <t>ASP Level 1 - Company Authorisation - Initial</t>
  </si>
  <si>
    <t>ASP Level 1 - Company Re-authorisation (Annual Fee)</t>
  </si>
  <si>
    <t>ASP Level 2 - Initial Authorisation</t>
  </si>
  <si>
    <t>ASP Level 2 - Re-authorisation (Annual Fee)</t>
  </si>
  <si>
    <t>ASP Level 3 - Authorisation/Re-authorisation (Biennial Fee)</t>
  </si>
  <si>
    <t>ASP 1 Authorisations</t>
  </si>
  <si>
    <t>ASP 2 Authorisations</t>
  </si>
  <si>
    <t>ASP 3 Authorisations</t>
  </si>
  <si>
    <t>`</t>
  </si>
  <si>
    <t>Detailed Service Description (FY2020-24)</t>
  </si>
  <si>
    <t>Cost
$ FY2019</t>
  </si>
  <si>
    <r>
      <t>Service description - AER Framework and Approach paper July</t>
    </r>
    <r>
      <rPr>
        <b/>
        <sz val="11"/>
        <color rgb="FFFFFFFF"/>
        <rFont val="Calibri"/>
        <family val="2"/>
      </rPr>
      <t xml:space="preserve"> 2017</t>
    </r>
  </si>
  <si>
    <t>Includes annual authorisation of individual employees and sub-contractors of ASPs and additional authorisations at request of ASP and other administrative services performed by the distributor relating to work performed by an ASP.</t>
  </si>
  <si>
    <t>Approved fee</t>
  </si>
  <si>
    <t>Level 1 ASP</t>
  </si>
  <si>
    <t>Level 2 ASP</t>
  </si>
  <si>
    <t>Historical Revenue (current FY2015 / FY2019 approved services)</t>
  </si>
  <si>
    <t>Annual authorisation of individual employees and sub-contractors of ASPs and additional authorisations at request of ASP. Authorisation excludes training costs.</t>
  </si>
  <si>
    <t xml:space="preserve">The annual authorisation by Ausgrid of ASP companies, individual employees or sub -contractors of an ASP required to carry out contestable works or other works covered by the ASP Scheme Rules within Ausgrid's network area. This may include work on or near Ausgrid’s distribution and/or sub-transmission system, or the preparation and submission of contestable designs for certification.
The fees may include without limitation: 
• Induction in the unique aspects of the network; 
• Verification that the applicant has undertaken the necessary training required for Authorisation; 
• Verification that the company has maintained the necessary requirements for Authorisation; 
• Conducting authorisation sessions and in-field safety audits; 
• Issuing authorisation cards; or
• Administration support directly related to Authorisation.
</t>
  </si>
  <si>
    <t>$real 2018-19</t>
  </si>
  <si>
    <t>$ nominal</t>
  </si>
  <si>
    <t>$real 2014-15</t>
  </si>
  <si>
    <t>No. of workers</t>
  </si>
  <si>
    <t>2014-19 escalators</t>
  </si>
  <si>
    <t>FY14</t>
  </si>
  <si>
    <t>FY15</t>
  </si>
  <si>
    <t>FY16</t>
  </si>
  <si>
    <t>FY17</t>
  </si>
  <si>
    <t>FY18</t>
  </si>
  <si>
    <t>FY19</t>
  </si>
  <si>
    <t>Escalator</t>
  </si>
  <si>
    <t>X factor (table 16.23 in AER 2014-19 decision)</t>
  </si>
  <si>
    <t xml:space="preserve">Actual CPI </t>
  </si>
  <si>
    <t>Forecast CPI</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</si>
  <si>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</si>
  <si>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</si>
  <si>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</si>
  <si>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</si>
  <si>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</si>
  <si>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</si>
  <si>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</si>
  <si>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</si>
  <si>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</si>
  <si>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</si>
  <si>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</si>
  <si>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</si>
  <si>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</si>
  <si>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</si>
  <si>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</si>
  <si>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</si>
  <si>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</si>
  <si>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</si>
  <si>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</si>
  <si>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</si>
  <si>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</si>
  <si>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</si>
  <si>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</si>
  <si>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</si>
  <si>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</si>
  <si>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</si>
  <si>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</si>
  <si>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</si>
  <si>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</si>
  <si>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</si>
  <si>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</si>
  <si>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</si>
  <si>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</si>
  <si>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</si>
  <si>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</si>
  <si>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</si>
  <si>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</si>
  <si>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</si>
  <si>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</si>
  <si>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</si>
  <si>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</si>
  <si>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</si>
  <si>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</si>
  <si>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</si>
  <si>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</si>
  <si>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</si>
  <si>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</si>
  <si>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</si>
  <si>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</si>
  <si>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</si>
  <si>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</si>
  <si>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</si>
  <si>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</si>
  <si>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</si>
  <si>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</si>
  <si>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</si>
  <si>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</si>
  <si>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</si>
  <si>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</si>
  <si>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</si>
  <si>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</si>
  <si>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</si>
  <si>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</si>
  <si>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</si>
  <si>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</si>
  <si>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</si>
  <si>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</si>
  <si>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</si>
  <si>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</si>
  <si>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</si>
  <si>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</si>
  <si>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</si>
  <si>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</si>
  <si>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</si>
  <si>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</si>
  <si>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</si>
  <si>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</si>
  <si>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</si>
  <si>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</si>
  <si>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</si>
  <si>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</si>
  <si>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</si>
  <si>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</si>
  <si>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</si>
  <si>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</si>
  <si>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</si>
  <si>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</si>
  <si>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</si>
  <si>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</si>
  <si>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</si>
  <si>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</si>
  <si>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</si>
  <si>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</si>
  <si>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</si>
  <si>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</si>
  <si>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</si>
  <si>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</si>
  <si>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</si>
  <si>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</si>
  <si>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</si>
  <si>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</si>
  <si>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</si>
  <si>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</si>
  <si>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</si>
  <si>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</si>
  <si>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</si>
  <si>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Fixed fee</t>
  </si>
  <si>
    <t>ASP 1</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</si>
  <si>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</si>
  <si>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</si>
  <si>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</si>
  <si>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</si>
  <si>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</si>
  <si>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</si>
  <si>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</si>
  <si>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</si>
  <si>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</si>
  <si>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</si>
  <si>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</si>
  <si>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</si>
  <si>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</si>
  <si>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</si>
  <si>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</si>
  <si>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</si>
  <si>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</si>
  <si>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</si>
  <si>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</si>
  <si>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</si>
  <si>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</si>
  <si>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</si>
  <si>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</si>
  <si>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</si>
  <si>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</si>
  <si>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</si>
  <si>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</si>
  <si>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</si>
  <si>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</si>
  <si>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</si>
  <si>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</si>
  <si>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</si>
  <si>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</si>
  <si>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</si>
  <si>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</si>
  <si>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</si>
  <si>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</si>
  <si>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</si>
  <si>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</si>
  <si>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</si>
  <si>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</si>
  <si>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</si>
  <si>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</si>
  <si>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Escalation Factor (from FY2015)</t>
  </si>
  <si>
    <t>Escalation Inputs</t>
  </si>
  <si>
    <t>% CPI</t>
  </si>
  <si>
    <t>% REAL - Labour</t>
  </si>
  <si>
    <t>Rates, Oncosts &amp; Overheads ($2014-15)</t>
  </si>
  <si>
    <t xml:space="preserve">
$ per Hr
</t>
  </si>
  <si>
    <t>Rates, Oncosts &amp; Overheads ($2018-19)</t>
  </si>
  <si>
    <t>Proposed labour rates are based on our last approved labour rates escalated for inflation and real price changes in labour</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</si>
  <si>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</si>
  <si>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 xml:space="preserve">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t>
    </r>
  </si>
  <si>
    <t>Service description - AER Framework and Approach paper July 2017</t>
  </si>
  <si>
    <t>Total</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</si>
  <si>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</si>
  <si>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</si>
  <si>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</si>
  <si>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</si>
  <si>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</si>
  <si>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</si>
  <si>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</si>
  <si>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</si>
  <si>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</si>
  <si>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</si>
  <si>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</si>
  <si>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</si>
  <si>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</si>
  <si>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</si>
  <si>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</si>
  <si>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</si>
  <si>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</si>
  <si>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</si>
  <si>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</si>
  <si>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</si>
  <si>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</si>
  <si>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</si>
  <si>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</si>
  <si>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</si>
  <si>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</si>
  <si>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</si>
  <si>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 for FY2015 and FY2017.</t>
  </si>
  <si>
    <t>ASP Level 1 - Initial Authorisation or Additional Authorisation Session</t>
  </si>
  <si>
    <t>Total costs</t>
  </si>
  <si>
    <t>Additional services required by ASP/Applicant e.g. Guarantee of revenue, clarification meetings, variations to contract, reinspections etc. (NEW)</t>
  </si>
  <si>
    <t>Pricing Escalators</t>
  </si>
  <si>
    <t>ASP Level 1 - Authorisation Renewal or Additional Company to Existing Authorisation</t>
  </si>
  <si>
    <t>ASP Level 2 - Additional authorisation</t>
  </si>
  <si>
    <t>AER FD 2019-24 Final decision - Ancillary network services</t>
  </si>
  <si>
    <t>For the purposes of calculating 2019-20 final decision fees only</t>
  </si>
  <si>
    <t>AER methodology</t>
  </si>
  <si>
    <t>1. Copy made of 'AER Summary' and 'Input Data' to ensure formulas interlink. Prefix added 'AER FD' and tabs highlighted orange</t>
  </si>
  <si>
    <t>2. Labour escalator for 2019-20 in 'AER FD Input data' removed so labour rates match AER's approved 19-20 rate when built up</t>
  </si>
  <si>
    <t>3. AER FD prices highlighted and future years greyed out, comparison to Ausgrid RP added</t>
  </si>
  <si>
    <t>copy of Ausgrid - Attachment 8.06.10 - Authorisation of ASPs - January 2019</t>
  </si>
  <si>
    <t>AER FD - 19-20</t>
  </si>
  <si>
    <t>AER FD comparison</t>
  </si>
  <si>
    <t>Ausgrid RP</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</si>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</sst>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quot;$&quot;* #,##0_-;_-&quot;$&quot;* &quot;-&quot;??_-;_-@_-"/>
    <numFmt numFmtId="167" formatCode="0.0%"/>
    <numFmt numFmtId="168" formatCode="_-* #,##0.00_-;[Red]\(#,##0.00\)_-;_-* &quot;-&quot;??_-;_-@_-"/>
    <numFmt numFmtId="169" formatCode="_(&quot;$&quot;* #,##0_);_(&quot;$&quot;* \(#,##0\);_(&quot;$&quot;* &quot;-&quot;_);_(@_)"/>
    <numFmt numFmtId="170" formatCode="_(* #,##0_);_(* \(#,##0\);_(* &quot;-&quot;_);_(@_)"/>
    <numFmt numFmtId="171" formatCode="mm/dd/yy"/>
    <numFmt numFmtId="172" formatCode="_([$€-2]* #,##0.00_);_([$€-2]* \(#,##0.00\);_([$€-2]* &quot;-&quot;??_)"/>
    <numFmt numFmtId="173" formatCode="0_);[Red]\(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_(* #,##0.000_);_(* \(#,##0.000\);_(* &quot;-&quot;??_);_(@_)"/>
    <numFmt numFmtId="184" formatCode="0.000"/>
    <numFmt numFmtId="185" formatCode="&quot;$&quot;#,##0.00"/>
    <numFmt numFmtId="186" formatCode="_(* #,##0_);_(* \(#,##0\);_(* &quot;-&quot;?_);_(@_)"/>
  </numFmts>
  <fonts count="10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sz val="11"/>
      <color theme="1"/>
      <name val="Calibri"/>
      <family val="2"/>
    </font>
    <font>
      <b/>
      <sz val="11"/>
      <color rgb="FFFFFF00"/>
      <name val="Calibri"/>
      <family val="2"/>
    </font>
    <font>
      <b/>
      <sz val="11"/>
      <color theme="0"/>
      <name val="Calibri"/>
      <family val="2"/>
    </font>
    <font>
      <sz val="11"/>
      <color theme="4"/>
      <name val="Calibri"/>
      <family val="2"/>
    </font>
    <font>
      <sz val="11"/>
      <name val="Calibri"/>
      <family val="2"/>
      <scheme val="minor"/>
    </font>
    <font>
      <b/>
      <sz val="11"/>
      <color theme="5" tint="0.39997558519241921"/>
      <name val="Calibri"/>
      <family val="2"/>
    </font>
    <font>
      <b/>
      <sz val="11"/>
      <color rgb="FF00B050"/>
      <name val="Calibri"/>
      <family val="2"/>
    </font>
    <font>
      <b/>
      <u/>
      <sz val="11"/>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
      <b/>
      <sz val="11"/>
      <color theme="9"/>
      <name val="Calibri"/>
      <family val="2"/>
    </font>
    <font>
      <i/>
      <sz val="11"/>
      <color theme="1"/>
      <name val="Calibri"/>
      <family val="2"/>
      <scheme val="minor"/>
    </font>
    <font>
      <sz val="11"/>
      <color theme="0" tint="-0.249977111117893"/>
      <name val="Calibri"/>
      <family val="2"/>
    </font>
  </fonts>
  <fills count="58">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
      <patternFill patternType="solid">
        <fgColor theme="9"/>
        <bgColor rgb="FF000000"/>
      </patternFill>
    </fill>
  </fills>
  <borders count="48">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bottom>
      <diagonal/>
    </border>
    <border>
      <left/>
      <right/>
      <top style="thin">
        <color auto="1"/>
      </top>
      <bottom style="thin">
        <color auto="1"/>
      </bottom>
      <diagonal/>
    </border>
    <border>
      <left/>
      <right/>
      <top style="thin">
        <color auto="1"/>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style="thin">
        <color auto="1"/>
      </top>
      <bottom/>
      <diagonal/>
    </border>
    <border>
      <left/>
      <right/>
      <top style="thin">
        <color rgb="FF000000"/>
      </top>
      <bottom style="thin">
        <color rgb="FF000000"/>
      </bottom>
      <diagonal/>
    </border>
  </borders>
  <cellStyleXfs count="6410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69"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0"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17" fillId="0" borderId="0" applyNumberFormat="0" applyFill="0" applyBorder="0" applyAlignment="0" applyProtection="0"/>
    <xf numFmtId="173"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7"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29" borderId="0" applyFont="0" applyBorder="0" applyAlignment="0">
      <alignment horizontal="right"/>
      <protection locked="0"/>
    </xf>
    <xf numFmtId="170" fontId="3" fillId="29" borderId="0" applyFont="0" applyBorder="0" applyAlignment="0">
      <alignment horizontal="right"/>
      <protection locked="0"/>
    </xf>
    <xf numFmtId="170" fontId="3" fillId="30" borderId="0" applyFont="0" applyBorder="0">
      <alignment horizontal="right"/>
      <protection locked="0"/>
    </xf>
    <xf numFmtId="0" fontId="4" fillId="31" borderId="0"/>
    <xf numFmtId="0" fontId="35" fillId="0" borderId="7" applyNumberFormat="0" applyFill="0" applyAlignment="0" applyProtection="0"/>
    <xf numFmtId="174" fontId="36" fillId="0" borderId="0"/>
    <xf numFmtId="0" fontId="37" fillId="0" borderId="0" applyFill="0" applyBorder="0">
      <alignment horizontal="left" vertical="center"/>
    </xf>
    <xf numFmtId="0" fontId="38" fillId="8" borderId="0" applyNumberFormat="0" applyBorder="0" applyAlignment="0" applyProtection="0"/>
    <xf numFmtId="175"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6"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7"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8" fontId="3" fillId="0" borderId="0"/>
    <xf numFmtId="179" fontId="4" fillId="0" borderId="0" applyFill="0" applyBorder="0">
      <alignment horizontal="right" vertical="center"/>
    </xf>
    <xf numFmtId="180" fontId="4" fillId="0" borderId="0" applyFill="0" applyBorder="0">
      <alignment horizontal="right" vertical="center"/>
    </xf>
    <xf numFmtId="181"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2"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0" fontId="3" fillId="31" borderId="0" applyNumberFormat="0" applyFont="0" applyBorder="0" applyAlignment="0">
      <alignment horizontal="right"/>
    </xf>
    <xf numFmtId="170"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43" borderId="0" applyFont="0" applyBorder="0" applyAlignment="0">
      <alignment horizontal="right"/>
      <protection locked="0"/>
    </xf>
    <xf numFmtId="170" fontId="3" fillId="43" borderId="0" applyFont="0" applyBorder="0" applyAlignment="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42" fillId="0" borderId="10"/>
    <xf numFmtId="177"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89" fillId="48" borderId="0" applyNumberFormat="0" applyBorder="0" applyAlignment="0" applyProtection="0"/>
    <xf numFmtId="0" fontId="90" fillId="49" borderId="0" applyNumberFormat="0" applyBorder="0" applyAlignment="0" applyProtection="0"/>
    <xf numFmtId="0" fontId="3" fillId="0" borderId="0"/>
    <xf numFmtId="0" fontId="3" fillId="0" borderId="0"/>
    <xf numFmtId="170" fontId="97" fillId="31" borderId="0" applyFont="0" applyBorder="0" applyAlignment="0"/>
    <xf numFmtId="167" fontId="97" fillId="31" borderId="0" applyFont="0" applyBorder="0" applyAlignment="0"/>
    <xf numFmtId="10" fontId="3" fillId="53" borderId="0" applyFont="0" applyBorder="0">
      <alignment horizontal="right"/>
      <protection locked="0"/>
    </xf>
    <xf numFmtId="10" fontId="97" fillId="54" borderId="0" applyBorder="0" applyAlignment="0">
      <protection locked="0"/>
    </xf>
    <xf numFmtId="186"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217">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3" fontId="60" fillId="41" borderId="0" xfId="206" applyNumberFormat="1" applyFont="1" applyFill="1" applyBorder="1" applyAlignment="1">
      <alignment horizontal="center" vertical="center"/>
    </xf>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3"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6" fontId="62" fillId="38" borderId="0" xfId="0" applyNumberFormat="1" applyFont="1" applyFill="1" applyBorder="1"/>
    <xf numFmtId="0" fontId="61" fillId="41" borderId="0" xfId="0"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6"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6" fontId="72" fillId="38" borderId="0" xfId="222" applyNumberFormat="1" applyFont="1" applyFill="1" applyBorder="1"/>
    <xf numFmtId="0" fontId="0" fillId="0" borderId="0" xfId="0" applyAlignment="1">
      <alignment horizontal="left"/>
    </xf>
    <xf numFmtId="0" fontId="77" fillId="0" borderId="0" xfId="0" applyFont="1"/>
    <xf numFmtId="44" fontId="72" fillId="42" borderId="0" xfId="0" applyNumberFormat="1" applyFont="1" applyFill="1" applyBorder="1" applyAlignment="1">
      <alignment horizontal="left"/>
    </xf>
    <xf numFmtId="0" fontId="61" fillId="40" borderId="22" xfId="0" applyFont="1" applyFill="1" applyBorder="1" applyAlignment="1">
      <alignment horizontal="left"/>
    </xf>
    <xf numFmtId="0" fontId="73" fillId="44" borderId="0" xfId="0" applyFont="1" applyFill="1" applyBorder="1"/>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44" fontId="78" fillId="42" borderId="0" xfId="0" applyNumberFormat="1" applyFont="1" applyFill="1" applyBorder="1" applyAlignment="1">
      <alignment horizontal="center" vertical="top" wrapText="1"/>
    </xf>
    <xf numFmtId="166"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44" fontId="60" fillId="38" borderId="0" xfId="222" applyNumberFormat="1" applyFont="1" applyFill="1" applyBorder="1"/>
    <xf numFmtId="0" fontId="61" fillId="40" borderId="0" xfId="0" applyFont="1" applyFill="1" applyBorder="1" applyAlignment="1">
      <alignment horizontal="right"/>
    </xf>
    <xf numFmtId="0" fontId="61" fillId="40" borderId="0" xfId="0" applyFont="1" applyFill="1" applyBorder="1" applyAlignment="1">
      <alignment horizontal="right" wrapText="1"/>
    </xf>
    <xf numFmtId="0" fontId="70" fillId="42" borderId="30" xfId="0" applyNumberFormat="1" applyFont="1" applyFill="1" applyBorder="1" applyAlignment="1">
      <alignment horizontal="center" vertical="center"/>
    </xf>
    <xf numFmtId="44" fontId="70" fillId="42" borderId="30" xfId="0" applyNumberFormat="1" applyFont="1" applyFill="1" applyBorder="1" applyAlignment="1">
      <alignment horizontal="center" vertical="center"/>
    </xf>
    <xf numFmtId="166" fontId="61" fillId="47" borderId="0" xfId="222" applyNumberFormat="1" applyFont="1" applyFill="1" applyBorder="1"/>
    <xf numFmtId="0" fontId="83" fillId="40" borderId="18" xfId="0" applyFont="1" applyFill="1" applyBorder="1" applyAlignment="1">
      <alignment horizontal="left"/>
    </xf>
    <xf numFmtId="183" fontId="84" fillId="47" borderId="0" xfId="206" applyNumberFormat="1" applyFont="1" applyFill="1" applyBorder="1" applyAlignment="1">
      <alignment horizontal="center" vertical="center"/>
    </xf>
    <xf numFmtId="183" fontId="60" fillId="47" borderId="0" xfId="206" applyNumberFormat="1" applyFont="1" applyFill="1" applyBorder="1" applyAlignment="1">
      <alignment horizontal="center" vertical="center"/>
    </xf>
    <xf numFmtId="0" fontId="86" fillId="40" borderId="0" xfId="0" applyFont="1" applyFill="1" applyBorder="1"/>
    <xf numFmtId="44" fontId="69" fillId="42" borderId="0" xfId="0" applyNumberFormat="1" applyFont="1" applyFill="1" applyBorder="1" applyAlignment="1">
      <alignment horizontal="left"/>
    </xf>
    <xf numFmtId="0" fontId="69" fillId="42" borderId="0" xfId="0" applyFont="1" applyFill="1" applyBorder="1" applyAlignment="1">
      <alignment horizontal="center"/>
    </xf>
    <xf numFmtId="0" fontId="70" fillId="42" borderId="0" xfId="0" applyNumberFormat="1" applyFont="1" applyFill="1" applyBorder="1" applyAlignment="1">
      <alignment horizontal="center" vertical="center"/>
    </xf>
    <xf numFmtId="0" fontId="70" fillId="42" borderId="31" xfId="0" applyNumberFormat="1" applyFont="1" applyFill="1" applyBorder="1" applyAlignment="1">
      <alignment horizontal="center" vertical="center"/>
    </xf>
    <xf numFmtId="44" fontId="70" fillId="42" borderId="31" xfId="0" applyNumberFormat="1" applyFont="1" applyFill="1" applyBorder="1" applyAlignment="1">
      <alignment horizontal="center" vertical="center"/>
    </xf>
    <xf numFmtId="0" fontId="70" fillId="42" borderId="14" xfId="0" applyNumberFormat="1" applyFont="1" applyFill="1" applyBorder="1" applyAlignment="1">
      <alignment horizontal="center"/>
    </xf>
    <xf numFmtId="44" fontId="70" fillId="42" borderId="14" xfId="0" applyNumberFormat="1" applyFont="1" applyFill="1" applyBorder="1" applyAlignment="1">
      <alignment horizontal="center"/>
    </xf>
    <xf numFmtId="0" fontId="70" fillId="42" borderId="32" xfId="0" applyNumberFormat="1" applyFont="1" applyFill="1" applyBorder="1" applyAlignment="1">
      <alignment horizontal="center" vertical="center"/>
    </xf>
    <xf numFmtId="44" fontId="70" fillId="42" borderId="32" xfId="0" applyNumberFormat="1" applyFont="1" applyFill="1" applyBorder="1" applyAlignment="1">
      <alignment horizontal="center" vertical="center"/>
    </xf>
    <xf numFmtId="0" fontId="61" fillId="40" borderId="0" xfId="0" applyFont="1" applyFill="1" applyBorder="1" applyAlignment="1">
      <alignment horizontal="left"/>
    </xf>
    <xf numFmtId="0" fontId="87" fillId="42" borderId="0" xfId="0" applyFont="1" applyFill="1" applyBorder="1" applyAlignment="1">
      <alignment horizontal="left"/>
    </xf>
    <xf numFmtId="0" fontId="70" fillId="42" borderId="0" xfId="0" applyFont="1" applyFill="1" applyBorder="1" applyAlignment="1">
      <alignment horizontal="left"/>
    </xf>
    <xf numFmtId="44" fontId="0" fillId="42" borderId="32" xfId="0" applyNumberFormat="1" applyFont="1" applyFill="1" applyBorder="1" applyAlignment="1">
      <alignment vertical="top" wrapText="1"/>
    </xf>
    <xf numFmtId="0" fontId="2" fillId="2" borderId="33" xfId="0" applyFont="1" applyFill="1" applyBorder="1" applyAlignment="1">
      <alignment horizontal="center" wrapText="1"/>
    </xf>
    <xf numFmtId="0" fontId="62" fillId="42" borderId="19" xfId="0" applyFont="1" applyFill="1" applyBorder="1" applyAlignment="1">
      <alignment horizontal="left"/>
    </xf>
    <xf numFmtId="0" fontId="61" fillId="39" borderId="0" xfId="0" applyFont="1" applyFill="1" applyBorder="1" applyAlignment="1">
      <alignment horizontal="left"/>
    </xf>
    <xf numFmtId="184" fontId="84" fillId="47" borderId="0" xfId="206" applyNumberFormat="1" applyFont="1" applyFill="1" applyBorder="1" applyAlignment="1">
      <alignment horizontal="right" vertical="center"/>
    </xf>
    <xf numFmtId="0" fontId="91" fillId="50" borderId="23" xfId="0" applyFont="1" applyFill="1" applyBorder="1" applyAlignment="1">
      <alignment horizontal="center" vertical="center" wrapText="1"/>
    </xf>
    <xf numFmtId="0" fontId="91" fillId="50" borderId="42" xfId="0" applyFont="1" applyFill="1" applyBorder="1" applyAlignment="1">
      <alignment horizontal="center" vertical="center" wrapText="1"/>
    </xf>
    <xf numFmtId="0" fontId="91" fillId="50" borderId="43" xfId="0" applyFont="1" applyFill="1" applyBorder="1" applyAlignment="1">
      <alignment horizontal="center" vertical="center" wrapText="1"/>
    </xf>
    <xf numFmtId="0" fontId="91" fillId="50" borderId="43" xfId="0" applyFont="1" applyFill="1" applyBorder="1" applyAlignment="1">
      <alignment vertical="center" wrapText="1"/>
    </xf>
    <xf numFmtId="0" fontId="91" fillId="50" borderId="44" xfId="0" applyFont="1" applyFill="1" applyBorder="1" applyAlignment="1">
      <alignment vertical="center" wrapText="1"/>
    </xf>
    <xf numFmtId="0" fontId="0" fillId="0" borderId="0" xfId="0" applyAlignment="1"/>
    <xf numFmtId="185" fontId="91" fillId="50" borderId="23" xfId="0" applyNumberFormat="1" applyFont="1" applyFill="1" applyBorder="1" applyAlignment="1">
      <alignment horizontal="center" vertical="center"/>
    </xf>
    <xf numFmtId="0" fontId="91" fillId="50" borderId="23" xfId="0" applyFont="1" applyFill="1" applyBorder="1" applyAlignment="1">
      <alignment horizontal="center" vertical="center"/>
    </xf>
    <xf numFmtId="0" fontId="92" fillId="0" borderId="23" xfId="0" applyFont="1" applyFill="1" applyBorder="1" applyAlignment="1">
      <alignment vertical="center"/>
    </xf>
    <xf numFmtId="0" fontId="92" fillId="0" borderId="23" xfId="0" applyFont="1" applyFill="1" applyBorder="1" applyAlignment="1">
      <alignment horizontal="center" vertical="center"/>
    </xf>
    <xf numFmtId="185" fontId="93" fillId="0" borderId="23" xfId="0" applyNumberFormat="1" applyFont="1" applyFill="1" applyBorder="1" applyAlignment="1">
      <alignment horizontal="left" vertical="center" indent="1"/>
    </xf>
    <xf numFmtId="185" fontId="93" fillId="0" borderId="23" xfId="0" applyNumberFormat="1" applyFont="1" applyFill="1" applyBorder="1" applyAlignment="1">
      <alignment horizontal="center" vertical="center"/>
    </xf>
    <xf numFmtId="185" fontId="93" fillId="0" borderId="23" xfId="0" applyNumberFormat="1" applyFont="1" applyFill="1" applyBorder="1" applyAlignment="1">
      <alignment horizontal="center" vertical="center" wrapText="1"/>
    </xf>
    <xf numFmtId="185" fontId="93" fillId="0" borderId="23" xfId="0" applyNumberFormat="1" applyFont="1" applyFill="1" applyBorder="1" applyAlignment="1">
      <alignment horizontal="right" vertical="center" indent="1"/>
    </xf>
    <xf numFmtId="2" fontId="92" fillId="0" borderId="23" xfId="0" applyNumberFormat="1" applyFont="1" applyFill="1" applyBorder="1" applyAlignment="1">
      <alignment horizontal="left" vertical="center" indent="1"/>
    </xf>
    <xf numFmtId="0" fontId="92" fillId="51" borderId="23" xfId="0" applyFont="1" applyFill="1" applyBorder="1" applyAlignment="1">
      <alignment vertical="center"/>
    </xf>
    <xf numFmtId="0" fontId="92" fillId="51" borderId="23" xfId="0" applyFont="1" applyFill="1" applyBorder="1" applyAlignment="1">
      <alignment horizontal="center" vertical="center"/>
    </xf>
    <xf numFmtId="185" fontId="93" fillId="51" borderId="23" xfId="0" applyNumberFormat="1" applyFont="1" applyFill="1" applyBorder="1" applyAlignment="1">
      <alignment horizontal="left" vertical="center" indent="1"/>
    </xf>
    <xf numFmtId="185" fontId="93" fillId="51" borderId="23" xfId="0" applyNumberFormat="1" applyFont="1" applyFill="1" applyBorder="1" applyAlignment="1">
      <alignment horizontal="center" vertical="center"/>
    </xf>
    <xf numFmtId="185" fontId="93" fillId="51" borderId="23" xfId="0" applyNumberFormat="1" applyFont="1" applyFill="1" applyBorder="1" applyAlignment="1">
      <alignment horizontal="center" vertical="center" wrapText="1"/>
    </xf>
    <xf numFmtId="185" fontId="93" fillId="51" borderId="23" xfId="0" applyNumberFormat="1" applyFont="1" applyFill="1" applyBorder="1" applyAlignment="1">
      <alignment horizontal="right" vertical="center" indent="1"/>
    </xf>
    <xf numFmtId="2" fontId="92" fillId="51" borderId="23" xfId="0" applyNumberFormat="1" applyFont="1" applyFill="1" applyBorder="1" applyAlignment="1">
      <alignment horizontal="left" vertical="center" indent="1"/>
    </xf>
    <xf numFmtId="185" fontId="93" fillId="0" borderId="23" xfId="0" applyNumberFormat="1" applyFont="1" applyFill="1" applyBorder="1" applyAlignment="1">
      <alignment horizontal="center" vertical="top"/>
    </xf>
    <xf numFmtId="185" fontId="93" fillId="51" borderId="23" xfId="0" applyNumberFormat="1" applyFont="1" applyFill="1" applyBorder="1" applyAlignment="1">
      <alignment horizontal="center" vertical="top"/>
    </xf>
    <xf numFmtId="0" fontId="0" fillId="0" borderId="0" xfId="0" applyFill="1" applyAlignment="1"/>
    <xf numFmtId="185" fontId="93" fillId="0" borderId="23" xfId="64092" applyNumberFormat="1" applyFont="1" applyFill="1" applyBorder="1" applyAlignment="1">
      <alignment horizontal="left" vertical="center" indent="1"/>
    </xf>
    <xf numFmtId="185" fontId="93" fillId="0" borderId="23" xfId="64092" applyNumberFormat="1" applyFont="1" applyFill="1" applyBorder="1" applyAlignment="1">
      <alignment horizontal="center" vertical="center" wrapText="1"/>
    </xf>
    <xf numFmtId="185" fontId="93" fillId="0" borderId="23" xfId="64092" applyNumberFormat="1" applyFont="1" applyFill="1" applyBorder="1" applyAlignment="1">
      <alignment horizontal="right" vertical="center" indent="1"/>
    </xf>
    <xf numFmtId="185" fontId="93" fillId="52" borderId="23" xfId="0" applyNumberFormat="1" applyFont="1" applyFill="1" applyBorder="1" applyAlignment="1">
      <alignment horizontal="center" vertical="center" wrapText="1"/>
    </xf>
    <xf numFmtId="185" fontId="94" fillId="0" borderId="23" xfId="0" applyNumberFormat="1" applyFont="1" applyFill="1" applyBorder="1" applyAlignment="1">
      <alignment horizontal="right" vertical="center" indent="1"/>
    </xf>
    <xf numFmtId="185" fontId="93" fillId="0" borderId="23" xfId="64091" applyNumberFormat="1" applyFont="1" applyFill="1" applyBorder="1" applyAlignment="1">
      <alignment horizontal="left" vertical="center" indent="1"/>
    </xf>
    <xf numFmtId="185" fontId="93" fillId="0" borderId="23" xfId="64091" applyNumberFormat="1" applyFont="1" applyFill="1" applyBorder="1" applyAlignment="1">
      <alignment horizontal="center" vertical="center"/>
    </xf>
    <xf numFmtId="185" fontId="93" fillId="52" borderId="23" xfId="64091" applyNumberFormat="1" applyFont="1" applyFill="1" applyBorder="1" applyAlignment="1">
      <alignment horizontal="center" vertical="center" wrapText="1"/>
    </xf>
    <xf numFmtId="0" fontId="0" fillId="0" borderId="0" xfId="0" applyAlignment="1">
      <alignment horizontal="center"/>
    </xf>
    <xf numFmtId="185" fontId="0" fillId="0" borderId="0" xfId="0" applyNumberFormat="1" applyAlignment="1"/>
    <xf numFmtId="43" fontId="62" fillId="38" borderId="0" xfId="0" applyNumberFormat="1" applyFont="1" applyFill="1" applyBorder="1"/>
    <xf numFmtId="0" fontId="62" fillId="38" borderId="0" xfId="0" applyFont="1" applyFill="1" applyBorder="1" applyAlignment="1">
      <alignment horizontal="left"/>
    </xf>
    <xf numFmtId="0" fontId="0" fillId="38" borderId="0" xfId="0" applyFill="1"/>
    <xf numFmtId="0" fontId="69" fillId="38" borderId="0" xfId="0" applyFont="1" applyFill="1" applyBorder="1" applyAlignment="1">
      <alignment horizontal="left"/>
    </xf>
    <xf numFmtId="166" fontId="61" fillId="44" borderId="0" xfId="222" applyNumberFormat="1" applyFont="1" applyFill="1" applyBorder="1"/>
    <xf numFmtId="166" fontId="70" fillId="38" borderId="0" xfId="222" applyNumberFormat="1" applyFont="1" applyFill="1" applyBorder="1" applyAlignment="1">
      <alignment vertical="center" wrapText="1"/>
    </xf>
    <xf numFmtId="0" fontId="72" fillId="38" borderId="0" xfId="0" applyFont="1" applyFill="1" applyBorder="1" applyAlignment="1">
      <alignment horizontal="right" vertical="center" wrapText="1"/>
    </xf>
    <xf numFmtId="44" fontId="69" fillId="38" borderId="14" xfId="0" applyNumberFormat="1" applyFont="1" applyFill="1" applyBorder="1" applyAlignment="1">
      <alignment horizontal="center" vertical="center"/>
    </xf>
    <xf numFmtId="44" fontId="69" fillId="38" borderId="14" xfId="0" applyNumberFormat="1" applyFont="1" applyFill="1" applyBorder="1" applyAlignment="1">
      <alignment horizontal="right" vertical="center"/>
    </xf>
    <xf numFmtId="44" fontId="69" fillId="38" borderId="14" xfId="0" applyNumberFormat="1" applyFont="1" applyFill="1" applyBorder="1" applyAlignment="1">
      <alignment horizontal="left" vertical="center"/>
    </xf>
    <xf numFmtId="0" fontId="61" fillId="44" borderId="18" xfId="0" applyFont="1" applyFill="1" applyBorder="1"/>
    <xf numFmtId="183" fontId="70" fillId="41" borderId="0" xfId="206" applyNumberFormat="1" applyFont="1" applyFill="1" applyBorder="1" applyAlignment="1">
      <alignment horizontal="center" vertical="center"/>
    </xf>
    <xf numFmtId="183" fontId="73" fillId="41" borderId="0" xfId="206" applyNumberFormat="1" applyFont="1" applyFill="1" applyBorder="1" applyAlignment="1">
      <alignment horizontal="center" vertical="center"/>
    </xf>
    <xf numFmtId="0" fontId="85" fillId="0" borderId="24" xfId="0" applyFont="1" applyBorder="1" applyAlignment="1">
      <alignment horizontal="center"/>
    </xf>
    <xf numFmtId="0" fontId="85"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7"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5" fillId="0" borderId="23" xfId="0" applyFont="1" applyBorder="1" applyAlignment="1">
      <alignment horizontal="center"/>
    </xf>
    <xf numFmtId="0" fontId="85" fillId="0" borderId="23" xfId="0" applyFont="1" applyBorder="1"/>
    <xf numFmtId="0" fontId="77" fillId="38" borderId="0" xfId="0" applyFont="1" applyFill="1"/>
    <xf numFmtId="0" fontId="0" fillId="38" borderId="0" xfId="0" applyFill="1" applyAlignment="1">
      <alignment wrapText="1"/>
    </xf>
    <xf numFmtId="0" fontId="82" fillId="40" borderId="0" xfId="0" applyFont="1" applyFill="1" applyBorder="1"/>
    <xf numFmtId="0" fontId="98" fillId="40" borderId="0" xfId="0" applyFont="1" applyFill="1" applyBorder="1" applyAlignment="1">
      <alignment horizontal="center"/>
    </xf>
    <xf numFmtId="0" fontId="0" fillId="38" borderId="0" xfId="0" applyFill="1" applyAlignment="1">
      <alignment horizontal="left"/>
    </xf>
    <xf numFmtId="0" fontId="75" fillId="38" borderId="0" xfId="0" applyFont="1" applyFill="1" applyAlignment="1">
      <alignment horizontal="left" indent="15"/>
    </xf>
    <xf numFmtId="0" fontId="77" fillId="38" borderId="0" xfId="0" applyFont="1" applyFill="1" applyAlignment="1">
      <alignment horizontal="left"/>
    </xf>
    <xf numFmtId="0" fontId="76" fillId="38" borderId="0" xfId="0" applyFont="1" applyFill="1" applyAlignment="1">
      <alignment horizontal="left" indent="15"/>
    </xf>
    <xf numFmtId="0" fontId="74" fillId="44" borderId="0" xfId="0" applyFont="1" applyFill="1" applyBorder="1"/>
    <xf numFmtId="10" fontId="60" fillId="41" borderId="0" xfId="206" applyNumberFormat="1" applyFont="1" applyFill="1" applyBorder="1" applyAlignment="1">
      <alignment horizontal="center" vertical="center"/>
    </xf>
    <xf numFmtId="10" fontId="60" fillId="56" borderId="0" xfId="206" applyNumberFormat="1" applyFont="1" applyFill="1" applyBorder="1" applyAlignment="1">
      <alignment horizontal="center" vertical="center"/>
    </xf>
    <xf numFmtId="44" fontId="70" fillId="56" borderId="26" xfId="0" applyNumberFormat="1" applyFont="1" applyFill="1" applyBorder="1" applyAlignment="1">
      <alignment vertical="center"/>
    </xf>
    <xf numFmtId="44" fontId="70" fillId="42" borderId="46"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44" fontId="70" fillId="42" borderId="47" xfId="0" applyNumberFormat="1" applyFont="1" applyFill="1" applyBorder="1" applyAlignment="1">
      <alignment horizontal="center" vertical="center"/>
    </xf>
    <xf numFmtId="44" fontId="70" fillId="42" borderId="0" xfId="0" applyNumberFormat="1" applyFont="1" applyFill="1" applyBorder="1" applyAlignment="1">
      <alignment horizontal="center"/>
    </xf>
    <xf numFmtId="44" fontId="81" fillId="38" borderId="0" xfId="0" applyNumberFormat="1" applyFont="1" applyFill="1" applyBorder="1"/>
    <xf numFmtId="0" fontId="81" fillId="38" borderId="0" xfId="0" applyFont="1" applyFill="1" applyBorder="1"/>
    <xf numFmtId="2" fontId="0" fillId="56" borderId="23" xfId="0" applyNumberFormat="1" applyFont="1" applyFill="1" applyBorder="1" applyAlignment="1">
      <alignment vertical="top"/>
    </xf>
    <xf numFmtId="44" fontId="0" fillId="56" borderId="23" xfId="0" applyNumberFormat="1" applyFont="1" applyFill="1" applyBorder="1" applyAlignment="1">
      <alignment vertical="top" wrapText="1"/>
    </xf>
    <xf numFmtId="0" fontId="0" fillId="56" borderId="23" xfId="0" applyNumberFormat="1" applyFont="1" applyFill="1" applyBorder="1" applyAlignment="1">
      <alignment vertical="top"/>
    </xf>
    <xf numFmtId="0" fontId="62" fillId="42" borderId="19" xfId="0" applyFont="1" applyFill="1" applyBorder="1" applyAlignment="1">
      <alignment horizontal="left"/>
    </xf>
    <xf numFmtId="0" fontId="61" fillId="40" borderId="0" xfId="0" applyFont="1" applyFill="1" applyBorder="1" applyAlignment="1">
      <alignment horizontal="left"/>
    </xf>
    <xf numFmtId="0" fontId="61" fillId="39" borderId="0" xfId="0" applyFont="1" applyFill="1" applyBorder="1" applyAlignment="1">
      <alignment horizontal="left"/>
    </xf>
    <xf numFmtId="0" fontId="62" fillId="42" borderId="0" xfId="0" applyFont="1" applyFill="1" applyBorder="1" applyAlignment="1">
      <alignment horizontal="left" vertical="top" wrapText="1"/>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0" fontId="2" fillId="2" borderId="34" xfId="0" applyFont="1" applyFill="1" applyBorder="1" applyAlignment="1">
      <alignment horizontal="center" wrapText="1"/>
    </xf>
    <xf numFmtId="0" fontId="2" fillId="2" borderId="30" xfId="0" applyFont="1" applyFill="1" applyBorder="1" applyAlignment="1">
      <alignment horizontal="center" wrapText="1"/>
    </xf>
    <xf numFmtId="0" fontId="2" fillId="2" borderId="35" xfId="0" applyFont="1" applyFill="1" applyBorder="1" applyAlignment="1">
      <alignment horizontal="center" wrapText="1"/>
    </xf>
    <xf numFmtId="0" fontId="2" fillId="2" borderId="36" xfId="0" applyFont="1" applyFill="1" applyBorder="1" applyAlignment="1">
      <alignment horizontal="center" wrapText="1"/>
    </xf>
    <xf numFmtId="0" fontId="2" fillId="2" borderId="37" xfId="0" applyFont="1" applyFill="1" applyBorder="1" applyAlignment="1">
      <alignment horizontal="center" wrapText="1"/>
    </xf>
    <xf numFmtId="0" fontId="2" fillId="2" borderId="38" xfId="0" applyFont="1" applyFill="1" applyBorder="1" applyAlignment="1">
      <alignment horizontal="center" wrapText="1"/>
    </xf>
    <xf numFmtId="0" fontId="62" fillId="42" borderId="19" xfId="0" applyFont="1" applyFill="1" applyBorder="1" applyAlignment="1">
      <alignment horizontal="left"/>
    </xf>
    <xf numFmtId="0" fontId="0" fillId="42" borderId="0" xfId="0" applyNumberFormat="1" applyFont="1" applyFill="1" applyBorder="1" applyAlignment="1">
      <alignment horizontal="left" vertical="top" wrapText="1"/>
    </xf>
    <xf numFmtId="0" fontId="61" fillId="40" borderId="0" xfId="0" applyFont="1" applyFill="1" applyBorder="1" applyAlignment="1">
      <alignment horizontal="left"/>
    </xf>
    <xf numFmtId="44" fontId="72" fillId="42" borderId="0" xfId="0" applyNumberFormat="1" applyFont="1" applyFill="1" applyBorder="1" applyAlignment="1">
      <alignment horizontal="left" wrapText="1"/>
    </xf>
    <xf numFmtId="44" fontId="72" fillId="42" borderId="0" xfId="0" applyNumberFormat="1"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61" fillId="40" borderId="22" xfId="0" applyFont="1" applyFill="1" applyBorder="1" applyAlignment="1">
      <alignment horizontal="left"/>
    </xf>
    <xf numFmtId="0" fontId="70" fillId="42" borderId="19" xfId="0" applyFont="1" applyFill="1" applyBorder="1" applyAlignment="1">
      <alignment horizontal="left"/>
    </xf>
    <xf numFmtId="44" fontId="72" fillId="56" borderId="0" xfId="0" applyNumberFormat="1" applyFont="1" applyFill="1" applyBorder="1" applyAlignment="1">
      <alignment horizontal="left"/>
    </xf>
    <xf numFmtId="0" fontId="61" fillId="39" borderId="0" xfId="0" applyFont="1" applyFill="1" applyBorder="1" applyAlignment="1">
      <alignment horizontal="left"/>
    </xf>
    <xf numFmtId="0" fontId="85" fillId="45" borderId="0" xfId="0" applyFont="1" applyFill="1" applyBorder="1" applyAlignment="1">
      <alignment horizontal="left" vertical="center" wrapText="1"/>
    </xf>
    <xf numFmtId="0" fontId="91" fillId="50" borderId="41" xfId="0" applyFont="1" applyFill="1" applyBorder="1" applyAlignment="1">
      <alignment horizontal="center" vertical="center"/>
    </xf>
    <xf numFmtId="0" fontId="91" fillId="50" borderId="24" xfId="0" applyFont="1" applyFill="1" applyBorder="1" applyAlignment="1">
      <alignment horizontal="center" vertical="center"/>
    </xf>
    <xf numFmtId="0" fontId="91" fillId="50" borderId="23" xfId="0" applyFont="1" applyFill="1" applyBorder="1" applyAlignment="1">
      <alignment horizontal="center" vertical="center"/>
    </xf>
    <xf numFmtId="0" fontId="91" fillId="50" borderId="39" xfId="0" applyFont="1" applyFill="1" applyBorder="1" applyAlignment="1">
      <alignment horizontal="center" vertical="center"/>
    </xf>
    <xf numFmtId="0" fontId="91" fillId="50" borderId="40" xfId="0" applyFont="1" applyFill="1" applyBorder="1" applyAlignment="1">
      <alignment horizontal="center" vertical="center"/>
    </xf>
    <xf numFmtId="0" fontId="91" fillId="50" borderId="45" xfId="0" applyFont="1" applyFill="1" applyBorder="1" applyAlignment="1">
      <alignment horizontal="center" vertical="center"/>
    </xf>
    <xf numFmtId="0" fontId="91" fillId="50" borderId="25" xfId="0" applyFont="1" applyFill="1" applyBorder="1" applyAlignment="1">
      <alignment horizontal="center" vertical="center"/>
    </xf>
    <xf numFmtId="0" fontId="91" fillId="50" borderId="23" xfId="0" applyFont="1" applyFill="1" applyBorder="1" applyAlignment="1">
      <alignment horizontal="center" vertical="center" wrapText="1"/>
    </xf>
    <xf numFmtId="0" fontId="78" fillId="0" borderId="0" xfId="0" applyFont="1"/>
    <xf numFmtId="0" fontId="99" fillId="0" borderId="0" xfId="0" applyFont="1"/>
    <xf numFmtId="0" fontId="0" fillId="0" borderId="0" xfId="0" applyFont="1"/>
    <xf numFmtId="0" fontId="0" fillId="0" borderId="0" xfId="0" quotePrefix="1" applyAlignment="1">
      <alignment wrapText="1"/>
    </xf>
    <xf numFmtId="0" fontId="0" fillId="0" borderId="0" xfId="0" quotePrefix="1"/>
    <xf numFmtId="10" fontId="60" fillId="57" borderId="0" xfId="206" applyNumberFormat="1" applyFont="1" applyFill="1" applyBorder="1" applyAlignment="1">
      <alignment horizontal="center" vertical="center"/>
    </xf>
    <xf numFmtId="44" fontId="70" fillId="57" borderId="31" xfId="0" applyNumberFormat="1" applyFont="1" applyFill="1" applyBorder="1" applyAlignment="1">
      <alignment horizontal="center" vertical="center"/>
    </xf>
    <xf numFmtId="44" fontId="70" fillId="57" borderId="46" xfId="0" applyNumberFormat="1" applyFont="1" applyFill="1" applyBorder="1" applyAlignment="1">
      <alignment horizontal="center" vertical="center"/>
    </xf>
    <xf numFmtId="44" fontId="70" fillId="57" borderId="47" xfId="0" applyNumberFormat="1" applyFont="1" applyFill="1" applyBorder="1" applyAlignment="1">
      <alignment horizontal="center" vertical="center"/>
    </xf>
    <xf numFmtId="44" fontId="70" fillId="57" borderId="14" xfId="0" applyNumberFormat="1" applyFont="1" applyFill="1" applyBorder="1" applyAlignment="1">
      <alignment horizontal="center" vertical="center"/>
    </xf>
    <xf numFmtId="44" fontId="72" fillId="57" borderId="14" xfId="0" applyNumberFormat="1" applyFont="1" applyFill="1" applyBorder="1" applyAlignment="1">
      <alignment horizontal="center"/>
    </xf>
    <xf numFmtId="44" fontId="62" fillId="38" borderId="0" xfId="0" applyNumberFormat="1" applyFont="1" applyFill="1" applyBorder="1"/>
    <xf numFmtId="44" fontId="100" fillId="42" borderId="31" xfId="0" applyNumberFormat="1" applyFont="1" applyFill="1" applyBorder="1" applyAlignment="1">
      <alignment horizontal="center" vertical="center"/>
    </xf>
    <xf numFmtId="44" fontId="100" fillId="42" borderId="47" xfId="0" applyNumberFormat="1" applyFont="1" applyFill="1" applyBorder="1" applyAlignment="1">
      <alignment horizontal="center" vertical="center"/>
    </xf>
    <xf numFmtId="44" fontId="100" fillId="42" borderId="46" xfId="0" applyNumberFormat="1" applyFont="1" applyFill="1" applyBorder="1" applyAlignment="1">
      <alignment horizontal="center" vertical="center"/>
    </xf>
    <xf numFmtId="44" fontId="100" fillId="42" borderId="14" xfId="0" applyNumberFormat="1" applyFont="1" applyFill="1" applyBorder="1" applyAlignment="1">
      <alignment horizontal="center" vertical="center"/>
    </xf>
    <xf numFmtId="44" fontId="100" fillId="42" borderId="0" xfId="0" applyNumberFormat="1" applyFont="1" applyFill="1" applyBorder="1" applyAlignment="1">
      <alignment horizontal="center" vertical="center"/>
    </xf>
  </cellXfs>
  <cellStyles count="64104">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289430</xdr:colOff>
      <xdr:row>53</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60373/Desktop/ANS%20models%2011%2012%202017/01_Design%20Related%20Services%20REG%20DRAFT%2012_10_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ER%20FD%20-%20Ausgrid%20-%20Attachment%208.06.02%20-%20Design%20Related%20Services%20-%20January%202019%20-%20Ap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refreshError="1"/>
      <sheetData sheetId="1" refreshError="1"/>
      <sheetData sheetId="2" refreshError="1"/>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FD method and comparison"/>
      <sheetName val="AER FD AER Summary"/>
      <sheetName val="AER FD Input Data"/>
      <sheetName val="Cover"/>
      <sheetName val="AER Summary"/>
      <sheetName val="Service Description"/>
      <sheetName val="Fee Breakdown"/>
      <sheetName val="Input Data"/>
      <sheetName val="15-19 prices"/>
    </sheetNames>
    <sheetDataSet>
      <sheetData sheetId="0"/>
      <sheetData sheetId="1"/>
      <sheetData sheetId="2"/>
      <sheetData sheetId="3"/>
      <sheetData sheetId="4"/>
      <sheetData sheetId="5"/>
      <sheetData sheetId="6"/>
      <sheetData sheetId="7">
        <row r="37">
          <cell r="B37" t="str">
            <v>R1</v>
          </cell>
        </row>
        <row r="38">
          <cell r="B38" t="str">
            <v>R2</v>
          </cell>
        </row>
        <row r="39">
          <cell r="B39" t="str">
            <v>R3</v>
          </cell>
        </row>
        <row r="40">
          <cell r="B40" t="str">
            <v>R4</v>
          </cell>
        </row>
        <row r="41">
          <cell r="B41" t="str">
            <v>R5</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8"/>
  <sheetViews>
    <sheetView tabSelected="1" workbookViewId="0">
      <selection activeCell="A3" sqref="A3"/>
    </sheetView>
  </sheetViews>
  <sheetFormatPr defaultRowHeight="14.4"/>
  <cols>
    <col min="1" max="1" width="86.33203125" customWidth="1"/>
  </cols>
  <sheetData>
    <row r="1" spans="1:1">
      <c r="A1" s="200" t="s">
        <v>294</v>
      </c>
    </row>
    <row r="2" spans="1:1">
      <c r="A2" s="201" t="s">
        <v>300</v>
      </c>
    </row>
    <row r="3" spans="1:1">
      <c r="A3" s="202" t="s">
        <v>295</v>
      </c>
    </row>
    <row r="5" spans="1:1">
      <c r="A5" s="200" t="s">
        <v>296</v>
      </c>
    </row>
    <row r="6" spans="1:1" ht="28.8">
      <c r="A6" s="203" t="s">
        <v>297</v>
      </c>
    </row>
    <row r="7" spans="1:1" ht="28.8">
      <c r="A7" s="203" t="s">
        <v>298</v>
      </c>
    </row>
    <row r="8" spans="1:1">
      <c r="A8" s="204" t="s">
        <v>299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I122"/>
  <sheetViews>
    <sheetView zoomScale="80" zoomScaleNormal="80" workbookViewId="0">
      <selection activeCell="F9" sqref="F9:I18"/>
    </sheetView>
  </sheetViews>
  <sheetFormatPr defaultColWidth="0" defaultRowHeight="14.4" zeroHeight="1"/>
  <cols>
    <col min="1" max="1" width="2.44140625" customWidth="1"/>
    <col min="2" max="2" width="51.6640625" customWidth="1"/>
    <col min="3" max="10" width="20.6640625" customWidth="1"/>
    <col min="11" max="12" width="14.6640625" customWidth="1"/>
    <col min="13" max="17" width="9.109375" hidden="1" customWidth="1"/>
    <col min="18" max="18" width="5.33203125" hidden="1" customWidth="1"/>
    <col min="19" max="19" width="2.44140625" hidden="1" customWidth="1"/>
    <col min="20" max="35" width="0" hidden="1" customWidth="1"/>
    <col min="36" max="16384" width="9.109375" hidden="1"/>
  </cols>
  <sheetData>
    <row r="1" spans="1:13" s="7" customFormat="1"/>
    <row r="2" spans="1:13" s="7" customFormat="1" ht="21">
      <c r="B2" s="28" t="s">
        <v>14</v>
      </c>
      <c r="C2" s="1"/>
      <c r="D2" s="1"/>
      <c r="E2" s="4"/>
      <c r="F2" s="4"/>
      <c r="G2" s="4"/>
      <c r="H2" s="4"/>
      <c r="I2" s="4"/>
      <c r="J2" s="4"/>
    </row>
    <row r="3" spans="1:13" s="7" customFormat="1">
      <c r="B3" s="5" t="s">
        <v>0</v>
      </c>
      <c r="C3" s="25" t="s">
        <v>60</v>
      </c>
      <c r="D3" s="25"/>
      <c r="E3" s="24"/>
      <c r="F3" s="24"/>
      <c r="G3" s="24"/>
      <c r="H3" s="24"/>
      <c r="I3" s="24"/>
      <c r="J3" s="24"/>
    </row>
    <row r="4" spans="1:13" s="7" customFormat="1">
      <c r="B4" s="5" t="s">
        <v>1</v>
      </c>
      <c r="C4" s="24" t="s">
        <v>61</v>
      </c>
      <c r="D4" s="24"/>
      <c r="E4" s="24"/>
      <c r="F4" s="25" t="s">
        <v>2</v>
      </c>
      <c r="G4" s="24"/>
      <c r="H4" s="24"/>
      <c r="I4" s="24"/>
      <c r="J4" s="24"/>
    </row>
    <row r="5" spans="1:13" s="7" customFormat="1">
      <c r="B5" s="5"/>
      <c r="C5" s="24"/>
      <c r="D5" s="24"/>
      <c r="E5" s="24"/>
      <c r="F5" s="24"/>
      <c r="G5" s="24"/>
      <c r="H5" s="24"/>
      <c r="I5" s="24"/>
      <c r="J5" s="24"/>
    </row>
    <row r="6" spans="1:13" s="7" customFormat="1">
      <c r="B6" s="5"/>
      <c r="C6" s="24"/>
      <c r="D6" s="84" t="s">
        <v>83</v>
      </c>
      <c r="E6" s="174" t="s">
        <v>84</v>
      </c>
      <c r="F6" s="175"/>
      <c r="G6" s="175"/>
      <c r="H6" s="175"/>
      <c r="I6" s="176"/>
      <c r="J6" s="24"/>
      <c r="K6" s="164" t="s">
        <v>302</v>
      </c>
    </row>
    <row r="7" spans="1:13" s="7" customFormat="1">
      <c r="B7" s="149" t="s">
        <v>16</v>
      </c>
      <c r="C7" s="29"/>
      <c r="D7" s="32" t="s">
        <v>9</v>
      </c>
      <c r="E7" s="32" t="s">
        <v>18</v>
      </c>
      <c r="F7" s="32" t="s">
        <v>19</v>
      </c>
      <c r="G7" s="32" t="s">
        <v>20</v>
      </c>
      <c r="H7" s="32" t="s">
        <v>21</v>
      </c>
      <c r="I7" s="32" t="s">
        <v>22</v>
      </c>
      <c r="J7" s="24"/>
      <c r="K7" s="164" t="s">
        <v>303</v>
      </c>
      <c r="L7" s="164" t="s">
        <v>304</v>
      </c>
    </row>
    <row r="8" spans="1:13" s="7" customFormat="1">
      <c r="B8" s="150" t="s">
        <v>69</v>
      </c>
      <c r="C8" s="76"/>
      <c r="D8" s="162"/>
      <c r="E8" s="210" t="s">
        <v>301</v>
      </c>
      <c r="F8" s="77"/>
      <c r="G8" s="77"/>
      <c r="H8" s="162"/>
      <c r="I8" s="162"/>
      <c r="J8" s="24"/>
    </row>
    <row r="9" spans="1:13" s="7" customFormat="1">
      <c r="A9" s="7">
        <v>1</v>
      </c>
      <c r="B9" s="62" t="s">
        <v>288</v>
      </c>
      <c r="C9" s="74" t="s">
        <v>62</v>
      </c>
      <c r="D9" s="161">
        <f>ROUND('Fee Breakdown'!H9,2)</f>
        <v>230.09</v>
      </c>
      <c r="E9" s="206">
        <f t="shared" ref="E9:H12" si="0">$D9*D$96</f>
        <v>235.66939409953301</v>
      </c>
      <c r="F9" s="212">
        <f t="shared" si="0"/>
        <v>242.92225336809281</v>
      </c>
      <c r="G9" s="212">
        <f t="shared" si="0"/>
        <v>251.42285335201831</v>
      </c>
      <c r="H9" s="213">
        <f t="shared" si="0"/>
        <v>260.82846731638392</v>
      </c>
      <c r="I9" s="213">
        <f>ROUND($D9,2)*H$96</f>
        <v>270.19414609941452</v>
      </c>
      <c r="J9" s="24"/>
      <c r="K9" s="123">
        <f>'AER Summary'!E9</f>
        <v>236.44602177144233</v>
      </c>
      <c r="L9" s="211">
        <f>E9-K9</f>
        <v>-0.77662767190932414</v>
      </c>
    </row>
    <row r="10" spans="1:13" s="7" customFormat="1" ht="28.8">
      <c r="A10" s="7">
        <v>2</v>
      </c>
      <c r="B10" s="63" t="s">
        <v>292</v>
      </c>
      <c r="C10" s="74" t="s">
        <v>62</v>
      </c>
      <c r="D10" s="50">
        <f>ROUND('Fee Breakdown'!H18,2)</f>
        <v>51.13</v>
      </c>
      <c r="E10" s="207">
        <f t="shared" si="0"/>
        <v>52.369838412400036</v>
      </c>
      <c r="F10" s="214">
        <f t="shared" si="0"/>
        <v>53.981549892262095</v>
      </c>
      <c r="G10" s="212">
        <f t="shared" si="0"/>
        <v>55.870531061274704</v>
      </c>
      <c r="H10" s="215">
        <f t="shared" si="0"/>
        <v>57.960622077824816</v>
      </c>
      <c r="I10" s="216">
        <f>$D10*H$96</f>
        <v>60.041838802481912</v>
      </c>
      <c r="J10" s="24"/>
      <c r="K10" s="123">
        <f>'AER Summary'!E10</f>
        <v>52.542418589134023</v>
      </c>
      <c r="L10" s="211">
        <f t="shared" ref="L10:L18" si="1">E10-K10</f>
        <v>-0.1725801767339874</v>
      </c>
      <c r="M10" s="10"/>
    </row>
    <row r="11" spans="1:13" s="7" customFormat="1">
      <c r="A11" s="7">
        <v>3</v>
      </c>
      <c r="B11" s="62" t="s">
        <v>64</v>
      </c>
      <c r="C11" s="74" t="s">
        <v>62</v>
      </c>
      <c r="D11" s="161">
        <f>ROUND('Fee Breakdown'!H27,2)</f>
        <v>578.41</v>
      </c>
      <c r="E11" s="208">
        <f t="shared" si="0"/>
        <v>592.43571750667513</v>
      </c>
      <c r="F11" s="213">
        <f t="shared" si="0"/>
        <v>610.66826272605738</v>
      </c>
      <c r="G11" s="212">
        <f t="shared" si="0"/>
        <v>632.03743147177579</v>
      </c>
      <c r="H11" s="212">
        <f t="shared" si="0"/>
        <v>655.68166274270777</v>
      </c>
      <c r="I11" s="213">
        <f>$D11*H$96</f>
        <v>679.2255032611688</v>
      </c>
      <c r="J11" s="24"/>
      <c r="K11" s="123">
        <f>'AER Summary'!E11</f>
        <v>594.38803708470573</v>
      </c>
      <c r="L11" s="211">
        <f t="shared" si="1"/>
        <v>-1.9523195780305969</v>
      </c>
      <c r="M11" s="10"/>
    </row>
    <row r="12" spans="1:13" s="7" customFormat="1">
      <c r="A12" s="7">
        <v>4</v>
      </c>
      <c r="B12" s="62" t="s">
        <v>65</v>
      </c>
      <c r="C12" s="74" t="s">
        <v>62</v>
      </c>
      <c r="D12" s="160">
        <f>ROUND('Fee Breakdown'!H36,2)</f>
        <v>105.46</v>
      </c>
      <c r="E12" s="209">
        <f t="shared" si="0"/>
        <v>108.01727281384133</v>
      </c>
      <c r="F12" s="215">
        <f t="shared" si="0"/>
        <v>111.34156564908977</v>
      </c>
      <c r="G12" s="212">
        <f t="shared" si="0"/>
        <v>115.23775094312595</v>
      </c>
      <c r="H12" s="212">
        <f t="shared" si="0"/>
        <v>119.54874250591442</v>
      </c>
      <c r="I12" s="215">
        <f>$D12*H$96</f>
        <v>123.84143008233409</v>
      </c>
      <c r="J12" s="24"/>
      <c r="K12" s="123">
        <f>'AER Summary'!E12</f>
        <v>108.37323419538575</v>
      </c>
      <c r="L12" s="211">
        <f t="shared" si="1"/>
        <v>-0.35596138154441803</v>
      </c>
      <c r="M12" s="10"/>
    </row>
    <row r="13" spans="1:13" s="7" customFormat="1">
      <c r="B13" s="150" t="s">
        <v>70</v>
      </c>
      <c r="C13" s="74"/>
      <c r="D13" s="75"/>
      <c r="E13" s="206"/>
      <c r="F13" s="212"/>
      <c r="G13" s="212"/>
      <c r="H13" s="212"/>
      <c r="I13" s="212"/>
      <c r="J13" s="24"/>
      <c r="K13" s="211">
        <f>'AER Summary'!E13</f>
        <v>0</v>
      </c>
      <c r="L13" s="211">
        <f t="shared" si="1"/>
        <v>0</v>
      </c>
      <c r="M13" s="10"/>
    </row>
    <row r="14" spans="1:13" s="7" customFormat="1">
      <c r="A14" s="7">
        <v>5</v>
      </c>
      <c r="B14" s="62" t="s">
        <v>66</v>
      </c>
      <c r="C14" s="74" t="s">
        <v>62</v>
      </c>
      <c r="D14" s="75">
        <f>ROUND('Fee Breakdown'!H45,2)</f>
        <v>409.04</v>
      </c>
      <c r="E14" s="206">
        <f t="shared" ref="E14:I16" si="2">$D14*D$96</f>
        <v>418.95870729920028</v>
      </c>
      <c r="F14" s="212">
        <f t="shared" si="2"/>
        <v>431.85239913809676</v>
      </c>
      <c r="G14" s="212">
        <f t="shared" si="2"/>
        <v>446.96424849019763</v>
      </c>
      <c r="H14" s="212">
        <f t="shared" si="2"/>
        <v>463.68497662259853</v>
      </c>
      <c r="I14" s="212">
        <f t="shared" si="2"/>
        <v>480.3347104198553</v>
      </c>
      <c r="J14" s="24"/>
      <c r="K14" s="123">
        <f>'AER Summary'!E14</f>
        <v>420.33934871307218</v>
      </c>
      <c r="L14" s="211">
        <f t="shared" si="1"/>
        <v>-1.3806414138718992</v>
      </c>
      <c r="M14" s="10"/>
    </row>
    <row r="15" spans="1:13" s="7" customFormat="1">
      <c r="A15" s="7">
        <v>6</v>
      </c>
      <c r="B15" s="62" t="s">
        <v>67</v>
      </c>
      <c r="C15" s="74" t="s">
        <v>62</v>
      </c>
      <c r="D15" s="75">
        <f>ROUND('Fee Breakdown'!H54,2)</f>
        <v>332.35</v>
      </c>
      <c r="E15" s="206">
        <f t="shared" si="2"/>
        <v>340.40907092433309</v>
      </c>
      <c r="F15" s="212">
        <f t="shared" si="2"/>
        <v>350.88535315261703</v>
      </c>
      <c r="G15" s="212">
        <f t="shared" si="2"/>
        <v>363.16391547456772</v>
      </c>
      <c r="H15" s="212">
        <f t="shared" si="2"/>
        <v>376.7497114720336</v>
      </c>
      <c r="I15" s="212">
        <f t="shared" si="2"/>
        <v>390.27782370437836</v>
      </c>
      <c r="J15" s="24"/>
      <c r="K15" s="123">
        <f>'AER Summary'!E15</f>
        <v>341.53085894971042</v>
      </c>
      <c r="L15" s="211">
        <f t="shared" si="1"/>
        <v>-1.1217880253773274</v>
      </c>
      <c r="M15" s="10"/>
    </row>
    <row r="16" spans="1:13" s="7" customFormat="1">
      <c r="A16" s="7">
        <v>7</v>
      </c>
      <c r="B16" s="62" t="s">
        <v>293</v>
      </c>
      <c r="C16" s="74" t="s">
        <v>62</v>
      </c>
      <c r="D16" s="75">
        <f>ROUND('Fee Breakdown'!H63,2)</f>
        <v>102.26</v>
      </c>
      <c r="E16" s="206">
        <f t="shared" si="2"/>
        <v>104.73967682480007</v>
      </c>
      <c r="F16" s="212">
        <f t="shared" si="2"/>
        <v>107.96309978452419</v>
      </c>
      <c r="G16" s="212">
        <f t="shared" si="2"/>
        <v>111.74106212254941</v>
      </c>
      <c r="H16" s="212">
        <f t="shared" si="2"/>
        <v>115.92124415564963</v>
      </c>
      <c r="I16" s="212">
        <f t="shared" si="2"/>
        <v>120.08367760496382</v>
      </c>
      <c r="J16" s="24"/>
      <c r="K16" s="123">
        <f>'AER Summary'!E16</f>
        <v>105.08483717826805</v>
      </c>
      <c r="L16" s="211">
        <f t="shared" si="1"/>
        <v>-0.3451603534679748</v>
      </c>
      <c r="M16" s="10"/>
    </row>
    <row r="17" spans="1:27" s="7" customFormat="1">
      <c r="B17" s="150" t="s">
        <v>71</v>
      </c>
      <c r="C17" s="74"/>
      <c r="D17" s="75"/>
      <c r="E17" s="206"/>
      <c r="F17" s="212"/>
      <c r="G17" s="212"/>
      <c r="H17" s="212"/>
      <c r="I17" s="212"/>
      <c r="J17" s="24"/>
      <c r="K17" s="211">
        <f>'AER Summary'!E17</f>
        <v>0</v>
      </c>
      <c r="L17" s="211">
        <f t="shared" si="1"/>
        <v>0</v>
      </c>
      <c r="M17" s="10"/>
    </row>
    <row r="18" spans="1:27" s="7" customFormat="1">
      <c r="A18" s="7">
        <v>8</v>
      </c>
      <c r="B18" s="62" t="s">
        <v>68</v>
      </c>
      <c r="C18" s="74" t="s">
        <v>62</v>
      </c>
      <c r="D18" s="75">
        <f>ROUND('Fee Breakdown'!H71,2)</f>
        <v>76.7</v>
      </c>
      <c r="E18" s="206">
        <f>$D18*D$96</f>
        <v>78.559878862332923</v>
      </c>
      <c r="F18" s="212">
        <f>$D18*E$96</f>
        <v>80.977603691306527</v>
      </c>
      <c r="G18" s="212">
        <f>$D18*F$96</f>
        <v>83.811260168194195</v>
      </c>
      <c r="H18" s="212">
        <f>$D18*G$96</f>
        <v>86.94660108290951</v>
      </c>
      <c r="I18" s="212">
        <f>$D18*H$96</f>
        <v>90.068629691968766</v>
      </c>
      <c r="J18" s="24"/>
      <c r="K18" s="123">
        <f>'AER Summary'!E18</f>
        <v>78.818766004040285</v>
      </c>
      <c r="L18" s="211">
        <f t="shared" si="1"/>
        <v>-0.25888714170736193</v>
      </c>
      <c r="M18" s="10"/>
    </row>
    <row r="19" spans="1:27" s="7" customFormat="1">
      <c r="B19" s="62"/>
      <c r="C19" s="78"/>
      <c r="D19" s="79"/>
      <c r="E19" s="79"/>
      <c r="F19" s="79"/>
      <c r="G19" s="79"/>
      <c r="H19" s="79"/>
      <c r="I19" s="79"/>
      <c r="J19" s="24"/>
      <c r="M19" s="10"/>
    </row>
    <row r="20" spans="1:27" s="7" customFormat="1">
      <c r="B20" s="62"/>
      <c r="C20" s="73"/>
      <c r="D20" s="50"/>
      <c r="E20" s="50"/>
      <c r="F20" s="50"/>
      <c r="G20" s="71"/>
      <c r="H20" s="71"/>
      <c r="I20" s="71"/>
      <c r="J20" s="24"/>
      <c r="M20" s="10"/>
    </row>
    <row r="21" spans="1:27" s="7" customFormat="1">
      <c r="B21" s="62"/>
      <c r="C21" s="73"/>
      <c r="D21" s="84" t="s">
        <v>85</v>
      </c>
      <c r="E21" s="174" t="s">
        <v>84</v>
      </c>
      <c r="F21" s="175"/>
      <c r="G21" s="175"/>
      <c r="H21" s="176"/>
      <c r="I21" s="71"/>
      <c r="J21" s="24"/>
      <c r="M21" s="10"/>
    </row>
    <row r="22" spans="1:27" s="7" customFormat="1">
      <c r="B22" s="149" t="s">
        <v>15</v>
      </c>
      <c r="C22" s="50"/>
      <c r="D22" s="32" t="s">
        <v>77</v>
      </c>
      <c r="E22" s="32" t="s">
        <v>6</v>
      </c>
      <c r="F22" s="32" t="s">
        <v>7</v>
      </c>
      <c r="G22" s="32" t="s">
        <v>8</v>
      </c>
      <c r="H22" s="32" t="s">
        <v>9</v>
      </c>
      <c r="I22" s="24"/>
      <c r="J22" s="72"/>
      <c r="M22" s="10"/>
    </row>
    <row r="23" spans="1:27" s="7" customFormat="1">
      <c r="B23" s="70"/>
      <c r="C23" s="50"/>
      <c r="D23" s="50"/>
      <c r="E23" s="50"/>
      <c r="F23" s="50"/>
      <c r="G23" s="71"/>
      <c r="H23" s="71"/>
      <c r="I23" s="24"/>
      <c r="J23" s="72"/>
      <c r="M23" s="10"/>
    </row>
    <row r="24" spans="1:27" s="7" customFormat="1">
      <c r="B24" s="150" t="s">
        <v>60</v>
      </c>
      <c r="C24" s="73"/>
      <c r="D24" s="50"/>
      <c r="E24" s="50"/>
      <c r="F24" s="50"/>
      <c r="G24" s="50"/>
      <c r="H24" s="50"/>
      <c r="I24" s="24"/>
      <c r="J24" s="24"/>
      <c r="M24" s="10"/>
    </row>
    <row r="25" spans="1:27" s="7" customFormat="1">
      <c r="B25" s="62" t="s">
        <v>78</v>
      </c>
      <c r="C25" s="74" t="s">
        <v>62</v>
      </c>
      <c r="D25" s="75">
        <f>'15-19 prices'!J100</f>
        <v>541.47938310960831</v>
      </c>
      <c r="E25" s="75">
        <f t="shared" ref="E25:H26" si="3">$D25*E$103</f>
        <v>560.61147153717764</v>
      </c>
      <c r="F25" s="75">
        <f t="shared" si="3"/>
        <v>575.15657117965293</v>
      </c>
      <c r="G25" s="75">
        <f t="shared" si="3"/>
        <v>588.96703259353058</v>
      </c>
      <c r="H25" s="75">
        <f t="shared" si="3"/>
        <v>606.75913768114845</v>
      </c>
      <c r="I25" s="24"/>
      <c r="J25" s="24"/>
      <c r="M25" s="10"/>
    </row>
    <row r="26" spans="1:27" s="7" customFormat="1">
      <c r="B26" s="62" t="s">
        <v>79</v>
      </c>
      <c r="C26" s="74" t="s">
        <v>62</v>
      </c>
      <c r="D26" s="75">
        <f>'15-19 prices'!J101</f>
        <v>374.93577140231747</v>
      </c>
      <c r="E26" s="75">
        <f t="shared" si="3"/>
        <v>388.18337520199162</v>
      </c>
      <c r="F26" s="75">
        <f t="shared" si="3"/>
        <v>398.25481711591414</v>
      </c>
      <c r="G26" s="75">
        <f t="shared" si="3"/>
        <v>407.81757456366358</v>
      </c>
      <c r="H26" s="75">
        <f t="shared" si="3"/>
        <v>420.13733567365722</v>
      </c>
      <c r="I26" s="24"/>
      <c r="J26" s="24"/>
      <c r="M26" s="10"/>
    </row>
    <row r="27" spans="1:27" s="7" customFormat="1">
      <c r="B27" s="62"/>
      <c r="C27" s="64"/>
      <c r="D27" s="65"/>
      <c r="E27" s="65"/>
      <c r="F27" s="65"/>
      <c r="G27" s="65"/>
      <c r="H27" s="65"/>
      <c r="I27" s="24"/>
      <c r="J27" s="24"/>
      <c r="M27" s="10"/>
    </row>
    <row r="28" spans="1:27" s="7" customFormat="1">
      <c r="M28" s="10"/>
    </row>
    <row r="29" spans="1:27" s="2" customFormat="1">
      <c r="A29" s="7"/>
      <c r="B29" s="1" t="s">
        <v>259</v>
      </c>
      <c r="C29" s="1"/>
      <c r="D29" s="1"/>
      <c r="E29" s="4"/>
      <c r="F29" s="4"/>
      <c r="G29" s="4"/>
      <c r="H29" s="4"/>
      <c r="I29" s="4"/>
      <c r="J29" s="4"/>
      <c r="K29" s="7"/>
      <c r="L29" s="7"/>
      <c r="M29" s="14"/>
      <c r="N29" s="7"/>
      <c r="O29" s="7"/>
      <c r="P29" s="7"/>
      <c r="Q29" s="7"/>
      <c r="R29" s="7"/>
      <c r="S29" s="7"/>
      <c r="T29" s="7"/>
      <c r="U29" s="7"/>
      <c r="V29" s="7"/>
      <c r="W29" s="7"/>
      <c r="X29" s="7"/>
      <c r="Y29" s="7"/>
      <c r="Z29" s="7"/>
      <c r="AA29" s="7"/>
    </row>
    <row r="30" spans="1:27" s="2" customFormat="1" ht="42" customHeight="1">
      <c r="A30" s="7"/>
      <c r="B30" s="171" t="s">
        <v>76</v>
      </c>
      <c r="C30" s="171"/>
      <c r="D30" s="171"/>
      <c r="E30" s="171"/>
      <c r="F30" s="171"/>
      <c r="G30" s="171"/>
      <c r="H30" s="13"/>
      <c r="I30" s="13"/>
      <c r="J30" s="13"/>
      <c r="K30" s="7"/>
      <c r="L30" s="7"/>
      <c r="M30" s="10"/>
      <c r="N30" s="7"/>
      <c r="O30" s="7"/>
      <c r="P30" s="7"/>
      <c r="Q30" s="7"/>
      <c r="R30" s="7"/>
      <c r="S30" s="7"/>
      <c r="T30" s="7"/>
      <c r="U30" s="7"/>
      <c r="V30" s="7"/>
      <c r="W30" s="7"/>
      <c r="X30" s="7"/>
      <c r="Y30" s="7"/>
      <c r="Z30" s="7"/>
      <c r="AA30" s="7"/>
    </row>
    <row r="31" spans="1:27" s="7" customFormat="1">
      <c r="M31" s="10"/>
    </row>
    <row r="32" spans="1:27" s="2" customFormat="1">
      <c r="A32" s="7"/>
      <c r="B32" s="1" t="s">
        <v>3</v>
      </c>
      <c r="C32" s="1"/>
      <c r="D32" s="1"/>
      <c r="E32" s="4"/>
      <c r="F32" s="4"/>
      <c r="G32" s="4"/>
      <c r="H32" s="4"/>
      <c r="I32" s="4"/>
      <c r="J32" s="4"/>
      <c r="K32" s="7"/>
      <c r="L32" s="7"/>
      <c r="M32" s="14"/>
      <c r="N32" s="7"/>
      <c r="O32" s="7"/>
      <c r="P32" s="7"/>
      <c r="Q32" s="7"/>
      <c r="R32" s="7"/>
      <c r="S32" s="7"/>
      <c r="T32" s="7"/>
      <c r="U32" s="7"/>
      <c r="V32" s="7"/>
      <c r="W32" s="7"/>
      <c r="X32" s="7"/>
      <c r="Y32" s="7"/>
      <c r="Z32" s="7"/>
      <c r="AA32" s="7"/>
    </row>
    <row r="33" spans="1:33" s="2" customFormat="1" ht="43.2">
      <c r="A33" s="7"/>
      <c r="B33" s="12" t="s">
        <v>257</v>
      </c>
      <c r="C33" s="12"/>
      <c r="D33" s="12"/>
      <c r="E33" s="168"/>
      <c r="F33" s="168"/>
      <c r="G33" s="168"/>
      <c r="H33" s="168"/>
      <c r="I33" s="168"/>
      <c r="J33" s="168"/>
      <c r="K33" s="7"/>
      <c r="L33" s="7"/>
      <c r="M33" s="10"/>
      <c r="N33" s="7"/>
      <c r="O33" s="7"/>
      <c r="P33" s="7"/>
      <c r="Q33" s="7"/>
      <c r="R33" s="7"/>
      <c r="S33" s="7"/>
      <c r="T33" s="7"/>
      <c r="U33" s="7"/>
      <c r="V33" s="7"/>
      <c r="W33" s="7"/>
      <c r="X33" s="7"/>
      <c r="Y33" s="7"/>
      <c r="Z33" s="7"/>
      <c r="AA33" s="7"/>
    </row>
    <row r="34" spans="1:33" s="2" customFormat="1">
      <c r="A34" s="7"/>
      <c r="B34" s="26"/>
      <c r="C34" s="26"/>
      <c r="D34" s="26"/>
      <c r="E34" s="13"/>
      <c r="F34" s="13"/>
      <c r="G34" s="13"/>
      <c r="H34" s="13"/>
      <c r="I34" s="13"/>
      <c r="J34" s="13"/>
      <c r="K34" s="7"/>
      <c r="L34" s="7"/>
      <c r="M34" s="10"/>
      <c r="N34" s="7"/>
      <c r="O34" s="7"/>
      <c r="P34" s="7"/>
      <c r="Q34" s="7"/>
      <c r="R34" s="7"/>
      <c r="S34" s="7"/>
      <c r="T34" s="7"/>
      <c r="U34" s="7"/>
      <c r="V34" s="7"/>
      <c r="W34" s="7"/>
      <c r="X34" s="7"/>
      <c r="Y34" s="7"/>
      <c r="Z34" s="7"/>
      <c r="AA34" s="7"/>
    </row>
    <row r="35" spans="1:33" s="2" customFormat="1" ht="97.5" customHeight="1">
      <c r="A35" s="7"/>
      <c r="B35" s="172" t="s">
        <v>258</v>
      </c>
      <c r="C35" s="173"/>
      <c r="D35" s="173"/>
      <c r="E35" s="173"/>
      <c r="F35" s="173"/>
      <c r="G35" s="173"/>
      <c r="H35" s="13"/>
      <c r="I35" s="13"/>
      <c r="J35" s="13"/>
      <c r="K35" s="7"/>
      <c r="L35" s="7"/>
      <c r="M35" s="10"/>
      <c r="N35" s="7"/>
      <c r="O35" s="7"/>
      <c r="P35" s="7"/>
      <c r="Q35" s="7"/>
      <c r="R35" s="7"/>
      <c r="S35" s="7"/>
      <c r="T35" s="7"/>
      <c r="U35" s="7"/>
      <c r="V35" s="7"/>
      <c r="W35" s="7"/>
      <c r="X35" s="7"/>
      <c r="Y35" s="7"/>
      <c r="Z35" s="7"/>
      <c r="AA35" s="7"/>
    </row>
    <row r="36" spans="1:33" s="7" customFormat="1"/>
    <row r="37" spans="1:33" s="2" customFormat="1">
      <c r="A37" s="7"/>
      <c r="B37" s="1" t="s">
        <v>80</v>
      </c>
      <c r="C37" s="1"/>
      <c r="D37" s="1"/>
      <c r="E37" s="4"/>
      <c r="F37" s="4"/>
      <c r="G37" s="4"/>
      <c r="H37" s="7"/>
      <c r="I37" s="7"/>
      <c r="J37" s="7"/>
      <c r="K37" s="7"/>
      <c r="L37" s="7"/>
      <c r="M37" s="7"/>
      <c r="N37" s="7"/>
      <c r="O37" s="7"/>
      <c r="P37" s="7"/>
      <c r="Q37" s="7"/>
      <c r="R37" s="7"/>
      <c r="S37" s="7"/>
      <c r="T37" s="7"/>
      <c r="U37" s="7"/>
      <c r="V37" s="7"/>
      <c r="W37" s="7"/>
      <c r="X37" s="7"/>
    </row>
    <row r="38" spans="1:33" s="7" customFormat="1"/>
    <row r="39" spans="1:33" s="7" customFormat="1">
      <c r="C39" s="177" t="s">
        <v>84</v>
      </c>
      <c r="D39" s="178"/>
      <c r="E39" s="178"/>
      <c r="F39" s="178"/>
      <c r="G39" s="179"/>
    </row>
    <row r="40" spans="1:33" s="2" customFormat="1">
      <c r="A40" s="7"/>
      <c r="B40" s="67" t="s">
        <v>17</v>
      </c>
      <c r="C40" s="32" t="s">
        <v>5</v>
      </c>
      <c r="D40" s="32" t="s">
        <v>6</v>
      </c>
      <c r="E40" s="32" t="s">
        <v>7</v>
      </c>
      <c r="F40" s="32" t="s">
        <v>8</v>
      </c>
      <c r="G40" s="32" t="s">
        <v>9</v>
      </c>
      <c r="H40" s="7"/>
      <c r="I40" s="7"/>
      <c r="J40" s="7"/>
      <c r="K40" s="7"/>
      <c r="L40" s="7"/>
      <c r="M40" s="7"/>
      <c r="N40" s="7"/>
      <c r="O40" s="7"/>
      <c r="P40" s="7"/>
      <c r="Q40" s="7"/>
      <c r="R40" s="7"/>
      <c r="S40" s="7"/>
      <c r="T40" s="7"/>
      <c r="U40" s="7"/>
      <c r="V40" s="7"/>
      <c r="W40" s="7"/>
      <c r="X40" s="7"/>
      <c r="Y40" s="7"/>
      <c r="Z40" s="7"/>
      <c r="AA40" s="7"/>
      <c r="AB40" s="7"/>
      <c r="AC40" s="7"/>
      <c r="AD40" s="7"/>
      <c r="AE40" s="7"/>
    </row>
    <row r="41" spans="1:33" s="8" customFormat="1" ht="14.4" customHeight="1">
      <c r="A41" s="15"/>
      <c r="B41" s="81" t="s">
        <v>60</v>
      </c>
      <c r="C41" s="66"/>
      <c r="D41" s="66"/>
      <c r="E41" s="66"/>
      <c r="F41" s="66"/>
      <c r="G41" s="66"/>
      <c r="H41" s="15"/>
      <c r="I41" s="15"/>
      <c r="J41" s="15"/>
      <c r="K41" s="15"/>
      <c r="L41" s="15"/>
      <c r="M41" s="15"/>
      <c r="N41" s="15"/>
      <c r="O41" s="15"/>
      <c r="P41" s="15"/>
      <c r="Q41" s="15"/>
      <c r="R41" s="15"/>
      <c r="S41" s="15"/>
      <c r="T41" s="15"/>
      <c r="U41" s="15"/>
      <c r="V41" s="15"/>
      <c r="W41" s="15"/>
      <c r="X41" s="15"/>
      <c r="Y41" s="15"/>
      <c r="Z41" s="15"/>
      <c r="AA41" s="15"/>
      <c r="AB41" s="15"/>
      <c r="AC41" s="15"/>
      <c r="AD41" s="15"/>
      <c r="AE41" s="15"/>
    </row>
    <row r="42" spans="1:33" s="7" customFormat="1">
      <c r="B42" s="129" t="s">
        <v>78</v>
      </c>
      <c r="C42" s="130">
        <v>229838</v>
      </c>
      <c r="D42" s="131">
        <v>279262</v>
      </c>
      <c r="E42" s="132">
        <v>323385</v>
      </c>
      <c r="F42" s="132">
        <f>(D42*(((1-$F$104)*(1+$F$105))*((1-$G$104)*(1+$G$105)))
                                                                                                             +E42*((1-$G$104*(1+$G$105))))
                                                                                                                                                                     /2</f>
        <v>310203.70035640046</v>
      </c>
      <c r="G42" s="132">
        <f>F42*((1-$H$104)*(1+$H$106))</f>
        <v>319574.64394046686</v>
      </c>
      <c r="H42" s="126"/>
      <c r="K42" s="10"/>
    </row>
    <row r="43" spans="1:33" s="7" customFormat="1">
      <c r="B43" s="129" t="s">
        <v>79</v>
      </c>
      <c r="C43" s="130">
        <v>361428</v>
      </c>
      <c r="D43" s="131">
        <v>269533</v>
      </c>
      <c r="E43" s="132">
        <v>380224</v>
      </c>
      <c r="F43" s="132">
        <f>(D43*(((1-$F$104)*(1+$F$105))*((1-$G$104)*(1+$G$105)))
                                                                                                             +E43*((1-$G$104*(1+$G$105))))
                                                                                                                                                                     /2</f>
        <v>333832.14019729319</v>
      </c>
      <c r="G43" s="132">
        <f>F43*((1-$H$104)*(1+$H$106))</f>
        <v>343916.87532051315</v>
      </c>
      <c r="H43" s="126"/>
      <c r="K43" s="10"/>
    </row>
    <row r="44" spans="1:33" s="8" customFormat="1">
      <c r="A44" s="15"/>
      <c r="B44" s="133"/>
      <c r="C44" s="127"/>
      <c r="D44" s="127"/>
      <c r="E44" s="127"/>
      <c r="F44" s="127"/>
      <c r="G44" s="127"/>
      <c r="H44" s="127"/>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row>
    <row r="45" spans="1:33" s="2" customFormat="1">
      <c r="A45" s="7"/>
      <c r="B45" s="169" t="s">
        <v>13</v>
      </c>
      <c r="C45" s="169"/>
      <c r="D45" s="169"/>
      <c r="E45" s="169"/>
      <c r="F45" s="169"/>
      <c r="G45" s="169"/>
      <c r="H45" s="128"/>
      <c r="I45" s="7"/>
      <c r="J45" s="7"/>
      <c r="K45" s="7"/>
      <c r="L45" s="7"/>
      <c r="M45" s="7"/>
      <c r="N45" s="7"/>
      <c r="O45" s="7"/>
      <c r="P45" s="7"/>
      <c r="Q45" s="7"/>
      <c r="R45" s="7"/>
      <c r="S45" s="7"/>
      <c r="T45" s="7"/>
      <c r="U45" s="7"/>
      <c r="V45" s="7"/>
      <c r="W45" s="7"/>
      <c r="X45" s="7"/>
      <c r="Y45" s="7"/>
      <c r="Z45" s="7"/>
      <c r="AA45" s="7"/>
      <c r="AB45" s="7"/>
      <c r="AC45" s="7"/>
      <c r="AD45" s="7"/>
      <c r="AE45" s="7"/>
      <c r="AF45" s="7"/>
      <c r="AG45" s="7"/>
    </row>
    <row r="46" spans="1:33" s="2" customFormat="1">
      <c r="A46" s="7"/>
      <c r="B46" s="82" t="s">
        <v>287</v>
      </c>
      <c r="C46" s="13"/>
      <c r="D46" s="13"/>
      <c r="E46" s="13"/>
      <c r="F46" s="13"/>
      <c r="G46" s="13"/>
      <c r="H46" s="128"/>
      <c r="I46" s="124"/>
      <c r="J46" s="124"/>
      <c r="K46" s="124"/>
      <c r="L46" s="124"/>
      <c r="M46" s="124"/>
      <c r="N46" s="124"/>
      <c r="O46" s="124"/>
      <c r="P46" s="124"/>
      <c r="Q46" s="7"/>
      <c r="R46" s="7"/>
      <c r="S46" s="7"/>
      <c r="T46" s="7"/>
      <c r="U46" s="7"/>
      <c r="V46" s="7"/>
      <c r="W46" s="7"/>
      <c r="X46" s="7"/>
      <c r="Y46" s="7"/>
      <c r="Z46" s="7"/>
      <c r="AA46" s="7"/>
      <c r="AB46" s="7"/>
      <c r="AC46" s="7"/>
      <c r="AD46" s="7"/>
      <c r="AE46" s="7"/>
      <c r="AF46" s="7"/>
      <c r="AG46" s="7"/>
    </row>
    <row r="47" spans="1:33" s="2" customFormat="1">
      <c r="A47" s="7"/>
      <c r="B47" s="82"/>
      <c r="C47" s="13"/>
      <c r="D47" s="13"/>
      <c r="E47" s="13"/>
      <c r="F47" s="13"/>
      <c r="G47" s="13"/>
      <c r="H47" s="128"/>
      <c r="I47" s="124"/>
      <c r="J47" s="124"/>
      <c r="K47" s="124"/>
      <c r="L47" s="124"/>
      <c r="M47" s="124"/>
      <c r="N47" s="124"/>
      <c r="O47" s="124"/>
      <c r="P47" s="124"/>
      <c r="Q47" s="7"/>
      <c r="R47" s="7"/>
      <c r="S47" s="7"/>
      <c r="T47" s="7"/>
      <c r="U47" s="7"/>
      <c r="V47" s="7"/>
      <c r="W47" s="7"/>
      <c r="X47" s="7"/>
      <c r="Y47" s="7"/>
      <c r="Z47" s="7"/>
      <c r="AA47" s="7"/>
      <c r="AB47" s="7"/>
      <c r="AC47" s="7"/>
      <c r="AD47" s="7"/>
      <c r="AE47" s="7"/>
      <c r="AF47" s="7"/>
      <c r="AG47" s="7"/>
    </row>
    <row r="48" spans="1:33" s="2" customFormat="1">
      <c r="A48" s="7"/>
      <c r="B48" s="30"/>
      <c r="C48" s="13"/>
      <c r="D48" s="13"/>
      <c r="E48" s="13"/>
      <c r="F48" s="13"/>
      <c r="G48" s="13"/>
      <c r="H48" s="128"/>
      <c r="I48" s="124"/>
      <c r="J48" s="124"/>
      <c r="K48" s="124"/>
      <c r="L48" s="124"/>
      <c r="M48" s="124"/>
      <c r="N48" s="124"/>
      <c r="O48" s="124"/>
      <c r="P48" s="124"/>
      <c r="Q48" s="7"/>
      <c r="R48" s="7"/>
      <c r="S48" s="7"/>
      <c r="T48" s="7"/>
      <c r="U48" s="7"/>
      <c r="V48" s="7"/>
      <c r="W48" s="7"/>
      <c r="X48" s="7"/>
      <c r="Y48" s="7"/>
      <c r="Z48" s="7"/>
      <c r="AA48" s="7"/>
      <c r="AB48" s="7"/>
      <c r="AC48" s="7"/>
      <c r="AD48" s="7"/>
      <c r="AE48" s="7"/>
      <c r="AF48" s="7"/>
      <c r="AG48" s="7"/>
    </row>
    <row r="49" spans="1:35" s="8" customFormat="1">
      <c r="A49" s="15"/>
      <c r="B49" s="19"/>
      <c r="C49" s="19"/>
      <c r="D49" s="19"/>
      <c r="E49" s="20"/>
      <c r="F49" s="17"/>
      <c r="G49" s="17"/>
      <c r="H49" s="17"/>
      <c r="I49" s="17"/>
      <c r="J49" s="17"/>
      <c r="K49" s="17"/>
      <c r="L49" s="17"/>
      <c r="M49" s="17"/>
      <c r="N49" s="17"/>
      <c r="O49" s="17"/>
      <c r="P49" s="17"/>
      <c r="Q49" s="17"/>
      <c r="R49" s="17"/>
      <c r="S49" s="15"/>
      <c r="T49" s="15"/>
      <c r="U49" s="15"/>
      <c r="V49" s="15"/>
      <c r="W49" s="15"/>
      <c r="X49" s="15"/>
      <c r="Y49" s="15"/>
      <c r="Z49" s="15"/>
      <c r="AA49" s="15"/>
      <c r="AB49" s="15"/>
      <c r="AC49" s="15"/>
      <c r="AD49" s="15"/>
      <c r="AE49" s="15"/>
      <c r="AF49" s="15"/>
      <c r="AG49" s="15"/>
      <c r="AH49" s="15"/>
      <c r="AI49" s="15"/>
    </row>
    <row r="50" spans="1:35" s="2" customFormat="1">
      <c r="A50" s="7"/>
      <c r="B50" s="19"/>
      <c r="C50" s="19"/>
      <c r="D50" s="19"/>
      <c r="E50" s="20"/>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row>
    <row r="51" spans="1:35" s="7" customFormat="1">
      <c r="B51" s="1" t="s">
        <v>56</v>
      </c>
      <c r="C51" s="1"/>
      <c r="D51" s="4"/>
      <c r="E51" s="4"/>
      <c r="F51" s="4"/>
      <c r="G51" s="4"/>
      <c r="H51" s="4"/>
    </row>
    <row r="52" spans="1:35" s="7" customFormat="1" ht="7.2" customHeight="1"/>
    <row r="53" spans="1:35" s="7" customFormat="1" ht="15" customHeight="1"/>
    <row r="54" spans="1:35" s="7" customFormat="1">
      <c r="A54" s="15"/>
      <c r="B54" s="67" t="s">
        <v>17</v>
      </c>
      <c r="C54" s="32" t="s">
        <v>18</v>
      </c>
      <c r="D54" s="32" t="s">
        <v>19</v>
      </c>
      <c r="E54" s="32" t="s">
        <v>20</v>
      </c>
      <c r="F54" s="32" t="s">
        <v>21</v>
      </c>
      <c r="G54" s="32" t="s">
        <v>22</v>
      </c>
      <c r="H54" s="32" t="s">
        <v>260</v>
      </c>
    </row>
    <row r="55" spans="1:35" s="8" customFormat="1">
      <c r="A55" s="15"/>
      <c r="B55" s="35" t="str">
        <f>B9</f>
        <v>ASP Level 1 - Initial Authorisation or Additional Authorisation Session</v>
      </c>
      <c r="C55" s="66"/>
      <c r="D55" s="66"/>
      <c r="E55" s="66"/>
      <c r="F55" s="66"/>
      <c r="G55" s="66"/>
      <c r="H55" s="66"/>
      <c r="I55" s="15"/>
      <c r="J55" s="15"/>
      <c r="K55" s="15"/>
      <c r="L55" s="15"/>
      <c r="M55" s="15"/>
      <c r="N55" s="15"/>
      <c r="O55" s="15"/>
      <c r="P55" s="15"/>
      <c r="Q55" s="15"/>
      <c r="R55" s="15"/>
      <c r="S55" s="15"/>
      <c r="T55" s="15"/>
      <c r="U55" s="15"/>
      <c r="V55" s="15"/>
      <c r="W55" s="15"/>
      <c r="X55" s="15"/>
      <c r="Y55" s="15"/>
      <c r="Z55" s="15"/>
      <c r="AA55" s="15"/>
      <c r="AB55" s="15"/>
      <c r="AC55" s="15"/>
      <c r="AD55" s="15"/>
      <c r="AE55" s="15"/>
    </row>
    <row r="56" spans="1:35" s="2" customFormat="1">
      <c r="B56" s="36" t="s">
        <v>23</v>
      </c>
      <c r="C56" s="34">
        <v>900</v>
      </c>
      <c r="D56" s="34">
        <v>900</v>
      </c>
      <c r="E56" s="34">
        <v>900</v>
      </c>
      <c r="F56" s="34">
        <v>900</v>
      </c>
      <c r="G56" s="34">
        <v>900</v>
      </c>
      <c r="H56" s="34">
        <f>SUM(C56:G56)</f>
        <v>4500</v>
      </c>
      <c r="I56" s="7"/>
      <c r="J56" s="7"/>
      <c r="K56" s="7"/>
      <c r="L56" s="7"/>
      <c r="M56" s="7"/>
      <c r="N56" s="7"/>
      <c r="O56" s="7"/>
      <c r="P56" s="7"/>
      <c r="Q56" s="7"/>
      <c r="R56" s="7"/>
      <c r="S56" s="7"/>
      <c r="T56" s="7"/>
      <c r="U56" s="7"/>
      <c r="V56" s="7"/>
      <c r="W56" s="7"/>
      <c r="X56" s="7"/>
      <c r="Y56" s="7"/>
      <c r="Z56" s="7"/>
      <c r="AA56" s="7"/>
      <c r="AB56" s="7"/>
      <c r="AC56" s="7"/>
      <c r="AD56" s="7"/>
      <c r="AE56" s="7"/>
    </row>
    <row r="57" spans="1:35" s="8" customFormat="1">
      <c r="A57" s="15"/>
      <c r="B57" s="36" t="s">
        <v>24</v>
      </c>
      <c r="C57" s="61">
        <f>C56*'Fee Breakdown'!$H$9</f>
        <v>207076.49999999997</v>
      </c>
      <c r="D57" s="61">
        <f>D56*'Fee Breakdown'!$H$9</f>
        <v>207076.49999999997</v>
      </c>
      <c r="E57" s="61">
        <f>E56*'Fee Breakdown'!$H$9</f>
        <v>207076.49999999997</v>
      </c>
      <c r="F57" s="61">
        <f>F56*'Fee Breakdown'!$H$9</f>
        <v>207076.49999999997</v>
      </c>
      <c r="G57" s="61">
        <f>G56*'Fee Breakdown'!$H$9</f>
        <v>207076.49999999997</v>
      </c>
      <c r="H57" s="61">
        <f>SUM(C57:G57)</f>
        <v>1035382.4999999999</v>
      </c>
      <c r="I57" s="15"/>
      <c r="J57" s="15"/>
      <c r="K57" s="15"/>
      <c r="L57" s="15"/>
      <c r="M57" s="15"/>
      <c r="N57" s="15"/>
      <c r="O57" s="15"/>
      <c r="P57" s="15"/>
      <c r="Q57" s="15"/>
      <c r="R57" s="15"/>
      <c r="S57" s="15"/>
      <c r="T57" s="15"/>
      <c r="U57" s="15"/>
      <c r="V57" s="15"/>
      <c r="W57" s="15"/>
      <c r="X57" s="15"/>
      <c r="Y57" s="15"/>
      <c r="Z57" s="15"/>
      <c r="AA57" s="15"/>
      <c r="AB57" s="15"/>
      <c r="AC57" s="15"/>
      <c r="AD57" s="15"/>
      <c r="AE57" s="15"/>
    </row>
    <row r="58" spans="1:35" s="8" customFormat="1">
      <c r="A58" s="15"/>
      <c r="B58" s="33"/>
      <c r="C58" s="27"/>
      <c r="D58" s="27"/>
      <c r="E58" s="27"/>
      <c r="F58" s="27"/>
      <c r="G58" s="27"/>
      <c r="H58" s="27"/>
      <c r="I58" s="15"/>
      <c r="J58" s="15"/>
      <c r="K58" s="15"/>
      <c r="L58" s="15"/>
      <c r="M58" s="15"/>
      <c r="N58" s="15"/>
      <c r="O58" s="15"/>
      <c r="P58" s="15"/>
      <c r="Q58" s="15"/>
      <c r="R58" s="15"/>
      <c r="S58" s="15"/>
      <c r="T58" s="15"/>
      <c r="U58" s="15"/>
      <c r="V58" s="15"/>
      <c r="W58" s="15"/>
      <c r="X58" s="15"/>
      <c r="Y58" s="15"/>
      <c r="Z58" s="15"/>
      <c r="AA58" s="15"/>
      <c r="AB58" s="15"/>
      <c r="AC58" s="15"/>
      <c r="AD58" s="15"/>
      <c r="AE58" s="15"/>
    </row>
    <row r="59" spans="1:35" s="8" customFormat="1">
      <c r="A59" s="15"/>
      <c r="B59" s="35" t="str">
        <f>B10</f>
        <v>ASP Level 1 - Authorisation Renewal or Additional Company to Existing Authorisation</v>
      </c>
      <c r="C59" s="66"/>
      <c r="D59" s="66"/>
      <c r="E59" s="66"/>
      <c r="F59" s="66"/>
      <c r="G59" s="66"/>
      <c r="H59" s="66"/>
      <c r="I59" s="15"/>
      <c r="J59" s="15"/>
      <c r="K59" s="15"/>
      <c r="L59" s="15"/>
      <c r="M59" s="15"/>
      <c r="N59" s="15"/>
      <c r="O59" s="15"/>
      <c r="P59" s="15"/>
      <c r="Q59" s="15"/>
      <c r="R59" s="15"/>
      <c r="S59" s="15"/>
      <c r="T59" s="15"/>
      <c r="U59" s="15"/>
      <c r="V59" s="15"/>
      <c r="W59" s="15"/>
      <c r="X59" s="15"/>
      <c r="Y59" s="15"/>
      <c r="Z59" s="15"/>
      <c r="AA59" s="15"/>
      <c r="AB59" s="15"/>
      <c r="AC59" s="15"/>
      <c r="AD59" s="15"/>
      <c r="AE59" s="15"/>
    </row>
    <row r="60" spans="1:35" s="2" customFormat="1">
      <c r="B60" s="36" t="s">
        <v>23</v>
      </c>
      <c r="C60" s="34">
        <v>24</v>
      </c>
      <c r="D60" s="34">
        <v>24</v>
      </c>
      <c r="E60" s="34">
        <v>24</v>
      </c>
      <c r="F60" s="34">
        <v>24</v>
      </c>
      <c r="G60" s="34">
        <v>24</v>
      </c>
      <c r="H60" s="34">
        <f>SUM(C60:G60)</f>
        <v>120</v>
      </c>
      <c r="I60" s="7"/>
      <c r="J60" s="7"/>
      <c r="K60" s="7"/>
      <c r="L60" s="7"/>
      <c r="M60" s="7"/>
      <c r="N60" s="7"/>
      <c r="O60" s="7"/>
      <c r="P60" s="7"/>
      <c r="Q60" s="7"/>
      <c r="R60" s="7"/>
      <c r="S60" s="7"/>
      <c r="T60" s="7"/>
      <c r="U60" s="7"/>
      <c r="V60" s="7"/>
      <c r="W60" s="7"/>
      <c r="X60" s="7"/>
      <c r="Y60" s="7"/>
      <c r="Z60" s="7"/>
      <c r="AA60" s="7"/>
      <c r="AB60" s="7"/>
      <c r="AC60" s="7"/>
      <c r="AD60" s="7"/>
      <c r="AE60" s="7"/>
    </row>
    <row r="61" spans="1:35" s="8" customFormat="1">
      <c r="A61" s="15"/>
      <c r="B61" s="36" t="s">
        <v>24</v>
      </c>
      <c r="C61" s="61">
        <f>C60*'Fee Breakdown'!$H$18</f>
        <v>1227.1200000000001</v>
      </c>
      <c r="D61" s="61">
        <f>D60*'Fee Breakdown'!$H$18</f>
        <v>1227.1200000000001</v>
      </c>
      <c r="E61" s="61">
        <f>E60*'Fee Breakdown'!$H$18</f>
        <v>1227.1200000000001</v>
      </c>
      <c r="F61" s="61">
        <f>F60*'Fee Breakdown'!$H$18</f>
        <v>1227.1200000000001</v>
      </c>
      <c r="G61" s="61">
        <f>G60*'Fee Breakdown'!$H$18</f>
        <v>1227.1200000000001</v>
      </c>
      <c r="H61" s="61">
        <f>SUM(C61:G61)</f>
        <v>6135.6</v>
      </c>
      <c r="I61" s="15"/>
      <c r="J61" s="15"/>
      <c r="K61" s="15"/>
      <c r="L61" s="15"/>
      <c r="M61" s="15"/>
      <c r="N61" s="15"/>
      <c r="O61" s="15"/>
      <c r="P61" s="15"/>
      <c r="Q61" s="15"/>
      <c r="R61" s="15"/>
      <c r="S61" s="15"/>
      <c r="T61" s="15"/>
      <c r="U61" s="15"/>
      <c r="V61" s="15"/>
      <c r="W61" s="15"/>
      <c r="X61" s="15"/>
      <c r="Y61" s="15"/>
      <c r="Z61" s="15"/>
      <c r="AA61" s="15"/>
      <c r="AB61" s="15"/>
      <c r="AC61" s="15"/>
      <c r="AD61" s="15"/>
      <c r="AE61" s="15"/>
    </row>
    <row r="62" spans="1:35" s="8" customFormat="1">
      <c r="A62" s="15"/>
      <c r="B62" s="33"/>
      <c r="C62" s="27"/>
      <c r="D62" s="27"/>
      <c r="E62" s="27"/>
      <c r="F62" s="27"/>
      <c r="G62" s="27"/>
      <c r="H62" s="27"/>
      <c r="I62" s="15"/>
      <c r="J62" s="15"/>
      <c r="K62" s="15"/>
      <c r="L62" s="15"/>
      <c r="M62" s="15"/>
      <c r="N62" s="15"/>
      <c r="O62" s="15"/>
      <c r="P62" s="15"/>
      <c r="Q62" s="15"/>
      <c r="R62" s="15"/>
      <c r="S62" s="15"/>
      <c r="T62" s="15"/>
      <c r="U62" s="15"/>
      <c r="V62" s="15"/>
      <c r="W62" s="15"/>
      <c r="X62" s="15"/>
      <c r="Y62" s="15"/>
      <c r="Z62" s="15"/>
      <c r="AA62" s="15"/>
      <c r="AB62" s="15"/>
      <c r="AC62" s="15"/>
      <c r="AD62" s="15"/>
      <c r="AE62" s="15"/>
    </row>
    <row r="63" spans="1:35" s="8" customFormat="1">
      <c r="A63" s="15"/>
      <c r="B63" s="35" t="str">
        <f>B11</f>
        <v>ASP Level 1 - Company Authorisation - Initial</v>
      </c>
      <c r="C63" s="66"/>
      <c r="D63" s="66"/>
      <c r="E63" s="66"/>
      <c r="F63" s="66"/>
      <c r="G63" s="66"/>
      <c r="H63" s="66"/>
      <c r="I63" s="15"/>
      <c r="J63" s="15"/>
      <c r="K63" s="15"/>
      <c r="L63" s="15"/>
      <c r="M63" s="15"/>
      <c r="N63" s="15"/>
      <c r="O63" s="15"/>
      <c r="P63" s="15"/>
      <c r="Q63" s="15"/>
      <c r="R63" s="15"/>
      <c r="S63" s="15"/>
      <c r="T63" s="15"/>
      <c r="U63" s="15"/>
      <c r="V63" s="15"/>
      <c r="W63" s="15"/>
      <c r="X63" s="15"/>
      <c r="Y63" s="15"/>
      <c r="Z63" s="15"/>
      <c r="AA63" s="15"/>
      <c r="AB63" s="15"/>
      <c r="AC63" s="15"/>
      <c r="AD63" s="15"/>
      <c r="AE63" s="15"/>
    </row>
    <row r="64" spans="1:35" s="2" customFormat="1">
      <c r="B64" s="36" t="s">
        <v>23</v>
      </c>
      <c r="C64" s="34">
        <v>10</v>
      </c>
      <c r="D64" s="34">
        <v>10</v>
      </c>
      <c r="E64" s="34">
        <v>10</v>
      </c>
      <c r="F64" s="34">
        <v>10</v>
      </c>
      <c r="G64" s="34">
        <v>10</v>
      </c>
      <c r="H64" s="34">
        <f>SUM(C64:G64)</f>
        <v>50</v>
      </c>
      <c r="I64" s="7"/>
      <c r="J64" s="7"/>
      <c r="K64" s="7"/>
      <c r="L64" s="7"/>
      <c r="M64" s="7"/>
      <c r="N64" s="7"/>
      <c r="O64" s="7"/>
      <c r="P64" s="7"/>
      <c r="Q64" s="7"/>
      <c r="R64" s="7"/>
      <c r="S64" s="7"/>
      <c r="T64" s="7"/>
      <c r="U64" s="7"/>
      <c r="V64" s="7"/>
      <c r="W64" s="7"/>
      <c r="X64" s="7"/>
      <c r="Y64" s="7"/>
      <c r="Z64" s="7"/>
      <c r="AA64" s="7"/>
      <c r="AB64" s="7"/>
      <c r="AC64" s="7"/>
      <c r="AD64" s="7"/>
      <c r="AE64" s="7"/>
    </row>
    <row r="65" spans="1:31" s="8" customFormat="1">
      <c r="A65" s="15"/>
      <c r="B65" s="36" t="s">
        <v>24</v>
      </c>
      <c r="C65" s="61">
        <f>C64*'Fee Breakdown'!$H$27</f>
        <v>5784.0499999999993</v>
      </c>
      <c r="D65" s="61">
        <f>D64*'Fee Breakdown'!$H$27</f>
        <v>5784.0499999999993</v>
      </c>
      <c r="E65" s="61">
        <f>E64*'Fee Breakdown'!$H$27</f>
        <v>5784.0499999999993</v>
      </c>
      <c r="F65" s="61">
        <f>F64*'Fee Breakdown'!$H$27</f>
        <v>5784.0499999999993</v>
      </c>
      <c r="G65" s="61">
        <f>G64*'Fee Breakdown'!$H$27</f>
        <v>5784.0499999999993</v>
      </c>
      <c r="H65" s="61">
        <f>SUM(C65:G65)</f>
        <v>28920.249999999996</v>
      </c>
      <c r="I65" s="15"/>
      <c r="J65" s="15"/>
      <c r="K65" s="15"/>
      <c r="L65" s="15"/>
      <c r="M65" s="15"/>
      <c r="N65" s="15"/>
      <c r="O65" s="15"/>
      <c r="P65" s="15"/>
      <c r="Q65" s="15"/>
      <c r="R65" s="15"/>
      <c r="S65" s="15"/>
      <c r="T65" s="15"/>
      <c r="U65" s="15"/>
      <c r="V65" s="15"/>
      <c r="W65" s="15"/>
      <c r="X65" s="15"/>
      <c r="Y65" s="15"/>
      <c r="Z65" s="15"/>
      <c r="AA65" s="15"/>
      <c r="AB65" s="15"/>
      <c r="AC65" s="15"/>
      <c r="AD65" s="15"/>
      <c r="AE65" s="15"/>
    </row>
    <row r="66" spans="1:31" s="8" customFormat="1">
      <c r="A66" s="15"/>
      <c r="B66" s="33"/>
      <c r="C66" s="27"/>
      <c r="D66" s="27"/>
      <c r="E66" s="27"/>
      <c r="F66" s="27"/>
      <c r="G66" s="27"/>
      <c r="H66" s="27"/>
      <c r="I66" s="15"/>
      <c r="J66" s="15"/>
      <c r="K66" s="15"/>
      <c r="L66" s="15"/>
      <c r="M66" s="15"/>
      <c r="N66" s="15"/>
      <c r="O66" s="15"/>
      <c r="P66" s="15"/>
      <c r="Q66" s="15"/>
      <c r="R66" s="15"/>
      <c r="S66" s="15"/>
      <c r="T66" s="15"/>
      <c r="U66" s="15"/>
      <c r="V66" s="15"/>
      <c r="W66" s="15"/>
      <c r="X66" s="15"/>
      <c r="Y66" s="15"/>
      <c r="Z66" s="15"/>
      <c r="AA66" s="15"/>
      <c r="AB66" s="15"/>
      <c r="AC66" s="15"/>
      <c r="AD66" s="15"/>
      <c r="AE66" s="15"/>
    </row>
    <row r="67" spans="1:31" s="8" customFormat="1">
      <c r="A67" s="15"/>
      <c r="B67" s="35" t="str">
        <f>B12</f>
        <v>ASP Level 1 - Company Re-authorisation (Annual Fee)</v>
      </c>
      <c r="C67" s="66"/>
      <c r="D67" s="66"/>
      <c r="E67" s="66"/>
      <c r="F67" s="66"/>
      <c r="G67" s="66"/>
      <c r="H67" s="66"/>
      <c r="I67" s="15"/>
      <c r="J67" s="15"/>
      <c r="K67" s="15"/>
      <c r="L67" s="15"/>
      <c r="M67" s="15"/>
      <c r="N67" s="15"/>
      <c r="O67" s="15"/>
      <c r="P67" s="15"/>
      <c r="Q67" s="15"/>
      <c r="R67" s="15"/>
      <c r="S67" s="15"/>
      <c r="T67" s="15"/>
      <c r="U67" s="15"/>
      <c r="V67" s="15"/>
      <c r="W67" s="15"/>
      <c r="X67" s="15"/>
      <c r="Y67" s="15"/>
      <c r="Z67" s="15"/>
      <c r="AA67" s="15"/>
      <c r="AB67" s="15"/>
      <c r="AC67" s="15"/>
      <c r="AD67" s="15"/>
      <c r="AE67" s="15"/>
    </row>
    <row r="68" spans="1:31" s="2" customFormat="1">
      <c r="B68" s="36" t="s">
        <v>23</v>
      </c>
      <c r="C68" s="34">
        <v>80</v>
      </c>
      <c r="D68" s="34">
        <v>80</v>
      </c>
      <c r="E68" s="34">
        <v>80</v>
      </c>
      <c r="F68" s="34">
        <v>80</v>
      </c>
      <c r="G68" s="34">
        <v>80</v>
      </c>
      <c r="H68" s="34">
        <f>SUM(C68:G68)</f>
        <v>400</v>
      </c>
      <c r="I68" s="7"/>
      <c r="J68" s="7"/>
      <c r="K68" s="7"/>
      <c r="L68" s="7"/>
      <c r="M68" s="7"/>
      <c r="N68" s="7"/>
      <c r="O68" s="7"/>
      <c r="P68" s="7"/>
      <c r="Q68" s="7"/>
      <c r="R68" s="7"/>
      <c r="S68" s="7"/>
      <c r="T68" s="7"/>
      <c r="U68" s="7"/>
      <c r="V68" s="7"/>
      <c r="W68" s="7"/>
      <c r="X68" s="7"/>
      <c r="Y68" s="7"/>
      <c r="Z68" s="7"/>
      <c r="AA68" s="7"/>
      <c r="AB68" s="7"/>
      <c r="AC68" s="7"/>
      <c r="AD68" s="7"/>
      <c r="AE68" s="7"/>
    </row>
    <row r="69" spans="1:31" s="8" customFormat="1">
      <c r="A69" s="15"/>
      <c r="B69" s="36" t="s">
        <v>24</v>
      </c>
      <c r="C69" s="61">
        <f>C68*'Fee Breakdown'!$H$36</f>
        <v>8436.4</v>
      </c>
      <c r="D69" s="61">
        <f>D68*'Fee Breakdown'!$H$36</f>
        <v>8436.4</v>
      </c>
      <c r="E69" s="61">
        <f>E68*'Fee Breakdown'!$H$36</f>
        <v>8436.4</v>
      </c>
      <c r="F69" s="61">
        <f>F68*'Fee Breakdown'!$H$36</f>
        <v>8436.4</v>
      </c>
      <c r="G69" s="61">
        <f>G68*'Fee Breakdown'!$H$36</f>
        <v>8436.4</v>
      </c>
      <c r="H69" s="61">
        <f>SUM(C69:G69)</f>
        <v>42182</v>
      </c>
      <c r="I69" s="15"/>
      <c r="J69" s="15"/>
      <c r="K69" s="15"/>
      <c r="L69" s="15"/>
      <c r="M69" s="15"/>
      <c r="N69" s="15"/>
      <c r="O69" s="15"/>
      <c r="P69" s="15"/>
      <c r="Q69" s="15"/>
      <c r="R69" s="15"/>
      <c r="S69" s="15"/>
      <c r="T69" s="15"/>
      <c r="U69" s="15"/>
      <c r="V69" s="15"/>
      <c r="W69" s="15"/>
      <c r="X69" s="15"/>
      <c r="Y69" s="15"/>
      <c r="Z69" s="15"/>
      <c r="AA69" s="15"/>
      <c r="AB69" s="15"/>
      <c r="AC69" s="15"/>
      <c r="AD69" s="15"/>
      <c r="AE69" s="15"/>
    </row>
    <row r="70" spans="1:31" s="8" customFormat="1">
      <c r="A70" s="15"/>
      <c r="B70" s="33"/>
      <c r="C70" s="27"/>
      <c r="D70" s="27"/>
      <c r="E70" s="27"/>
      <c r="F70" s="27"/>
      <c r="G70" s="27"/>
      <c r="H70" s="27"/>
      <c r="I70" s="15"/>
      <c r="J70" s="15"/>
      <c r="K70" s="15"/>
      <c r="L70" s="15"/>
      <c r="M70" s="15"/>
      <c r="N70" s="15"/>
      <c r="O70" s="15"/>
      <c r="P70" s="15"/>
      <c r="Q70" s="15"/>
      <c r="R70" s="15"/>
      <c r="S70" s="15"/>
      <c r="T70" s="15"/>
      <c r="U70" s="15"/>
      <c r="V70" s="15"/>
      <c r="W70" s="15"/>
      <c r="X70" s="15"/>
      <c r="Y70" s="15"/>
      <c r="Z70" s="15"/>
      <c r="AA70" s="15"/>
      <c r="AB70" s="15"/>
      <c r="AC70" s="15"/>
      <c r="AD70" s="15"/>
      <c r="AE70" s="15"/>
    </row>
    <row r="71" spans="1:31" s="8" customFormat="1">
      <c r="A71" s="15"/>
      <c r="B71" s="35" t="str">
        <f>B14</f>
        <v>ASP Level 2 - Initial Authorisation</v>
      </c>
      <c r="C71" s="66"/>
      <c r="D71" s="66"/>
      <c r="E71" s="66"/>
      <c r="F71" s="66"/>
      <c r="G71" s="66"/>
      <c r="H71" s="66"/>
      <c r="I71" s="15"/>
      <c r="J71" s="15"/>
      <c r="K71" s="15"/>
      <c r="L71" s="15"/>
      <c r="M71" s="15"/>
      <c r="N71" s="15"/>
      <c r="O71" s="15"/>
      <c r="P71" s="15"/>
      <c r="Q71" s="15"/>
      <c r="R71" s="15"/>
      <c r="S71" s="15"/>
      <c r="T71" s="15"/>
      <c r="U71" s="15"/>
      <c r="V71" s="15"/>
      <c r="W71" s="15"/>
      <c r="X71" s="15"/>
      <c r="Y71" s="15"/>
      <c r="Z71" s="15"/>
      <c r="AA71" s="15"/>
      <c r="AB71" s="15"/>
      <c r="AC71" s="15"/>
      <c r="AD71" s="15"/>
      <c r="AE71" s="15"/>
    </row>
    <row r="72" spans="1:31" s="2" customFormat="1">
      <c r="B72" s="36" t="s">
        <v>23</v>
      </c>
      <c r="C72" s="34">
        <v>140</v>
      </c>
      <c r="D72" s="34">
        <v>140</v>
      </c>
      <c r="E72" s="34">
        <v>140</v>
      </c>
      <c r="F72" s="34">
        <v>140</v>
      </c>
      <c r="G72" s="34">
        <v>140</v>
      </c>
      <c r="H72" s="34">
        <f>SUM(C72:G72)</f>
        <v>700</v>
      </c>
      <c r="I72" s="7"/>
      <c r="J72" s="7"/>
      <c r="K72" s="7"/>
      <c r="L72" s="7"/>
      <c r="M72" s="7"/>
      <c r="N72" s="7"/>
      <c r="O72" s="7"/>
      <c r="P72" s="7"/>
      <c r="Q72" s="7"/>
      <c r="R72" s="7"/>
      <c r="S72" s="7"/>
      <c r="T72" s="7"/>
      <c r="U72" s="7"/>
      <c r="V72" s="7"/>
      <c r="W72" s="7"/>
      <c r="X72" s="7"/>
      <c r="Y72" s="7"/>
      <c r="Z72" s="7"/>
      <c r="AA72" s="7"/>
      <c r="AB72" s="7"/>
      <c r="AC72" s="7"/>
      <c r="AD72" s="7"/>
      <c r="AE72" s="7"/>
    </row>
    <row r="73" spans="1:31" s="8" customFormat="1">
      <c r="A73" s="15"/>
      <c r="B73" s="36" t="s">
        <v>24</v>
      </c>
      <c r="C73" s="61">
        <f>C72*'Fee Breakdown'!$H$45</f>
        <v>57265.599999999991</v>
      </c>
      <c r="D73" s="61">
        <f>D72*'Fee Breakdown'!$H$45</f>
        <v>57265.599999999991</v>
      </c>
      <c r="E73" s="61">
        <f>E72*'Fee Breakdown'!$H$45</f>
        <v>57265.599999999991</v>
      </c>
      <c r="F73" s="61">
        <f>F72*'Fee Breakdown'!$H$45</f>
        <v>57265.599999999991</v>
      </c>
      <c r="G73" s="61">
        <f>G72*'Fee Breakdown'!$H$45</f>
        <v>57265.599999999991</v>
      </c>
      <c r="H73" s="61">
        <f>SUM(C73:G73)</f>
        <v>286327.99999999994</v>
      </c>
      <c r="I73" s="15"/>
      <c r="J73" s="15"/>
      <c r="K73" s="15"/>
      <c r="L73" s="15"/>
      <c r="M73" s="15"/>
      <c r="N73" s="15"/>
      <c r="O73" s="15"/>
      <c r="P73" s="15"/>
      <c r="Q73" s="15"/>
      <c r="R73" s="15"/>
      <c r="S73" s="15"/>
      <c r="T73" s="15"/>
      <c r="U73" s="15"/>
      <c r="V73" s="15"/>
      <c r="W73" s="15"/>
      <c r="X73" s="15"/>
      <c r="Y73" s="15"/>
      <c r="Z73" s="15"/>
      <c r="AA73" s="15"/>
      <c r="AB73" s="15"/>
      <c r="AC73" s="15"/>
      <c r="AD73" s="15"/>
      <c r="AE73" s="15"/>
    </row>
    <row r="74" spans="1:31" s="8" customFormat="1">
      <c r="A74" s="15"/>
      <c r="B74" s="33"/>
      <c r="C74" s="27"/>
      <c r="D74" s="27"/>
      <c r="E74" s="27"/>
      <c r="F74" s="27"/>
      <c r="G74" s="27"/>
      <c r="H74" s="27"/>
      <c r="I74" s="15"/>
      <c r="J74" s="15"/>
      <c r="K74" s="15"/>
      <c r="L74" s="15"/>
      <c r="M74" s="15"/>
      <c r="N74" s="15"/>
      <c r="O74" s="15"/>
      <c r="P74" s="15"/>
      <c r="Q74" s="15"/>
      <c r="R74" s="15"/>
      <c r="S74" s="15"/>
      <c r="T74" s="15"/>
      <c r="U74" s="15"/>
      <c r="V74" s="15"/>
      <c r="W74" s="15"/>
      <c r="X74" s="15"/>
      <c r="Y74" s="15"/>
      <c r="Z74" s="15"/>
      <c r="AA74" s="15"/>
      <c r="AB74" s="15"/>
      <c r="AC74" s="15"/>
      <c r="AD74" s="15"/>
      <c r="AE74" s="15"/>
    </row>
    <row r="75" spans="1:31" s="8" customFormat="1">
      <c r="A75" s="15"/>
      <c r="B75" s="35" t="str">
        <f>B15</f>
        <v>ASP Level 2 - Re-authorisation (Annual Fee)</v>
      </c>
      <c r="C75" s="66"/>
      <c r="D75" s="66"/>
      <c r="E75" s="66"/>
      <c r="F75" s="66"/>
      <c r="G75" s="66"/>
      <c r="H75" s="66"/>
      <c r="I75" s="15"/>
      <c r="J75" s="15"/>
      <c r="K75" s="15"/>
      <c r="L75" s="15"/>
      <c r="M75" s="15"/>
      <c r="N75" s="15"/>
      <c r="O75" s="15"/>
      <c r="P75" s="15"/>
      <c r="Q75" s="15"/>
      <c r="R75" s="15"/>
      <c r="S75" s="15"/>
      <c r="T75" s="15"/>
      <c r="U75" s="15"/>
      <c r="V75" s="15"/>
      <c r="W75" s="15"/>
      <c r="X75" s="15"/>
      <c r="Y75" s="15"/>
      <c r="Z75" s="15"/>
      <c r="AA75" s="15"/>
      <c r="AB75" s="15"/>
      <c r="AC75" s="15"/>
      <c r="AD75" s="15"/>
      <c r="AE75" s="15"/>
    </row>
    <row r="76" spans="1:31" s="2" customFormat="1">
      <c r="B76" s="36" t="s">
        <v>23</v>
      </c>
      <c r="C76" s="34">
        <v>520</v>
      </c>
      <c r="D76" s="34">
        <v>520</v>
      </c>
      <c r="E76" s="34">
        <v>520</v>
      </c>
      <c r="F76" s="34">
        <v>520</v>
      </c>
      <c r="G76" s="34">
        <v>520</v>
      </c>
      <c r="H76" s="34">
        <f t="shared" ref="H76" si="4">SUM(C76:G76)</f>
        <v>2600</v>
      </c>
      <c r="I76" s="7"/>
      <c r="J76" s="7"/>
      <c r="K76" s="7"/>
      <c r="L76" s="7"/>
      <c r="M76" s="7"/>
      <c r="N76" s="7"/>
      <c r="O76" s="7"/>
      <c r="P76" s="7"/>
      <c r="Q76" s="7"/>
      <c r="R76" s="7"/>
      <c r="S76" s="7"/>
      <c r="T76" s="7"/>
      <c r="U76" s="7"/>
      <c r="V76" s="7"/>
      <c r="W76" s="7"/>
      <c r="X76" s="7"/>
      <c r="Y76" s="7"/>
      <c r="Z76" s="7"/>
      <c r="AA76" s="7"/>
      <c r="AB76" s="7"/>
      <c r="AC76" s="7"/>
      <c r="AD76" s="7"/>
      <c r="AE76" s="7"/>
    </row>
    <row r="77" spans="1:31" s="8" customFormat="1">
      <c r="A77" s="15"/>
      <c r="B77" s="36" t="s">
        <v>24</v>
      </c>
      <c r="C77" s="61">
        <f>C76*'Fee Breakdown'!$H$54</f>
        <v>172819.4</v>
      </c>
      <c r="D77" s="61">
        <f>D76*'Fee Breakdown'!$H$54</f>
        <v>172819.4</v>
      </c>
      <c r="E77" s="61">
        <f>E76*'Fee Breakdown'!$H$54</f>
        <v>172819.4</v>
      </c>
      <c r="F77" s="61">
        <f>F76*'Fee Breakdown'!$H$54</f>
        <v>172819.4</v>
      </c>
      <c r="G77" s="61">
        <f>G76*'Fee Breakdown'!$H$54</f>
        <v>172819.4</v>
      </c>
      <c r="H77" s="61">
        <f>SUM(C77:G77)</f>
        <v>864097</v>
      </c>
      <c r="I77" s="15"/>
      <c r="J77" s="15"/>
      <c r="K77" s="15"/>
      <c r="L77" s="15"/>
      <c r="M77" s="15"/>
      <c r="N77" s="15"/>
      <c r="O77" s="15"/>
      <c r="P77" s="15"/>
      <c r="Q77" s="15"/>
      <c r="R77" s="15"/>
      <c r="S77" s="15"/>
      <c r="T77" s="15"/>
      <c r="U77" s="15"/>
      <c r="V77" s="15"/>
      <c r="W77" s="15"/>
      <c r="X77" s="15"/>
      <c r="Y77" s="15"/>
      <c r="Z77" s="15"/>
      <c r="AA77" s="15"/>
      <c r="AB77" s="15"/>
      <c r="AC77" s="15"/>
      <c r="AD77" s="15"/>
      <c r="AE77" s="15"/>
    </row>
    <row r="78" spans="1:31" s="8" customFormat="1">
      <c r="A78" s="15"/>
      <c r="B78" s="33"/>
      <c r="C78" s="27"/>
      <c r="D78" s="27"/>
      <c r="E78" s="27"/>
      <c r="F78" s="27"/>
      <c r="G78" s="27"/>
      <c r="H78" s="27"/>
      <c r="I78" s="15"/>
      <c r="J78" s="15"/>
      <c r="K78" s="15"/>
      <c r="L78" s="15"/>
      <c r="M78" s="15"/>
      <c r="N78" s="15"/>
      <c r="O78" s="15"/>
      <c r="P78" s="15"/>
      <c r="Q78" s="15"/>
      <c r="R78" s="15"/>
      <c r="S78" s="15"/>
      <c r="T78" s="15"/>
      <c r="U78" s="15"/>
      <c r="V78" s="15"/>
      <c r="W78" s="15"/>
      <c r="X78" s="15"/>
      <c r="Y78" s="15"/>
      <c r="Z78" s="15"/>
      <c r="AA78" s="15"/>
      <c r="AB78" s="15"/>
      <c r="AC78" s="15"/>
      <c r="AD78" s="15"/>
      <c r="AE78" s="15"/>
    </row>
    <row r="79" spans="1:31" s="8" customFormat="1">
      <c r="A79" s="15"/>
      <c r="B79" s="35" t="str">
        <f>B16</f>
        <v>ASP Level 2 - Additional authorisation</v>
      </c>
      <c r="C79" s="66"/>
      <c r="D79" s="66"/>
      <c r="E79" s="66"/>
      <c r="F79" s="66"/>
      <c r="G79" s="66"/>
      <c r="H79" s="66"/>
      <c r="I79" s="15"/>
      <c r="J79" s="15"/>
      <c r="K79" s="15"/>
      <c r="L79" s="15"/>
      <c r="M79" s="15"/>
      <c r="N79" s="15"/>
      <c r="O79" s="15"/>
      <c r="P79" s="15"/>
      <c r="Q79" s="15"/>
      <c r="R79" s="15"/>
      <c r="S79" s="15"/>
      <c r="T79" s="15"/>
      <c r="U79" s="15"/>
      <c r="V79" s="15"/>
      <c r="W79" s="15"/>
      <c r="X79" s="15"/>
      <c r="Y79" s="15"/>
      <c r="Z79" s="15"/>
      <c r="AA79" s="15"/>
      <c r="AB79" s="15"/>
      <c r="AC79" s="15"/>
      <c r="AD79" s="15"/>
      <c r="AE79" s="15"/>
    </row>
    <row r="80" spans="1:31" s="2" customFormat="1">
      <c r="B80" s="36" t="s">
        <v>23</v>
      </c>
      <c r="C80" s="34">
        <v>20</v>
      </c>
      <c r="D80" s="34">
        <v>20</v>
      </c>
      <c r="E80" s="34">
        <v>20</v>
      </c>
      <c r="F80" s="34">
        <v>20</v>
      </c>
      <c r="G80" s="34">
        <v>20</v>
      </c>
      <c r="H80" s="34">
        <f>SUM(C80:G80)</f>
        <v>100</v>
      </c>
      <c r="I80" s="7"/>
      <c r="J80" s="7"/>
      <c r="K80" s="7"/>
      <c r="L80" s="7"/>
      <c r="M80" s="7"/>
      <c r="N80" s="7"/>
      <c r="O80" s="7"/>
      <c r="P80" s="7"/>
      <c r="Q80" s="7"/>
      <c r="R80" s="7"/>
      <c r="S80" s="7"/>
      <c r="T80" s="7"/>
      <c r="U80" s="7"/>
      <c r="V80" s="7"/>
      <c r="W80" s="7"/>
      <c r="X80" s="7"/>
      <c r="Y80" s="7"/>
      <c r="Z80" s="7"/>
      <c r="AA80" s="7"/>
      <c r="AB80" s="7"/>
      <c r="AC80" s="7"/>
      <c r="AD80" s="7"/>
      <c r="AE80" s="7"/>
    </row>
    <row r="81" spans="1:31" s="8" customFormat="1">
      <c r="A81" s="15"/>
      <c r="B81" s="36" t="s">
        <v>24</v>
      </c>
      <c r="C81" s="61">
        <f>C80*'Fee Breakdown'!$H$63</f>
        <v>2045.2</v>
      </c>
      <c r="D81" s="61">
        <f>D80*'Fee Breakdown'!$H$63</f>
        <v>2045.2</v>
      </c>
      <c r="E81" s="61">
        <f>E80*'Fee Breakdown'!$H$63</f>
        <v>2045.2</v>
      </c>
      <c r="F81" s="61">
        <f>F80*'Fee Breakdown'!$H$63</f>
        <v>2045.2</v>
      </c>
      <c r="G81" s="61">
        <f>G80*'Fee Breakdown'!$H$63</f>
        <v>2045.2</v>
      </c>
      <c r="H81" s="61">
        <f>SUM(C81:G81)</f>
        <v>10226</v>
      </c>
      <c r="I81" s="15"/>
      <c r="J81" s="15"/>
      <c r="K81" s="15"/>
      <c r="L81" s="15"/>
      <c r="M81" s="15"/>
      <c r="N81" s="15"/>
      <c r="O81" s="15"/>
      <c r="P81" s="15"/>
      <c r="Q81" s="15"/>
      <c r="R81" s="15"/>
      <c r="S81" s="15"/>
      <c r="T81" s="15"/>
      <c r="U81" s="15"/>
      <c r="V81" s="15"/>
      <c r="W81" s="15"/>
      <c r="X81" s="15"/>
      <c r="Y81" s="15"/>
      <c r="Z81" s="15"/>
      <c r="AA81" s="15"/>
      <c r="AB81" s="15"/>
      <c r="AC81" s="15"/>
      <c r="AD81" s="15"/>
      <c r="AE81" s="15"/>
    </row>
    <row r="82" spans="1:31" s="8" customFormat="1">
      <c r="A82" s="15"/>
      <c r="B82" s="33"/>
      <c r="C82" s="27"/>
      <c r="D82" s="27"/>
      <c r="E82" s="27"/>
      <c r="F82" s="27"/>
      <c r="G82" s="27"/>
      <c r="H82" s="27"/>
      <c r="I82" s="15"/>
      <c r="J82" s="15"/>
      <c r="K82" s="15"/>
      <c r="L82" s="15"/>
      <c r="M82" s="15"/>
      <c r="N82" s="15"/>
      <c r="O82" s="15"/>
      <c r="P82" s="15"/>
      <c r="Q82" s="15"/>
      <c r="R82" s="15"/>
      <c r="S82" s="15"/>
      <c r="T82" s="15"/>
      <c r="U82" s="15"/>
      <c r="V82" s="15"/>
      <c r="W82" s="15"/>
      <c r="X82" s="15"/>
      <c r="Y82" s="15"/>
      <c r="Z82" s="15"/>
      <c r="AA82" s="15"/>
      <c r="AB82" s="15"/>
      <c r="AC82" s="15"/>
      <c r="AD82" s="15"/>
      <c r="AE82" s="15"/>
    </row>
    <row r="83" spans="1:31" s="8" customFormat="1">
      <c r="A83" s="15"/>
      <c r="B83" s="35" t="str">
        <f>B18</f>
        <v>ASP Level 3 - Authorisation/Re-authorisation (Biennial Fee)</v>
      </c>
      <c r="C83" s="66"/>
      <c r="D83" s="66"/>
      <c r="E83" s="66"/>
      <c r="F83" s="66"/>
      <c r="G83" s="66"/>
      <c r="H83" s="66"/>
      <c r="I83" s="15"/>
      <c r="J83" s="15"/>
      <c r="K83" s="15"/>
      <c r="L83" s="15"/>
      <c r="M83" s="15"/>
      <c r="N83" s="15"/>
      <c r="O83" s="15"/>
      <c r="P83" s="15"/>
      <c r="Q83" s="15"/>
      <c r="R83" s="15"/>
      <c r="S83" s="15"/>
      <c r="T83" s="15"/>
      <c r="U83" s="15"/>
      <c r="V83" s="15"/>
      <c r="W83" s="15"/>
      <c r="X83" s="15"/>
      <c r="Y83" s="15"/>
      <c r="Z83" s="15"/>
      <c r="AA83" s="15"/>
      <c r="AB83" s="15"/>
      <c r="AC83" s="15"/>
      <c r="AD83" s="15"/>
      <c r="AE83" s="15"/>
    </row>
    <row r="84" spans="1:31" s="2" customFormat="1">
      <c r="B84" s="36" t="s">
        <v>23</v>
      </c>
      <c r="C84" s="34">
        <v>130</v>
      </c>
      <c r="D84" s="34">
        <v>130</v>
      </c>
      <c r="E84" s="34">
        <v>130</v>
      </c>
      <c r="F84" s="34">
        <v>130</v>
      </c>
      <c r="G84" s="34">
        <v>130</v>
      </c>
      <c r="H84" s="34">
        <f>SUM(C84:G84)</f>
        <v>650</v>
      </c>
      <c r="I84" s="7"/>
      <c r="J84" s="7"/>
      <c r="K84" s="7"/>
      <c r="L84" s="7"/>
      <c r="M84" s="7"/>
      <c r="N84" s="7"/>
      <c r="O84" s="7"/>
      <c r="P84" s="7"/>
      <c r="Q84" s="7"/>
      <c r="R84" s="7"/>
      <c r="S84" s="7"/>
      <c r="T84" s="7"/>
      <c r="U84" s="7"/>
      <c r="V84" s="7"/>
      <c r="W84" s="7"/>
      <c r="X84" s="7"/>
      <c r="Y84" s="7"/>
      <c r="Z84" s="7"/>
      <c r="AA84" s="7"/>
      <c r="AB84" s="7"/>
      <c r="AC84" s="7"/>
      <c r="AD84" s="7"/>
      <c r="AE84" s="7"/>
    </row>
    <row r="85" spans="1:31" s="8" customFormat="1">
      <c r="A85" s="15"/>
      <c r="B85" s="36" t="s">
        <v>24</v>
      </c>
      <c r="C85" s="61">
        <f>C84*'Fee Breakdown'!$H$71</f>
        <v>9970.35</v>
      </c>
      <c r="D85" s="61">
        <f>D84*'Fee Breakdown'!$H$71</f>
        <v>9970.35</v>
      </c>
      <c r="E85" s="61">
        <f>E84*'Fee Breakdown'!$H$71</f>
        <v>9970.35</v>
      </c>
      <c r="F85" s="61">
        <f>F84*'Fee Breakdown'!$H$71</f>
        <v>9970.35</v>
      </c>
      <c r="G85" s="61">
        <f>G84*'Fee Breakdown'!$H$71</f>
        <v>9970.35</v>
      </c>
      <c r="H85" s="61">
        <f>SUM(C85:G85)</f>
        <v>49851.75</v>
      </c>
      <c r="I85" s="15"/>
      <c r="J85" s="15"/>
      <c r="K85" s="15"/>
      <c r="L85" s="15"/>
      <c r="M85" s="15"/>
      <c r="N85" s="15"/>
      <c r="O85" s="15"/>
      <c r="P85" s="15"/>
      <c r="Q85" s="15"/>
      <c r="R85" s="15"/>
      <c r="S85" s="15"/>
      <c r="T85" s="15"/>
      <c r="U85" s="15"/>
      <c r="V85" s="15"/>
      <c r="W85" s="15"/>
      <c r="X85" s="15"/>
      <c r="Y85" s="15"/>
      <c r="Z85" s="15"/>
      <c r="AA85" s="15"/>
      <c r="AB85" s="15"/>
      <c r="AC85" s="15"/>
      <c r="AD85" s="15"/>
      <c r="AE85" s="15"/>
    </row>
    <row r="86" spans="1:31" s="8" customFormat="1">
      <c r="A86" s="15"/>
      <c r="B86" s="33"/>
      <c r="C86" s="22"/>
      <c r="D86" s="27"/>
      <c r="E86" s="27"/>
      <c r="F86" s="27"/>
      <c r="G86" s="27"/>
      <c r="H86" s="27"/>
      <c r="I86" s="15"/>
      <c r="J86" s="15"/>
      <c r="K86" s="15"/>
      <c r="L86" s="15"/>
      <c r="M86" s="15"/>
      <c r="N86" s="15"/>
      <c r="O86" s="15"/>
      <c r="P86" s="15"/>
      <c r="Q86" s="15"/>
      <c r="R86" s="15"/>
      <c r="S86" s="15"/>
      <c r="T86" s="15"/>
      <c r="U86" s="15"/>
      <c r="V86" s="15"/>
      <c r="W86" s="15"/>
      <c r="X86" s="15"/>
      <c r="Y86" s="15"/>
      <c r="Z86" s="15"/>
      <c r="AA86" s="15"/>
      <c r="AB86" s="15"/>
      <c r="AC86" s="15"/>
      <c r="AD86" s="15"/>
      <c r="AE86" s="15"/>
    </row>
    <row r="87" spans="1:31" s="7" customFormat="1">
      <c r="B87" s="3" t="s">
        <v>13</v>
      </c>
      <c r="C87" s="169"/>
      <c r="D87" s="169"/>
      <c r="E87" s="169"/>
      <c r="F87" s="169"/>
      <c r="G87" s="169"/>
      <c r="H87" s="169"/>
    </row>
    <row r="88" spans="1:31" s="2" customFormat="1">
      <c r="A88" s="7"/>
      <c r="B88" s="30"/>
      <c r="C88" s="13"/>
      <c r="D88" s="13"/>
      <c r="E88" s="13"/>
      <c r="F88" s="13"/>
      <c r="G88" s="13"/>
      <c r="H88" s="13"/>
      <c r="I88" s="124"/>
      <c r="J88" s="124"/>
      <c r="K88" s="124"/>
      <c r="L88" s="124"/>
      <c r="M88" s="124"/>
      <c r="N88" s="7"/>
      <c r="O88" s="7"/>
      <c r="P88" s="7"/>
      <c r="Q88" s="7"/>
      <c r="R88" s="7"/>
      <c r="S88" s="7"/>
      <c r="T88" s="7"/>
      <c r="U88" s="7"/>
      <c r="V88" s="7"/>
      <c r="W88" s="7"/>
      <c r="X88" s="7"/>
      <c r="Y88" s="7"/>
      <c r="Z88" s="7"/>
      <c r="AA88" s="7"/>
      <c r="AB88" s="7"/>
      <c r="AC88" s="7"/>
      <c r="AD88" s="7"/>
    </row>
    <row r="89" spans="1:31" s="2" customFormat="1">
      <c r="A89" s="7"/>
      <c r="B89" s="30"/>
      <c r="C89" s="13"/>
      <c r="D89" s="13"/>
      <c r="E89" s="13"/>
      <c r="F89" s="13"/>
      <c r="G89" s="13"/>
      <c r="H89" s="13"/>
      <c r="I89" s="124"/>
      <c r="J89" s="124"/>
      <c r="K89" s="124"/>
      <c r="L89" s="124"/>
      <c r="M89" s="124"/>
      <c r="N89" s="7"/>
      <c r="O89" s="7"/>
      <c r="P89" s="7"/>
      <c r="Q89" s="7"/>
      <c r="R89" s="7"/>
      <c r="S89" s="7"/>
      <c r="T89" s="7"/>
      <c r="U89" s="7"/>
      <c r="V89" s="7"/>
      <c r="W89" s="7"/>
      <c r="X89" s="7"/>
      <c r="Y89" s="7"/>
      <c r="Z89" s="7"/>
      <c r="AA89" s="7"/>
      <c r="AB89" s="7"/>
      <c r="AC89" s="7"/>
      <c r="AD89" s="7"/>
    </row>
    <row r="90" spans="1:31" s="2" customFormat="1">
      <c r="A90" s="7"/>
      <c r="B90" s="30"/>
      <c r="C90" s="13"/>
      <c r="D90" s="13"/>
      <c r="E90" s="13"/>
      <c r="F90" s="13"/>
      <c r="G90" s="13"/>
      <c r="H90" s="13"/>
      <c r="I90" s="124"/>
      <c r="J90" s="124"/>
      <c r="K90" s="124"/>
      <c r="L90" s="124"/>
      <c r="M90" s="124"/>
      <c r="N90" s="7"/>
      <c r="O90" s="7"/>
      <c r="P90" s="7"/>
      <c r="Q90" s="7"/>
      <c r="R90" s="7"/>
      <c r="S90" s="7"/>
      <c r="T90" s="7"/>
      <c r="U90" s="7"/>
      <c r="V90" s="7"/>
      <c r="W90" s="7"/>
      <c r="X90" s="7"/>
      <c r="Y90" s="7"/>
      <c r="Z90" s="7"/>
      <c r="AA90" s="7"/>
      <c r="AB90" s="7"/>
      <c r="AC90" s="7"/>
      <c r="AD90" s="7"/>
    </row>
    <row r="91" spans="1:31" s="7" customFormat="1">
      <c r="B91" s="164" t="s">
        <v>289</v>
      </c>
      <c r="C91" s="163">
        <f t="shared" ref="C91:H91" si="5">C57+C61+C65+C69+C73+C77+C81+C85</f>
        <v>464624.61999999994</v>
      </c>
      <c r="D91" s="163">
        <f t="shared" si="5"/>
        <v>464624.61999999994</v>
      </c>
      <c r="E91" s="163">
        <f t="shared" si="5"/>
        <v>464624.61999999994</v>
      </c>
      <c r="F91" s="163">
        <f t="shared" si="5"/>
        <v>464624.61999999994</v>
      </c>
      <c r="G91" s="163">
        <f t="shared" si="5"/>
        <v>464624.61999999994</v>
      </c>
      <c r="H91" s="163">
        <f t="shared" si="5"/>
        <v>2323123.0999999996</v>
      </c>
    </row>
    <row r="92" spans="1:31" s="7" customFormat="1">
      <c r="E92" s="21"/>
      <c r="F92" s="21"/>
      <c r="G92" s="21"/>
      <c r="H92" s="21"/>
      <c r="I92" s="21"/>
      <c r="J92" s="21"/>
    </row>
    <row r="93" spans="1:31" s="8" customFormat="1">
      <c r="A93" s="15"/>
      <c r="B93" s="1" t="s">
        <v>291</v>
      </c>
      <c r="C93" s="4"/>
      <c r="D93" s="4"/>
      <c r="E93" s="4"/>
      <c r="F93" s="4"/>
      <c r="G93" s="4"/>
      <c r="H93" s="4"/>
      <c r="I93" s="16"/>
      <c r="J93" s="15"/>
      <c r="K93" s="15"/>
      <c r="L93" s="15"/>
      <c r="M93" s="15"/>
      <c r="N93" s="15"/>
      <c r="O93" s="15"/>
      <c r="P93" s="15"/>
      <c r="Q93" s="15"/>
      <c r="R93" s="15"/>
      <c r="S93" s="15"/>
      <c r="T93" s="15"/>
      <c r="U93" s="15"/>
      <c r="V93" s="15"/>
      <c r="W93" s="15"/>
      <c r="X93" s="15"/>
      <c r="Y93" s="15"/>
    </row>
    <row r="94" spans="1:31" s="15" customFormat="1">
      <c r="B94" s="41"/>
    </row>
    <row r="95" spans="1:31" s="8" customFormat="1">
      <c r="A95" s="15"/>
      <c r="B95" s="3" t="s">
        <v>4</v>
      </c>
      <c r="C95" s="6" t="s">
        <v>9</v>
      </c>
      <c r="D95" s="32" t="s">
        <v>18</v>
      </c>
      <c r="E95" s="32" t="s">
        <v>19</v>
      </c>
      <c r="F95" s="32" t="s">
        <v>20</v>
      </c>
      <c r="G95" s="32" t="s">
        <v>21</v>
      </c>
      <c r="H95" s="32" t="s">
        <v>22</v>
      </c>
      <c r="I95" s="15"/>
      <c r="J95" s="15"/>
      <c r="K95" s="15"/>
      <c r="L95" s="15"/>
      <c r="M95" s="15"/>
      <c r="N95" s="15"/>
      <c r="O95" s="15"/>
      <c r="P95" s="15"/>
      <c r="Q95" s="15"/>
      <c r="R95" s="15"/>
      <c r="S95" s="15"/>
      <c r="T95" s="15"/>
      <c r="U95" s="15"/>
      <c r="V95" s="15"/>
      <c r="W95" s="15"/>
      <c r="X95" s="15"/>
      <c r="Y95" s="15"/>
      <c r="Z95" s="15"/>
      <c r="AA95" s="15"/>
      <c r="AB95" s="15"/>
      <c r="AC95" s="15"/>
      <c r="AD95" s="15"/>
    </row>
    <row r="96" spans="1:31" s="8" customFormat="1">
      <c r="A96" s="15"/>
      <c r="B96" s="8" t="s">
        <v>10</v>
      </c>
      <c r="C96" s="68">
        <f>'AER FD Input Data'!G13</f>
        <v>1</v>
      </c>
      <c r="D96" s="68">
        <f>'AER FD Input Data'!H13</f>
        <v>1.0242487465753967</v>
      </c>
      <c r="E96" s="68">
        <f>'AER FD Input Data'!I13</f>
        <v>1.0557705826767474</v>
      </c>
      <c r="F96" s="68">
        <f>'AER FD Input Data'!J13</f>
        <v>1.0927152564301721</v>
      </c>
      <c r="G96" s="68">
        <f>'AER FD Input Data'!K13</f>
        <v>1.1335932344577511</v>
      </c>
      <c r="H96" s="68">
        <f>'AER FD Input Data'!L13</f>
        <v>1.1742976491782107</v>
      </c>
      <c r="N96" s="15"/>
      <c r="O96" s="15"/>
      <c r="P96" s="15"/>
      <c r="Q96" s="15"/>
      <c r="R96" s="15"/>
      <c r="S96" s="15"/>
      <c r="T96" s="15"/>
      <c r="U96" s="15"/>
      <c r="V96" s="15"/>
      <c r="W96" s="15"/>
      <c r="X96" s="15"/>
      <c r="Y96" s="15"/>
      <c r="Z96" s="15"/>
      <c r="AA96" s="15"/>
      <c r="AB96" s="15"/>
      <c r="AC96" s="15"/>
      <c r="AD96" s="15"/>
    </row>
    <row r="97" spans="1:30" s="8" customFormat="1">
      <c r="A97" s="15"/>
      <c r="B97" s="8" t="s">
        <v>11</v>
      </c>
      <c r="C97" s="68">
        <f>'AER FD Input Data'!G14</f>
        <v>1</v>
      </c>
      <c r="D97" s="68">
        <f>'AER FD Input Data'!H14</f>
        <v>1.0242487465753967</v>
      </c>
      <c r="E97" s="68">
        <f>'AER FD Input Data'!I14</f>
        <v>1.0490854948612711</v>
      </c>
      <c r="F97" s="68">
        <f>'AER FD Input Data'!J14</f>
        <v>1.0745245031620867</v>
      </c>
      <c r="G97" s="68">
        <f>'AER FD Input Data'!K14</f>
        <v>1.1005803755283181</v>
      </c>
      <c r="H97" s="68">
        <f>'AER FD Input Data'!L14</f>
        <v>1.1272680701403592</v>
      </c>
      <c r="J97" s="9"/>
      <c r="N97" s="15"/>
      <c r="O97" s="15"/>
      <c r="P97" s="15"/>
      <c r="Q97" s="15"/>
      <c r="R97" s="15"/>
      <c r="S97" s="15"/>
      <c r="T97" s="15"/>
      <c r="U97" s="15"/>
      <c r="V97" s="15"/>
      <c r="W97" s="15"/>
      <c r="X97" s="15"/>
      <c r="Y97" s="15"/>
      <c r="Z97" s="15"/>
      <c r="AA97" s="15"/>
      <c r="AB97" s="15"/>
      <c r="AC97" s="15"/>
      <c r="AD97" s="15"/>
    </row>
    <row r="98" spans="1:30" s="8" customFormat="1">
      <c r="A98" s="15"/>
      <c r="B98" s="8" t="s">
        <v>12</v>
      </c>
      <c r="C98" s="68">
        <f>'AER FD Input Data'!G15</f>
        <v>1</v>
      </c>
      <c r="D98" s="68">
        <f>'AER FD Input Data'!H15</f>
        <v>1</v>
      </c>
      <c r="E98" s="68">
        <f>'AER FD Input Data'!I15</f>
        <v>1.0063723003017597</v>
      </c>
      <c r="F98" s="68">
        <f>'AER FD Input Data'!J15</f>
        <v>1.016929119079699</v>
      </c>
      <c r="G98" s="68">
        <f>'AER FD Input Data'!K15</f>
        <v>1.0299958636947215</v>
      </c>
      <c r="H98" s="68">
        <f>'AER FD Input Data'!L15</f>
        <v>1.0417199602149607</v>
      </c>
      <c r="J98" s="9"/>
      <c r="N98" s="15"/>
      <c r="O98" s="15"/>
      <c r="P98" s="15"/>
      <c r="Q98" s="15"/>
      <c r="R98" s="15"/>
      <c r="S98" s="15"/>
      <c r="T98" s="15"/>
      <c r="U98" s="15"/>
      <c r="V98" s="15"/>
      <c r="W98" s="15"/>
      <c r="X98" s="15"/>
      <c r="Y98" s="15"/>
      <c r="Z98" s="15"/>
      <c r="AA98" s="15"/>
      <c r="AB98" s="15"/>
      <c r="AC98" s="15"/>
      <c r="AD98" s="15"/>
    </row>
    <row r="99" spans="1:30" s="15" customFormat="1">
      <c r="D99" s="18"/>
      <c r="E99" s="18"/>
      <c r="F99" s="18"/>
      <c r="G99" s="18"/>
      <c r="H99" s="18"/>
      <c r="I99" s="18"/>
      <c r="J99" s="18"/>
      <c r="K99" s="18"/>
      <c r="L99" s="18"/>
      <c r="M99" s="18"/>
      <c r="N99" s="18"/>
    </row>
    <row r="100" spans="1:30" s="7" customFormat="1">
      <c r="B100" s="1" t="s">
        <v>87</v>
      </c>
      <c r="C100" s="1"/>
      <c r="D100" s="1"/>
      <c r="E100" s="1"/>
      <c r="F100" s="4"/>
      <c r="G100" s="4"/>
      <c r="H100" s="4"/>
    </row>
    <row r="101" spans="1:30">
      <c r="B101" s="7"/>
      <c r="C101" s="7"/>
      <c r="D101" s="7"/>
      <c r="E101" s="7"/>
      <c r="F101" s="7"/>
      <c r="G101" s="7"/>
      <c r="H101" s="7"/>
      <c r="I101" s="125"/>
      <c r="J101" s="125"/>
      <c r="K101" s="125"/>
      <c r="L101" s="125"/>
      <c r="M101" s="125"/>
      <c r="N101" s="125"/>
      <c r="O101" s="125"/>
      <c r="P101" s="125"/>
      <c r="Q101" s="125"/>
      <c r="R101" s="125"/>
      <c r="S101" s="125"/>
      <c r="T101" s="125"/>
      <c r="U101" s="125"/>
    </row>
    <row r="102" spans="1:30">
      <c r="B102" s="3" t="s">
        <v>4</v>
      </c>
      <c r="C102" s="6" t="s">
        <v>88</v>
      </c>
      <c r="D102" s="32" t="s">
        <v>89</v>
      </c>
      <c r="E102" s="6" t="s">
        <v>90</v>
      </c>
      <c r="F102" s="32" t="s">
        <v>91</v>
      </c>
      <c r="G102" s="32" t="s">
        <v>92</v>
      </c>
      <c r="H102" s="32" t="s">
        <v>93</v>
      </c>
      <c r="I102" s="125"/>
      <c r="J102" s="125"/>
      <c r="K102" s="125"/>
      <c r="L102" s="125"/>
      <c r="M102" s="125"/>
      <c r="N102" s="125"/>
      <c r="O102" s="125"/>
      <c r="P102" s="125"/>
      <c r="Q102" s="125"/>
      <c r="R102" s="125"/>
      <c r="S102" s="125"/>
      <c r="T102" s="125"/>
      <c r="U102" s="125"/>
    </row>
    <row r="103" spans="1:30">
      <c r="B103" s="8" t="s">
        <v>94</v>
      </c>
      <c r="C103" s="87"/>
      <c r="D103" s="87">
        <v>1</v>
      </c>
      <c r="E103" s="87">
        <f>D103*(1+E105)*(1-E104)</f>
        <v>1.0353329951690822</v>
      </c>
      <c r="F103" s="87">
        <f t="shared" ref="F103:G103" si="6">E103*(1+F105)*(1-F104)</f>
        <v>1.0621947743913041</v>
      </c>
      <c r="G103" s="87">
        <f t="shared" si="6"/>
        <v>1.0876998293290692</v>
      </c>
      <c r="H103" s="87">
        <f>G103*(1+H106)*(1-H104)</f>
        <v>1.1205581534732707</v>
      </c>
      <c r="I103" s="125"/>
      <c r="J103" s="125"/>
      <c r="K103" s="125"/>
      <c r="L103" s="125"/>
      <c r="M103" s="125"/>
      <c r="N103" s="125"/>
      <c r="O103" s="125"/>
      <c r="P103" s="125"/>
      <c r="Q103" s="125"/>
      <c r="R103" s="125"/>
      <c r="S103" s="125"/>
      <c r="T103" s="125"/>
      <c r="U103" s="125"/>
    </row>
    <row r="104" spans="1:30">
      <c r="B104" s="8" t="s">
        <v>95</v>
      </c>
      <c r="C104" s="87"/>
      <c r="D104" s="87"/>
      <c r="E104" s="87">
        <f>-'AER FD Input Data'!D19</f>
        <v>-1.0200000000000001E-2</v>
      </c>
      <c r="F104" s="87">
        <f>-'AER FD Input Data'!E19</f>
        <v>-1.0699999999999999E-2</v>
      </c>
      <c r="G104" s="87">
        <f>-'AER FD Input Data'!F19</f>
        <v>-1.11E-2</v>
      </c>
      <c r="H104" s="87">
        <f>-'AER FD Input Data'!G19</f>
        <v>-1.0999999999999999E-2</v>
      </c>
      <c r="I104" s="125"/>
      <c r="J104" s="125"/>
      <c r="K104" s="125"/>
      <c r="L104" s="125"/>
      <c r="M104" s="125"/>
      <c r="N104" s="125"/>
      <c r="O104" s="125"/>
      <c r="P104" s="125"/>
      <c r="Q104" s="125"/>
      <c r="R104" s="125"/>
      <c r="S104" s="125"/>
      <c r="T104" s="125"/>
      <c r="U104" s="125"/>
    </row>
    <row r="105" spans="1:30">
      <c r="B105" s="8" t="s">
        <v>96</v>
      </c>
      <c r="C105" s="87">
        <v>1.76278015613196E-2</v>
      </c>
      <c r="D105" s="87">
        <f>'AER FD Input Data'!C18</f>
        <v>2.4498886414253906E-2</v>
      </c>
      <c r="E105" s="87">
        <f>'AER FD Input Data'!D18</f>
        <v>2.4879227053140163E-2</v>
      </c>
      <c r="F105" s="87">
        <f>'AER FD Input Data'!E18</f>
        <v>1.5083667216591934E-2</v>
      </c>
      <c r="G105" s="87">
        <f>'AER FD Input Data'!F18</f>
        <v>1.2769909449732886E-2</v>
      </c>
      <c r="H105" s="68"/>
      <c r="I105" s="125"/>
      <c r="J105" s="125"/>
      <c r="K105" s="125"/>
      <c r="L105" s="125"/>
      <c r="M105" s="125"/>
      <c r="N105" s="125"/>
      <c r="O105" s="125"/>
      <c r="P105" s="125"/>
      <c r="Q105" s="125"/>
      <c r="R105" s="125"/>
      <c r="S105" s="125"/>
      <c r="T105" s="125"/>
      <c r="U105" s="125"/>
    </row>
    <row r="106" spans="1:30">
      <c r="B106" s="8" t="s">
        <v>97</v>
      </c>
      <c r="C106" s="87"/>
      <c r="D106" s="87"/>
      <c r="E106" s="87"/>
      <c r="F106" s="87"/>
      <c r="G106" s="68"/>
      <c r="H106" s="68">
        <f>'AER FD Input Data'!G18</f>
        <v>1.9E-2</v>
      </c>
      <c r="I106" s="125"/>
      <c r="J106" s="125"/>
      <c r="K106" s="125"/>
      <c r="L106" s="125"/>
      <c r="M106" s="125"/>
      <c r="N106" s="125"/>
      <c r="O106" s="125"/>
      <c r="P106" s="125"/>
      <c r="Q106" s="125"/>
      <c r="R106" s="125"/>
      <c r="S106" s="125"/>
      <c r="T106" s="125"/>
      <c r="U106" s="125"/>
    </row>
    <row r="107" spans="1:30" s="125" customFormat="1"/>
    <row r="108" spans="1:30" s="125" customFormat="1"/>
    <row r="109" spans="1:30" s="125" customFormat="1"/>
    <row r="110" spans="1:30" s="125" customFormat="1"/>
    <row r="111" spans="1:30" s="125" customFormat="1"/>
    <row r="112" spans="1:30" s="125" customFormat="1"/>
    <row r="113" s="125" customFormat="1"/>
    <row r="114" s="125" customFormat="1"/>
    <row r="115" s="125" customFormat="1"/>
    <row r="116" s="125" customFormat="1"/>
    <row r="117" s="125" customFormat="1"/>
    <row r="118"/>
    <row r="119"/>
    <row r="120"/>
    <row r="121"/>
    <row r="122"/>
  </sheetData>
  <mergeCells count="5">
    <mergeCell ref="E6:I6"/>
    <mergeCell ref="E21:H21"/>
    <mergeCell ref="B30:G30"/>
    <mergeCell ref="B35:G35"/>
    <mergeCell ref="C39:G3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CB67"/>
  <sheetViews>
    <sheetView zoomScale="80" zoomScaleNormal="80" workbookViewId="0">
      <selection activeCell="H19" sqref="H19"/>
    </sheetView>
  </sheetViews>
  <sheetFormatPr defaultColWidth="0" defaultRowHeight="14.4" zeroHeight="1"/>
  <cols>
    <col min="1" max="1" width="3.6640625" style="125" customWidth="1"/>
    <col min="2" max="2" width="40.6640625" customWidth="1"/>
    <col min="3" max="12" width="20.6640625" customWidth="1"/>
    <col min="13" max="14" width="9.109375" style="125" customWidth="1"/>
    <col min="15" max="80" width="0" style="125" hidden="1" customWidth="1"/>
    <col min="81" max="16384" width="9.109375" hidden="1"/>
  </cols>
  <sheetData>
    <row r="1" spans="1:80" s="125" customFormat="1"/>
    <row r="2" spans="1:80" s="38" customFormat="1" ht="21" customHeight="1">
      <c r="A2" s="147"/>
      <c r="B2" s="28" t="s">
        <v>59</v>
      </c>
      <c r="C2" s="28"/>
      <c r="D2" s="28"/>
      <c r="E2" s="28"/>
      <c r="F2" s="28"/>
      <c r="G2" s="28"/>
      <c r="H2" s="28"/>
      <c r="I2" s="28"/>
      <c r="J2" s="28"/>
      <c r="K2" s="28"/>
      <c r="L2" s="28"/>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row>
    <row r="3" spans="1:80" s="125" customFormat="1">
      <c r="B3" s="155"/>
    </row>
    <row r="4" spans="1:80" s="125" customFormat="1"/>
    <row r="5" spans="1:80" s="8" customFormat="1">
      <c r="A5" s="15"/>
      <c r="B5" s="1" t="s">
        <v>291</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row>
    <row r="6" spans="1:80" s="15" customFormat="1">
      <c r="B6" s="41"/>
    </row>
    <row r="7" spans="1:80" s="15" customFormat="1">
      <c r="B7" s="3" t="s">
        <v>249</v>
      </c>
      <c r="C7" s="6" t="s">
        <v>5</v>
      </c>
      <c r="D7" s="6" t="s">
        <v>6</v>
      </c>
      <c r="E7" s="6" t="s">
        <v>7</v>
      </c>
      <c r="F7" s="6" t="s">
        <v>8</v>
      </c>
      <c r="G7" s="6" t="s">
        <v>9</v>
      </c>
      <c r="H7" s="32" t="s">
        <v>18</v>
      </c>
      <c r="I7" s="32" t="s">
        <v>19</v>
      </c>
      <c r="J7" s="32" t="s">
        <v>20</v>
      </c>
      <c r="K7" s="32" t="s">
        <v>21</v>
      </c>
      <c r="L7" s="32" t="s">
        <v>22</v>
      </c>
    </row>
    <row r="8" spans="1:80" s="15" customFormat="1">
      <c r="B8" s="8" t="s">
        <v>10</v>
      </c>
      <c r="C8" s="134">
        <v>1</v>
      </c>
      <c r="D8" s="134">
        <f>D9*D10</f>
        <v>1.0353329951690822</v>
      </c>
      <c r="E8" s="134">
        <f t="shared" ref="E8:G8" si="0">E9*E10</f>
        <v>1.0621947743913043</v>
      </c>
      <c r="F8" s="134">
        <f t="shared" si="0"/>
        <v>1.0876998293290694</v>
      </c>
      <c r="G8" s="134">
        <f t="shared" si="0"/>
        <v>1.1205581534732714</v>
      </c>
      <c r="H8" s="9"/>
      <c r="I8" s="9"/>
      <c r="J8" s="9"/>
      <c r="K8" s="9"/>
      <c r="L8" s="9"/>
    </row>
    <row r="9" spans="1:80" s="15" customFormat="1">
      <c r="B9" s="8" t="s">
        <v>11</v>
      </c>
      <c r="C9" s="134">
        <v>1</v>
      </c>
      <c r="D9" s="134">
        <f>C9*(1+D18)</f>
        <v>1.0248792270531402</v>
      </c>
      <c r="E9" s="134">
        <f t="shared" ref="E9:G10" si="1">D9*(1+E18)</f>
        <v>1.0403381642512077</v>
      </c>
      <c r="F9" s="134">
        <f t="shared" si="1"/>
        <v>1.0536231884057969</v>
      </c>
      <c r="G9" s="134">
        <f t="shared" si="1"/>
        <v>1.0736420289855071</v>
      </c>
      <c r="H9" s="9"/>
      <c r="I9" s="9"/>
      <c r="J9" s="9"/>
      <c r="K9" s="9"/>
      <c r="L9" s="9"/>
    </row>
    <row r="10" spans="1:80" s="15" customFormat="1">
      <c r="B10" s="8" t="s">
        <v>12</v>
      </c>
      <c r="C10" s="134">
        <v>1</v>
      </c>
      <c r="D10" s="134">
        <f>C10*(1+D19)</f>
        <v>1.0102</v>
      </c>
      <c r="E10" s="134">
        <f t="shared" si="1"/>
        <v>1.0210091399999999</v>
      </c>
      <c r="F10" s="134">
        <f t="shared" si="1"/>
        <v>1.0323423414540001</v>
      </c>
      <c r="G10" s="134">
        <f t="shared" si="1"/>
        <v>1.043698107209994</v>
      </c>
      <c r="H10" s="135"/>
      <c r="I10" s="135"/>
      <c r="J10" s="135"/>
      <c r="K10" s="135"/>
      <c r="L10" s="135"/>
    </row>
    <row r="11" spans="1:80" s="15" customFormat="1">
      <c r="B11" s="41"/>
    </row>
    <row r="12" spans="1:80" s="8" customFormat="1">
      <c r="A12" s="15"/>
      <c r="B12" s="3" t="s">
        <v>4</v>
      </c>
      <c r="C12" s="6" t="s">
        <v>5</v>
      </c>
      <c r="D12" s="6" t="s">
        <v>6</v>
      </c>
      <c r="E12" s="6" t="s">
        <v>7</v>
      </c>
      <c r="F12" s="6" t="s">
        <v>8</v>
      </c>
      <c r="G12" s="6" t="s">
        <v>9</v>
      </c>
      <c r="H12" s="32" t="s">
        <v>18</v>
      </c>
      <c r="I12" s="32" t="s">
        <v>19</v>
      </c>
      <c r="J12" s="32" t="s">
        <v>20</v>
      </c>
      <c r="K12" s="32" t="s">
        <v>21</v>
      </c>
      <c r="L12" s="32" t="s">
        <v>22</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80" s="8" customFormat="1">
      <c r="A13" s="15"/>
      <c r="B13" s="8" t="s">
        <v>10</v>
      </c>
      <c r="C13" s="9"/>
      <c r="D13" s="9"/>
      <c r="E13" s="9"/>
      <c r="F13" s="9"/>
      <c r="G13" s="69">
        <v>1</v>
      </c>
      <c r="H13" s="69">
        <f>H14*H15</f>
        <v>1.0242487465753967</v>
      </c>
      <c r="I13" s="69">
        <f t="shared" ref="I13:L13" si="2">I14*I15</f>
        <v>1.0557705826767474</v>
      </c>
      <c r="J13" s="69">
        <f t="shared" si="2"/>
        <v>1.0927152564301721</v>
      </c>
      <c r="K13" s="69">
        <f t="shared" si="2"/>
        <v>1.1335932344577511</v>
      </c>
      <c r="L13" s="69">
        <f t="shared" si="2"/>
        <v>1.1742976491782107</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80" s="8" customFormat="1">
      <c r="A14" s="15"/>
      <c r="B14" s="8" t="s">
        <v>11</v>
      </c>
      <c r="C14" s="9"/>
      <c r="D14" s="9"/>
      <c r="E14" s="9"/>
      <c r="F14" s="9"/>
      <c r="G14" s="68">
        <v>1</v>
      </c>
      <c r="H14" s="68">
        <f t="shared" ref="H14:L15" si="3">G14*(1+H18)</f>
        <v>1.0242487465753967</v>
      </c>
      <c r="I14" s="68">
        <f t="shared" si="3"/>
        <v>1.0490854948612711</v>
      </c>
      <c r="J14" s="68">
        <f t="shared" si="3"/>
        <v>1.0745245031620867</v>
      </c>
      <c r="K14" s="68">
        <f t="shared" si="3"/>
        <v>1.1005803755283181</v>
      </c>
      <c r="L14" s="68">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80" s="8" customFormat="1">
      <c r="A15" s="15"/>
      <c r="B15" s="8" t="s">
        <v>12</v>
      </c>
      <c r="C15" s="9"/>
      <c r="D15" s="9"/>
      <c r="E15" s="9"/>
      <c r="F15" s="9"/>
      <c r="G15" s="68">
        <v>1</v>
      </c>
      <c r="H15" s="68">
        <f t="shared" si="3"/>
        <v>1</v>
      </c>
      <c r="I15" s="68">
        <f t="shared" si="3"/>
        <v>1.0063723003017597</v>
      </c>
      <c r="J15" s="68">
        <f t="shared" si="3"/>
        <v>1.016929119079699</v>
      </c>
      <c r="K15" s="68">
        <f t="shared" si="3"/>
        <v>1.0299958636947215</v>
      </c>
      <c r="L15" s="68">
        <f t="shared" si="3"/>
        <v>1.0417199602149607</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80" s="8" customFormat="1">
      <c r="A16" s="15"/>
      <c r="C16" s="9"/>
      <c r="D16" s="9"/>
      <c r="E16" s="9"/>
      <c r="F16" s="9"/>
      <c r="G16" s="9"/>
      <c r="H16" s="9"/>
      <c r="I16" s="9"/>
      <c r="J16" s="9"/>
      <c r="K16" s="9"/>
      <c r="L16" s="9"/>
      <c r="M16" s="18"/>
      <c r="N16" s="18"/>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s="8" customFormat="1">
      <c r="A17" s="15"/>
      <c r="B17" s="3" t="s">
        <v>250</v>
      </c>
      <c r="C17" s="6" t="s">
        <v>5</v>
      </c>
      <c r="D17" s="6" t="s">
        <v>6</v>
      </c>
      <c r="E17" s="6" t="s">
        <v>7</v>
      </c>
      <c r="F17" s="6" t="s">
        <v>8</v>
      </c>
      <c r="G17" s="6" t="s">
        <v>9</v>
      </c>
      <c r="H17" s="32" t="s">
        <v>18</v>
      </c>
      <c r="I17" s="32" t="s">
        <v>19</v>
      </c>
      <c r="J17" s="32" t="s">
        <v>20</v>
      </c>
      <c r="K17" s="32" t="s">
        <v>21</v>
      </c>
      <c r="L17" s="32" t="s">
        <v>22</v>
      </c>
      <c r="M17" s="18"/>
      <c r="N17" s="18"/>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s="8" customFormat="1">
      <c r="A18" s="15"/>
      <c r="B18" s="8" t="s">
        <v>251</v>
      </c>
      <c r="C18" s="156">
        <v>2.4498886414253906E-2</v>
      </c>
      <c r="D18" s="156">
        <v>2.4879227053140163E-2</v>
      </c>
      <c r="E18" s="156">
        <v>1.5083667216591934E-2</v>
      </c>
      <c r="F18" s="156">
        <v>1.2769909449732886E-2</v>
      </c>
      <c r="G18" s="157">
        <v>1.9E-2</v>
      </c>
      <c r="H18" s="157">
        <v>2.4248746575396697E-2</v>
      </c>
      <c r="I18" s="157">
        <v>2.4248746575396697E-2</v>
      </c>
      <c r="J18" s="157">
        <v>2.4248746575396697E-2</v>
      </c>
      <c r="K18" s="157">
        <v>2.4248746575396697E-2</v>
      </c>
      <c r="L18" s="157">
        <v>2.4248746575396697E-2</v>
      </c>
      <c r="M18" s="18"/>
      <c r="N18" s="18"/>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s="8" customFormat="1">
      <c r="A19" s="15"/>
      <c r="B19" s="8" t="s">
        <v>252</v>
      </c>
      <c r="C19" s="156">
        <v>0</v>
      </c>
      <c r="D19" s="156">
        <v>1.0200000000000001E-2</v>
      </c>
      <c r="E19" s="156">
        <v>1.0699999999999999E-2</v>
      </c>
      <c r="F19" s="156">
        <v>1.11E-2</v>
      </c>
      <c r="G19" s="156">
        <v>1.0999999999999999E-2</v>
      </c>
      <c r="H19" s="205"/>
      <c r="I19" s="157">
        <v>6.3723003017598194E-3</v>
      </c>
      <c r="J19" s="157">
        <v>1.0489973516534423E-2</v>
      </c>
      <c r="K19" s="157">
        <v>1.2849218662208877E-2</v>
      </c>
      <c r="L19" s="157">
        <v>1.1382663691661226E-2</v>
      </c>
      <c r="M19" s="18"/>
      <c r="N19" s="18"/>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s="8" customFormat="1">
      <c r="A20" s="15"/>
      <c r="C20" s="9"/>
      <c r="D20" s="9"/>
      <c r="E20" s="9"/>
      <c r="F20" s="9"/>
      <c r="G20" s="9"/>
      <c r="H20" s="9"/>
      <c r="I20" s="9"/>
      <c r="J20" s="9"/>
      <c r="K20" s="9"/>
      <c r="L20" s="9"/>
      <c r="M20" s="18"/>
      <c r="N20" s="18"/>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s="8" customFormat="1">
      <c r="A21" s="15"/>
      <c r="C21" s="9"/>
      <c r="D21" s="9"/>
      <c r="E21" s="9"/>
      <c r="F21" s="9"/>
      <c r="G21" s="9"/>
      <c r="H21" s="9"/>
      <c r="I21" s="9"/>
      <c r="J21" s="9"/>
      <c r="K21" s="9"/>
      <c r="L21" s="9"/>
      <c r="M21" s="18"/>
      <c r="N21" s="18"/>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s="8" customFormat="1">
      <c r="A22" s="15"/>
      <c r="C22" s="9"/>
      <c r="D22" s="9"/>
      <c r="E22" s="9"/>
      <c r="F22" s="9"/>
      <c r="G22" s="9"/>
      <c r="H22" s="9"/>
      <c r="I22" s="9"/>
      <c r="J22" s="9"/>
      <c r="K22" s="9"/>
      <c r="L22" s="9"/>
      <c r="M22" s="18"/>
      <c r="N22" s="18"/>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s="8" customFormat="1">
      <c r="A23" s="15"/>
      <c r="B23" s="170" t="s">
        <v>253</v>
      </c>
      <c r="C23" s="170"/>
      <c r="D23" s="170"/>
      <c r="E23" s="170"/>
      <c r="F23" s="170"/>
      <c r="G23" s="170"/>
      <c r="H23" s="170"/>
      <c r="I23" s="170"/>
      <c r="J23" s="170"/>
      <c r="K23" s="170"/>
      <c r="L23" s="170"/>
      <c r="M23" s="18"/>
      <c r="N23" s="18"/>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s="8" customFormat="1" ht="28.8">
      <c r="A24" s="15"/>
      <c r="B24" s="42" t="s">
        <v>26</v>
      </c>
      <c r="C24" s="42" t="s">
        <v>27</v>
      </c>
      <c r="D24" s="42" t="s">
        <v>28</v>
      </c>
      <c r="E24" s="42" t="s">
        <v>29</v>
      </c>
      <c r="F24" s="42" t="s">
        <v>30</v>
      </c>
      <c r="G24" s="42" t="s">
        <v>31</v>
      </c>
      <c r="H24" s="42" t="s">
        <v>32</v>
      </c>
      <c r="I24" s="42" t="s">
        <v>33</v>
      </c>
      <c r="J24" s="42" t="s">
        <v>34</v>
      </c>
      <c r="K24" s="42" t="s">
        <v>35</v>
      </c>
      <c r="L24" s="42" t="s">
        <v>36</v>
      </c>
      <c r="M24" s="18"/>
      <c r="N24" s="18"/>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s="8" customFormat="1" ht="28.8">
      <c r="A25" s="15"/>
      <c r="B25" s="43"/>
      <c r="C25" s="43"/>
      <c r="D25" s="43" t="s">
        <v>38</v>
      </c>
      <c r="E25" s="43" t="s">
        <v>37</v>
      </c>
      <c r="F25" s="43" t="s">
        <v>37</v>
      </c>
      <c r="G25" s="43" t="s">
        <v>38</v>
      </c>
      <c r="H25" s="43" t="s">
        <v>38</v>
      </c>
      <c r="I25" s="43" t="s">
        <v>38</v>
      </c>
      <c r="J25" s="43" t="s">
        <v>39</v>
      </c>
      <c r="K25" s="43"/>
      <c r="L25" s="43" t="s">
        <v>40</v>
      </c>
      <c r="M25" s="18"/>
      <c r="N25" s="18"/>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s="8" customFormat="1">
      <c r="A26" s="15"/>
      <c r="B26" s="136" t="s">
        <v>41</v>
      </c>
      <c r="C26" s="137" t="s">
        <v>42</v>
      </c>
      <c r="D26" s="138">
        <v>39</v>
      </c>
      <c r="E26" s="139">
        <v>0.52232025787876424</v>
      </c>
      <c r="F26" s="140">
        <v>0.5</v>
      </c>
      <c r="G26" s="141">
        <f>E26*D26</f>
        <v>20.370490057271805</v>
      </c>
      <c r="H26" s="142">
        <f>G26+D26</f>
        <v>59.370490057271809</v>
      </c>
      <c r="I26" s="142">
        <f>H26*F26</f>
        <v>29.685245028635904</v>
      </c>
      <c r="J26" s="142">
        <f>I26+H26</f>
        <v>89.055735085907713</v>
      </c>
      <c r="K26" s="143">
        <v>0</v>
      </c>
      <c r="L26" s="144">
        <v>89.055735085907713</v>
      </c>
      <c r="M26" s="18"/>
      <c r="N26" s="18"/>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s="8" customFormat="1">
      <c r="A27" s="15"/>
      <c r="B27" s="145" t="s">
        <v>43</v>
      </c>
      <c r="C27" s="146" t="s">
        <v>44</v>
      </c>
      <c r="D27" s="138">
        <v>59</v>
      </c>
      <c r="E27" s="139">
        <v>0.52232025787876424</v>
      </c>
      <c r="F27" s="140">
        <v>0.59</v>
      </c>
      <c r="G27" s="141">
        <f t="shared" ref="G27:G30" si="4">E27*D27</f>
        <v>30.81689521484709</v>
      </c>
      <c r="H27" s="142">
        <f t="shared" ref="H27:H30" si="5">G27+D27</f>
        <v>89.816895214847094</v>
      </c>
      <c r="I27" s="142">
        <f t="shared" ref="I27:I30" si="6">H27*F27</f>
        <v>52.991968176759784</v>
      </c>
      <c r="J27" s="142">
        <f t="shared" ref="J27:J30" si="7">I27+H27</f>
        <v>142.80886339160688</v>
      </c>
      <c r="K27" s="143">
        <v>0</v>
      </c>
      <c r="L27" s="144">
        <v>142.80886339160688</v>
      </c>
      <c r="M27" s="18"/>
      <c r="N27" s="18"/>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s="8" customFormat="1">
      <c r="A28" s="15"/>
      <c r="B28" s="145" t="s">
        <v>45</v>
      </c>
      <c r="C28" s="146" t="s">
        <v>46</v>
      </c>
      <c r="D28" s="138">
        <v>69</v>
      </c>
      <c r="E28" s="139">
        <v>0.52232025787876424</v>
      </c>
      <c r="F28" s="140">
        <v>0.69000000000000006</v>
      </c>
      <c r="G28" s="141">
        <f t="shared" si="4"/>
        <v>36.040097793634729</v>
      </c>
      <c r="H28" s="142">
        <f t="shared" si="5"/>
        <v>105.04009779363473</v>
      </c>
      <c r="I28" s="142">
        <f t="shared" si="6"/>
        <v>72.477667477607966</v>
      </c>
      <c r="J28" s="142">
        <f t="shared" si="7"/>
        <v>177.51776527124269</v>
      </c>
      <c r="K28" s="143">
        <v>0</v>
      </c>
      <c r="L28" s="144">
        <v>177.51776527124269</v>
      </c>
      <c r="M28" s="18"/>
      <c r="N28" s="18"/>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s="8" customFormat="1">
      <c r="A29" s="15"/>
      <c r="B29" s="145" t="s">
        <v>47</v>
      </c>
      <c r="C29" s="146" t="s">
        <v>48</v>
      </c>
      <c r="D29" s="138">
        <v>47</v>
      </c>
      <c r="E29" s="139">
        <v>0.52232025787876424</v>
      </c>
      <c r="F29" s="140">
        <v>0.87</v>
      </c>
      <c r="G29" s="141">
        <f t="shared" si="4"/>
        <v>24.549052120301919</v>
      </c>
      <c r="H29" s="142">
        <f t="shared" si="5"/>
        <v>71.549052120301923</v>
      </c>
      <c r="I29" s="142">
        <f t="shared" si="6"/>
        <v>62.247675344662674</v>
      </c>
      <c r="J29" s="142">
        <f t="shared" si="7"/>
        <v>133.79672746496459</v>
      </c>
      <c r="K29" s="143">
        <v>0</v>
      </c>
      <c r="L29" s="144">
        <v>133.79672746496459</v>
      </c>
      <c r="M29" s="18"/>
      <c r="N29" s="18"/>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s="8" customFormat="1">
      <c r="A30" s="15"/>
      <c r="B30" s="145" t="s">
        <v>49</v>
      </c>
      <c r="C30" s="146" t="s">
        <v>50</v>
      </c>
      <c r="D30" s="138">
        <v>82</v>
      </c>
      <c r="E30" s="139">
        <v>0.52232025787876424</v>
      </c>
      <c r="F30" s="140">
        <v>0.69000000000000006</v>
      </c>
      <c r="G30" s="141">
        <f t="shared" si="4"/>
        <v>42.830261146058668</v>
      </c>
      <c r="H30" s="142">
        <f t="shared" si="5"/>
        <v>124.83026114605866</v>
      </c>
      <c r="I30" s="142">
        <f t="shared" si="6"/>
        <v>86.132880190780483</v>
      </c>
      <c r="J30" s="142">
        <f t="shared" si="7"/>
        <v>210.96314133683916</v>
      </c>
      <c r="K30" s="143">
        <v>0</v>
      </c>
      <c r="L30" s="144">
        <v>210.96314133683916</v>
      </c>
      <c r="M30" s="18"/>
      <c r="N30" s="18"/>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s="8" customFormat="1">
      <c r="A31" s="15"/>
      <c r="C31" s="9"/>
      <c r="D31" s="9"/>
      <c r="E31" s="9"/>
      <c r="F31" s="9"/>
      <c r="G31" s="9"/>
      <c r="H31" s="9"/>
      <c r="I31" s="9"/>
      <c r="J31" s="9"/>
      <c r="K31" s="9"/>
      <c r="L31" s="9"/>
      <c r="M31" s="18"/>
      <c r="N31" s="18"/>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s="8" customFormat="1">
      <c r="A32" s="15"/>
      <c r="C32" s="9"/>
      <c r="D32" s="9"/>
      <c r="E32" s="9"/>
      <c r="F32" s="9"/>
      <c r="G32" s="9"/>
      <c r="H32" s="9"/>
      <c r="I32" s="9"/>
      <c r="J32" s="9"/>
      <c r="K32" s="9"/>
      <c r="L32" s="9"/>
      <c r="M32" s="18"/>
      <c r="N32" s="18"/>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s="8" customFormat="1">
      <c r="A33" s="15"/>
      <c r="C33" s="9"/>
      <c r="D33" s="9"/>
      <c r="E33" s="9"/>
      <c r="F33" s="9"/>
      <c r="G33" s="9"/>
      <c r="H33" s="9"/>
      <c r="I33" s="9"/>
      <c r="J33" s="9"/>
      <c r="K33" s="9"/>
      <c r="L33" s="9"/>
      <c r="M33" s="18"/>
      <c r="N33" s="18"/>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B34" s="190" t="s">
        <v>255</v>
      </c>
      <c r="C34" s="190"/>
      <c r="D34" s="190"/>
      <c r="E34" s="190"/>
      <c r="F34" s="190"/>
      <c r="G34" s="190"/>
      <c r="H34" s="190"/>
      <c r="I34" s="190"/>
      <c r="J34" s="190"/>
      <c r="K34" s="190"/>
      <c r="L34" s="190"/>
    </row>
    <row r="35" spans="1:80" ht="45" customHeight="1">
      <c r="B35" s="42" t="s">
        <v>26</v>
      </c>
      <c r="C35" s="42" t="s">
        <v>27</v>
      </c>
      <c r="D35" s="42" t="s">
        <v>28</v>
      </c>
      <c r="E35" s="42" t="s">
        <v>29</v>
      </c>
      <c r="F35" s="42" t="s">
        <v>30</v>
      </c>
      <c r="G35" s="42" t="s">
        <v>31</v>
      </c>
      <c r="H35" s="42" t="s">
        <v>32</v>
      </c>
      <c r="I35" s="42" t="s">
        <v>33</v>
      </c>
      <c r="J35" s="42" t="s">
        <v>34</v>
      </c>
      <c r="K35" s="42" t="s">
        <v>35</v>
      </c>
      <c r="L35" s="42" t="s">
        <v>36</v>
      </c>
      <c r="M35" s="148"/>
    </row>
    <row r="36" spans="1:80" ht="43.2">
      <c r="B36" s="43"/>
      <c r="C36" s="43"/>
      <c r="D36" s="43" t="s">
        <v>254</v>
      </c>
      <c r="E36" s="43" t="s">
        <v>37</v>
      </c>
      <c r="F36" s="43" t="s">
        <v>37</v>
      </c>
      <c r="G36" s="43" t="s">
        <v>38</v>
      </c>
      <c r="H36" s="43" t="s">
        <v>38</v>
      </c>
      <c r="I36" s="43" t="s">
        <v>38</v>
      </c>
      <c r="J36" s="43" t="s">
        <v>39</v>
      </c>
      <c r="K36" s="43"/>
      <c r="L36" s="43" t="s">
        <v>40</v>
      </c>
      <c r="M36" s="148"/>
    </row>
    <row r="37" spans="1:80">
      <c r="B37" s="136" t="s">
        <v>41</v>
      </c>
      <c r="C37" s="137" t="s">
        <v>42</v>
      </c>
      <c r="D37" s="138">
        <f>D26*$G$8</f>
        <v>43.701767985457586</v>
      </c>
      <c r="E37" s="139">
        <f>E26</f>
        <v>0.52232025787876424</v>
      </c>
      <c r="F37" s="139">
        <f>F26</f>
        <v>0.5</v>
      </c>
      <c r="G37" s="141">
        <f>E37*D37</f>
        <v>22.826318723922128</v>
      </c>
      <c r="H37" s="142">
        <f>G37+D37</f>
        <v>66.528086709379721</v>
      </c>
      <c r="I37" s="142">
        <f>H37*F37</f>
        <v>33.264043354689861</v>
      </c>
      <c r="J37" s="142">
        <f>I37+H37</f>
        <v>99.792130064069582</v>
      </c>
      <c r="K37" s="143">
        <v>0</v>
      </c>
      <c r="L37" s="158">
        <v>102.26</v>
      </c>
    </row>
    <row r="38" spans="1:80">
      <c r="B38" s="145" t="s">
        <v>43</v>
      </c>
      <c r="C38" s="146" t="s">
        <v>44</v>
      </c>
      <c r="D38" s="138">
        <f t="shared" ref="D38:D41" si="8">D27*$G$8</f>
        <v>66.11293105492301</v>
      </c>
      <c r="E38" s="139">
        <f t="shared" ref="E38:F41" si="9">E27</f>
        <v>0.52232025787876424</v>
      </c>
      <c r="F38" s="139">
        <f t="shared" si="9"/>
        <v>0.59</v>
      </c>
      <c r="G38" s="141">
        <f t="shared" ref="G38:G41" si="10">E38*D38</f>
        <v>34.532123197728346</v>
      </c>
      <c r="H38" s="142">
        <f>G38+D38</f>
        <v>100.64505425265136</v>
      </c>
      <c r="I38" s="142">
        <f t="shared" ref="I38:I41" si="11">H38*F38</f>
        <v>59.380582009064298</v>
      </c>
      <c r="J38" s="142">
        <f t="shared" ref="J38:J41" si="12">I38+H38</f>
        <v>160.02563626171565</v>
      </c>
      <c r="K38" s="143">
        <v>0</v>
      </c>
      <c r="L38" s="158">
        <v>153.38999999999999</v>
      </c>
    </row>
    <row r="39" spans="1:80">
      <c r="B39" s="145" t="s">
        <v>45</v>
      </c>
      <c r="C39" s="146" t="s">
        <v>46</v>
      </c>
      <c r="D39" s="138">
        <f t="shared" si="8"/>
        <v>77.318512589655725</v>
      </c>
      <c r="E39" s="139">
        <f t="shared" si="9"/>
        <v>0.52232025787876424</v>
      </c>
      <c r="F39" s="139">
        <f t="shared" si="9"/>
        <v>0.69000000000000006</v>
      </c>
      <c r="G39" s="141">
        <f t="shared" si="10"/>
        <v>40.385025434631459</v>
      </c>
      <c r="H39" s="142">
        <f t="shared" ref="H39:H41" si="13">G39+D39</f>
        <v>117.70353802428718</v>
      </c>
      <c r="I39" s="142">
        <f t="shared" si="11"/>
        <v>81.215441236758167</v>
      </c>
      <c r="J39" s="142">
        <f t="shared" si="12"/>
        <v>198.91897926104537</v>
      </c>
      <c r="K39" s="143">
        <v>0</v>
      </c>
      <c r="L39" s="158">
        <v>191.74</v>
      </c>
    </row>
    <row r="40" spans="1:80">
      <c r="B40" s="145" t="s">
        <v>47</v>
      </c>
      <c r="C40" s="146" t="s">
        <v>48</v>
      </c>
      <c r="D40" s="138">
        <f t="shared" si="8"/>
        <v>52.666233213243757</v>
      </c>
      <c r="E40" s="139">
        <f t="shared" si="9"/>
        <v>0.52232025787876424</v>
      </c>
      <c r="F40" s="139">
        <f t="shared" si="9"/>
        <v>0.87</v>
      </c>
      <c r="G40" s="141">
        <f t="shared" si="10"/>
        <v>27.508640513444618</v>
      </c>
      <c r="H40" s="142">
        <f t="shared" si="13"/>
        <v>80.174873726688375</v>
      </c>
      <c r="I40" s="142">
        <f t="shared" si="11"/>
        <v>69.752140142218892</v>
      </c>
      <c r="J40" s="142">
        <f t="shared" si="12"/>
        <v>149.92701386890727</v>
      </c>
      <c r="K40" s="143">
        <v>0</v>
      </c>
      <c r="L40" s="158">
        <v>147.83000000000001</v>
      </c>
    </row>
    <row r="41" spans="1:80">
      <c r="B41" s="145" t="s">
        <v>49</v>
      </c>
      <c r="C41" s="146" t="s">
        <v>50</v>
      </c>
      <c r="D41" s="138">
        <f t="shared" si="8"/>
        <v>91.885768584808247</v>
      </c>
      <c r="E41" s="139">
        <f t="shared" si="9"/>
        <v>0.52232025787876424</v>
      </c>
      <c r="F41" s="139">
        <f t="shared" si="9"/>
        <v>0.69000000000000006</v>
      </c>
      <c r="G41" s="141">
        <f t="shared" si="10"/>
        <v>47.993798342605494</v>
      </c>
      <c r="H41" s="142">
        <f t="shared" si="13"/>
        <v>139.87956692741375</v>
      </c>
      <c r="I41" s="142">
        <f t="shared" si="11"/>
        <v>96.516901179915493</v>
      </c>
      <c r="J41" s="142">
        <f t="shared" si="12"/>
        <v>236.39646810732924</v>
      </c>
      <c r="K41" s="143">
        <v>0</v>
      </c>
      <c r="L41" s="158">
        <v>210.91</v>
      </c>
    </row>
    <row r="42" spans="1:80" s="125" customFormat="1"/>
    <row r="43" spans="1:80">
      <c r="B43" s="44" t="s">
        <v>13</v>
      </c>
      <c r="C43" s="125"/>
      <c r="D43" s="125"/>
      <c r="E43" s="125"/>
      <c r="F43" s="125"/>
      <c r="G43" s="125"/>
      <c r="H43" s="125"/>
      <c r="I43" s="125"/>
      <c r="J43" s="125"/>
      <c r="K43" s="125"/>
      <c r="L43" s="125"/>
    </row>
    <row r="44" spans="1:80" ht="14.4" customHeight="1">
      <c r="B44" s="191" t="s">
        <v>256</v>
      </c>
      <c r="C44" s="191"/>
      <c r="D44" s="191"/>
      <c r="E44" s="191"/>
      <c r="F44" s="191"/>
      <c r="G44" s="191"/>
      <c r="H44" s="191"/>
      <c r="I44" s="191"/>
      <c r="J44" s="191"/>
      <c r="K44" s="191"/>
      <c r="L44" s="191"/>
    </row>
    <row r="45" spans="1:80" s="125" customFormat="1"/>
    <row r="46" spans="1:80" s="125" customFormat="1"/>
    <row r="47" spans="1:80" s="125" customFormat="1" hidden="1"/>
    <row r="48" spans="1:80" s="125" customFormat="1" hidden="1"/>
    <row r="49" s="125" customFormat="1" hidden="1"/>
    <row r="50" s="125" customFormat="1" hidden="1"/>
    <row r="51" s="125" customFormat="1" hidden="1"/>
    <row r="52" s="125" customFormat="1" hidden="1"/>
    <row r="53" s="125" customFormat="1" hidden="1"/>
    <row r="54" s="125" customFormat="1" hidden="1"/>
    <row r="55" s="125" customFormat="1" hidden="1"/>
    <row r="56" s="125" customFormat="1" hidden="1"/>
    <row r="57" s="125" customFormat="1" hidden="1"/>
    <row r="58" s="125" customFormat="1" hidden="1"/>
    <row r="59" s="125" customFormat="1" hidden="1"/>
    <row r="60" s="125" customFormat="1" hidden="1"/>
    <row r="61" s="125" customFormat="1" hidden="1"/>
    <row r="62" s="125" customFormat="1" hidden="1"/>
    <row r="63" s="125" customFormat="1" hidden="1"/>
    <row r="64" s="125" customFormat="1" hidden="1"/>
    <row r="65" s="125" customFormat="1" hidden="1"/>
    <row r="66" s="125" customFormat="1" hidden="1"/>
    <row r="67" s="125" customFormat="1" hidden="1"/>
  </sheetData>
  <mergeCells count="2">
    <mergeCell ref="B34:L34"/>
    <mergeCell ref="B44:L44"/>
  </mergeCells>
  <pageMargins left="0.7" right="0.7" top="0.75" bottom="0.75" header="0.3" footer="0.3"/>
  <pageSetup paperSize="9" orientation="portrait"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70" zoomScaleNormal="70" workbookViewId="0"/>
  </sheetViews>
  <sheetFormatPr defaultColWidth="0" defaultRowHeight="14.4" zeroHeight="1"/>
  <cols>
    <col min="1" max="12" width="9.109375" style="125" customWidth="1"/>
    <col min="13" max="16384" width="9.109375" style="1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2"/>
  <sheetViews>
    <sheetView zoomScale="80" zoomScaleNormal="80" workbookViewId="0">
      <selection activeCell="E9" sqref="E9:E18"/>
    </sheetView>
  </sheetViews>
  <sheetFormatPr defaultColWidth="0" defaultRowHeight="14.4" zeroHeight="1"/>
  <cols>
    <col min="1" max="1" width="2.44140625" customWidth="1"/>
    <col min="2" max="2" width="51.6640625" customWidth="1"/>
    <col min="3" max="10" width="20.6640625" customWidth="1"/>
    <col min="11" max="12" width="14.6640625" customWidth="1"/>
    <col min="13" max="17" width="9.109375" hidden="1" customWidth="1"/>
    <col min="18" max="18" width="5.33203125" hidden="1" customWidth="1"/>
    <col min="19" max="19" width="2.44140625" hidden="1" customWidth="1"/>
    <col min="20" max="35" width="0" hidden="1" customWidth="1"/>
    <col min="36" max="16384" width="9.109375" hidden="1"/>
  </cols>
  <sheetData>
    <row r="1" spans="1:13" s="7" customFormat="1"/>
    <row r="2" spans="1:13" s="7" customFormat="1" ht="21">
      <c r="B2" s="28" t="s">
        <v>14</v>
      </c>
      <c r="C2" s="1"/>
      <c r="D2" s="1"/>
      <c r="E2" s="4"/>
      <c r="F2" s="4"/>
      <c r="G2" s="4"/>
      <c r="H2" s="4"/>
      <c r="I2" s="4"/>
      <c r="J2" s="4"/>
    </row>
    <row r="3" spans="1:13" s="7" customFormat="1">
      <c r="B3" s="5" t="s">
        <v>0</v>
      </c>
      <c r="C3" s="25" t="s">
        <v>60</v>
      </c>
      <c r="D3" s="25"/>
      <c r="E3" s="24"/>
      <c r="F3" s="24"/>
      <c r="G3" s="24"/>
      <c r="H3" s="24"/>
      <c r="I3" s="24"/>
      <c r="J3" s="24"/>
    </row>
    <row r="4" spans="1:13" s="7" customFormat="1">
      <c r="B4" s="5" t="s">
        <v>1</v>
      </c>
      <c r="C4" s="24" t="s">
        <v>61</v>
      </c>
      <c r="D4" s="24"/>
      <c r="E4" s="24"/>
      <c r="F4" s="25" t="s">
        <v>2</v>
      </c>
      <c r="G4" s="24"/>
      <c r="H4" s="24"/>
      <c r="I4" s="24"/>
      <c r="J4" s="24"/>
    </row>
    <row r="5" spans="1:13" s="7" customFormat="1">
      <c r="B5" s="5"/>
      <c r="C5" s="24"/>
      <c r="D5" s="24"/>
      <c r="E5" s="24"/>
      <c r="F5" s="24"/>
      <c r="G5" s="24"/>
      <c r="H5" s="24"/>
      <c r="I5" s="24"/>
      <c r="J5" s="24"/>
    </row>
    <row r="6" spans="1:13" s="7" customFormat="1">
      <c r="B6" s="5"/>
      <c r="C6" s="24"/>
      <c r="D6" s="84" t="s">
        <v>83</v>
      </c>
      <c r="E6" s="174" t="s">
        <v>84</v>
      </c>
      <c r="F6" s="175"/>
      <c r="G6" s="175"/>
      <c r="H6" s="175"/>
      <c r="I6" s="176"/>
      <c r="J6" s="24"/>
    </row>
    <row r="7" spans="1:13" s="7" customFormat="1">
      <c r="B7" s="149" t="s">
        <v>16</v>
      </c>
      <c r="C7" s="29"/>
      <c r="D7" s="32" t="s">
        <v>9</v>
      </c>
      <c r="E7" s="31" t="s">
        <v>18</v>
      </c>
      <c r="F7" s="31" t="s">
        <v>19</v>
      </c>
      <c r="G7" s="31" t="s">
        <v>20</v>
      </c>
      <c r="H7" s="31" t="s">
        <v>21</v>
      </c>
      <c r="I7" s="31" t="s">
        <v>22</v>
      </c>
      <c r="J7" s="24"/>
    </row>
    <row r="8" spans="1:13" s="7" customFormat="1">
      <c r="B8" s="150" t="s">
        <v>69</v>
      </c>
      <c r="C8" s="76"/>
      <c r="D8" s="162"/>
      <c r="E8" s="77"/>
      <c r="F8" s="77"/>
      <c r="G8" s="77"/>
      <c r="H8" s="162"/>
      <c r="I8" s="162"/>
      <c r="J8" s="24"/>
    </row>
    <row r="9" spans="1:13" s="7" customFormat="1">
      <c r="A9" s="7">
        <v>1</v>
      </c>
      <c r="B9" s="62" t="s">
        <v>288</v>
      </c>
      <c r="C9" s="74" t="s">
        <v>62</v>
      </c>
      <c r="D9" s="161">
        <f>ROUND('Fee Breakdown'!H9,2)</f>
        <v>230.09</v>
      </c>
      <c r="E9" s="75">
        <f t="shared" ref="E9:H12" si="0">$D9*D$96</f>
        <v>236.44602177144233</v>
      </c>
      <c r="F9" s="75">
        <f t="shared" si="0"/>
        <v>243.72278219708684</v>
      </c>
      <c r="G9" s="75">
        <f t="shared" si="0"/>
        <v>252.25139515741336</v>
      </c>
      <c r="H9" s="161">
        <f t="shared" si="0"/>
        <v>261.68800449181396</v>
      </c>
      <c r="I9" s="161">
        <f>ROUND($D9,2)*H$96</f>
        <v>271.08454704201677</v>
      </c>
      <c r="J9" s="24"/>
      <c r="K9" s="123"/>
    </row>
    <row r="10" spans="1:13" s="7" customFormat="1" ht="28.8">
      <c r="A10" s="7">
        <v>2</v>
      </c>
      <c r="B10" s="63" t="s">
        <v>292</v>
      </c>
      <c r="C10" s="74" t="s">
        <v>62</v>
      </c>
      <c r="D10" s="50">
        <f>ROUND('Fee Breakdown'!H18,2)</f>
        <v>51.13</v>
      </c>
      <c r="E10" s="159">
        <f t="shared" si="0"/>
        <v>52.542418589134023</v>
      </c>
      <c r="F10" s="159">
        <f t="shared" si="0"/>
        <v>54.159441321817766</v>
      </c>
      <c r="G10" s="75">
        <f t="shared" si="0"/>
        <v>56.054647461421816</v>
      </c>
      <c r="H10" s="160">
        <f t="shared" si="0"/>
        <v>58.151626188302174</v>
      </c>
      <c r="I10" s="50">
        <f>$D10*H$96</f>
        <v>60.239701378844444</v>
      </c>
      <c r="J10" s="24"/>
      <c r="K10" s="123"/>
      <c r="M10" s="10"/>
    </row>
    <row r="11" spans="1:13" s="7" customFormat="1">
      <c r="A11" s="7">
        <v>3</v>
      </c>
      <c r="B11" s="62" t="s">
        <v>64</v>
      </c>
      <c r="C11" s="74" t="s">
        <v>62</v>
      </c>
      <c r="D11" s="161">
        <f>ROUND('Fee Breakdown'!H27,2)</f>
        <v>578.41</v>
      </c>
      <c r="E11" s="161">
        <f t="shared" si="0"/>
        <v>594.38803708470573</v>
      </c>
      <c r="F11" s="161">
        <f t="shared" si="0"/>
        <v>612.68066604640353</v>
      </c>
      <c r="G11" s="75">
        <f t="shared" si="0"/>
        <v>634.12025500021491</v>
      </c>
      <c r="H11" s="75">
        <f t="shared" si="0"/>
        <v>657.84240374683861</v>
      </c>
      <c r="I11" s="161">
        <f>$D11*H$96</f>
        <v>681.46383091213397</v>
      </c>
      <c r="J11" s="24"/>
      <c r="K11" s="123"/>
      <c r="M11" s="10"/>
    </row>
    <row r="12" spans="1:13" s="7" customFormat="1">
      <c r="A12" s="7">
        <v>4</v>
      </c>
      <c r="B12" s="62" t="s">
        <v>65</v>
      </c>
      <c r="C12" s="74" t="s">
        <v>62</v>
      </c>
      <c r="D12" s="160">
        <f>ROUND('Fee Breakdown'!H36,2)</f>
        <v>105.46</v>
      </c>
      <c r="E12" s="160">
        <f t="shared" si="0"/>
        <v>108.37323419538575</v>
      </c>
      <c r="F12" s="160">
        <f t="shared" si="0"/>
        <v>111.70848194404266</v>
      </c>
      <c r="G12" s="75">
        <f t="shared" si="0"/>
        <v>115.61750677257078</v>
      </c>
      <c r="H12" s="75">
        <f t="shared" si="0"/>
        <v>119.94270482727062</v>
      </c>
      <c r="I12" s="160">
        <f>$D12*H$96</f>
        <v>124.24953857643133</v>
      </c>
      <c r="J12" s="24"/>
      <c r="K12" s="123"/>
      <c r="M12" s="10"/>
    </row>
    <row r="13" spans="1:13" s="7" customFormat="1">
      <c r="B13" s="150" t="s">
        <v>70</v>
      </c>
      <c r="C13" s="74"/>
      <c r="D13" s="75"/>
      <c r="E13" s="75"/>
      <c r="F13" s="75"/>
      <c r="G13" s="75"/>
      <c r="H13" s="75"/>
      <c r="I13" s="75"/>
      <c r="J13" s="24"/>
      <c r="M13" s="10"/>
    </row>
    <row r="14" spans="1:13" s="7" customFormat="1">
      <c r="A14" s="7">
        <v>5</v>
      </c>
      <c r="B14" s="62" t="s">
        <v>66</v>
      </c>
      <c r="C14" s="74" t="s">
        <v>62</v>
      </c>
      <c r="D14" s="75">
        <f>ROUND('Fee Breakdown'!H45,2)</f>
        <v>409.04</v>
      </c>
      <c r="E14" s="75">
        <f t="shared" ref="E14:I16" si="1">$D14*D$96</f>
        <v>420.33934871307218</v>
      </c>
      <c r="F14" s="75">
        <f t="shared" si="1"/>
        <v>433.27553057454213</v>
      </c>
      <c r="G14" s="75">
        <f t="shared" si="1"/>
        <v>448.43717969137452</v>
      </c>
      <c r="H14" s="75">
        <f t="shared" si="1"/>
        <v>465.21300950641739</v>
      </c>
      <c r="I14" s="75">
        <f t="shared" si="1"/>
        <v>481.91761103075555</v>
      </c>
      <c r="J14" s="24"/>
      <c r="K14" s="123"/>
      <c r="M14" s="10"/>
    </row>
    <row r="15" spans="1:13" s="7" customFormat="1">
      <c r="A15" s="7">
        <v>6</v>
      </c>
      <c r="B15" s="62" t="s">
        <v>67</v>
      </c>
      <c r="C15" s="74" t="s">
        <v>62</v>
      </c>
      <c r="D15" s="75">
        <f>ROUND('Fee Breakdown'!H54,2)</f>
        <v>332.35</v>
      </c>
      <c r="E15" s="75">
        <f t="shared" si="1"/>
        <v>341.53085894971042</v>
      </c>
      <c r="F15" s="75">
        <f t="shared" si="1"/>
        <v>352.04166484072238</v>
      </c>
      <c r="G15" s="75">
        <f t="shared" si="1"/>
        <v>364.36069008025703</v>
      </c>
      <c r="H15" s="75">
        <f t="shared" si="1"/>
        <v>377.9912568684183</v>
      </c>
      <c r="I15" s="75">
        <f t="shared" si="1"/>
        <v>391.56394979970565</v>
      </c>
      <c r="J15" s="24"/>
      <c r="K15" s="123"/>
      <c r="M15" s="10"/>
    </row>
    <row r="16" spans="1:13" s="7" customFormat="1">
      <c r="A16" s="7">
        <v>7</v>
      </c>
      <c r="B16" s="62" t="s">
        <v>293</v>
      </c>
      <c r="C16" s="74" t="s">
        <v>62</v>
      </c>
      <c r="D16" s="75">
        <f>ROUND('Fee Breakdown'!H63,2)</f>
        <v>102.26</v>
      </c>
      <c r="E16" s="75">
        <f t="shared" si="1"/>
        <v>105.08483717826805</v>
      </c>
      <c r="F16" s="75">
        <f t="shared" si="1"/>
        <v>108.31888264363553</v>
      </c>
      <c r="G16" s="75">
        <f t="shared" si="1"/>
        <v>112.10929492284363</v>
      </c>
      <c r="H16" s="75">
        <f t="shared" si="1"/>
        <v>116.30325237660435</v>
      </c>
      <c r="I16" s="75">
        <f t="shared" si="1"/>
        <v>120.47940275768889</v>
      </c>
      <c r="J16" s="24"/>
      <c r="K16" s="123"/>
      <c r="M16" s="10"/>
    </row>
    <row r="17" spans="1:27" s="7" customFormat="1">
      <c r="B17" s="150" t="s">
        <v>71</v>
      </c>
      <c r="C17" s="74"/>
      <c r="D17" s="75"/>
      <c r="E17" s="75"/>
      <c r="F17" s="75"/>
      <c r="G17" s="75"/>
      <c r="H17" s="75"/>
      <c r="I17" s="75"/>
      <c r="J17" s="24"/>
      <c r="M17" s="10"/>
    </row>
    <row r="18" spans="1:27" s="7" customFormat="1">
      <c r="A18" s="7">
        <v>8</v>
      </c>
      <c r="B18" s="62" t="s">
        <v>68</v>
      </c>
      <c r="C18" s="74" t="s">
        <v>62</v>
      </c>
      <c r="D18" s="75">
        <f>ROUND('Fee Breakdown'!H71,2)</f>
        <v>76.7</v>
      </c>
      <c r="E18" s="75">
        <f>$D18*D$96</f>
        <v>78.818766004040285</v>
      </c>
      <c r="F18" s="75">
        <f>$D18*E$96</f>
        <v>81.244458231633544</v>
      </c>
      <c r="G18" s="75">
        <f>$D18*F$96</f>
        <v>84.087452773147916</v>
      </c>
      <c r="H18" s="75">
        <f>$D18*G$96</f>
        <v>87.233125926907434</v>
      </c>
      <c r="I18" s="75">
        <f>$D18*H$96</f>
        <v>90.365442905483448</v>
      </c>
      <c r="J18" s="24"/>
      <c r="K18" s="123"/>
      <c r="M18" s="10"/>
    </row>
    <row r="19" spans="1:27" s="7" customFormat="1">
      <c r="B19" s="62"/>
      <c r="C19" s="78"/>
      <c r="D19" s="79"/>
      <c r="E19" s="79"/>
      <c r="F19" s="79"/>
      <c r="G19" s="79"/>
      <c r="H19" s="79"/>
      <c r="I19" s="79"/>
      <c r="J19" s="24"/>
      <c r="M19" s="10"/>
    </row>
    <row r="20" spans="1:27" s="7" customFormat="1">
      <c r="B20" s="62"/>
      <c r="C20" s="73"/>
      <c r="D20" s="50"/>
      <c r="E20" s="50"/>
      <c r="F20" s="50"/>
      <c r="G20" s="71"/>
      <c r="H20" s="71"/>
      <c r="I20" s="71"/>
      <c r="J20" s="24"/>
      <c r="M20" s="10"/>
    </row>
    <row r="21" spans="1:27" s="7" customFormat="1">
      <c r="B21" s="62"/>
      <c r="C21" s="73"/>
      <c r="D21" s="84" t="s">
        <v>85</v>
      </c>
      <c r="E21" s="174" t="s">
        <v>84</v>
      </c>
      <c r="F21" s="175"/>
      <c r="G21" s="175"/>
      <c r="H21" s="176"/>
      <c r="I21" s="71"/>
      <c r="J21" s="24"/>
      <c r="M21" s="10"/>
    </row>
    <row r="22" spans="1:27" s="7" customFormat="1">
      <c r="B22" s="149" t="s">
        <v>15</v>
      </c>
      <c r="C22" s="50"/>
      <c r="D22" s="32" t="s">
        <v>77</v>
      </c>
      <c r="E22" s="32" t="s">
        <v>6</v>
      </c>
      <c r="F22" s="32" t="s">
        <v>7</v>
      </c>
      <c r="G22" s="32" t="s">
        <v>8</v>
      </c>
      <c r="H22" s="32" t="s">
        <v>9</v>
      </c>
      <c r="I22" s="24"/>
      <c r="J22" s="72"/>
      <c r="M22" s="10"/>
    </row>
    <row r="23" spans="1:27" s="7" customFormat="1">
      <c r="B23" s="70"/>
      <c r="C23" s="50"/>
      <c r="D23" s="50"/>
      <c r="E23" s="50"/>
      <c r="F23" s="50"/>
      <c r="G23" s="71"/>
      <c r="H23" s="71"/>
      <c r="I23" s="24"/>
      <c r="J23" s="72"/>
      <c r="M23" s="10"/>
    </row>
    <row r="24" spans="1:27" s="7" customFormat="1">
      <c r="B24" s="150" t="s">
        <v>60</v>
      </c>
      <c r="C24" s="73"/>
      <c r="D24" s="50"/>
      <c r="E24" s="50"/>
      <c r="F24" s="50"/>
      <c r="G24" s="50"/>
      <c r="H24" s="50"/>
      <c r="I24" s="24"/>
      <c r="J24" s="24"/>
      <c r="M24" s="10"/>
    </row>
    <row r="25" spans="1:27" s="7" customFormat="1">
      <c r="B25" s="62" t="s">
        <v>78</v>
      </c>
      <c r="C25" s="74" t="s">
        <v>62</v>
      </c>
      <c r="D25" s="75">
        <f>'15-19 prices'!J100</f>
        <v>541.47938310960831</v>
      </c>
      <c r="E25" s="75">
        <f t="shared" ref="E25:H26" si="2">$D25*E$103</f>
        <v>560.61147153717764</v>
      </c>
      <c r="F25" s="75">
        <f t="shared" si="2"/>
        <v>575.15657117965293</v>
      </c>
      <c r="G25" s="75">
        <f t="shared" si="2"/>
        <v>588.96703259353058</v>
      </c>
      <c r="H25" s="75">
        <f t="shared" si="2"/>
        <v>606.75913768114845</v>
      </c>
      <c r="I25" s="24"/>
      <c r="J25" s="24"/>
      <c r="M25" s="10"/>
    </row>
    <row r="26" spans="1:27" s="7" customFormat="1">
      <c r="B26" s="62" t="s">
        <v>79</v>
      </c>
      <c r="C26" s="74" t="s">
        <v>62</v>
      </c>
      <c r="D26" s="75">
        <f>'15-19 prices'!J101</f>
        <v>374.93577140231747</v>
      </c>
      <c r="E26" s="75">
        <f t="shared" si="2"/>
        <v>388.18337520199162</v>
      </c>
      <c r="F26" s="75">
        <f t="shared" si="2"/>
        <v>398.25481711591414</v>
      </c>
      <c r="G26" s="75">
        <f t="shared" si="2"/>
        <v>407.81757456366358</v>
      </c>
      <c r="H26" s="75">
        <f t="shared" si="2"/>
        <v>420.13733567365722</v>
      </c>
      <c r="I26" s="24"/>
      <c r="J26" s="24"/>
      <c r="M26" s="10"/>
    </row>
    <row r="27" spans="1:27" s="7" customFormat="1">
      <c r="B27" s="62"/>
      <c r="C27" s="64"/>
      <c r="D27" s="65"/>
      <c r="E27" s="65"/>
      <c r="F27" s="65"/>
      <c r="G27" s="65"/>
      <c r="H27" s="65"/>
      <c r="I27" s="24"/>
      <c r="J27" s="24"/>
      <c r="M27" s="10"/>
    </row>
    <row r="28" spans="1:27" s="7" customFormat="1">
      <c r="M28" s="10"/>
    </row>
    <row r="29" spans="1:27" s="2" customFormat="1">
      <c r="A29" s="7"/>
      <c r="B29" s="1" t="s">
        <v>259</v>
      </c>
      <c r="C29" s="1"/>
      <c r="D29" s="1"/>
      <c r="E29" s="4"/>
      <c r="F29" s="4"/>
      <c r="G29" s="4"/>
      <c r="H29" s="4"/>
      <c r="I29" s="4"/>
      <c r="J29" s="4"/>
      <c r="K29" s="7"/>
      <c r="L29" s="7"/>
      <c r="M29" s="14"/>
      <c r="N29" s="7"/>
      <c r="O29" s="7"/>
      <c r="P29" s="7"/>
      <c r="Q29" s="7"/>
      <c r="R29" s="7"/>
      <c r="S29" s="7"/>
      <c r="T29" s="7"/>
      <c r="U29" s="7"/>
      <c r="V29" s="7"/>
      <c r="W29" s="7"/>
      <c r="X29" s="7"/>
      <c r="Y29" s="7"/>
      <c r="Z29" s="7"/>
      <c r="AA29" s="7"/>
    </row>
    <row r="30" spans="1:27" s="2" customFormat="1" ht="42" customHeight="1">
      <c r="A30" s="7"/>
      <c r="B30" s="171" t="s">
        <v>76</v>
      </c>
      <c r="C30" s="171"/>
      <c r="D30" s="171"/>
      <c r="E30" s="171"/>
      <c r="F30" s="171"/>
      <c r="G30" s="171"/>
      <c r="H30" s="13"/>
      <c r="I30" s="13"/>
      <c r="J30" s="13"/>
      <c r="K30" s="7"/>
      <c r="L30" s="7"/>
      <c r="M30" s="10"/>
      <c r="N30" s="7"/>
      <c r="O30" s="7"/>
      <c r="P30" s="7"/>
      <c r="Q30" s="7"/>
      <c r="R30" s="7"/>
      <c r="S30" s="7"/>
      <c r="T30" s="7"/>
      <c r="U30" s="7"/>
      <c r="V30" s="7"/>
      <c r="W30" s="7"/>
      <c r="X30" s="7"/>
      <c r="Y30" s="7"/>
      <c r="Z30" s="7"/>
      <c r="AA30" s="7"/>
    </row>
    <row r="31" spans="1:27" s="7" customFormat="1">
      <c r="M31" s="10"/>
    </row>
    <row r="32" spans="1:27" s="2" customFormat="1">
      <c r="A32" s="7"/>
      <c r="B32" s="1" t="s">
        <v>3</v>
      </c>
      <c r="C32" s="1"/>
      <c r="D32" s="1"/>
      <c r="E32" s="4"/>
      <c r="F32" s="4"/>
      <c r="G32" s="4"/>
      <c r="H32" s="4"/>
      <c r="I32" s="4"/>
      <c r="J32" s="4"/>
      <c r="K32" s="7"/>
      <c r="L32" s="7"/>
      <c r="M32" s="14"/>
      <c r="N32" s="7"/>
      <c r="O32" s="7"/>
      <c r="P32" s="7"/>
      <c r="Q32" s="7"/>
      <c r="R32" s="7"/>
      <c r="S32" s="7"/>
      <c r="T32" s="7"/>
      <c r="U32" s="7"/>
      <c r="V32" s="7"/>
      <c r="W32" s="7"/>
      <c r="X32" s="7"/>
      <c r="Y32" s="7"/>
      <c r="Z32" s="7"/>
      <c r="AA32" s="7"/>
    </row>
    <row r="33" spans="1:33" s="2" customFormat="1" ht="43.2">
      <c r="A33" s="7"/>
      <c r="B33" s="12" t="s">
        <v>257</v>
      </c>
      <c r="C33" s="12"/>
      <c r="D33" s="12"/>
      <c r="E33" s="85"/>
      <c r="F33" s="85"/>
      <c r="G33" s="85"/>
      <c r="H33" s="11"/>
      <c r="I33" s="11"/>
      <c r="J33" s="11"/>
      <c r="K33" s="7"/>
      <c r="L33" s="7"/>
      <c r="M33" s="10"/>
      <c r="N33" s="7"/>
      <c r="O33" s="7"/>
      <c r="P33" s="7"/>
      <c r="Q33" s="7"/>
      <c r="R33" s="7"/>
      <c r="S33" s="7"/>
      <c r="T33" s="7"/>
      <c r="U33" s="7"/>
      <c r="V33" s="7"/>
      <c r="W33" s="7"/>
      <c r="X33" s="7"/>
      <c r="Y33" s="7"/>
      <c r="Z33" s="7"/>
      <c r="AA33" s="7"/>
    </row>
    <row r="34" spans="1:33" s="2" customFormat="1">
      <c r="A34" s="7"/>
      <c r="B34" s="26"/>
      <c r="C34" s="26"/>
      <c r="D34" s="26"/>
      <c r="E34" s="13"/>
      <c r="F34" s="13"/>
      <c r="G34" s="13"/>
      <c r="H34" s="13"/>
      <c r="I34" s="13"/>
      <c r="J34" s="13"/>
      <c r="K34" s="7"/>
      <c r="L34" s="7"/>
      <c r="M34" s="10"/>
      <c r="N34" s="7"/>
      <c r="O34" s="7"/>
      <c r="P34" s="7"/>
      <c r="Q34" s="7"/>
      <c r="R34" s="7"/>
      <c r="S34" s="7"/>
      <c r="T34" s="7"/>
      <c r="U34" s="7"/>
      <c r="V34" s="7"/>
      <c r="W34" s="7"/>
      <c r="X34" s="7"/>
      <c r="Y34" s="7"/>
      <c r="Z34" s="7"/>
      <c r="AA34" s="7"/>
    </row>
    <row r="35" spans="1:33" s="2" customFormat="1" ht="97.5" customHeight="1">
      <c r="A35" s="7"/>
      <c r="B35" s="172" t="s">
        <v>258</v>
      </c>
      <c r="C35" s="173"/>
      <c r="D35" s="173"/>
      <c r="E35" s="173"/>
      <c r="F35" s="173"/>
      <c r="G35" s="173"/>
      <c r="H35" s="13"/>
      <c r="I35" s="13"/>
      <c r="J35" s="13"/>
      <c r="K35" s="7"/>
      <c r="L35" s="7"/>
      <c r="M35" s="10"/>
      <c r="N35" s="7"/>
      <c r="O35" s="7"/>
      <c r="P35" s="7"/>
      <c r="Q35" s="7"/>
      <c r="R35" s="7"/>
      <c r="S35" s="7"/>
      <c r="T35" s="7"/>
      <c r="U35" s="7"/>
      <c r="V35" s="7"/>
      <c r="W35" s="7"/>
      <c r="X35" s="7"/>
      <c r="Y35" s="7"/>
      <c r="Z35" s="7"/>
      <c r="AA35" s="7"/>
    </row>
    <row r="36" spans="1:33" s="7" customFormat="1"/>
    <row r="37" spans="1:33" s="2" customFormat="1">
      <c r="A37" s="7"/>
      <c r="B37" s="1" t="s">
        <v>80</v>
      </c>
      <c r="C37" s="1"/>
      <c r="D37" s="1"/>
      <c r="E37" s="4"/>
      <c r="F37" s="4"/>
      <c r="G37" s="4"/>
      <c r="H37" s="7"/>
      <c r="I37" s="7"/>
      <c r="J37" s="7"/>
      <c r="K37" s="7"/>
      <c r="L37" s="7"/>
      <c r="M37" s="7"/>
      <c r="N37" s="7"/>
      <c r="O37" s="7"/>
      <c r="P37" s="7"/>
      <c r="Q37" s="7"/>
      <c r="R37" s="7"/>
      <c r="S37" s="7"/>
      <c r="T37" s="7"/>
      <c r="U37" s="7"/>
      <c r="V37" s="7"/>
      <c r="W37" s="7"/>
      <c r="X37" s="7"/>
    </row>
    <row r="38" spans="1:33" s="7" customFormat="1"/>
    <row r="39" spans="1:33" s="7" customFormat="1">
      <c r="C39" s="177" t="s">
        <v>84</v>
      </c>
      <c r="D39" s="178"/>
      <c r="E39" s="178"/>
      <c r="F39" s="178"/>
      <c r="G39" s="179"/>
    </row>
    <row r="40" spans="1:33" s="2" customFormat="1">
      <c r="A40" s="7"/>
      <c r="B40" s="67" t="s">
        <v>17</v>
      </c>
      <c r="C40" s="32" t="s">
        <v>5</v>
      </c>
      <c r="D40" s="32" t="s">
        <v>6</v>
      </c>
      <c r="E40" s="32" t="s">
        <v>7</v>
      </c>
      <c r="F40" s="32" t="s">
        <v>8</v>
      </c>
      <c r="G40" s="32" t="s">
        <v>9</v>
      </c>
      <c r="H40" s="7"/>
      <c r="I40" s="7"/>
      <c r="J40" s="7"/>
      <c r="K40" s="7"/>
      <c r="L40" s="7"/>
      <c r="M40" s="7"/>
      <c r="N40" s="7"/>
      <c r="O40" s="7"/>
      <c r="P40" s="7"/>
      <c r="Q40" s="7"/>
      <c r="R40" s="7"/>
      <c r="S40" s="7"/>
      <c r="T40" s="7"/>
      <c r="U40" s="7"/>
      <c r="V40" s="7"/>
      <c r="W40" s="7"/>
      <c r="X40" s="7"/>
      <c r="Y40" s="7"/>
      <c r="Z40" s="7"/>
      <c r="AA40" s="7"/>
      <c r="AB40" s="7"/>
      <c r="AC40" s="7"/>
      <c r="AD40" s="7"/>
      <c r="AE40" s="7"/>
    </row>
    <row r="41" spans="1:33" s="8" customFormat="1" ht="14.4" customHeight="1">
      <c r="A41" s="15"/>
      <c r="B41" s="81" t="s">
        <v>60</v>
      </c>
      <c r="C41" s="66"/>
      <c r="D41" s="66"/>
      <c r="E41" s="66"/>
      <c r="F41" s="66"/>
      <c r="G41" s="66"/>
      <c r="H41" s="15"/>
      <c r="I41" s="15"/>
      <c r="J41" s="15"/>
      <c r="K41" s="15"/>
      <c r="L41" s="15"/>
      <c r="M41" s="15"/>
      <c r="N41" s="15"/>
      <c r="O41" s="15"/>
      <c r="P41" s="15"/>
      <c r="Q41" s="15"/>
      <c r="R41" s="15"/>
      <c r="S41" s="15"/>
      <c r="T41" s="15"/>
      <c r="U41" s="15"/>
      <c r="V41" s="15"/>
      <c r="W41" s="15"/>
      <c r="X41" s="15"/>
      <c r="Y41" s="15"/>
      <c r="Z41" s="15"/>
      <c r="AA41" s="15"/>
      <c r="AB41" s="15"/>
      <c r="AC41" s="15"/>
      <c r="AD41" s="15"/>
      <c r="AE41" s="15"/>
    </row>
    <row r="42" spans="1:33" s="7" customFormat="1">
      <c r="B42" s="129" t="s">
        <v>78</v>
      </c>
      <c r="C42" s="130">
        <v>229838</v>
      </c>
      <c r="D42" s="131">
        <v>279262</v>
      </c>
      <c r="E42" s="132">
        <v>323385</v>
      </c>
      <c r="F42" s="132">
        <f>(D42*(((1-$F$104)*(1+$F$105))*((1-$G$104)*(1+$G$105)))
                                                                                                             +E42*((1-$G$104*(1+$G$105))))
                                                                                                                                                                     /2</f>
        <v>310203.70035640046</v>
      </c>
      <c r="G42" s="132">
        <f>F42*((1-$H$104)*(1+$H$106))</f>
        <v>319574.64394046686</v>
      </c>
      <c r="H42" s="126"/>
      <c r="K42" s="10"/>
    </row>
    <row r="43" spans="1:33" s="7" customFormat="1">
      <c r="B43" s="129" t="s">
        <v>79</v>
      </c>
      <c r="C43" s="130">
        <v>361428</v>
      </c>
      <c r="D43" s="131">
        <v>269533</v>
      </c>
      <c r="E43" s="132">
        <v>380224</v>
      </c>
      <c r="F43" s="132">
        <f>(D43*(((1-$F$104)*(1+$F$105))*((1-$G$104)*(1+$G$105)))
                                                                                                             +E43*((1-$G$104*(1+$G$105))))
                                                                                                                                                                     /2</f>
        <v>333832.14019729319</v>
      </c>
      <c r="G43" s="132">
        <f>F43*((1-$H$104)*(1+$H$106))</f>
        <v>343916.87532051315</v>
      </c>
      <c r="H43" s="126"/>
      <c r="K43" s="10"/>
    </row>
    <row r="44" spans="1:33" s="8" customFormat="1">
      <c r="A44" s="15"/>
      <c r="B44" s="133"/>
      <c r="C44" s="127"/>
      <c r="D44" s="127"/>
      <c r="E44" s="127"/>
      <c r="F44" s="127"/>
      <c r="G44" s="127"/>
      <c r="H44" s="127"/>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row>
    <row r="45" spans="1:33" s="2" customFormat="1">
      <c r="A45" s="7"/>
      <c r="B45" s="80" t="s">
        <v>13</v>
      </c>
      <c r="C45" s="80"/>
      <c r="D45" s="80"/>
      <c r="E45" s="80"/>
      <c r="F45" s="80"/>
      <c r="G45" s="80"/>
      <c r="H45" s="128"/>
      <c r="I45" s="7"/>
      <c r="J45" s="7"/>
      <c r="K45" s="7"/>
      <c r="L45" s="7"/>
      <c r="M45" s="7"/>
      <c r="N45" s="7"/>
      <c r="O45" s="7"/>
      <c r="P45" s="7"/>
      <c r="Q45" s="7"/>
      <c r="R45" s="7"/>
      <c r="S45" s="7"/>
      <c r="T45" s="7"/>
      <c r="U45" s="7"/>
      <c r="V45" s="7"/>
      <c r="W45" s="7"/>
      <c r="X45" s="7"/>
      <c r="Y45" s="7"/>
      <c r="Z45" s="7"/>
      <c r="AA45" s="7"/>
      <c r="AB45" s="7"/>
      <c r="AC45" s="7"/>
      <c r="AD45" s="7"/>
      <c r="AE45" s="7"/>
      <c r="AF45" s="7"/>
      <c r="AG45" s="7"/>
    </row>
    <row r="46" spans="1:33" s="2" customFormat="1">
      <c r="A46" s="7"/>
      <c r="B46" s="82" t="s">
        <v>287</v>
      </c>
      <c r="C46" s="13"/>
      <c r="D46" s="13"/>
      <c r="E46" s="13"/>
      <c r="F46" s="13"/>
      <c r="G46" s="13"/>
      <c r="H46" s="128"/>
      <c r="I46" s="124"/>
      <c r="J46" s="124"/>
      <c r="K46" s="124"/>
      <c r="L46" s="124"/>
      <c r="M46" s="124"/>
      <c r="N46" s="124"/>
      <c r="O46" s="124"/>
      <c r="P46" s="124"/>
      <c r="Q46" s="7"/>
      <c r="R46" s="7"/>
      <c r="S46" s="7"/>
      <c r="T46" s="7"/>
      <c r="U46" s="7"/>
      <c r="V46" s="7"/>
      <c r="W46" s="7"/>
      <c r="X46" s="7"/>
      <c r="Y46" s="7"/>
      <c r="Z46" s="7"/>
      <c r="AA46" s="7"/>
      <c r="AB46" s="7"/>
      <c r="AC46" s="7"/>
      <c r="AD46" s="7"/>
      <c r="AE46" s="7"/>
      <c r="AF46" s="7"/>
      <c r="AG46" s="7"/>
    </row>
    <row r="47" spans="1:33" s="2" customFormat="1">
      <c r="A47" s="7"/>
      <c r="B47" s="82"/>
      <c r="C47" s="13"/>
      <c r="D47" s="13"/>
      <c r="E47" s="13"/>
      <c r="F47" s="13"/>
      <c r="G47" s="13"/>
      <c r="H47" s="128"/>
      <c r="I47" s="124"/>
      <c r="J47" s="124"/>
      <c r="K47" s="124"/>
      <c r="L47" s="124"/>
      <c r="M47" s="124"/>
      <c r="N47" s="124"/>
      <c r="O47" s="124"/>
      <c r="P47" s="124"/>
      <c r="Q47" s="7"/>
      <c r="R47" s="7"/>
      <c r="S47" s="7"/>
      <c r="T47" s="7"/>
      <c r="U47" s="7"/>
      <c r="V47" s="7"/>
      <c r="W47" s="7"/>
      <c r="X47" s="7"/>
      <c r="Y47" s="7"/>
      <c r="Z47" s="7"/>
      <c r="AA47" s="7"/>
      <c r="AB47" s="7"/>
      <c r="AC47" s="7"/>
      <c r="AD47" s="7"/>
      <c r="AE47" s="7"/>
      <c r="AF47" s="7"/>
      <c r="AG47" s="7"/>
    </row>
    <row r="48" spans="1:33" s="2" customFormat="1">
      <c r="A48" s="7"/>
      <c r="B48" s="30"/>
      <c r="C48" s="13"/>
      <c r="D48" s="13"/>
      <c r="E48" s="13"/>
      <c r="F48" s="13"/>
      <c r="G48" s="13"/>
      <c r="H48" s="128"/>
      <c r="I48" s="124"/>
      <c r="J48" s="124"/>
      <c r="K48" s="124"/>
      <c r="L48" s="124"/>
      <c r="M48" s="124"/>
      <c r="N48" s="124"/>
      <c r="O48" s="124"/>
      <c r="P48" s="124"/>
      <c r="Q48" s="7"/>
      <c r="R48" s="7"/>
      <c r="S48" s="7"/>
      <c r="T48" s="7"/>
      <c r="U48" s="7"/>
      <c r="V48" s="7"/>
      <c r="W48" s="7"/>
      <c r="X48" s="7"/>
      <c r="Y48" s="7"/>
      <c r="Z48" s="7"/>
      <c r="AA48" s="7"/>
      <c r="AB48" s="7"/>
      <c r="AC48" s="7"/>
      <c r="AD48" s="7"/>
      <c r="AE48" s="7"/>
      <c r="AF48" s="7"/>
      <c r="AG48" s="7"/>
    </row>
    <row r="49" spans="1:35" s="8" customFormat="1">
      <c r="A49" s="15"/>
      <c r="B49" s="19"/>
      <c r="C49" s="19"/>
      <c r="D49" s="19"/>
      <c r="E49" s="20"/>
      <c r="F49" s="17"/>
      <c r="G49" s="17"/>
      <c r="H49" s="17"/>
      <c r="I49" s="17"/>
      <c r="J49" s="17"/>
      <c r="K49" s="17"/>
      <c r="L49" s="17"/>
      <c r="M49" s="17"/>
      <c r="N49" s="17"/>
      <c r="O49" s="17"/>
      <c r="P49" s="17"/>
      <c r="Q49" s="17"/>
      <c r="R49" s="17"/>
      <c r="S49" s="15"/>
      <c r="T49" s="15"/>
      <c r="U49" s="15"/>
      <c r="V49" s="15"/>
      <c r="W49" s="15"/>
      <c r="X49" s="15"/>
      <c r="Y49" s="15"/>
      <c r="Z49" s="15"/>
      <c r="AA49" s="15"/>
      <c r="AB49" s="15"/>
      <c r="AC49" s="15"/>
      <c r="AD49" s="15"/>
      <c r="AE49" s="15"/>
      <c r="AF49" s="15"/>
      <c r="AG49" s="15"/>
      <c r="AH49" s="15"/>
      <c r="AI49" s="15"/>
    </row>
    <row r="50" spans="1:35" s="2" customFormat="1">
      <c r="A50" s="7"/>
      <c r="B50" s="19"/>
      <c r="C50" s="19"/>
      <c r="D50" s="19"/>
      <c r="E50" s="20"/>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row>
    <row r="51" spans="1:35" s="7" customFormat="1">
      <c r="B51" s="1" t="s">
        <v>56</v>
      </c>
      <c r="C51" s="1"/>
      <c r="D51" s="4"/>
      <c r="E51" s="4"/>
      <c r="F51" s="4"/>
      <c r="G51" s="4"/>
      <c r="H51" s="4"/>
    </row>
    <row r="52" spans="1:35" s="7" customFormat="1" ht="7.2" customHeight="1"/>
    <row r="53" spans="1:35" s="7" customFormat="1" ht="15" customHeight="1"/>
    <row r="54" spans="1:35" s="7" customFormat="1">
      <c r="A54" s="15"/>
      <c r="B54" s="67" t="s">
        <v>17</v>
      </c>
      <c r="C54" s="32" t="s">
        <v>18</v>
      </c>
      <c r="D54" s="32" t="s">
        <v>19</v>
      </c>
      <c r="E54" s="32" t="s">
        <v>20</v>
      </c>
      <c r="F54" s="32" t="s">
        <v>21</v>
      </c>
      <c r="G54" s="32" t="s">
        <v>22</v>
      </c>
      <c r="H54" s="32" t="s">
        <v>260</v>
      </c>
    </row>
    <row r="55" spans="1:35" s="8" customFormat="1">
      <c r="A55" s="15"/>
      <c r="B55" s="35" t="str">
        <f>B9</f>
        <v>ASP Level 1 - Initial Authorisation or Additional Authorisation Session</v>
      </c>
      <c r="C55" s="66"/>
      <c r="D55" s="66"/>
      <c r="E55" s="66"/>
      <c r="F55" s="66"/>
      <c r="G55" s="66"/>
      <c r="H55" s="66"/>
      <c r="I55" s="15"/>
      <c r="J55" s="15"/>
      <c r="K55" s="15"/>
      <c r="L55" s="15"/>
      <c r="M55" s="15"/>
      <c r="N55" s="15"/>
      <c r="O55" s="15"/>
      <c r="P55" s="15"/>
      <c r="Q55" s="15"/>
      <c r="R55" s="15"/>
      <c r="S55" s="15"/>
      <c r="T55" s="15"/>
      <c r="U55" s="15"/>
      <c r="V55" s="15"/>
      <c r="W55" s="15"/>
      <c r="X55" s="15"/>
      <c r="Y55" s="15"/>
      <c r="Z55" s="15"/>
      <c r="AA55" s="15"/>
      <c r="AB55" s="15"/>
      <c r="AC55" s="15"/>
      <c r="AD55" s="15"/>
      <c r="AE55" s="15"/>
    </row>
    <row r="56" spans="1:35" s="2" customFormat="1">
      <c r="B56" s="36" t="s">
        <v>23</v>
      </c>
      <c r="C56" s="34">
        <v>900</v>
      </c>
      <c r="D56" s="34">
        <v>900</v>
      </c>
      <c r="E56" s="34">
        <v>900</v>
      </c>
      <c r="F56" s="34">
        <v>900</v>
      </c>
      <c r="G56" s="34">
        <v>900</v>
      </c>
      <c r="H56" s="34">
        <f>SUM(C56:G56)</f>
        <v>4500</v>
      </c>
      <c r="I56" s="7"/>
      <c r="J56" s="7"/>
      <c r="K56" s="7"/>
      <c r="L56" s="7"/>
      <c r="M56" s="7"/>
      <c r="N56" s="7"/>
      <c r="O56" s="7"/>
      <c r="P56" s="7"/>
      <c r="Q56" s="7"/>
      <c r="R56" s="7"/>
      <c r="S56" s="7"/>
      <c r="T56" s="7"/>
      <c r="U56" s="7"/>
      <c r="V56" s="7"/>
      <c r="W56" s="7"/>
      <c r="X56" s="7"/>
      <c r="Y56" s="7"/>
      <c r="Z56" s="7"/>
      <c r="AA56" s="7"/>
      <c r="AB56" s="7"/>
      <c r="AC56" s="7"/>
      <c r="AD56" s="7"/>
      <c r="AE56" s="7"/>
    </row>
    <row r="57" spans="1:35" s="8" customFormat="1">
      <c r="A57" s="15"/>
      <c r="B57" s="36" t="s">
        <v>24</v>
      </c>
      <c r="C57" s="61">
        <f>C56*'Fee Breakdown'!$H$9</f>
        <v>207076.49999999997</v>
      </c>
      <c r="D57" s="61">
        <f>D56*'Fee Breakdown'!$H$9</f>
        <v>207076.49999999997</v>
      </c>
      <c r="E57" s="61">
        <f>E56*'Fee Breakdown'!$H$9</f>
        <v>207076.49999999997</v>
      </c>
      <c r="F57" s="61">
        <f>F56*'Fee Breakdown'!$H$9</f>
        <v>207076.49999999997</v>
      </c>
      <c r="G57" s="61">
        <f>G56*'Fee Breakdown'!$H$9</f>
        <v>207076.49999999997</v>
      </c>
      <c r="H57" s="61">
        <f>SUM(C57:G57)</f>
        <v>1035382.4999999999</v>
      </c>
      <c r="I57" s="15"/>
      <c r="J57" s="15"/>
      <c r="K57" s="15"/>
      <c r="L57" s="15"/>
      <c r="M57" s="15"/>
      <c r="N57" s="15"/>
      <c r="O57" s="15"/>
      <c r="P57" s="15"/>
      <c r="Q57" s="15"/>
      <c r="R57" s="15"/>
      <c r="S57" s="15"/>
      <c r="T57" s="15"/>
      <c r="U57" s="15"/>
      <c r="V57" s="15"/>
      <c r="W57" s="15"/>
      <c r="X57" s="15"/>
      <c r="Y57" s="15"/>
      <c r="Z57" s="15"/>
      <c r="AA57" s="15"/>
      <c r="AB57" s="15"/>
      <c r="AC57" s="15"/>
      <c r="AD57" s="15"/>
      <c r="AE57" s="15"/>
    </row>
    <row r="58" spans="1:35" s="8" customFormat="1">
      <c r="A58" s="15"/>
      <c r="B58" s="33"/>
      <c r="C58" s="27"/>
      <c r="D58" s="27"/>
      <c r="E58" s="27"/>
      <c r="F58" s="27"/>
      <c r="G58" s="27"/>
      <c r="H58" s="27"/>
      <c r="I58" s="15"/>
      <c r="J58" s="15"/>
      <c r="K58" s="15"/>
      <c r="L58" s="15"/>
      <c r="M58" s="15"/>
      <c r="N58" s="15"/>
      <c r="O58" s="15"/>
      <c r="P58" s="15"/>
      <c r="Q58" s="15"/>
      <c r="R58" s="15"/>
      <c r="S58" s="15"/>
      <c r="T58" s="15"/>
      <c r="U58" s="15"/>
      <c r="V58" s="15"/>
      <c r="W58" s="15"/>
      <c r="X58" s="15"/>
      <c r="Y58" s="15"/>
      <c r="Z58" s="15"/>
      <c r="AA58" s="15"/>
      <c r="AB58" s="15"/>
      <c r="AC58" s="15"/>
      <c r="AD58" s="15"/>
      <c r="AE58" s="15"/>
    </row>
    <row r="59" spans="1:35" s="8" customFormat="1">
      <c r="A59" s="15"/>
      <c r="B59" s="35" t="str">
        <f>B10</f>
        <v>ASP Level 1 - Authorisation Renewal or Additional Company to Existing Authorisation</v>
      </c>
      <c r="C59" s="66"/>
      <c r="D59" s="66"/>
      <c r="E59" s="66"/>
      <c r="F59" s="66"/>
      <c r="G59" s="66"/>
      <c r="H59" s="66"/>
      <c r="I59" s="15"/>
      <c r="J59" s="15"/>
      <c r="K59" s="15"/>
      <c r="L59" s="15"/>
      <c r="M59" s="15"/>
      <c r="N59" s="15"/>
      <c r="O59" s="15"/>
      <c r="P59" s="15"/>
      <c r="Q59" s="15"/>
      <c r="R59" s="15"/>
      <c r="S59" s="15"/>
      <c r="T59" s="15"/>
      <c r="U59" s="15"/>
      <c r="V59" s="15"/>
      <c r="W59" s="15"/>
      <c r="X59" s="15"/>
      <c r="Y59" s="15"/>
      <c r="Z59" s="15"/>
      <c r="AA59" s="15"/>
      <c r="AB59" s="15"/>
      <c r="AC59" s="15"/>
      <c r="AD59" s="15"/>
      <c r="AE59" s="15"/>
    </row>
    <row r="60" spans="1:35" s="2" customFormat="1">
      <c r="B60" s="36" t="s">
        <v>23</v>
      </c>
      <c r="C60" s="34">
        <v>24</v>
      </c>
      <c r="D60" s="34">
        <v>24</v>
      </c>
      <c r="E60" s="34">
        <v>24</v>
      </c>
      <c r="F60" s="34">
        <v>24</v>
      </c>
      <c r="G60" s="34">
        <v>24</v>
      </c>
      <c r="H60" s="34">
        <f>SUM(C60:G60)</f>
        <v>120</v>
      </c>
      <c r="I60" s="7"/>
      <c r="J60" s="7"/>
      <c r="K60" s="7"/>
      <c r="L60" s="7"/>
      <c r="M60" s="7"/>
      <c r="N60" s="7"/>
      <c r="O60" s="7"/>
      <c r="P60" s="7"/>
      <c r="Q60" s="7"/>
      <c r="R60" s="7"/>
      <c r="S60" s="7"/>
      <c r="T60" s="7"/>
      <c r="U60" s="7"/>
      <c r="V60" s="7"/>
      <c r="W60" s="7"/>
      <c r="X60" s="7"/>
      <c r="Y60" s="7"/>
      <c r="Z60" s="7"/>
      <c r="AA60" s="7"/>
      <c r="AB60" s="7"/>
      <c r="AC60" s="7"/>
      <c r="AD60" s="7"/>
      <c r="AE60" s="7"/>
    </row>
    <row r="61" spans="1:35" s="8" customFormat="1">
      <c r="A61" s="15"/>
      <c r="B61" s="36" t="s">
        <v>24</v>
      </c>
      <c r="C61" s="61">
        <f>C60*'Fee Breakdown'!$H$18</f>
        <v>1227.1200000000001</v>
      </c>
      <c r="D61" s="61">
        <f>D60*'Fee Breakdown'!$H$18</f>
        <v>1227.1200000000001</v>
      </c>
      <c r="E61" s="61">
        <f>E60*'Fee Breakdown'!$H$18</f>
        <v>1227.1200000000001</v>
      </c>
      <c r="F61" s="61">
        <f>F60*'Fee Breakdown'!$H$18</f>
        <v>1227.1200000000001</v>
      </c>
      <c r="G61" s="61">
        <f>G60*'Fee Breakdown'!$H$18</f>
        <v>1227.1200000000001</v>
      </c>
      <c r="H61" s="61">
        <f>SUM(C61:G61)</f>
        <v>6135.6</v>
      </c>
      <c r="I61" s="15"/>
      <c r="J61" s="15"/>
      <c r="K61" s="15"/>
      <c r="L61" s="15"/>
      <c r="M61" s="15"/>
      <c r="N61" s="15"/>
      <c r="O61" s="15"/>
      <c r="P61" s="15"/>
      <c r="Q61" s="15"/>
      <c r="R61" s="15"/>
      <c r="S61" s="15"/>
      <c r="T61" s="15"/>
      <c r="U61" s="15"/>
      <c r="V61" s="15"/>
      <c r="W61" s="15"/>
      <c r="X61" s="15"/>
      <c r="Y61" s="15"/>
      <c r="Z61" s="15"/>
      <c r="AA61" s="15"/>
      <c r="AB61" s="15"/>
      <c r="AC61" s="15"/>
      <c r="AD61" s="15"/>
      <c r="AE61" s="15"/>
    </row>
    <row r="62" spans="1:35" s="8" customFormat="1">
      <c r="A62" s="15"/>
      <c r="B62" s="33"/>
      <c r="C62" s="27"/>
      <c r="D62" s="27"/>
      <c r="E62" s="27"/>
      <c r="F62" s="27"/>
      <c r="G62" s="27"/>
      <c r="H62" s="27"/>
      <c r="I62" s="15"/>
      <c r="J62" s="15"/>
      <c r="K62" s="15"/>
      <c r="L62" s="15"/>
      <c r="M62" s="15"/>
      <c r="N62" s="15"/>
      <c r="O62" s="15"/>
      <c r="P62" s="15"/>
      <c r="Q62" s="15"/>
      <c r="R62" s="15"/>
      <c r="S62" s="15"/>
      <c r="T62" s="15"/>
      <c r="U62" s="15"/>
      <c r="V62" s="15"/>
      <c r="W62" s="15"/>
      <c r="X62" s="15"/>
      <c r="Y62" s="15"/>
      <c r="Z62" s="15"/>
      <c r="AA62" s="15"/>
      <c r="AB62" s="15"/>
      <c r="AC62" s="15"/>
      <c r="AD62" s="15"/>
      <c r="AE62" s="15"/>
    </row>
    <row r="63" spans="1:35" s="8" customFormat="1">
      <c r="A63" s="15"/>
      <c r="B63" s="35" t="str">
        <f>B11</f>
        <v>ASP Level 1 - Company Authorisation - Initial</v>
      </c>
      <c r="C63" s="66"/>
      <c r="D63" s="66"/>
      <c r="E63" s="66"/>
      <c r="F63" s="66"/>
      <c r="G63" s="66"/>
      <c r="H63" s="66"/>
      <c r="I63" s="15"/>
      <c r="J63" s="15"/>
      <c r="K63" s="15"/>
      <c r="L63" s="15"/>
      <c r="M63" s="15"/>
      <c r="N63" s="15"/>
      <c r="O63" s="15"/>
      <c r="P63" s="15"/>
      <c r="Q63" s="15"/>
      <c r="R63" s="15"/>
      <c r="S63" s="15"/>
      <c r="T63" s="15"/>
      <c r="U63" s="15"/>
      <c r="V63" s="15"/>
      <c r="W63" s="15"/>
      <c r="X63" s="15"/>
      <c r="Y63" s="15"/>
      <c r="Z63" s="15"/>
      <c r="AA63" s="15"/>
      <c r="AB63" s="15"/>
      <c r="AC63" s="15"/>
      <c r="AD63" s="15"/>
      <c r="AE63" s="15"/>
    </row>
    <row r="64" spans="1:35" s="2" customFormat="1">
      <c r="B64" s="36" t="s">
        <v>23</v>
      </c>
      <c r="C64" s="34">
        <v>10</v>
      </c>
      <c r="D64" s="34">
        <v>10</v>
      </c>
      <c r="E64" s="34">
        <v>10</v>
      </c>
      <c r="F64" s="34">
        <v>10</v>
      </c>
      <c r="G64" s="34">
        <v>10</v>
      </c>
      <c r="H64" s="34">
        <f>SUM(C64:G64)</f>
        <v>50</v>
      </c>
      <c r="I64" s="7"/>
      <c r="J64" s="7"/>
      <c r="K64" s="7"/>
      <c r="L64" s="7"/>
      <c r="M64" s="7"/>
      <c r="N64" s="7"/>
      <c r="O64" s="7"/>
      <c r="P64" s="7"/>
      <c r="Q64" s="7"/>
      <c r="R64" s="7"/>
      <c r="S64" s="7"/>
      <c r="T64" s="7"/>
      <c r="U64" s="7"/>
      <c r="V64" s="7"/>
      <c r="W64" s="7"/>
      <c r="X64" s="7"/>
      <c r="Y64" s="7"/>
      <c r="Z64" s="7"/>
      <c r="AA64" s="7"/>
      <c r="AB64" s="7"/>
      <c r="AC64" s="7"/>
      <c r="AD64" s="7"/>
      <c r="AE64" s="7"/>
    </row>
    <row r="65" spans="1:31" s="8" customFormat="1">
      <c r="A65" s="15"/>
      <c r="B65" s="36" t="s">
        <v>24</v>
      </c>
      <c r="C65" s="61">
        <f>C64*'Fee Breakdown'!$H$27</f>
        <v>5784.0499999999993</v>
      </c>
      <c r="D65" s="61">
        <f>D64*'Fee Breakdown'!$H$27</f>
        <v>5784.0499999999993</v>
      </c>
      <c r="E65" s="61">
        <f>E64*'Fee Breakdown'!$H$27</f>
        <v>5784.0499999999993</v>
      </c>
      <c r="F65" s="61">
        <f>F64*'Fee Breakdown'!$H$27</f>
        <v>5784.0499999999993</v>
      </c>
      <c r="G65" s="61">
        <f>G64*'Fee Breakdown'!$H$27</f>
        <v>5784.0499999999993</v>
      </c>
      <c r="H65" s="61">
        <f>SUM(C65:G65)</f>
        <v>28920.249999999996</v>
      </c>
      <c r="I65" s="15"/>
      <c r="J65" s="15"/>
      <c r="K65" s="15"/>
      <c r="L65" s="15"/>
      <c r="M65" s="15"/>
      <c r="N65" s="15"/>
      <c r="O65" s="15"/>
      <c r="P65" s="15"/>
      <c r="Q65" s="15"/>
      <c r="R65" s="15"/>
      <c r="S65" s="15"/>
      <c r="T65" s="15"/>
      <c r="U65" s="15"/>
      <c r="V65" s="15"/>
      <c r="W65" s="15"/>
      <c r="X65" s="15"/>
      <c r="Y65" s="15"/>
      <c r="Z65" s="15"/>
      <c r="AA65" s="15"/>
      <c r="AB65" s="15"/>
      <c r="AC65" s="15"/>
      <c r="AD65" s="15"/>
      <c r="AE65" s="15"/>
    </row>
    <row r="66" spans="1:31" s="8" customFormat="1">
      <c r="A66" s="15"/>
      <c r="B66" s="33"/>
      <c r="C66" s="27"/>
      <c r="D66" s="27"/>
      <c r="E66" s="27"/>
      <c r="F66" s="27"/>
      <c r="G66" s="27"/>
      <c r="H66" s="27"/>
      <c r="I66" s="15"/>
      <c r="J66" s="15"/>
      <c r="K66" s="15"/>
      <c r="L66" s="15"/>
      <c r="M66" s="15"/>
      <c r="N66" s="15"/>
      <c r="O66" s="15"/>
      <c r="P66" s="15"/>
      <c r="Q66" s="15"/>
      <c r="R66" s="15"/>
      <c r="S66" s="15"/>
      <c r="T66" s="15"/>
      <c r="U66" s="15"/>
      <c r="V66" s="15"/>
      <c r="W66" s="15"/>
      <c r="X66" s="15"/>
      <c r="Y66" s="15"/>
      <c r="Z66" s="15"/>
      <c r="AA66" s="15"/>
      <c r="AB66" s="15"/>
      <c r="AC66" s="15"/>
      <c r="AD66" s="15"/>
      <c r="AE66" s="15"/>
    </row>
    <row r="67" spans="1:31" s="8" customFormat="1">
      <c r="A67" s="15"/>
      <c r="B67" s="35" t="str">
        <f>B12</f>
        <v>ASP Level 1 - Company Re-authorisation (Annual Fee)</v>
      </c>
      <c r="C67" s="66"/>
      <c r="D67" s="66"/>
      <c r="E67" s="66"/>
      <c r="F67" s="66"/>
      <c r="G67" s="66"/>
      <c r="H67" s="66"/>
      <c r="I67" s="15"/>
      <c r="J67" s="15"/>
      <c r="K67" s="15"/>
      <c r="L67" s="15"/>
      <c r="M67" s="15"/>
      <c r="N67" s="15"/>
      <c r="O67" s="15"/>
      <c r="P67" s="15"/>
      <c r="Q67" s="15"/>
      <c r="R67" s="15"/>
      <c r="S67" s="15"/>
      <c r="T67" s="15"/>
      <c r="U67" s="15"/>
      <c r="V67" s="15"/>
      <c r="W67" s="15"/>
      <c r="X67" s="15"/>
      <c r="Y67" s="15"/>
      <c r="Z67" s="15"/>
      <c r="AA67" s="15"/>
      <c r="AB67" s="15"/>
      <c r="AC67" s="15"/>
      <c r="AD67" s="15"/>
      <c r="AE67" s="15"/>
    </row>
    <row r="68" spans="1:31" s="2" customFormat="1">
      <c r="B68" s="36" t="s">
        <v>23</v>
      </c>
      <c r="C68" s="34">
        <v>80</v>
      </c>
      <c r="D68" s="34">
        <v>80</v>
      </c>
      <c r="E68" s="34">
        <v>80</v>
      </c>
      <c r="F68" s="34">
        <v>80</v>
      </c>
      <c r="G68" s="34">
        <v>80</v>
      </c>
      <c r="H68" s="34">
        <f>SUM(C68:G68)</f>
        <v>400</v>
      </c>
      <c r="I68" s="7"/>
      <c r="J68" s="7"/>
      <c r="K68" s="7"/>
      <c r="L68" s="7"/>
      <c r="M68" s="7"/>
      <c r="N68" s="7"/>
      <c r="O68" s="7"/>
      <c r="P68" s="7"/>
      <c r="Q68" s="7"/>
      <c r="R68" s="7"/>
      <c r="S68" s="7"/>
      <c r="T68" s="7"/>
      <c r="U68" s="7"/>
      <c r="V68" s="7"/>
      <c r="W68" s="7"/>
      <c r="X68" s="7"/>
      <c r="Y68" s="7"/>
      <c r="Z68" s="7"/>
      <c r="AA68" s="7"/>
      <c r="AB68" s="7"/>
      <c r="AC68" s="7"/>
      <c r="AD68" s="7"/>
      <c r="AE68" s="7"/>
    </row>
    <row r="69" spans="1:31" s="8" customFormat="1">
      <c r="A69" s="15"/>
      <c r="B69" s="36" t="s">
        <v>24</v>
      </c>
      <c r="C69" s="61">
        <f>C68*'Fee Breakdown'!$H$36</f>
        <v>8436.4</v>
      </c>
      <c r="D69" s="61">
        <f>D68*'Fee Breakdown'!$H$36</f>
        <v>8436.4</v>
      </c>
      <c r="E69" s="61">
        <f>E68*'Fee Breakdown'!$H$36</f>
        <v>8436.4</v>
      </c>
      <c r="F69" s="61">
        <f>F68*'Fee Breakdown'!$H$36</f>
        <v>8436.4</v>
      </c>
      <c r="G69" s="61">
        <f>G68*'Fee Breakdown'!$H$36</f>
        <v>8436.4</v>
      </c>
      <c r="H69" s="61">
        <f>SUM(C69:G69)</f>
        <v>42182</v>
      </c>
      <c r="I69" s="15"/>
      <c r="J69" s="15"/>
      <c r="K69" s="15"/>
      <c r="L69" s="15"/>
      <c r="M69" s="15"/>
      <c r="N69" s="15"/>
      <c r="O69" s="15"/>
      <c r="P69" s="15"/>
      <c r="Q69" s="15"/>
      <c r="R69" s="15"/>
      <c r="S69" s="15"/>
      <c r="T69" s="15"/>
      <c r="U69" s="15"/>
      <c r="V69" s="15"/>
      <c r="W69" s="15"/>
      <c r="X69" s="15"/>
      <c r="Y69" s="15"/>
      <c r="Z69" s="15"/>
      <c r="AA69" s="15"/>
      <c r="AB69" s="15"/>
      <c r="AC69" s="15"/>
      <c r="AD69" s="15"/>
      <c r="AE69" s="15"/>
    </row>
    <row r="70" spans="1:31" s="8" customFormat="1">
      <c r="A70" s="15"/>
      <c r="B70" s="33"/>
      <c r="C70" s="27"/>
      <c r="D70" s="27"/>
      <c r="E70" s="27"/>
      <c r="F70" s="27"/>
      <c r="G70" s="27"/>
      <c r="H70" s="27"/>
      <c r="I70" s="15"/>
      <c r="J70" s="15"/>
      <c r="K70" s="15"/>
      <c r="L70" s="15"/>
      <c r="M70" s="15"/>
      <c r="N70" s="15"/>
      <c r="O70" s="15"/>
      <c r="P70" s="15"/>
      <c r="Q70" s="15"/>
      <c r="R70" s="15"/>
      <c r="S70" s="15"/>
      <c r="T70" s="15"/>
      <c r="U70" s="15"/>
      <c r="V70" s="15"/>
      <c r="W70" s="15"/>
      <c r="X70" s="15"/>
      <c r="Y70" s="15"/>
      <c r="Z70" s="15"/>
      <c r="AA70" s="15"/>
      <c r="AB70" s="15"/>
      <c r="AC70" s="15"/>
      <c r="AD70" s="15"/>
      <c r="AE70" s="15"/>
    </row>
    <row r="71" spans="1:31" s="8" customFormat="1">
      <c r="A71" s="15"/>
      <c r="B71" s="35" t="str">
        <f>B14</f>
        <v>ASP Level 2 - Initial Authorisation</v>
      </c>
      <c r="C71" s="66"/>
      <c r="D71" s="66"/>
      <c r="E71" s="66"/>
      <c r="F71" s="66"/>
      <c r="G71" s="66"/>
      <c r="H71" s="66"/>
      <c r="I71" s="15"/>
      <c r="J71" s="15"/>
      <c r="K71" s="15"/>
      <c r="L71" s="15"/>
      <c r="M71" s="15"/>
      <c r="N71" s="15"/>
      <c r="O71" s="15"/>
      <c r="P71" s="15"/>
      <c r="Q71" s="15"/>
      <c r="R71" s="15"/>
      <c r="S71" s="15"/>
      <c r="T71" s="15"/>
      <c r="U71" s="15"/>
      <c r="V71" s="15"/>
      <c r="W71" s="15"/>
      <c r="X71" s="15"/>
      <c r="Y71" s="15"/>
      <c r="Z71" s="15"/>
      <c r="AA71" s="15"/>
      <c r="AB71" s="15"/>
      <c r="AC71" s="15"/>
      <c r="AD71" s="15"/>
      <c r="AE71" s="15"/>
    </row>
    <row r="72" spans="1:31" s="2" customFormat="1">
      <c r="B72" s="36" t="s">
        <v>23</v>
      </c>
      <c r="C72" s="34">
        <v>140</v>
      </c>
      <c r="D72" s="34">
        <v>140</v>
      </c>
      <c r="E72" s="34">
        <v>140</v>
      </c>
      <c r="F72" s="34">
        <v>140</v>
      </c>
      <c r="G72" s="34">
        <v>140</v>
      </c>
      <c r="H72" s="34">
        <f>SUM(C72:G72)</f>
        <v>700</v>
      </c>
      <c r="I72" s="7"/>
      <c r="J72" s="7"/>
      <c r="K72" s="7"/>
      <c r="L72" s="7"/>
      <c r="M72" s="7"/>
      <c r="N72" s="7"/>
      <c r="O72" s="7"/>
      <c r="P72" s="7"/>
      <c r="Q72" s="7"/>
      <c r="R72" s="7"/>
      <c r="S72" s="7"/>
      <c r="T72" s="7"/>
      <c r="U72" s="7"/>
      <c r="V72" s="7"/>
      <c r="W72" s="7"/>
      <c r="X72" s="7"/>
      <c r="Y72" s="7"/>
      <c r="Z72" s="7"/>
      <c r="AA72" s="7"/>
      <c r="AB72" s="7"/>
      <c r="AC72" s="7"/>
      <c r="AD72" s="7"/>
      <c r="AE72" s="7"/>
    </row>
    <row r="73" spans="1:31" s="8" customFormat="1">
      <c r="A73" s="15"/>
      <c r="B73" s="36" t="s">
        <v>24</v>
      </c>
      <c r="C73" s="61">
        <f>C72*'Fee Breakdown'!$H$45</f>
        <v>57265.599999999991</v>
      </c>
      <c r="D73" s="61">
        <f>D72*'Fee Breakdown'!$H$45</f>
        <v>57265.599999999991</v>
      </c>
      <c r="E73" s="61">
        <f>E72*'Fee Breakdown'!$H$45</f>
        <v>57265.599999999991</v>
      </c>
      <c r="F73" s="61">
        <f>F72*'Fee Breakdown'!$H$45</f>
        <v>57265.599999999991</v>
      </c>
      <c r="G73" s="61">
        <f>G72*'Fee Breakdown'!$H$45</f>
        <v>57265.599999999991</v>
      </c>
      <c r="H73" s="61">
        <f>SUM(C73:G73)</f>
        <v>286327.99999999994</v>
      </c>
      <c r="I73" s="15"/>
      <c r="J73" s="15"/>
      <c r="K73" s="15"/>
      <c r="L73" s="15"/>
      <c r="M73" s="15"/>
      <c r="N73" s="15"/>
      <c r="O73" s="15"/>
      <c r="P73" s="15"/>
      <c r="Q73" s="15"/>
      <c r="R73" s="15"/>
      <c r="S73" s="15"/>
      <c r="T73" s="15"/>
      <c r="U73" s="15"/>
      <c r="V73" s="15"/>
      <c r="W73" s="15"/>
      <c r="X73" s="15"/>
      <c r="Y73" s="15"/>
      <c r="Z73" s="15"/>
      <c r="AA73" s="15"/>
      <c r="AB73" s="15"/>
      <c r="AC73" s="15"/>
      <c r="AD73" s="15"/>
      <c r="AE73" s="15"/>
    </row>
    <row r="74" spans="1:31" s="8" customFormat="1">
      <c r="A74" s="15"/>
      <c r="B74" s="33"/>
      <c r="C74" s="27"/>
      <c r="D74" s="27"/>
      <c r="E74" s="27"/>
      <c r="F74" s="27"/>
      <c r="G74" s="27"/>
      <c r="H74" s="27"/>
      <c r="I74" s="15"/>
      <c r="J74" s="15"/>
      <c r="K74" s="15"/>
      <c r="L74" s="15"/>
      <c r="M74" s="15"/>
      <c r="N74" s="15"/>
      <c r="O74" s="15"/>
      <c r="P74" s="15"/>
      <c r="Q74" s="15"/>
      <c r="R74" s="15"/>
      <c r="S74" s="15"/>
      <c r="T74" s="15"/>
      <c r="U74" s="15"/>
      <c r="V74" s="15"/>
      <c r="W74" s="15"/>
      <c r="X74" s="15"/>
      <c r="Y74" s="15"/>
      <c r="Z74" s="15"/>
      <c r="AA74" s="15"/>
      <c r="AB74" s="15"/>
      <c r="AC74" s="15"/>
      <c r="AD74" s="15"/>
      <c r="AE74" s="15"/>
    </row>
    <row r="75" spans="1:31" s="8" customFormat="1">
      <c r="A75" s="15"/>
      <c r="B75" s="35" t="str">
        <f>B15</f>
        <v>ASP Level 2 - Re-authorisation (Annual Fee)</v>
      </c>
      <c r="C75" s="66"/>
      <c r="D75" s="66"/>
      <c r="E75" s="66"/>
      <c r="F75" s="66"/>
      <c r="G75" s="66"/>
      <c r="H75" s="66"/>
      <c r="I75" s="15"/>
      <c r="J75" s="15"/>
      <c r="K75" s="15"/>
      <c r="L75" s="15"/>
      <c r="M75" s="15"/>
      <c r="N75" s="15"/>
      <c r="O75" s="15"/>
      <c r="P75" s="15"/>
      <c r="Q75" s="15"/>
      <c r="R75" s="15"/>
      <c r="S75" s="15"/>
      <c r="T75" s="15"/>
      <c r="U75" s="15"/>
      <c r="V75" s="15"/>
      <c r="W75" s="15"/>
      <c r="X75" s="15"/>
      <c r="Y75" s="15"/>
      <c r="Z75" s="15"/>
      <c r="AA75" s="15"/>
      <c r="AB75" s="15"/>
      <c r="AC75" s="15"/>
      <c r="AD75" s="15"/>
      <c r="AE75" s="15"/>
    </row>
    <row r="76" spans="1:31" s="2" customFormat="1">
      <c r="B76" s="36" t="s">
        <v>23</v>
      </c>
      <c r="C76" s="34">
        <v>520</v>
      </c>
      <c r="D76" s="34">
        <v>520</v>
      </c>
      <c r="E76" s="34">
        <v>520</v>
      </c>
      <c r="F76" s="34">
        <v>520</v>
      </c>
      <c r="G76" s="34">
        <v>520</v>
      </c>
      <c r="H76" s="34">
        <f t="shared" ref="H76" si="3">SUM(C76:G76)</f>
        <v>2600</v>
      </c>
      <c r="I76" s="7"/>
      <c r="J76" s="7"/>
      <c r="K76" s="7"/>
      <c r="L76" s="7"/>
      <c r="M76" s="7"/>
      <c r="N76" s="7"/>
      <c r="O76" s="7"/>
      <c r="P76" s="7"/>
      <c r="Q76" s="7"/>
      <c r="R76" s="7"/>
      <c r="S76" s="7"/>
      <c r="T76" s="7"/>
      <c r="U76" s="7"/>
      <c r="V76" s="7"/>
      <c r="W76" s="7"/>
      <c r="X76" s="7"/>
      <c r="Y76" s="7"/>
      <c r="Z76" s="7"/>
      <c r="AA76" s="7"/>
      <c r="AB76" s="7"/>
      <c r="AC76" s="7"/>
      <c r="AD76" s="7"/>
      <c r="AE76" s="7"/>
    </row>
    <row r="77" spans="1:31" s="8" customFormat="1">
      <c r="A77" s="15"/>
      <c r="B77" s="36" t="s">
        <v>24</v>
      </c>
      <c r="C77" s="61">
        <f>C76*'Fee Breakdown'!$H$54</f>
        <v>172819.4</v>
      </c>
      <c r="D77" s="61">
        <f>D76*'Fee Breakdown'!$H$54</f>
        <v>172819.4</v>
      </c>
      <c r="E77" s="61">
        <f>E76*'Fee Breakdown'!$H$54</f>
        <v>172819.4</v>
      </c>
      <c r="F77" s="61">
        <f>F76*'Fee Breakdown'!$H$54</f>
        <v>172819.4</v>
      </c>
      <c r="G77" s="61">
        <f>G76*'Fee Breakdown'!$H$54</f>
        <v>172819.4</v>
      </c>
      <c r="H77" s="61">
        <f>SUM(C77:G77)</f>
        <v>864097</v>
      </c>
      <c r="I77" s="15"/>
      <c r="J77" s="15"/>
      <c r="K77" s="15"/>
      <c r="L77" s="15"/>
      <c r="M77" s="15"/>
      <c r="N77" s="15"/>
      <c r="O77" s="15"/>
      <c r="P77" s="15"/>
      <c r="Q77" s="15"/>
      <c r="R77" s="15"/>
      <c r="S77" s="15"/>
      <c r="T77" s="15"/>
      <c r="U77" s="15"/>
      <c r="V77" s="15"/>
      <c r="W77" s="15"/>
      <c r="X77" s="15"/>
      <c r="Y77" s="15"/>
      <c r="Z77" s="15"/>
      <c r="AA77" s="15"/>
      <c r="AB77" s="15"/>
      <c r="AC77" s="15"/>
      <c r="AD77" s="15"/>
      <c r="AE77" s="15"/>
    </row>
    <row r="78" spans="1:31" s="8" customFormat="1">
      <c r="A78" s="15"/>
      <c r="B78" s="33"/>
      <c r="C78" s="27"/>
      <c r="D78" s="27"/>
      <c r="E78" s="27"/>
      <c r="F78" s="27"/>
      <c r="G78" s="27"/>
      <c r="H78" s="27"/>
      <c r="I78" s="15"/>
      <c r="J78" s="15"/>
      <c r="K78" s="15"/>
      <c r="L78" s="15"/>
      <c r="M78" s="15"/>
      <c r="N78" s="15"/>
      <c r="O78" s="15"/>
      <c r="P78" s="15"/>
      <c r="Q78" s="15"/>
      <c r="R78" s="15"/>
      <c r="S78" s="15"/>
      <c r="T78" s="15"/>
      <c r="U78" s="15"/>
      <c r="V78" s="15"/>
      <c r="W78" s="15"/>
      <c r="X78" s="15"/>
      <c r="Y78" s="15"/>
      <c r="Z78" s="15"/>
      <c r="AA78" s="15"/>
      <c r="AB78" s="15"/>
      <c r="AC78" s="15"/>
      <c r="AD78" s="15"/>
      <c r="AE78" s="15"/>
    </row>
    <row r="79" spans="1:31" s="8" customFormat="1">
      <c r="A79" s="15"/>
      <c r="B79" s="35" t="str">
        <f>B16</f>
        <v>ASP Level 2 - Additional authorisation</v>
      </c>
      <c r="C79" s="66"/>
      <c r="D79" s="66"/>
      <c r="E79" s="66"/>
      <c r="F79" s="66"/>
      <c r="G79" s="66"/>
      <c r="H79" s="66"/>
      <c r="I79" s="15"/>
      <c r="J79" s="15"/>
      <c r="K79" s="15"/>
      <c r="L79" s="15"/>
      <c r="M79" s="15"/>
      <c r="N79" s="15"/>
      <c r="O79" s="15"/>
      <c r="P79" s="15"/>
      <c r="Q79" s="15"/>
      <c r="R79" s="15"/>
      <c r="S79" s="15"/>
      <c r="T79" s="15"/>
      <c r="U79" s="15"/>
      <c r="V79" s="15"/>
      <c r="W79" s="15"/>
      <c r="X79" s="15"/>
      <c r="Y79" s="15"/>
      <c r="Z79" s="15"/>
      <c r="AA79" s="15"/>
      <c r="AB79" s="15"/>
      <c r="AC79" s="15"/>
      <c r="AD79" s="15"/>
      <c r="AE79" s="15"/>
    </row>
    <row r="80" spans="1:31" s="2" customFormat="1">
      <c r="B80" s="36" t="s">
        <v>23</v>
      </c>
      <c r="C80" s="34">
        <v>20</v>
      </c>
      <c r="D80" s="34">
        <v>20</v>
      </c>
      <c r="E80" s="34">
        <v>20</v>
      </c>
      <c r="F80" s="34">
        <v>20</v>
      </c>
      <c r="G80" s="34">
        <v>20</v>
      </c>
      <c r="H80" s="34">
        <f>SUM(C80:G80)</f>
        <v>100</v>
      </c>
      <c r="I80" s="7"/>
      <c r="J80" s="7"/>
      <c r="K80" s="7"/>
      <c r="L80" s="7"/>
      <c r="M80" s="7"/>
      <c r="N80" s="7"/>
      <c r="O80" s="7"/>
      <c r="P80" s="7"/>
      <c r="Q80" s="7"/>
      <c r="R80" s="7"/>
      <c r="S80" s="7"/>
      <c r="T80" s="7"/>
      <c r="U80" s="7"/>
      <c r="V80" s="7"/>
      <c r="W80" s="7"/>
      <c r="X80" s="7"/>
      <c r="Y80" s="7"/>
      <c r="Z80" s="7"/>
      <c r="AA80" s="7"/>
      <c r="AB80" s="7"/>
      <c r="AC80" s="7"/>
      <c r="AD80" s="7"/>
      <c r="AE80" s="7"/>
    </row>
    <row r="81" spans="1:31" s="8" customFormat="1">
      <c r="A81" s="15"/>
      <c r="B81" s="36" t="s">
        <v>24</v>
      </c>
      <c r="C81" s="61">
        <f>C80*'Fee Breakdown'!$H$63</f>
        <v>2045.2</v>
      </c>
      <c r="D81" s="61">
        <f>D80*'Fee Breakdown'!$H$63</f>
        <v>2045.2</v>
      </c>
      <c r="E81" s="61">
        <f>E80*'Fee Breakdown'!$H$63</f>
        <v>2045.2</v>
      </c>
      <c r="F81" s="61">
        <f>F80*'Fee Breakdown'!$H$63</f>
        <v>2045.2</v>
      </c>
      <c r="G81" s="61">
        <f>G80*'Fee Breakdown'!$H$63</f>
        <v>2045.2</v>
      </c>
      <c r="H81" s="61">
        <f>SUM(C81:G81)</f>
        <v>10226</v>
      </c>
      <c r="I81" s="15"/>
      <c r="J81" s="15"/>
      <c r="K81" s="15"/>
      <c r="L81" s="15"/>
      <c r="M81" s="15"/>
      <c r="N81" s="15"/>
      <c r="O81" s="15"/>
      <c r="P81" s="15"/>
      <c r="Q81" s="15"/>
      <c r="R81" s="15"/>
      <c r="S81" s="15"/>
      <c r="T81" s="15"/>
      <c r="U81" s="15"/>
      <c r="V81" s="15"/>
      <c r="W81" s="15"/>
      <c r="X81" s="15"/>
      <c r="Y81" s="15"/>
      <c r="Z81" s="15"/>
      <c r="AA81" s="15"/>
      <c r="AB81" s="15"/>
      <c r="AC81" s="15"/>
      <c r="AD81" s="15"/>
      <c r="AE81" s="15"/>
    </row>
    <row r="82" spans="1:31" s="8" customFormat="1">
      <c r="A82" s="15"/>
      <c r="B82" s="33"/>
      <c r="C82" s="27"/>
      <c r="D82" s="27"/>
      <c r="E82" s="27"/>
      <c r="F82" s="27"/>
      <c r="G82" s="27"/>
      <c r="H82" s="27"/>
      <c r="I82" s="15"/>
      <c r="J82" s="15"/>
      <c r="K82" s="15"/>
      <c r="L82" s="15"/>
      <c r="M82" s="15"/>
      <c r="N82" s="15"/>
      <c r="O82" s="15"/>
      <c r="P82" s="15"/>
      <c r="Q82" s="15"/>
      <c r="R82" s="15"/>
      <c r="S82" s="15"/>
      <c r="T82" s="15"/>
      <c r="U82" s="15"/>
      <c r="V82" s="15"/>
      <c r="W82" s="15"/>
      <c r="X82" s="15"/>
      <c r="Y82" s="15"/>
      <c r="Z82" s="15"/>
      <c r="AA82" s="15"/>
      <c r="AB82" s="15"/>
      <c r="AC82" s="15"/>
      <c r="AD82" s="15"/>
      <c r="AE82" s="15"/>
    </row>
    <row r="83" spans="1:31" s="8" customFormat="1">
      <c r="A83" s="15"/>
      <c r="B83" s="35" t="str">
        <f>B18</f>
        <v>ASP Level 3 - Authorisation/Re-authorisation (Biennial Fee)</v>
      </c>
      <c r="C83" s="66"/>
      <c r="D83" s="66"/>
      <c r="E83" s="66"/>
      <c r="F83" s="66"/>
      <c r="G83" s="66"/>
      <c r="H83" s="66"/>
      <c r="I83" s="15"/>
      <c r="J83" s="15"/>
      <c r="K83" s="15"/>
      <c r="L83" s="15"/>
      <c r="M83" s="15"/>
      <c r="N83" s="15"/>
      <c r="O83" s="15"/>
      <c r="P83" s="15"/>
      <c r="Q83" s="15"/>
      <c r="R83" s="15"/>
      <c r="S83" s="15"/>
      <c r="T83" s="15"/>
      <c r="U83" s="15"/>
      <c r="V83" s="15"/>
      <c r="W83" s="15"/>
      <c r="X83" s="15"/>
      <c r="Y83" s="15"/>
      <c r="Z83" s="15"/>
      <c r="AA83" s="15"/>
      <c r="AB83" s="15"/>
      <c r="AC83" s="15"/>
      <c r="AD83" s="15"/>
      <c r="AE83" s="15"/>
    </row>
    <row r="84" spans="1:31" s="2" customFormat="1">
      <c r="B84" s="36" t="s">
        <v>23</v>
      </c>
      <c r="C84" s="34">
        <v>130</v>
      </c>
      <c r="D84" s="34">
        <v>130</v>
      </c>
      <c r="E84" s="34">
        <v>130</v>
      </c>
      <c r="F84" s="34">
        <v>130</v>
      </c>
      <c r="G84" s="34">
        <v>130</v>
      </c>
      <c r="H84" s="34">
        <f>SUM(C84:G84)</f>
        <v>650</v>
      </c>
      <c r="I84" s="7"/>
      <c r="J84" s="7"/>
      <c r="K84" s="7"/>
      <c r="L84" s="7"/>
      <c r="M84" s="7"/>
      <c r="N84" s="7"/>
      <c r="O84" s="7"/>
      <c r="P84" s="7"/>
      <c r="Q84" s="7"/>
      <c r="R84" s="7"/>
      <c r="S84" s="7"/>
      <c r="T84" s="7"/>
      <c r="U84" s="7"/>
      <c r="V84" s="7"/>
      <c r="W84" s="7"/>
      <c r="X84" s="7"/>
      <c r="Y84" s="7"/>
      <c r="Z84" s="7"/>
      <c r="AA84" s="7"/>
      <c r="AB84" s="7"/>
      <c r="AC84" s="7"/>
      <c r="AD84" s="7"/>
      <c r="AE84" s="7"/>
    </row>
    <row r="85" spans="1:31" s="8" customFormat="1">
      <c r="A85" s="15"/>
      <c r="B85" s="36" t="s">
        <v>24</v>
      </c>
      <c r="C85" s="61">
        <f>C84*'Fee Breakdown'!$H$71</f>
        <v>9970.35</v>
      </c>
      <c r="D85" s="61">
        <f>D84*'Fee Breakdown'!$H$71</f>
        <v>9970.35</v>
      </c>
      <c r="E85" s="61">
        <f>E84*'Fee Breakdown'!$H$71</f>
        <v>9970.35</v>
      </c>
      <c r="F85" s="61">
        <f>F84*'Fee Breakdown'!$H$71</f>
        <v>9970.35</v>
      </c>
      <c r="G85" s="61">
        <f>G84*'Fee Breakdown'!$H$71</f>
        <v>9970.35</v>
      </c>
      <c r="H85" s="61">
        <f>SUM(C85:G85)</f>
        <v>49851.75</v>
      </c>
      <c r="I85" s="15"/>
      <c r="J85" s="15"/>
      <c r="K85" s="15"/>
      <c r="L85" s="15"/>
      <c r="M85" s="15"/>
      <c r="N85" s="15"/>
      <c r="O85" s="15"/>
      <c r="P85" s="15"/>
      <c r="Q85" s="15"/>
      <c r="R85" s="15"/>
      <c r="S85" s="15"/>
      <c r="T85" s="15"/>
      <c r="U85" s="15"/>
      <c r="V85" s="15"/>
      <c r="W85" s="15"/>
      <c r="X85" s="15"/>
      <c r="Y85" s="15"/>
      <c r="Z85" s="15"/>
      <c r="AA85" s="15"/>
      <c r="AB85" s="15"/>
      <c r="AC85" s="15"/>
      <c r="AD85" s="15"/>
      <c r="AE85" s="15"/>
    </row>
    <row r="86" spans="1:31" s="8" customFormat="1">
      <c r="A86" s="15"/>
      <c r="B86" s="33"/>
      <c r="C86" s="22"/>
      <c r="D86" s="27"/>
      <c r="E86" s="27"/>
      <c r="F86" s="27"/>
      <c r="G86" s="27"/>
      <c r="H86" s="27"/>
      <c r="I86" s="15"/>
      <c r="J86" s="15"/>
      <c r="K86" s="15"/>
      <c r="L86" s="15"/>
      <c r="M86" s="15"/>
      <c r="N86" s="15"/>
      <c r="O86" s="15"/>
      <c r="P86" s="15"/>
      <c r="Q86" s="15"/>
      <c r="R86" s="15"/>
      <c r="S86" s="15"/>
      <c r="T86" s="15"/>
      <c r="U86" s="15"/>
      <c r="V86" s="15"/>
      <c r="W86" s="15"/>
      <c r="X86" s="15"/>
      <c r="Y86" s="15"/>
      <c r="Z86" s="15"/>
      <c r="AA86" s="15"/>
      <c r="AB86" s="15"/>
      <c r="AC86" s="15"/>
      <c r="AD86" s="15"/>
      <c r="AE86" s="15"/>
    </row>
    <row r="87" spans="1:31" s="7" customFormat="1">
      <c r="B87" s="3" t="s">
        <v>13</v>
      </c>
      <c r="C87" s="80"/>
      <c r="D87" s="80"/>
      <c r="E87" s="80"/>
      <c r="F87" s="80"/>
      <c r="G87" s="80"/>
      <c r="H87" s="80"/>
    </row>
    <row r="88" spans="1:31" s="2" customFormat="1">
      <c r="A88" s="7"/>
      <c r="B88" s="30"/>
      <c r="C88" s="13"/>
      <c r="D88" s="13"/>
      <c r="E88" s="13"/>
      <c r="F88" s="13"/>
      <c r="G88" s="13"/>
      <c r="H88" s="13"/>
      <c r="I88" s="124"/>
      <c r="J88" s="124"/>
      <c r="K88" s="124"/>
      <c r="L88" s="124"/>
      <c r="M88" s="124"/>
      <c r="N88" s="7"/>
      <c r="O88" s="7"/>
      <c r="P88" s="7"/>
      <c r="Q88" s="7"/>
      <c r="R88" s="7"/>
      <c r="S88" s="7"/>
      <c r="T88" s="7"/>
      <c r="U88" s="7"/>
      <c r="V88" s="7"/>
      <c r="W88" s="7"/>
      <c r="X88" s="7"/>
      <c r="Y88" s="7"/>
      <c r="Z88" s="7"/>
      <c r="AA88" s="7"/>
      <c r="AB88" s="7"/>
      <c r="AC88" s="7"/>
      <c r="AD88" s="7"/>
    </row>
    <row r="89" spans="1:31" s="2" customFormat="1">
      <c r="A89" s="7"/>
      <c r="B89" s="30"/>
      <c r="C89" s="13"/>
      <c r="D89" s="13"/>
      <c r="E89" s="13"/>
      <c r="F89" s="13"/>
      <c r="G89" s="13"/>
      <c r="H89" s="13"/>
      <c r="I89" s="124"/>
      <c r="J89" s="124"/>
      <c r="K89" s="124"/>
      <c r="L89" s="124"/>
      <c r="M89" s="124"/>
      <c r="N89" s="7"/>
      <c r="O89" s="7"/>
      <c r="P89" s="7"/>
      <c r="Q89" s="7"/>
      <c r="R89" s="7"/>
      <c r="S89" s="7"/>
      <c r="T89" s="7"/>
      <c r="U89" s="7"/>
      <c r="V89" s="7"/>
      <c r="W89" s="7"/>
      <c r="X89" s="7"/>
      <c r="Y89" s="7"/>
      <c r="Z89" s="7"/>
      <c r="AA89" s="7"/>
      <c r="AB89" s="7"/>
      <c r="AC89" s="7"/>
      <c r="AD89" s="7"/>
    </row>
    <row r="90" spans="1:31" s="2" customFormat="1">
      <c r="A90" s="7"/>
      <c r="B90" s="30"/>
      <c r="C90" s="13"/>
      <c r="D90" s="13"/>
      <c r="E90" s="13"/>
      <c r="F90" s="13"/>
      <c r="G90" s="13"/>
      <c r="H90" s="13"/>
      <c r="I90" s="124"/>
      <c r="J90" s="124"/>
      <c r="K90" s="124"/>
      <c r="L90" s="124"/>
      <c r="M90" s="124"/>
      <c r="N90" s="7"/>
      <c r="O90" s="7"/>
      <c r="P90" s="7"/>
      <c r="Q90" s="7"/>
      <c r="R90" s="7"/>
      <c r="S90" s="7"/>
      <c r="T90" s="7"/>
      <c r="U90" s="7"/>
      <c r="V90" s="7"/>
      <c r="W90" s="7"/>
      <c r="X90" s="7"/>
      <c r="Y90" s="7"/>
      <c r="Z90" s="7"/>
      <c r="AA90" s="7"/>
      <c r="AB90" s="7"/>
      <c r="AC90" s="7"/>
      <c r="AD90" s="7"/>
    </row>
    <row r="91" spans="1:31" s="7" customFormat="1">
      <c r="B91" s="164" t="s">
        <v>289</v>
      </c>
      <c r="C91" s="163">
        <f t="shared" ref="C91:H91" si="4">C57+C61+C65+C69+C73+C77+C81+C85</f>
        <v>464624.61999999994</v>
      </c>
      <c r="D91" s="163">
        <f t="shared" si="4"/>
        <v>464624.61999999994</v>
      </c>
      <c r="E91" s="163">
        <f t="shared" si="4"/>
        <v>464624.61999999994</v>
      </c>
      <c r="F91" s="163">
        <f t="shared" si="4"/>
        <v>464624.61999999994</v>
      </c>
      <c r="G91" s="163">
        <f t="shared" si="4"/>
        <v>464624.61999999994</v>
      </c>
      <c r="H91" s="163">
        <f t="shared" si="4"/>
        <v>2323123.0999999996</v>
      </c>
    </row>
    <row r="92" spans="1:31" s="7" customFormat="1">
      <c r="E92" s="21"/>
      <c r="F92" s="21"/>
      <c r="G92" s="21"/>
      <c r="H92" s="21"/>
      <c r="I92" s="21"/>
      <c r="J92" s="21"/>
    </row>
    <row r="93" spans="1:31" s="8" customFormat="1">
      <c r="A93" s="15"/>
      <c r="B93" s="1" t="s">
        <v>291</v>
      </c>
      <c r="C93" s="4"/>
      <c r="D93" s="4"/>
      <c r="E93" s="4"/>
      <c r="F93" s="4"/>
      <c r="G93" s="4"/>
      <c r="H93" s="4"/>
      <c r="I93" s="16"/>
      <c r="J93" s="15"/>
      <c r="K93" s="15"/>
      <c r="L93" s="15"/>
      <c r="M93" s="15"/>
      <c r="N93" s="15"/>
      <c r="O93" s="15"/>
      <c r="P93" s="15"/>
      <c r="Q93" s="15"/>
      <c r="R93" s="15"/>
      <c r="S93" s="15"/>
      <c r="T93" s="15"/>
      <c r="U93" s="15"/>
      <c r="V93" s="15"/>
      <c r="W93" s="15"/>
      <c r="X93" s="15"/>
      <c r="Y93" s="15"/>
    </row>
    <row r="94" spans="1:31" s="15" customFormat="1">
      <c r="B94" s="41"/>
    </row>
    <row r="95" spans="1:31" s="8" customFormat="1">
      <c r="A95" s="15"/>
      <c r="B95" s="3" t="s">
        <v>4</v>
      </c>
      <c r="C95" s="6" t="s">
        <v>9</v>
      </c>
      <c r="D95" s="32" t="s">
        <v>18</v>
      </c>
      <c r="E95" s="32" t="s">
        <v>19</v>
      </c>
      <c r="F95" s="32" t="s">
        <v>20</v>
      </c>
      <c r="G95" s="32" t="s">
        <v>21</v>
      </c>
      <c r="H95" s="32" t="s">
        <v>22</v>
      </c>
      <c r="I95" s="15"/>
      <c r="J95" s="15"/>
      <c r="K95" s="15"/>
      <c r="L95" s="15"/>
      <c r="M95" s="15"/>
      <c r="N95" s="15"/>
      <c r="O95" s="15"/>
      <c r="P95" s="15"/>
      <c r="Q95" s="15"/>
      <c r="R95" s="15"/>
      <c r="S95" s="15"/>
      <c r="T95" s="15"/>
      <c r="U95" s="15"/>
      <c r="V95" s="15"/>
      <c r="W95" s="15"/>
      <c r="X95" s="15"/>
      <c r="Y95" s="15"/>
      <c r="Z95" s="15"/>
      <c r="AA95" s="15"/>
      <c r="AB95" s="15"/>
      <c r="AC95" s="15"/>
      <c r="AD95" s="15"/>
    </row>
    <row r="96" spans="1:31" s="8" customFormat="1">
      <c r="A96" s="15"/>
      <c r="B96" s="8" t="s">
        <v>10</v>
      </c>
      <c r="C96" s="68">
        <f>'Input Data'!G13</f>
        <v>1</v>
      </c>
      <c r="D96" s="68">
        <f>'Input Data'!H13</f>
        <v>1.0276240678492865</v>
      </c>
      <c r="E96" s="68">
        <f>'Input Data'!I13</f>
        <v>1.0592497813772299</v>
      </c>
      <c r="F96" s="68">
        <f>'Input Data'!J13</f>
        <v>1.0963162030397382</v>
      </c>
      <c r="G96" s="68">
        <f>'Input Data'!K13</f>
        <v>1.1373288908332129</v>
      </c>
      <c r="H96" s="68">
        <f>'Input Data'!L13</f>
        <v>1.1781674433570202</v>
      </c>
      <c r="N96" s="15"/>
      <c r="O96" s="15"/>
      <c r="P96" s="15"/>
      <c r="Q96" s="15"/>
      <c r="R96" s="15"/>
      <c r="S96" s="15"/>
      <c r="T96" s="15"/>
      <c r="U96" s="15"/>
      <c r="V96" s="15"/>
      <c r="W96" s="15"/>
      <c r="X96" s="15"/>
      <c r="Y96" s="15"/>
      <c r="Z96" s="15"/>
      <c r="AA96" s="15"/>
      <c r="AB96" s="15"/>
      <c r="AC96" s="15"/>
      <c r="AD96" s="15"/>
    </row>
    <row r="97" spans="1:30" s="8" customFormat="1">
      <c r="A97" s="15"/>
      <c r="B97" s="8" t="s">
        <v>11</v>
      </c>
      <c r="C97" s="68">
        <f>'Input Data'!G14</f>
        <v>1</v>
      </c>
      <c r="D97" s="68">
        <f>'Input Data'!H14</f>
        <v>1.0242487465753967</v>
      </c>
      <c r="E97" s="68">
        <f>'Input Data'!I14</f>
        <v>1.0490854948612711</v>
      </c>
      <c r="F97" s="68">
        <f>'Input Data'!J14</f>
        <v>1.0745245031620867</v>
      </c>
      <c r="G97" s="68">
        <f>'Input Data'!K14</f>
        <v>1.1005803755283181</v>
      </c>
      <c r="H97" s="68">
        <f>'Input Data'!L14</f>
        <v>1.1272680701403592</v>
      </c>
      <c r="J97" s="9"/>
      <c r="N97" s="15"/>
      <c r="O97" s="15"/>
      <c r="P97" s="15"/>
      <c r="Q97" s="15"/>
      <c r="R97" s="15"/>
      <c r="S97" s="15"/>
      <c r="T97" s="15"/>
      <c r="U97" s="15"/>
      <c r="V97" s="15"/>
      <c r="W97" s="15"/>
      <c r="X97" s="15"/>
      <c r="Y97" s="15"/>
      <c r="Z97" s="15"/>
      <c r="AA97" s="15"/>
      <c r="AB97" s="15"/>
      <c r="AC97" s="15"/>
      <c r="AD97" s="15"/>
    </row>
    <row r="98" spans="1:30" s="8" customFormat="1">
      <c r="A98" s="15"/>
      <c r="B98" s="8" t="s">
        <v>12</v>
      </c>
      <c r="C98" s="68">
        <f>'Input Data'!G15</f>
        <v>1</v>
      </c>
      <c r="D98" s="68">
        <f>'Input Data'!H15</f>
        <v>1.0032954116714083</v>
      </c>
      <c r="E98" s="68">
        <f>'Input Data'!I15</f>
        <v>1.0096887113259563</v>
      </c>
      <c r="F98" s="68">
        <f>'Input Data'!J15</f>
        <v>1.0202803191677094</v>
      </c>
      <c r="G98" s="68">
        <f>'Input Data'!K15</f>
        <v>1.0333901240854437</v>
      </c>
      <c r="H98" s="68">
        <f>'Input Data'!L15</f>
        <v>1.0451528563301924</v>
      </c>
      <c r="J98" s="9"/>
      <c r="N98" s="15"/>
      <c r="O98" s="15"/>
      <c r="P98" s="15"/>
      <c r="Q98" s="15"/>
      <c r="R98" s="15"/>
      <c r="S98" s="15"/>
      <c r="T98" s="15"/>
      <c r="U98" s="15"/>
      <c r="V98" s="15"/>
      <c r="W98" s="15"/>
      <c r="X98" s="15"/>
      <c r="Y98" s="15"/>
      <c r="Z98" s="15"/>
      <c r="AA98" s="15"/>
      <c r="AB98" s="15"/>
      <c r="AC98" s="15"/>
      <c r="AD98" s="15"/>
    </row>
    <row r="99" spans="1:30" s="15" customFormat="1">
      <c r="D99" s="18"/>
      <c r="E99" s="18"/>
      <c r="F99" s="18"/>
      <c r="G99" s="18"/>
      <c r="H99" s="18"/>
      <c r="I99" s="18"/>
      <c r="J99" s="18"/>
      <c r="K99" s="18"/>
      <c r="L99" s="18"/>
      <c r="M99" s="18"/>
      <c r="N99" s="18"/>
    </row>
    <row r="100" spans="1:30" s="7" customFormat="1">
      <c r="B100" s="1" t="s">
        <v>87</v>
      </c>
      <c r="C100" s="1"/>
      <c r="D100" s="1"/>
      <c r="E100" s="1"/>
      <c r="F100" s="4"/>
      <c r="G100" s="4"/>
      <c r="H100" s="4"/>
    </row>
    <row r="101" spans="1:30">
      <c r="B101" s="7"/>
      <c r="C101" s="7"/>
      <c r="D101" s="7"/>
      <c r="E101" s="7"/>
      <c r="F101" s="7"/>
      <c r="G101" s="7"/>
      <c r="H101" s="7"/>
      <c r="I101" s="125"/>
      <c r="J101" s="125"/>
      <c r="K101" s="125"/>
      <c r="L101" s="125"/>
      <c r="M101" s="125"/>
      <c r="N101" s="125"/>
      <c r="O101" s="125"/>
      <c r="P101" s="125"/>
      <c r="Q101" s="125"/>
      <c r="R101" s="125"/>
      <c r="S101" s="125"/>
      <c r="T101" s="125"/>
      <c r="U101" s="125"/>
    </row>
    <row r="102" spans="1:30">
      <c r="B102" s="3" t="s">
        <v>4</v>
      </c>
      <c r="C102" s="6" t="s">
        <v>88</v>
      </c>
      <c r="D102" s="32" t="s">
        <v>89</v>
      </c>
      <c r="E102" s="6" t="s">
        <v>90</v>
      </c>
      <c r="F102" s="32" t="s">
        <v>91</v>
      </c>
      <c r="G102" s="32" t="s">
        <v>92</v>
      </c>
      <c r="H102" s="32" t="s">
        <v>93</v>
      </c>
      <c r="I102" s="125"/>
      <c r="J102" s="125"/>
      <c r="K102" s="125"/>
      <c r="L102" s="125"/>
      <c r="M102" s="125"/>
      <c r="N102" s="125"/>
      <c r="O102" s="125"/>
      <c r="P102" s="125"/>
      <c r="Q102" s="125"/>
      <c r="R102" s="125"/>
      <c r="S102" s="125"/>
      <c r="T102" s="125"/>
      <c r="U102" s="125"/>
    </row>
    <row r="103" spans="1:30">
      <c r="B103" s="8" t="s">
        <v>94</v>
      </c>
      <c r="C103" s="87"/>
      <c r="D103" s="87">
        <v>1</v>
      </c>
      <c r="E103" s="87">
        <f>D103*(1+E105)*(1-E104)</f>
        <v>1.0353329951690822</v>
      </c>
      <c r="F103" s="87">
        <f t="shared" ref="F103:G103" si="5">E103*(1+F105)*(1-F104)</f>
        <v>1.0621947743913041</v>
      </c>
      <c r="G103" s="87">
        <f t="shared" si="5"/>
        <v>1.0876998293290692</v>
      </c>
      <c r="H103" s="87">
        <f>G103*(1+H106)*(1-H104)</f>
        <v>1.1205581534732707</v>
      </c>
      <c r="I103" s="125"/>
      <c r="J103" s="125"/>
      <c r="K103" s="125"/>
      <c r="L103" s="125"/>
      <c r="M103" s="125"/>
      <c r="N103" s="125"/>
      <c r="O103" s="125"/>
      <c r="P103" s="125"/>
      <c r="Q103" s="125"/>
      <c r="R103" s="125"/>
      <c r="S103" s="125"/>
      <c r="T103" s="125"/>
      <c r="U103" s="125"/>
    </row>
    <row r="104" spans="1:30">
      <c r="B104" s="8" t="s">
        <v>95</v>
      </c>
      <c r="C104" s="87"/>
      <c r="D104" s="87"/>
      <c r="E104" s="87">
        <f>-'Input Data'!D19</f>
        <v>-1.0200000000000001E-2</v>
      </c>
      <c r="F104" s="87">
        <f>-'Input Data'!E19</f>
        <v>-1.0699999999999999E-2</v>
      </c>
      <c r="G104" s="87">
        <f>-'Input Data'!F19</f>
        <v>-1.11E-2</v>
      </c>
      <c r="H104" s="87">
        <f>-'Input Data'!G19</f>
        <v>-1.0999999999999999E-2</v>
      </c>
      <c r="I104" s="125"/>
      <c r="J104" s="125"/>
      <c r="K104" s="125"/>
      <c r="L104" s="125"/>
      <c r="M104" s="125"/>
      <c r="N104" s="125"/>
      <c r="O104" s="125"/>
      <c r="P104" s="125"/>
      <c r="Q104" s="125"/>
      <c r="R104" s="125"/>
      <c r="S104" s="125"/>
      <c r="T104" s="125"/>
      <c r="U104" s="125"/>
    </row>
    <row r="105" spans="1:30">
      <c r="B105" s="8" t="s">
        <v>96</v>
      </c>
      <c r="C105" s="87">
        <v>1.76278015613196E-2</v>
      </c>
      <c r="D105" s="87">
        <f>'Input Data'!C18</f>
        <v>2.4498886414253906E-2</v>
      </c>
      <c r="E105" s="87">
        <f>'Input Data'!D18</f>
        <v>2.4879227053140163E-2</v>
      </c>
      <c r="F105" s="87">
        <f>'Input Data'!E18</f>
        <v>1.5083667216591934E-2</v>
      </c>
      <c r="G105" s="87">
        <f>'Input Data'!F18</f>
        <v>1.2769909449732886E-2</v>
      </c>
      <c r="H105" s="68"/>
      <c r="I105" s="125"/>
      <c r="J105" s="125"/>
      <c r="K105" s="125"/>
      <c r="L105" s="125"/>
      <c r="M105" s="125"/>
      <c r="N105" s="125"/>
      <c r="O105" s="125"/>
      <c r="P105" s="125"/>
      <c r="Q105" s="125"/>
      <c r="R105" s="125"/>
      <c r="S105" s="125"/>
      <c r="T105" s="125"/>
      <c r="U105" s="125"/>
    </row>
    <row r="106" spans="1:30">
      <c r="B106" s="8" t="s">
        <v>97</v>
      </c>
      <c r="C106" s="87"/>
      <c r="D106" s="87"/>
      <c r="E106" s="87"/>
      <c r="F106" s="87"/>
      <c r="G106" s="68"/>
      <c r="H106" s="68">
        <f>'Input Data'!G18</f>
        <v>1.9E-2</v>
      </c>
      <c r="I106" s="125"/>
      <c r="J106" s="125"/>
      <c r="K106" s="125"/>
      <c r="L106" s="125"/>
      <c r="M106" s="125"/>
      <c r="N106" s="125"/>
      <c r="O106" s="125"/>
      <c r="P106" s="125"/>
      <c r="Q106" s="125"/>
      <c r="R106" s="125"/>
      <c r="S106" s="125"/>
      <c r="T106" s="125"/>
      <c r="U106" s="125"/>
    </row>
    <row r="107" spans="1:30" s="125" customFormat="1"/>
    <row r="108" spans="1:30" s="125" customFormat="1"/>
    <row r="109" spans="1:30" s="125" customFormat="1"/>
    <row r="110" spans="1:30" s="125" customFormat="1"/>
    <row r="111" spans="1:30" s="125" customFormat="1"/>
    <row r="112" spans="1:30" s="125" customFormat="1"/>
    <row r="113" s="125" customFormat="1"/>
    <row r="114" s="125" customFormat="1"/>
    <row r="115" s="125" customFormat="1"/>
    <row r="116" s="125" customFormat="1"/>
    <row r="117" s="125" customFormat="1"/>
    <row r="118"/>
    <row r="119"/>
    <row r="120"/>
    <row r="121"/>
    <row r="122"/>
  </sheetData>
  <mergeCells count="5">
    <mergeCell ref="B30:G30"/>
    <mergeCell ref="B35:G35"/>
    <mergeCell ref="E6:I6"/>
    <mergeCell ref="E21:H21"/>
    <mergeCell ref="C39:G3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workbookViewId="0"/>
  </sheetViews>
  <sheetFormatPr defaultColWidth="0" defaultRowHeight="14.4" zeroHeight="1"/>
  <cols>
    <col min="1" max="1" width="2.44140625" customWidth="1"/>
    <col min="2" max="2" width="2.44140625" style="37" customWidth="1"/>
    <col min="3" max="3" width="10.109375" style="37" customWidth="1"/>
    <col min="4" max="9" width="13.109375" style="37" customWidth="1"/>
    <col min="10" max="11" width="9.109375" style="37" customWidth="1"/>
    <col min="12" max="12" width="2.88671875" style="151" customWidth="1"/>
    <col min="13" max="18" width="9.109375" style="125" customWidth="1"/>
    <col min="19" max="27" width="0" style="125" hidden="1" customWidth="1"/>
    <col min="28" max="16384" width="9.109375" hidden="1"/>
  </cols>
  <sheetData>
    <row r="1" spans="2:27" s="125" customFormat="1">
      <c r="B1" s="151"/>
      <c r="C1" s="151"/>
      <c r="D1" s="151"/>
      <c r="E1" s="151"/>
      <c r="F1" s="151"/>
      <c r="G1" s="151"/>
      <c r="H1" s="151"/>
      <c r="I1" s="151"/>
      <c r="J1" s="151"/>
      <c r="K1" s="151"/>
      <c r="L1" s="151"/>
    </row>
    <row r="2" spans="2:27" s="38" customFormat="1" ht="21" customHeight="1">
      <c r="B2" s="28" t="s">
        <v>25</v>
      </c>
      <c r="C2" s="28"/>
      <c r="D2" s="28"/>
      <c r="E2" s="28"/>
      <c r="F2" s="28"/>
      <c r="G2" s="28"/>
      <c r="H2" s="28"/>
      <c r="I2" s="28"/>
      <c r="J2" s="28"/>
      <c r="K2" s="28"/>
      <c r="L2" s="153"/>
      <c r="M2" s="147"/>
      <c r="N2" s="147"/>
      <c r="O2" s="147"/>
      <c r="P2" s="125"/>
      <c r="Q2" s="147"/>
      <c r="R2" s="147"/>
      <c r="S2" s="147"/>
      <c r="T2" s="147"/>
      <c r="U2" s="147"/>
      <c r="V2" s="147"/>
      <c r="W2" s="147"/>
      <c r="X2" s="147"/>
      <c r="Y2" s="147"/>
      <c r="Z2" s="147"/>
      <c r="AA2" s="147"/>
    </row>
    <row r="3" spans="2:27">
      <c r="B3" s="5" t="s">
        <v>0</v>
      </c>
      <c r="C3" s="5"/>
      <c r="D3" s="39" t="str">
        <f>'AER Summary'!C3</f>
        <v>Authorisation of ASPs</v>
      </c>
      <c r="E3" s="23"/>
      <c r="F3" s="23"/>
      <c r="G3" s="23"/>
      <c r="H3" s="23"/>
      <c r="I3" s="23"/>
      <c r="J3" s="23"/>
      <c r="K3" s="23"/>
      <c r="M3" s="152"/>
    </row>
    <row r="4" spans="2:27" s="125" customFormat="1">
      <c r="B4" s="152"/>
    </row>
    <row r="5" spans="2:27">
      <c r="B5" s="46" t="s">
        <v>63</v>
      </c>
      <c r="C5" s="46"/>
      <c r="D5" s="46"/>
      <c r="E5" s="46"/>
      <c r="F5" s="46"/>
      <c r="G5" s="46"/>
      <c r="H5" s="46"/>
      <c r="I5" s="46"/>
      <c r="J5" s="46"/>
      <c r="K5" s="46"/>
    </row>
    <row r="6" spans="2:27" ht="31.2" customHeight="1">
      <c r="B6" s="181" t="s">
        <v>81</v>
      </c>
      <c r="C6" s="181"/>
      <c r="D6" s="181"/>
      <c r="E6" s="181"/>
      <c r="F6" s="181"/>
      <c r="G6" s="181"/>
      <c r="H6" s="181"/>
      <c r="I6" s="181"/>
      <c r="J6" s="181"/>
      <c r="K6" s="181"/>
    </row>
    <row r="7" spans="2:27" s="125" customFormat="1">
      <c r="B7" s="152"/>
    </row>
    <row r="8" spans="2:27">
      <c r="B8" s="46" t="s">
        <v>75</v>
      </c>
      <c r="C8" s="46"/>
      <c r="D8" s="46"/>
      <c r="E8" s="46"/>
      <c r="F8" s="46"/>
      <c r="G8" s="46"/>
      <c r="H8" s="46"/>
      <c r="I8" s="46"/>
      <c r="J8" s="46"/>
      <c r="K8" s="46"/>
    </row>
    <row r="9" spans="2:27" ht="53.25" customHeight="1">
      <c r="B9" s="181" t="str">
        <f>'AER Summary'!B30</f>
        <v>Includes annual authorisation of individual employees and sub-contractors of ASPs and additional authorisations at request of ASP and other administrative services performed by the distributor relating to work performed by an ASP.</v>
      </c>
      <c r="C9" s="181"/>
      <c r="D9" s="181"/>
      <c r="E9" s="181"/>
      <c r="F9" s="181"/>
      <c r="G9" s="181"/>
      <c r="H9" s="181"/>
      <c r="I9" s="181"/>
      <c r="J9" s="181"/>
      <c r="K9" s="181"/>
    </row>
    <row r="10" spans="2:27" s="125" customFormat="1">
      <c r="B10" s="151"/>
      <c r="C10" s="151"/>
      <c r="D10" s="151"/>
      <c r="E10" s="151"/>
      <c r="F10" s="151"/>
      <c r="G10" s="151"/>
      <c r="H10" s="151"/>
      <c r="I10" s="151"/>
      <c r="J10" s="151"/>
      <c r="K10" s="151"/>
      <c r="L10" s="151"/>
    </row>
    <row r="11" spans="2:27">
      <c r="B11" s="182" t="s">
        <v>73</v>
      </c>
      <c r="C11" s="182"/>
      <c r="D11" s="182"/>
      <c r="E11" s="182"/>
      <c r="F11" s="182"/>
      <c r="G11" s="182"/>
      <c r="H11" s="182"/>
      <c r="I11" s="182"/>
      <c r="J11" s="182"/>
      <c r="K11" s="182"/>
    </row>
    <row r="12" spans="2:27" ht="14.4" customHeight="1">
      <c r="B12" s="183" t="str">
        <f>'AER Summary'!C3</f>
        <v>Authorisation of ASPs</v>
      </c>
      <c r="C12" s="184"/>
      <c r="D12" s="184"/>
      <c r="E12" s="184"/>
      <c r="F12" s="184"/>
      <c r="G12" s="184"/>
      <c r="H12" s="184"/>
      <c r="I12" s="184"/>
      <c r="J12" s="184"/>
      <c r="K12" s="184"/>
      <c r="M12" s="154"/>
    </row>
    <row r="13" spans="2:27" ht="203.25" customHeight="1">
      <c r="B13" s="181" t="s">
        <v>82</v>
      </c>
      <c r="C13" s="181"/>
      <c r="D13" s="181"/>
      <c r="E13" s="181"/>
      <c r="F13" s="181"/>
      <c r="G13" s="181"/>
      <c r="H13" s="181"/>
      <c r="I13" s="181"/>
      <c r="J13" s="181"/>
      <c r="K13" s="181"/>
      <c r="M13" s="154"/>
    </row>
    <row r="14" spans="2:27" s="125" customFormat="1">
      <c r="B14" s="151"/>
      <c r="C14" s="151"/>
      <c r="D14" s="151"/>
      <c r="E14" s="151"/>
      <c r="F14" s="151"/>
      <c r="G14" s="151"/>
      <c r="H14" s="151"/>
      <c r="I14" s="151"/>
      <c r="J14" s="151"/>
      <c r="K14" s="151"/>
      <c r="L14" s="151"/>
    </row>
    <row r="15" spans="2:27" s="7" customFormat="1">
      <c r="B15" s="40" t="s">
        <v>13</v>
      </c>
      <c r="C15" s="40"/>
      <c r="D15" s="40"/>
      <c r="E15" s="40"/>
      <c r="F15" s="40"/>
      <c r="G15" s="40"/>
      <c r="H15" s="40"/>
      <c r="I15" s="40"/>
      <c r="J15" s="40"/>
      <c r="K15" s="40"/>
      <c r="L15" s="151"/>
      <c r="M15" s="125"/>
      <c r="N15" s="125"/>
    </row>
    <row r="16" spans="2:27" s="7" customFormat="1">
      <c r="B16" s="180"/>
      <c r="C16" s="180"/>
      <c r="D16" s="180"/>
      <c r="E16" s="180"/>
      <c r="F16" s="180"/>
      <c r="G16" s="180"/>
      <c r="H16" s="180"/>
      <c r="I16" s="180"/>
      <c r="J16" s="180"/>
      <c r="K16" s="180"/>
      <c r="L16" s="151"/>
      <c r="M16" s="125"/>
      <c r="N16" s="125"/>
    </row>
    <row r="17" spans="2:25" s="125" customFormat="1">
      <c r="L17" s="7"/>
      <c r="M17" s="7"/>
      <c r="N17" s="7"/>
    </row>
    <row r="18" spans="2:25" s="125" customFormat="1">
      <c r="B18" s="151"/>
      <c r="C18" s="151"/>
      <c r="D18" s="151"/>
      <c r="E18" s="151"/>
      <c r="F18" s="151"/>
      <c r="G18" s="151"/>
      <c r="H18" s="151"/>
      <c r="I18" s="151"/>
      <c r="J18" s="151"/>
      <c r="K18" s="151"/>
      <c r="L18" s="151"/>
      <c r="W18" s="7"/>
      <c r="X18" s="7"/>
      <c r="Y18" s="7"/>
    </row>
    <row r="19" spans="2:25" s="125" customFormat="1">
      <c r="B19" s="151"/>
      <c r="C19" s="151"/>
      <c r="D19" s="151"/>
      <c r="E19" s="151"/>
      <c r="F19" s="151"/>
      <c r="G19" s="151"/>
      <c r="H19" s="151"/>
      <c r="I19" s="151"/>
      <c r="J19" s="151"/>
      <c r="K19" s="151"/>
      <c r="L19" s="151"/>
    </row>
    <row r="20" spans="2:25" s="125" customFormat="1" hidden="1">
      <c r="B20" s="151"/>
      <c r="C20" s="151"/>
      <c r="D20" s="151"/>
      <c r="E20" s="151"/>
      <c r="F20" s="151"/>
      <c r="G20" s="151"/>
      <c r="H20" s="151"/>
      <c r="I20" s="151"/>
      <c r="J20" s="151"/>
      <c r="K20" s="151"/>
      <c r="L20" s="151"/>
    </row>
    <row r="21" spans="2:25" s="125" customFormat="1" hidden="1">
      <c r="B21" s="151"/>
      <c r="C21" s="151"/>
      <c r="D21" s="151"/>
      <c r="E21" s="151"/>
      <c r="F21" s="151"/>
      <c r="G21" s="151"/>
      <c r="H21" s="151"/>
      <c r="I21" s="151"/>
      <c r="J21" s="151"/>
      <c r="K21" s="151"/>
      <c r="L21" s="151"/>
    </row>
    <row r="22" spans="2:25" s="125" customFormat="1" hidden="1">
      <c r="B22" s="151"/>
      <c r="C22" s="151"/>
      <c r="D22" s="151"/>
      <c r="E22" s="151"/>
      <c r="F22" s="151"/>
      <c r="G22" s="151"/>
      <c r="H22" s="151"/>
      <c r="I22" s="151"/>
      <c r="J22" s="151"/>
      <c r="K22" s="151"/>
      <c r="L22" s="151"/>
    </row>
    <row r="23" spans="2:25" s="125" customFormat="1" hidden="1">
      <c r="B23" s="151"/>
      <c r="C23" s="151"/>
      <c r="D23" s="151"/>
      <c r="E23" s="151"/>
      <c r="F23" s="151"/>
      <c r="G23" s="151"/>
      <c r="H23" s="151"/>
      <c r="I23" s="151"/>
      <c r="J23" s="151"/>
      <c r="K23" s="151"/>
      <c r="L23" s="151"/>
    </row>
    <row r="24" spans="2:25" s="125" customFormat="1" hidden="1">
      <c r="B24" s="151"/>
      <c r="C24" s="151"/>
      <c r="D24" s="151"/>
      <c r="E24" s="151"/>
      <c r="F24" s="151"/>
      <c r="G24" s="151"/>
      <c r="H24" s="151"/>
      <c r="I24" s="151"/>
      <c r="J24" s="151"/>
      <c r="K24" s="151"/>
      <c r="L24" s="151"/>
    </row>
    <row r="25" spans="2:25" s="125" customFormat="1" hidden="1">
      <c r="B25" s="151"/>
      <c r="C25" s="151"/>
      <c r="D25" s="151"/>
      <c r="E25" s="151"/>
      <c r="F25" s="151"/>
      <c r="G25" s="151"/>
      <c r="H25" s="151"/>
      <c r="I25" s="151"/>
      <c r="J25" s="151"/>
      <c r="K25" s="151"/>
      <c r="L25" s="151"/>
    </row>
    <row r="26" spans="2:25" s="125" customFormat="1" hidden="1">
      <c r="B26" s="151"/>
      <c r="C26" s="151"/>
      <c r="D26" s="151"/>
      <c r="E26" s="151"/>
      <c r="F26" s="151"/>
      <c r="G26" s="151"/>
      <c r="H26" s="151"/>
      <c r="I26" s="151"/>
      <c r="J26" s="151"/>
      <c r="K26" s="151"/>
      <c r="L26" s="151"/>
    </row>
    <row r="27" spans="2:25" s="125" customFormat="1" hidden="1">
      <c r="B27" s="151"/>
      <c r="C27" s="151"/>
      <c r="D27" s="151"/>
      <c r="E27" s="151"/>
      <c r="F27" s="151"/>
      <c r="G27" s="151"/>
      <c r="H27" s="151"/>
      <c r="I27" s="151"/>
      <c r="J27" s="151"/>
      <c r="K27" s="151"/>
      <c r="L27" s="151"/>
    </row>
    <row r="28" spans="2:25" s="125" customFormat="1" hidden="1">
      <c r="B28" s="151"/>
      <c r="C28" s="151"/>
      <c r="D28" s="151"/>
      <c r="E28" s="151"/>
      <c r="F28" s="151"/>
      <c r="G28" s="151"/>
      <c r="H28" s="151"/>
      <c r="I28" s="151"/>
      <c r="J28" s="151"/>
      <c r="K28" s="151"/>
      <c r="L28" s="151"/>
    </row>
    <row r="29" spans="2:25" s="125" customFormat="1" hidden="1">
      <c r="B29" s="151"/>
      <c r="C29" s="151"/>
      <c r="D29" s="151"/>
      <c r="E29" s="151"/>
      <c r="F29" s="151"/>
      <c r="G29" s="151"/>
      <c r="H29" s="151"/>
      <c r="I29" s="151"/>
      <c r="J29" s="151"/>
      <c r="K29" s="151"/>
      <c r="L29" s="151"/>
    </row>
    <row r="30" spans="2:25" s="125" customFormat="1" hidden="1">
      <c r="B30" s="151"/>
      <c r="C30" s="151"/>
      <c r="D30" s="151"/>
      <c r="E30" s="151"/>
      <c r="F30" s="151"/>
      <c r="G30" s="151"/>
      <c r="H30" s="151"/>
      <c r="I30" s="151"/>
      <c r="J30" s="151"/>
      <c r="K30" s="151"/>
      <c r="L30" s="151"/>
    </row>
    <row r="31" spans="2:25" hidden="1"/>
    <row r="32" spans="2:25" hidden="1"/>
    <row r="33" s="7" customFormat="1" hidden="1"/>
  </sheetData>
  <mergeCells count="6">
    <mergeCell ref="B16:K16"/>
    <mergeCell ref="B13:K13"/>
    <mergeCell ref="B6:K6"/>
    <mergeCell ref="B9:K9"/>
    <mergeCell ref="B11:K11"/>
    <mergeCell ref="B12:K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01"/>
  <sheetViews>
    <sheetView zoomScale="90" zoomScaleNormal="90" workbookViewId="0"/>
  </sheetViews>
  <sheetFormatPr defaultColWidth="0" defaultRowHeight="14.4" zeroHeight="1"/>
  <cols>
    <col min="1" max="1" width="2.44140625" style="125" customWidth="1"/>
    <col min="2" max="2" width="12.33203125" style="37" customWidth="1"/>
    <col min="3" max="3" width="5.6640625" style="37" customWidth="1"/>
    <col min="4" max="4" width="30.6640625" style="37" customWidth="1"/>
    <col min="5" max="5" width="12.6640625" style="37" customWidth="1"/>
    <col min="6" max="8" width="15.6640625" style="37" customWidth="1"/>
    <col min="9" max="9" width="2.33203125" style="37" customWidth="1"/>
    <col min="10" max="12" width="15.6640625" style="37" customWidth="1"/>
    <col min="13" max="19" width="9.109375" style="125" customWidth="1"/>
    <col min="20" max="16384" width="9.109375" hidden="1"/>
  </cols>
  <sheetData>
    <row r="1" spans="1:19" s="125" customFormat="1">
      <c r="B1" s="151"/>
      <c r="C1" s="151"/>
      <c r="D1" s="151"/>
      <c r="E1" s="151"/>
      <c r="F1" s="151"/>
      <c r="G1" s="151"/>
      <c r="H1" s="151"/>
      <c r="I1" s="151"/>
      <c r="J1" s="151"/>
      <c r="K1" s="151"/>
      <c r="L1" s="151"/>
    </row>
    <row r="2" spans="1:19" s="38" customFormat="1" ht="21" customHeight="1">
      <c r="A2" s="147"/>
      <c r="B2" s="28" t="s">
        <v>25</v>
      </c>
      <c r="C2" s="28"/>
      <c r="D2" s="28"/>
      <c r="E2" s="28"/>
      <c r="F2" s="28"/>
      <c r="G2" s="28"/>
      <c r="H2" s="28"/>
      <c r="I2" s="28"/>
      <c r="J2" s="28"/>
      <c r="K2" s="28"/>
      <c r="L2" s="28"/>
      <c r="M2" s="147"/>
      <c r="N2" s="147"/>
      <c r="O2" s="147"/>
      <c r="P2" s="147"/>
      <c r="Q2" s="147"/>
      <c r="R2" s="147"/>
      <c r="S2" s="147"/>
    </row>
    <row r="3" spans="1:19">
      <c r="B3" s="5" t="s">
        <v>0</v>
      </c>
      <c r="C3" s="184" t="str">
        <f>'AER Summary'!C3</f>
        <v>Authorisation of ASPs</v>
      </c>
      <c r="D3" s="184"/>
      <c r="E3" s="184"/>
      <c r="F3" s="184"/>
      <c r="G3" s="184"/>
      <c r="H3" s="184"/>
      <c r="I3" s="184"/>
      <c r="J3" s="184"/>
      <c r="K3" s="184"/>
      <c r="L3" s="184"/>
    </row>
    <row r="4" spans="1:19" s="125" customFormat="1">
      <c r="B4" s="151"/>
      <c r="C4" s="151"/>
      <c r="D4" s="151"/>
      <c r="E4" s="151"/>
      <c r="F4" s="151"/>
      <c r="G4" s="151"/>
      <c r="H4" s="151"/>
      <c r="I4" s="151"/>
      <c r="J4" s="151"/>
      <c r="K4" s="151"/>
      <c r="L4" s="151"/>
    </row>
    <row r="5" spans="1:19">
      <c r="B5" s="46" t="s">
        <v>51</v>
      </c>
      <c r="C5" s="189" t="str">
        <f>'AER Summary'!B9</f>
        <v>ASP Level 1 - Initial Authorisation or Additional Authorisation Session</v>
      </c>
      <c r="D5" s="189"/>
      <c r="E5" s="189"/>
      <c r="F5" s="189"/>
      <c r="G5" s="189"/>
      <c r="H5" s="189"/>
      <c r="I5" s="189"/>
      <c r="J5" s="189"/>
      <c r="K5" s="189"/>
      <c r="L5" s="189"/>
    </row>
    <row r="6" spans="1:19" ht="48" customHeight="1">
      <c r="B6" s="47"/>
      <c r="C6" s="185" t="s">
        <v>55</v>
      </c>
      <c r="D6" s="186"/>
      <c r="E6" s="49" t="s">
        <v>58</v>
      </c>
      <c r="F6" s="49" t="s">
        <v>86</v>
      </c>
      <c r="G6" s="49" t="s">
        <v>57</v>
      </c>
      <c r="H6" s="49" t="s">
        <v>74</v>
      </c>
      <c r="I6" s="50"/>
      <c r="J6" s="51" t="s">
        <v>54</v>
      </c>
      <c r="K6" s="51" t="s">
        <v>31</v>
      </c>
      <c r="L6" s="51" t="s">
        <v>52</v>
      </c>
    </row>
    <row r="7" spans="1:19">
      <c r="B7" s="45"/>
      <c r="C7" s="48" t="s">
        <v>41</v>
      </c>
      <c r="D7" s="57" t="str">
        <f>VLOOKUP($C7,'Input Data'!$B$37:$C$41,2,FALSE)</f>
        <v>Admin Support</v>
      </c>
      <c r="E7" s="58">
        <f>VLOOKUP($C7,'Input Data'!$B$37:$L$41,11,FALSE)</f>
        <v>102.26</v>
      </c>
      <c r="F7" s="58">
        <v>1</v>
      </c>
      <c r="G7" s="53">
        <v>0.75</v>
      </c>
      <c r="H7" s="59">
        <f>E7*F7*G7</f>
        <v>76.695000000000007</v>
      </c>
      <c r="I7" s="45"/>
      <c r="J7" s="58">
        <f>VLOOKUP($C7,'Input Data'!$B$37:$L$41,3,FALSE)*G7</f>
        <v>32.776325989093188</v>
      </c>
      <c r="K7" s="58">
        <f>VLOOKUP($C7,'Input Data'!$B$37:$L$41,6,FALSE)*G7</f>
        <v>17.119739042941596</v>
      </c>
      <c r="L7" s="58">
        <f>VLOOKUP($C7,'Input Data'!$B$37:$L$41,8,FALSE)*G7</f>
        <v>24.948032516017395</v>
      </c>
    </row>
    <row r="8" spans="1:19">
      <c r="B8" s="45"/>
      <c r="C8" s="166" t="s">
        <v>43</v>
      </c>
      <c r="D8" s="167" t="str">
        <f>VLOOKUP($C8,'Input Data'!$B$37:$C$41,2,FALSE)</f>
        <v>Technical Specialist R2</v>
      </c>
      <c r="E8" s="58">
        <f>VLOOKUP($C8,'Input Data'!$B$37:$L$41,11,FALSE)</f>
        <v>153.38999999999999</v>
      </c>
      <c r="F8" s="58">
        <v>1</v>
      </c>
      <c r="G8" s="53">
        <v>1</v>
      </c>
      <c r="H8" s="59">
        <f>E8*F8*G8</f>
        <v>153.38999999999999</v>
      </c>
      <c r="I8" s="45"/>
      <c r="J8" s="58">
        <f>VLOOKUP($C8,'Input Data'!$B$37:$L$41,3,FALSE)*G8</f>
        <v>66.11293105492301</v>
      </c>
      <c r="K8" s="58">
        <f>VLOOKUP($C8,'Input Data'!$B$37:$L$41,6,FALSE)*G8</f>
        <v>34.532123197728346</v>
      </c>
      <c r="L8" s="58">
        <f>VLOOKUP($C8,'Input Data'!$B$37:$L$41,8,FALSE)*G8</f>
        <v>59.380582009064298</v>
      </c>
    </row>
    <row r="9" spans="1:19">
      <c r="B9" s="45"/>
      <c r="C9" s="52"/>
      <c r="D9" s="52" t="s">
        <v>72</v>
      </c>
      <c r="E9" s="52"/>
      <c r="F9" s="83"/>
      <c r="G9" s="54" t="s">
        <v>53</v>
      </c>
      <c r="H9" s="60">
        <f>SUM(H7:H8)</f>
        <v>230.08499999999998</v>
      </c>
      <c r="I9" s="45"/>
      <c r="J9" s="60">
        <f>SUM(J7:J8)</f>
        <v>98.889257044016205</v>
      </c>
      <c r="K9" s="60">
        <f t="shared" ref="K9:L9" si="0">SUM(K7:K8)</f>
        <v>51.651862240669942</v>
      </c>
      <c r="L9" s="60">
        <f t="shared" si="0"/>
        <v>84.32861452508169</v>
      </c>
    </row>
    <row r="10" spans="1:19">
      <c r="B10" s="45"/>
      <c r="C10" s="45"/>
      <c r="D10" s="45"/>
      <c r="E10" s="45"/>
      <c r="F10" s="45"/>
      <c r="G10" s="55"/>
      <c r="H10" s="56"/>
      <c r="I10" s="45"/>
      <c r="J10" s="50"/>
      <c r="K10" s="50"/>
      <c r="L10" s="50"/>
    </row>
    <row r="11" spans="1:19" s="125" customFormat="1" ht="7.2" customHeight="1">
      <c r="B11" s="151"/>
      <c r="C11" s="151"/>
      <c r="D11" s="151"/>
      <c r="E11" s="151"/>
      <c r="F11" s="151"/>
      <c r="G11" s="151"/>
      <c r="H11" s="151"/>
      <c r="I11" s="151"/>
      <c r="J11" s="151"/>
      <c r="K11" s="151"/>
      <c r="L11" s="151"/>
    </row>
    <row r="12" spans="1:19" s="7" customFormat="1">
      <c r="B12" s="187" t="s">
        <v>13</v>
      </c>
      <c r="C12" s="187"/>
      <c r="D12" s="187"/>
      <c r="E12" s="187"/>
      <c r="F12" s="187"/>
      <c r="G12" s="187"/>
      <c r="H12" s="187"/>
      <c r="I12" s="187"/>
      <c r="J12" s="187"/>
      <c r="K12" s="187"/>
      <c r="L12" s="187"/>
    </row>
    <row r="13" spans="1:19" s="7" customFormat="1">
      <c r="B13" s="188" t="s">
        <v>286</v>
      </c>
      <c r="C13" s="188"/>
      <c r="D13" s="188"/>
      <c r="E13" s="188"/>
      <c r="F13" s="188"/>
      <c r="G13" s="188"/>
      <c r="H13" s="188"/>
      <c r="I13" s="188"/>
      <c r="J13" s="188"/>
      <c r="K13" s="188"/>
      <c r="L13" s="188"/>
    </row>
    <row r="14" spans="1:19" s="125" customFormat="1">
      <c r="B14" s="151"/>
      <c r="C14" s="151"/>
      <c r="D14" s="151"/>
      <c r="E14" s="151"/>
      <c r="F14" s="151"/>
      <c r="G14" s="151"/>
      <c r="H14" s="151"/>
      <c r="I14" s="151"/>
      <c r="J14" s="151"/>
      <c r="K14" s="151"/>
      <c r="L14" s="151"/>
    </row>
    <row r="15" spans="1:19" ht="14.4" customHeight="1">
      <c r="B15" s="46" t="s">
        <v>51</v>
      </c>
      <c r="C15" s="184" t="str">
        <f>'AER Summary'!B10</f>
        <v>ASP Level 1 - Authorisation Renewal or Additional Company to Existing Authorisation</v>
      </c>
      <c r="D15" s="184"/>
      <c r="E15" s="184"/>
      <c r="F15" s="184"/>
      <c r="G15" s="184"/>
      <c r="H15" s="184"/>
      <c r="I15" s="184"/>
      <c r="J15" s="184"/>
      <c r="K15" s="184"/>
      <c r="L15" s="184"/>
    </row>
    <row r="16" spans="1:19" ht="48" customHeight="1">
      <c r="B16" s="47"/>
      <c r="C16" s="185" t="s">
        <v>55</v>
      </c>
      <c r="D16" s="186"/>
      <c r="E16" s="49" t="s">
        <v>58</v>
      </c>
      <c r="F16" s="49" t="s">
        <v>86</v>
      </c>
      <c r="G16" s="49" t="s">
        <v>57</v>
      </c>
      <c r="H16" s="49" t="s">
        <v>74</v>
      </c>
      <c r="I16" s="50"/>
      <c r="J16" s="51" t="s">
        <v>54</v>
      </c>
      <c r="K16" s="51" t="s">
        <v>31</v>
      </c>
      <c r="L16" s="51" t="s">
        <v>52</v>
      </c>
    </row>
    <row r="17" spans="2:12">
      <c r="B17" s="45"/>
      <c r="C17" s="48" t="s">
        <v>41</v>
      </c>
      <c r="D17" s="57" t="str">
        <f>VLOOKUP($C17,'Input Data'!$B$37:$C$41,2,FALSE)</f>
        <v>Admin Support</v>
      </c>
      <c r="E17" s="58">
        <f>VLOOKUP($C17,'Input Data'!$B$37:$L$41,11,FALSE)</f>
        <v>102.26</v>
      </c>
      <c r="F17" s="58">
        <v>1</v>
      </c>
      <c r="G17" s="53">
        <v>0.5</v>
      </c>
      <c r="H17" s="59">
        <f>E17*F17*G17</f>
        <v>51.13</v>
      </c>
      <c r="I17" s="45"/>
      <c r="J17" s="58">
        <f>VLOOKUP($C17,'Input Data'!$B$37:$L$41,3,FALSE)*G17</f>
        <v>21.850883992728793</v>
      </c>
      <c r="K17" s="58">
        <f>VLOOKUP($C17,'Input Data'!$B$37:$L$41,6,FALSE)*G17</f>
        <v>11.413159361961064</v>
      </c>
      <c r="L17" s="58">
        <f>VLOOKUP($C17,'Input Data'!$B$37:$L$41,8,FALSE)*G17</f>
        <v>16.63202167734493</v>
      </c>
    </row>
    <row r="18" spans="2:12">
      <c r="B18" s="45"/>
      <c r="C18" s="52"/>
      <c r="D18" s="52" t="s">
        <v>72</v>
      </c>
      <c r="E18" s="52"/>
      <c r="F18" s="83"/>
      <c r="G18" s="54" t="s">
        <v>53</v>
      </c>
      <c r="H18" s="60">
        <f>SUM(H17:H17)</f>
        <v>51.13</v>
      </c>
      <c r="I18" s="45"/>
      <c r="J18" s="60">
        <f>SUM(J17:J17)</f>
        <v>21.850883992728793</v>
      </c>
      <c r="K18" s="60">
        <f>SUM(K17:K17)</f>
        <v>11.413159361961064</v>
      </c>
      <c r="L18" s="60">
        <f>SUM(L17:L17)</f>
        <v>16.63202167734493</v>
      </c>
    </row>
    <row r="19" spans="2:12" s="125" customFormat="1" ht="7.2" customHeight="1">
      <c r="B19" s="151"/>
      <c r="C19" s="151"/>
      <c r="D19" s="151"/>
      <c r="E19" s="151"/>
      <c r="F19" s="151"/>
      <c r="G19" s="151"/>
      <c r="H19" s="151"/>
      <c r="I19" s="151"/>
      <c r="J19" s="151"/>
      <c r="K19" s="151"/>
      <c r="L19" s="151"/>
    </row>
    <row r="20" spans="2:12" s="7" customFormat="1">
      <c r="B20" s="187" t="s">
        <v>13</v>
      </c>
      <c r="C20" s="187"/>
      <c r="D20" s="187"/>
      <c r="E20" s="187"/>
      <c r="F20" s="187"/>
      <c r="G20" s="187"/>
      <c r="H20" s="187"/>
      <c r="I20" s="187"/>
      <c r="J20" s="187"/>
      <c r="K20" s="187"/>
      <c r="L20" s="187"/>
    </row>
    <row r="21" spans="2:12" s="7" customFormat="1">
      <c r="B21" s="188" t="s">
        <v>286</v>
      </c>
      <c r="C21" s="188"/>
      <c r="D21" s="188"/>
      <c r="E21" s="188"/>
      <c r="F21" s="188"/>
      <c r="G21" s="188"/>
      <c r="H21" s="188"/>
      <c r="I21" s="188"/>
      <c r="J21" s="188"/>
      <c r="K21" s="188"/>
      <c r="L21" s="188"/>
    </row>
    <row r="22" spans="2:12" s="125" customFormat="1">
      <c r="B22" s="151"/>
      <c r="C22" s="151"/>
      <c r="D22" s="151"/>
      <c r="E22" s="151"/>
      <c r="F22" s="151"/>
      <c r="G22" s="151"/>
      <c r="H22" s="151"/>
      <c r="I22" s="151"/>
      <c r="J22" s="151"/>
      <c r="K22" s="151"/>
      <c r="L22" s="151"/>
    </row>
    <row r="23" spans="2:12">
      <c r="B23" s="46" t="s">
        <v>51</v>
      </c>
      <c r="C23" s="184" t="str">
        <f>'AER Summary'!B11</f>
        <v>ASP Level 1 - Company Authorisation - Initial</v>
      </c>
      <c r="D23" s="184"/>
      <c r="E23" s="184"/>
      <c r="F23" s="184"/>
      <c r="G23" s="184"/>
      <c r="H23" s="184"/>
      <c r="I23" s="184"/>
      <c r="J23" s="184"/>
      <c r="K23" s="184"/>
      <c r="L23" s="184"/>
    </row>
    <row r="24" spans="2:12" ht="48" customHeight="1">
      <c r="B24" s="47"/>
      <c r="C24" s="185" t="s">
        <v>55</v>
      </c>
      <c r="D24" s="186"/>
      <c r="E24" s="49" t="s">
        <v>58</v>
      </c>
      <c r="F24" s="49" t="s">
        <v>86</v>
      </c>
      <c r="G24" s="49" t="s">
        <v>57</v>
      </c>
      <c r="H24" s="49" t="s">
        <v>74</v>
      </c>
      <c r="I24" s="50"/>
      <c r="J24" s="51" t="s">
        <v>54</v>
      </c>
      <c r="K24" s="51" t="s">
        <v>31</v>
      </c>
      <c r="L24" s="51" t="s">
        <v>52</v>
      </c>
    </row>
    <row r="25" spans="2:12">
      <c r="B25" s="45"/>
      <c r="C25" s="48" t="s">
        <v>41</v>
      </c>
      <c r="D25" s="57" t="str">
        <f>VLOOKUP($C25,'Input Data'!$B$37:$C$41,2,FALSE)</f>
        <v>Admin Support</v>
      </c>
      <c r="E25" s="58">
        <f>VLOOKUP($C25,'Input Data'!$B$37:$L$41,11,FALSE)</f>
        <v>102.26</v>
      </c>
      <c r="F25" s="58">
        <v>1</v>
      </c>
      <c r="G25" s="53">
        <v>0.5</v>
      </c>
      <c r="H25" s="59">
        <f>E25*F25*G25</f>
        <v>51.13</v>
      </c>
      <c r="I25" s="45"/>
      <c r="J25" s="58">
        <f>VLOOKUP($C25,'Input Data'!$B$37:$L$41,3,FALSE)*G25</f>
        <v>21.850883992728793</v>
      </c>
      <c r="K25" s="58">
        <f>VLOOKUP($C25,'Input Data'!$B$37:$L$41,6,FALSE)*G25</f>
        <v>11.413159361961064</v>
      </c>
      <c r="L25" s="58">
        <f>VLOOKUP($C25,'Input Data'!$B$37:$L$41,8,FALSE)*G25</f>
        <v>16.63202167734493</v>
      </c>
    </row>
    <row r="26" spans="2:12">
      <c r="B26" s="45"/>
      <c r="C26" s="48" t="s">
        <v>49</v>
      </c>
      <c r="D26" s="57" t="str">
        <f>VLOOKUP($C26,'Input Data'!$B$37:$C$41,2,FALSE)</f>
        <v>Senior Engineer</v>
      </c>
      <c r="E26" s="58">
        <f>VLOOKUP($C26,'Input Data'!$B$37:$L$41,11,FALSE)</f>
        <v>210.91</v>
      </c>
      <c r="F26" s="58">
        <v>1</v>
      </c>
      <c r="G26" s="53">
        <v>2.5</v>
      </c>
      <c r="H26" s="59">
        <f>E26*F26*G26</f>
        <v>527.27499999999998</v>
      </c>
      <c r="I26" s="45"/>
      <c r="J26" s="58">
        <f>VLOOKUP($C26,'Input Data'!$B$37:$L$41,3,FALSE)*G26</f>
        <v>229.71442146202062</v>
      </c>
      <c r="K26" s="58">
        <f>VLOOKUP($C26,'Input Data'!$B$37:$L$41,6,FALSE)*G26</f>
        <v>119.98449585651373</v>
      </c>
      <c r="L26" s="58">
        <f>VLOOKUP($C26,'Input Data'!$B$37:$L$41,8,FALSE)*G26</f>
        <v>241.29225294978875</v>
      </c>
    </row>
    <row r="27" spans="2:12">
      <c r="B27" s="45"/>
      <c r="C27" s="52"/>
      <c r="D27" s="52" t="s">
        <v>72</v>
      </c>
      <c r="E27" s="52"/>
      <c r="F27" s="83"/>
      <c r="G27" s="54" t="s">
        <v>53</v>
      </c>
      <c r="H27" s="60">
        <f>SUM(H25:H26)</f>
        <v>578.40499999999997</v>
      </c>
      <c r="I27" s="45"/>
      <c r="J27" s="60">
        <f>SUM(J25:J26)</f>
        <v>251.56530545474942</v>
      </c>
      <c r="K27" s="60">
        <f t="shared" ref="K27" si="1">SUM(K25:K26)</f>
        <v>131.3976552184748</v>
      </c>
      <c r="L27" s="60">
        <f t="shared" ref="L27" si="2">SUM(L25:L26)</f>
        <v>257.92427462713368</v>
      </c>
    </row>
    <row r="28" spans="2:12">
      <c r="B28" s="45"/>
      <c r="C28" s="45"/>
      <c r="D28" s="45"/>
      <c r="E28" s="45"/>
      <c r="F28" s="45"/>
      <c r="G28" s="55"/>
      <c r="H28" s="56"/>
      <c r="I28" s="45"/>
      <c r="J28" s="50"/>
      <c r="K28" s="50"/>
      <c r="L28" s="50"/>
    </row>
    <row r="29" spans="2:12" s="125" customFormat="1" ht="7.2" customHeight="1">
      <c r="B29" s="151"/>
      <c r="C29" s="151"/>
      <c r="D29" s="151"/>
      <c r="E29" s="151"/>
      <c r="F29" s="151"/>
      <c r="G29" s="151"/>
      <c r="H29" s="151"/>
      <c r="I29" s="151"/>
      <c r="J29" s="151"/>
      <c r="K29" s="151"/>
      <c r="L29" s="151"/>
    </row>
    <row r="30" spans="2:12" s="7" customFormat="1">
      <c r="B30" s="187" t="s">
        <v>13</v>
      </c>
      <c r="C30" s="187"/>
      <c r="D30" s="187"/>
      <c r="E30" s="187"/>
      <c r="F30" s="187"/>
      <c r="G30" s="187"/>
      <c r="H30" s="187"/>
      <c r="I30" s="187"/>
      <c r="J30" s="187"/>
      <c r="K30" s="187"/>
      <c r="L30" s="187"/>
    </row>
    <row r="31" spans="2:12" s="7" customFormat="1">
      <c r="B31" s="188" t="s">
        <v>286</v>
      </c>
      <c r="C31" s="188"/>
      <c r="D31" s="188"/>
      <c r="E31" s="188"/>
      <c r="F31" s="188"/>
      <c r="G31" s="188"/>
      <c r="H31" s="188"/>
      <c r="I31" s="188"/>
      <c r="J31" s="188"/>
      <c r="K31" s="188"/>
      <c r="L31" s="188"/>
    </row>
    <row r="32" spans="2:12" s="125" customFormat="1">
      <c r="B32" s="151"/>
      <c r="C32" s="151"/>
      <c r="D32" s="151"/>
      <c r="E32" s="151"/>
      <c r="F32" s="151"/>
      <c r="G32" s="151"/>
      <c r="H32" s="151"/>
      <c r="I32" s="151"/>
      <c r="J32" s="151"/>
      <c r="K32" s="151"/>
      <c r="L32" s="151"/>
    </row>
    <row r="33" spans="2:12" ht="15" customHeight="1">
      <c r="B33" s="46" t="s">
        <v>51</v>
      </c>
      <c r="C33" s="184" t="str">
        <f>'AER Summary'!B12</f>
        <v>ASP Level 1 - Company Re-authorisation (Annual Fee)</v>
      </c>
      <c r="D33" s="184"/>
      <c r="E33" s="184"/>
      <c r="F33" s="184"/>
      <c r="G33" s="184"/>
      <c r="H33" s="184"/>
      <c r="I33" s="184"/>
      <c r="J33" s="184"/>
      <c r="K33" s="184"/>
      <c r="L33" s="184"/>
    </row>
    <row r="34" spans="2:12" ht="48" customHeight="1">
      <c r="B34" s="47"/>
      <c r="C34" s="185" t="s">
        <v>55</v>
      </c>
      <c r="D34" s="186"/>
      <c r="E34" s="49" t="s">
        <v>58</v>
      </c>
      <c r="F34" s="49" t="s">
        <v>86</v>
      </c>
      <c r="G34" s="49" t="s">
        <v>57</v>
      </c>
      <c r="H34" s="49" t="s">
        <v>74</v>
      </c>
      <c r="I34" s="50"/>
      <c r="J34" s="51" t="s">
        <v>54</v>
      </c>
      <c r="K34" s="51" t="s">
        <v>31</v>
      </c>
      <c r="L34" s="51" t="s">
        <v>52</v>
      </c>
    </row>
    <row r="35" spans="2:12">
      <c r="B35" s="45"/>
      <c r="C35" s="48" t="s">
        <v>49</v>
      </c>
      <c r="D35" s="57" t="str">
        <f>VLOOKUP($C35,'Input Data'!$B$37:$C$41,2,FALSE)</f>
        <v>Senior Engineer</v>
      </c>
      <c r="E35" s="58">
        <f>VLOOKUP($C35,'Input Data'!$B$37:$L$41,11,FALSE)</f>
        <v>210.91</v>
      </c>
      <c r="F35" s="58">
        <v>1</v>
      </c>
      <c r="G35" s="53">
        <v>0.5</v>
      </c>
      <c r="H35" s="59">
        <f>E35*F35*G35</f>
        <v>105.455</v>
      </c>
      <c r="I35" s="45"/>
      <c r="J35" s="58">
        <f>VLOOKUP($C35,'Input Data'!$B$37:$L$41,3,FALSE)*G35</f>
        <v>45.942884292404123</v>
      </c>
      <c r="K35" s="58">
        <f>VLOOKUP($C35,'Input Data'!$B$37:$L$41,6,FALSE)*G35</f>
        <v>23.996899171302747</v>
      </c>
      <c r="L35" s="58">
        <f>VLOOKUP($C35,'Input Data'!$B$37:$L$41,8,FALSE)*G35</f>
        <v>48.258450589957747</v>
      </c>
    </row>
    <row r="36" spans="2:12">
      <c r="B36" s="45"/>
      <c r="C36" s="52"/>
      <c r="D36" s="52" t="s">
        <v>72</v>
      </c>
      <c r="E36" s="52"/>
      <c r="F36" s="83"/>
      <c r="G36" s="54" t="s">
        <v>53</v>
      </c>
      <c r="H36" s="60">
        <f>SUM(H35:H35)</f>
        <v>105.455</v>
      </c>
      <c r="I36" s="45"/>
      <c r="J36" s="60">
        <f>SUM(J35:J35)</f>
        <v>45.942884292404123</v>
      </c>
      <c r="K36" s="60">
        <f>SUM(K35:K35)</f>
        <v>23.996899171302747</v>
      </c>
      <c r="L36" s="60">
        <f>SUM(L35:L35)</f>
        <v>48.258450589957747</v>
      </c>
    </row>
    <row r="37" spans="2:12" s="125" customFormat="1" ht="7.2" customHeight="1">
      <c r="B37" s="151"/>
      <c r="C37" s="151"/>
      <c r="D37" s="151"/>
      <c r="E37" s="151"/>
      <c r="F37" s="151"/>
      <c r="G37" s="151"/>
      <c r="H37" s="151"/>
      <c r="I37" s="151"/>
      <c r="J37" s="151"/>
      <c r="K37" s="151"/>
      <c r="L37" s="151"/>
    </row>
    <row r="38" spans="2:12" s="7" customFormat="1">
      <c r="B38" s="187" t="s">
        <v>13</v>
      </c>
      <c r="C38" s="187"/>
      <c r="D38" s="187"/>
      <c r="E38" s="187"/>
      <c r="F38" s="187"/>
      <c r="G38" s="187"/>
      <c r="H38" s="187"/>
      <c r="I38" s="187"/>
      <c r="J38" s="187"/>
      <c r="K38" s="187"/>
      <c r="L38" s="187"/>
    </row>
    <row r="39" spans="2:12" s="7" customFormat="1">
      <c r="B39" s="188" t="s">
        <v>286</v>
      </c>
      <c r="C39" s="188"/>
      <c r="D39" s="188"/>
      <c r="E39" s="188"/>
      <c r="F39" s="188"/>
      <c r="G39" s="188"/>
      <c r="H39" s="188"/>
      <c r="I39" s="188"/>
      <c r="J39" s="188"/>
      <c r="K39" s="188"/>
      <c r="L39" s="188"/>
    </row>
    <row r="40" spans="2:12" s="125" customFormat="1">
      <c r="B40" s="151"/>
      <c r="C40" s="151"/>
      <c r="D40" s="151"/>
      <c r="E40" s="151"/>
      <c r="F40" s="151"/>
      <c r="G40" s="151"/>
      <c r="H40" s="151"/>
      <c r="I40" s="151"/>
      <c r="J40" s="151"/>
      <c r="K40" s="151"/>
      <c r="L40" s="151"/>
    </row>
    <row r="41" spans="2:12" ht="14.4" customHeight="1">
      <c r="B41" s="46" t="s">
        <v>51</v>
      </c>
      <c r="C41" s="184" t="str">
        <f>'AER Summary'!B14</f>
        <v>ASP Level 2 - Initial Authorisation</v>
      </c>
      <c r="D41" s="184"/>
      <c r="E41" s="184"/>
      <c r="F41" s="184"/>
      <c r="G41" s="184"/>
      <c r="H41" s="184"/>
      <c r="I41" s="184"/>
      <c r="J41" s="184"/>
      <c r="K41" s="184"/>
      <c r="L41" s="184"/>
    </row>
    <row r="42" spans="2:12" ht="48" customHeight="1">
      <c r="B42" s="47"/>
      <c r="C42" s="185" t="s">
        <v>55</v>
      </c>
      <c r="D42" s="186"/>
      <c r="E42" s="49" t="s">
        <v>58</v>
      </c>
      <c r="F42" s="49" t="s">
        <v>86</v>
      </c>
      <c r="G42" s="49" t="s">
        <v>57</v>
      </c>
      <c r="H42" s="49" t="s">
        <v>74</v>
      </c>
      <c r="I42" s="50"/>
      <c r="J42" s="51" t="s">
        <v>54</v>
      </c>
      <c r="K42" s="51" t="s">
        <v>31</v>
      </c>
      <c r="L42" s="51" t="s">
        <v>52</v>
      </c>
    </row>
    <row r="43" spans="2:12">
      <c r="B43" s="45"/>
      <c r="C43" s="48" t="s">
        <v>41</v>
      </c>
      <c r="D43" s="57" t="str">
        <f>VLOOKUP($C43,'Input Data'!$B$37:$C$41,2,FALSE)</f>
        <v>Admin Support</v>
      </c>
      <c r="E43" s="58">
        <f>VLOOKUP($C43,'Input Data'!$B$37:$L$41,11,FALSE)</f>
        <v>102.26</v>
      </c>
      <c r="F43" s="58">
        <v>1</v>
      </c>
      <c r="G43" s="53">
        <v>1</v>
      </c>
      <c r="H43" s="59">
        <f>E43*F43*G43</f>
        <v>102.26</v>
      </c>
      <c r="I43" s="45"/>
      <c r="J43" s="58">
        <f>VLOOKUP($C43,'Input Data'!$B$37:$L$41,3,FALSE)*G43</f>
        <v>43.701767985457586</v>
      </c>
      <c r="K43" s="58">
        <f>VLOOKUP($C43,'Input Data'!$B$37:$L$41,6,FALSE)*G43</f>
        <v>22.826318723922128</v>
      </c>
      <c r="L43" s="58">
        <f>VLOOKUP($C43,'Input Data'!$B$37:$L$41,8,FALSE)*G43</f>
        <v>33.264043354689861</v>
      </c>
    </row>
    <row r="44" spans="2:12">
      <c r="B44" s="45"/>
      <c r="C44" s="48" t="s">
        <v>43</v>
      </c>
      <c r="D44" s="57" t="str">
        <f>VLOOKUP($C44,'Input Data'!$B$37:$C$41,2,FALSE)</f>
        <v>Technical Specialist R2</v>
      </c>
      <c r="E44" s="58">
        <f>VLOOKUP($C44,'Input Data'!$B$37:$L$41,11,FALSE)</f>
        <v>153.38999999999999</v>
      </c>
      <c r="F44" s="165">
        <v>1</v>
      </c>
      <c r="G44" s="53">
        <v>2</v>
      </c>
      <c r="H44" s="59">
        <f>E44*F44*G44</f>
        <v>306.77999999999997</v>
      </c>
      <c r="I44" s="45"/>
      <c r="J44" s="58">
        <f>VLOOKUP($C44,'Input Data'!$B$37:$L$41,3,FALSE)*$G44*$F44</f>
        <v>132.22586210984602</v>
      </c>
      <c r="K44" s="58">
        <f>VLOOKUP($C44,'Input Data'!$B$37:$L$41,6,FALSE)*G44*F44</f>
        <v>69.064246395456692</v>
      </c>
      <c r="L44" s="58">
        <f>VLOOKUP($C44,'Input Data'!$B$37:$L$41,8,FALSE)*G44*F44</f>
        <v>118.7611640181286</v>
      </c>
    </row>
    <row r="45" spans="2:12">
      <c r="B45" s="45"/>
      <c r="C45" s="52"/>
      <c r="D45" s="52"/>
      <c r="E45" s="52"/>
      <c r="F45" s="83"/>
      <c r="G45" s="54" t="s">
        <v>53</v>
      </c>
      <c r="H45" s="60">
        <f>SUM(H43:H44)</f>
        <v>409.03999999999996</v>
      </c>
      <c r="I45" s="45"/>
      <c r="J45" s="60">
        <f>SUM(J43:J44)</f>
        <v>175.92763009530361</v>
      </c>
      <c r="K45" s="60">
        <f>SUM(K43:K44)</f>
        <v>91.89056511937882</v>
      </c>
      <c r="L45" s="60">
        <f>SUM(L43:L44)</f>
        <v>152.02520737281844</v>
      </c>
    </row>
    <row r="46" spans="2:12" s="125" customFormat="1" ht="7.2" customHeight="1">
      <c r="B46" s="151"/>
      <c r="C46" s="151"/>
      <c r="D46" s="151"/>
      <c r="E46" s="151"/>
      <c r="F46" s="151"/>
      <c r="G46" s="151"/>
      <c r="H46" s="151"/>
      <c r="I46" s="151"/>
      <c r="J46" s="151"/>
      <c r="K46" s="151"/>
      <c r="L46" s="151"/>
    </row>
    <row r="47" spans="2:12" s="7" customFormat="1">
      <c r="B47" s="187" t="s">
        <v>13</v>
      </c>
      <c r="C47" s="187"/>
      <c r="D47" s="187"/>
      <c r="E47" s="187"/>
      <c r="F47" s="187"/>
      <c r="G47" s="187"/>
      <c r="H47" s="187"/>
      <c r="I47" s="187"/>
      <c r="J47" s="187"/>
      <c r="K47" s="187"/>
      <c r="L47" s="187"/>
    </row>
    <row r="48" spans="2:12" s="7" customFormat="1">
      <c r="B48" s="188" t="s">
        <v>286</v>
      </c>
      <c r="C48" s="188"/>
      <c r="D48" s="188"/>
      <c r="E48" s="188"/>
      <c r="F48" s="188"/>
      <c r="G48" s="188"/>
      <c r="H48" s="188"/>
      <c r="I48" s="188"/>
      <c r="J48" s="188"/>
      <c r="K48" s="188"/>
      <c r="L48" s="188"/>
    </row>
    <row r="49" spans="2:12" s="125" customFormat="1">
      <c r="B49" s="151"/>
      <c r="C49" s="151"/>
      <c r="D49" s="151"/>
      <c r="E49" s="151"/>
      <c r="F49" s="151"/>
      <c r="G49" s="151"/>
      <c r="H49" s="151"/>
      <c r="I49" s="151"/>
      <c r="J49" s="151"/>
      <c r="K49" s="151"/>
      <c r="L49" s="151"/>
    </row>
    <row r="50" spans="2:12">
      <c r="B50" s="46" t="s">
        <v>51</v>
      </c>
      <c r="C50" s="184" t="str">
        <f>'AER Summary'!B15</f>
        <v>ASP Level 2 - Re-authorisation (Annual Fee)</v>
      </c>
      <c r="D50" s="184"/>
      <c r="E50" s="184"/>
      <c r="F50" s="184"/>
      <c r="G50" s="184"/>
      <c r="H50" s="184"/>
      <c r="I50" s="184"/>
      <c r="J50" s="184"/>
      <c r="K50" s="184"/>
      <c r="L50" s="184"/>
    </row>
    <row r="51" spans="2:12" ht="48" customHeight="1">
      <c r="B51" s="47"/>
      <c r="C51" s="185" t="s">
        <v>55</v>
      </c>
      <c r="D51" s="186"/>
      <c r="E51" s="49" t="s">
        <v>58</v>
      </c>
      <c r="F51" s="49" t="s">
        <v>86</v>
      </c>
      <c r="G51" s="49" t="s">
        <v>57</v>
      </c>
      <c r="H51" s="49" t="s">
        <v>74</v>
      </c>
      <c r="I51" s="50"/>
      <c r="J51" s="51" t="s">
        <v>54</v>
      </c>
      <c r="K51" s="51" t="s">
        <v>31</v>
      </c>
      <c r="L51" s="51" t="s">
        <v>52</v>
      </c>
    </row>
    <row r="52" spans="2:12">
      <c r="B52" s="45"/>
      <c r="C52" s="48" t="s">
        <v>41</v>
      </c>
      <c r="D52" s="57" t="str">
        <f>VLOOKUP($C52,'Input Data'!$B$37:$C$41,2,FALSE)</f>
        <v>Admin Support</v>
      </c>
      <c r="E52" s="58">
        <f>VLOOKUP($C52,'Input Data'!$B$37:$L$41,11,FALSE)</f>
        <v>102.26</v>
      </c>
      <c r="F52" s="58">
        <v>1</v>
      </c>
      <c r="G52" s="53">
        <v>1</v>
      </c>
      <c r="H52" s="59">
        <f>E52*F52*G52</f>
        <v>102.26</v>
      </c>
      <c r="I52" s="45"/>
      <c r="J52" s="58">
        <f>VLOOKUP($C52,'Input Data'!$B$37:$L$41,3,FALSE)*G52</f>
        <v>43.701767985457586</v>
      </c>
      <c r="K52" s="58">
        <f>VLOOKUP($C52,'Input Data'!$B$37:$L$41,6,FALSE)*G52</f>
        <v>22.826318723922128</v>
      </c>
      <c r="L52" s="58">
        <f>VLOOKUP($C52,'Input Data'!$B$37:$L$41,8,FALSE)*G52</f>
        <v>33.264043354689861</v>
      </c>
    </row>
    <row r="53" spans="2:12">
      <c r="B53" s="45"/>
      <c r="C53" s="48" t="s">
        <v>43</v>
      </c>
      <c r="D53" s="57" t="str">
        <f>VLOOKUP($C53,'Input Data'!$B$37:$C$41,2,FALSE)</f>
        <v>Technical Specialist R2</v>
      </c>
      <c r="E53" s="58">
        <f>VLOOKUP($C53,'Input Data'!$B$37:$L$41,11,FALSE)</f>
        <v>153.38999999999999</v>
      </c>
      <c r="F53" s="58">
        <v>1</v>
      </c>
      <c r="G53" s="53">
        <v>1.5</v>
      </c>
      <c r="H53" s="59">
        <f>E53*F53*G53</f>
        <v>230.08499999999998</v>
      </c>
      <c r="I53" s="45"/>
      <c r="J53" s="58">
        <f>VLOOKUP($C53,'Input Data'!$B$37:$L$41,3,FALSE)*G53</f>
        <v>99.169396582384508</v>
      </c>
      <c r="K53" s="58">
        <f>VLOOKUP($C53,'Input Data'!$B$37:$L$41,6,FALSE)*G53</f>
        <v>51.798184796592523</v>
      </c>
      <c r="L53" s="58">
        <f>VLOOKUP($C53,'Input Data'!$B$37:$L$41,8,FALSE)*G53</f>
        <v>89.07087301359644</v>
      </c>
    </row>
    <row r="54" spans="2:12">
      <c r="B54" s="45"/>
      <c r="C54" s="52"/>
      <c r="D54" s="52" t="s">
        <v>72</v>
      </c>
      <c r="E54" s="52"/>
      <c r="F54" s="83"/>
      <c r="G54" s="54" t="s">
        <v>53</v>
      </c>
      <c r="H54" s="60">
        <f>SUM(H52:H53)</f>
        <v>332.34499999999997</v>
      </c>
      <c r="I54" s="45"/>
      <c r="J54" s="60">
        <f>SUM(J52:J53)</f>
        <v>142.8711645678421</v>
      </c>
      <c r="K54" s="60">
        <f t="shared" ref="K54" si="3">SUM(K52:K53)</f>
        <v>74.624503520514651</v>
      </c>
      <c r="L54" s="60">
        <f t="shared" ref="L54" si="4">SUM(L52:L53)</f>
        <v>122.3349163682863</v>
      </c>
    </row>
    <row r="55" spans="2:12">
      <c r="B55" s="45"/>
      <c r="C55" s="45"/>
      <c r="D55" s="45"/>
      <c r="E55" s="45"/>
      <c r="F55" s="45"/>
      <c r="G55" s="55"/>
      <c r="H55" s="56"/>
      <c r="I55" s="45"/>
      <c r="J55" s="50"/>
      <c r="K55" s="50"/>
      <c r="L55" s="50"/>
    </row>
    <row r="56" spans="2:12" s="125" customFormat="1" ht="7.2" customHeight="1">
      <c r="B56" s="151"/>
      <c r="C56" s="151"/>
      <c r="D56" s="151"/>
      <c r="E56" s="151"/>
      <c r="F56" s="151"/>
      <c r="G56" s="151"/>
      <c r="H56" s="151"/>
      <c r="I56" s="151"/>
      <c r="J56" s="151"/>
      <c r="K56" s="151"/>
      <c r="L56" s="151"/>
    </row>
    <row r="57" spans="2:12" s="7" customFormat="1">
      <c r="B57" s="187" t="s">
        <v>13</v>
      </c>
      <c r="C57" s="187"/>
      <c r="D57" s="187"/>
      <c r="E57" s="187"/>
      <c r="F57" s="187"/>
      <c r="G57" s="187"/>
      <c r="H57" s="187"/>
      <c r="I57" s="187"/>
      <c r="J57" s="187"/>
      <c r="K57" s="187"/>
      <c r="L57" s="187"/>
    </row>
    <row r="58" spans="2:12" s="7" customFormat="1">
      <c r="B58" s="188" t="s">
        <v>286</v>
      </c>
      <c r="C58" s="188"/>
      <c r="D58" s="188"/>
      <c r="E58" s="188"/>
      <c r="F58" s="188"/>
      <c r="G58" s="188"/>
      <c r="H58" s="188"/>
      <c r="I58" s="188"/>
      <c r="J58" s="188"/>
      <c r="K58" s="188"/>
      <c r="L58" s="188"/>
    </row>
    <row r="59" spans="2:12" s="125" customFormat="1">
      <c r="B59" s="151"/>
      <c r="C59" s="151"/>
      <c r="D59" s="151"/>
      <c r="E59" s="151"/>
      <c r="F59" s="151"/>
      <c r="G59" s="151"/>
      <c r="H59" s="151"/>
      <c r="I59" s="151"/>
      <c r="J59" s="151"/>
      <c r="K59" s="151"/>
      <c r="L59" s="151"/>
    </row>
    <row r="60" spans="2:12" ht="14.4" customHeight="1">
      <c r="B60" s="46" t="s">
        <v>51</v>
      </c>
      <c r="C60" s="184" t="str">
        <f>'AER Summary'!B16</f>
        <v>ASP Level 2 - Additional authorisation</v>
      </c>
      <c r="D60" s="184"/>
      <c r="E60" s="184"/>
      <c r="F60" s="184"/>
      <c r="G60" s="184"/>
      <c r="H60" s="184"/>
      <c r="I60" s="184"/>
      <c r="J60" s="184"/>
      <c r="K60" s="184"/>
      <c r="L60" s="184"/>
    </row>
    <row r="61" spans="2:12" ht="48" customHeight="1">
      <c r="B61" s="47"/>
      <c r="C61" s="185" t="s">
        <v>55</v>
      </c>
      <c r="D61" s="186"/>
      <c r="E61" s="49" t="s">
        <v>58</v>
      </c>
      <c r="F61" s="49" t="s">
        <v>86</v>
      </c>
      <c r="G61" s="49" t="s">
        <v>57</v>
      </c>
      <c r="H61" s="49" t="s">
        <v>74</v>
      </c>
      <c r="I61" s="50"/>
      <c r="J61" s="51" t="s">
        <v>54</v>
      </c>
      <c r="K61" s="51" t="s">
        <v>31</v>
      </c>
      <c r="L61" s="51" t="s">
        <v>52</v>
      </c>
    </row>
    <row r="62" spans="2:12">
      <c r="B62" s="45"/>
      <c r="C62" s="48" t="s">
        <v>41</v>
      </c>
      <c r="D62" s="57" t="str">
        <f>VLOOKUP($C62,'Input Data'!$B$37:$C$41,2,FALSE)</f>
        <v>Admin Support</v>
      </c>
      <c r="E62" s="58">
        <f>VLOOKUP($C62,'Input Data'!$B$37:$L$41,11,FALSE)</f>
        <v>102.26</v>
      </c>
      <c r="F62" s="58">
        <v>1</v>
      </c>
      <c r="G62" s="53">
        <v>1</v>
      </c>
      <c r="H62" s="59">
        <f>E62*F62*G62</f>
        <v>102.26</v>
      </c>
      <c r="I62" s="45"/>
      <c r="J62" s="58">
        <f>VLOOKUP($C62,'Input Data'!$B$37:$L$41,3,FALSE)*G62</f>
        <v>43.701767985457586</v>
      </c>
      <c r="K62" s="58">
        <f>VLOOKUP($C62,'Input Data'!$B$37:$L$41,6,FALSE)*G62</f>
        <v>22.826318723922128</v>
      </c>
      <c r="L62" s="58">
        <f>VLOOKUP($C62,'Input Data'!$B$37:$L$41,8,FALSE)*G62</f>
        <v>33.264043354689861</v>
      </c>
    </row>
    <row r="63" spans="2:12">
      <c r="B63" s="45"/>
      <c r="C63" s="52"/>
      <c r="D63" s="52"/>
      <c r="E63" s="52"/>
      <c r="F63" s="83"/>
      <c r="G63" s="54" t="s">
        <v>53</v>
      </c>
      <c r="H63" s="60">
        <f>SUM(H62:H62)</f>
        <v>102.26</v>
      </c>
      <c r="I63" s="45"/>
      <c r="J63" s="60">
        <f>SUM(J62:J62)</f>
        <v>43.701767985457586</v>
      </c>
      <c r="K63" s="60">
        <f>SUM(K62:K62)</f>
        <v>22.826318723922128</v>
      </c>
      <c r="L63" s="60">
        <f>SUM(L62:L62)</f>
        <v>33.264043354689861</v>
      </c>
    </row>
    <row r="64" spans="2:12" s="125" customFormat="1" ht="7.2" customHeight="1">
      <c r="B64" s="151"/>
      <c r="C64" s="151"/>
      <c r="D64" s="151"/>
      <c r="E64" s="151"/>
      <c r="F64" s="151"/>
      <c r="G64" s="151"/>
      <c r="H64" s="151"/>
      <c r="I64" s="151"/>
      <c r="J64" s="151"/>
      <c r="K64" s="151"/>
      <c r="L64" s="151"/>
    </row>
    <row r="65" spans="2:12" s="7" customFormat="1">
      <c r="B65" s="187" t="s">
        <v>13</v>
      </c>
      <c r="C65" s="187"/>
      <c r="D65" s="187"/>
      <c r="E65" s="187"/>
      <c r="F65" s="187"/>
      <c r="G65" s="187"/>
      <c r="H65" s="187"/>
      <c r="I65" s="187"/>
      <c r="J65" s="187"/>
      <c r="K65" s="187"/>
      <c r="L65" s="187"/>
    </row>
    <row r="66" spans="2:12" s="7" customFormat="1">
      <c r="B66" s="188" t="s">
        <v>286</v>
      </c>
      <c r="C66" s="188"/>
      <c r="D66" s="188"/>
      <c r="E66" s="188"/>
      <c r="F66" s="188"/>
      <c r="G66" s="188"/>
      <c r="H66" s="188"/>
      <c r="I66" s="188"/>
      <c r="J66" s="188"/>
      <c r="K66" s="188"/>
      <c r="L66" s="188"/>
    </row>
    <row r="67" spans="2:12" s="125" customFormat="1">
      <c r="B67" s="151"/>
      <c r="C67" s="151"/>
      <c r="D67" s="151"/>
      <c r="E67" s="151"/>
      <c r="F67" s="151"/>
      <c r="G67" s="151"/>
      <c r="H67" s="151"/>
      <c r="I67" s="151"/>
      <c r="J67" s="151"/>
      <c r="K67" s="151"/>
      <c r="L67" s="151"/>
    </row>
    <row r="68" spans="2:12" ht="14.4" customHeight="1">
      <c r="B68" s="46" t="s">
        <v>51</v>
      </c>
      <c r="C68" s="184" t="str">
        <f>'AER Summary'!B18</f>
        <v>ASP Level 3 - Authorisation/Re-authorisation (Biennial Fee)</v>
      </c>
      <c r="D68" s="184"/>
      <c r="E68" s="184"/>
      <c r="F68" s="184"/>
      <c r="G68" s="184"/>
      <c r="H68" s="184"/>
      <c r="I68" s="184"/>
      <c r="J68" s="184"/>
      <c r="K68" s="184"/>
      <c r="L68" s="184"/>
    </row>
    <row r="69" spans="2:12" ht="48" customHeight="1">
      <c r="B69" s="47"/>
      <c r="C69" s="185" t="s">
        <v>55</v>
      </c>
      <c r="D69" s="186"/>
      <c r="E69" s="49" t="s">
        <v>58</v>
      </c>
      <c r="F69" s="49" t="s">
        <v>86</v>
      </c>
      <c r="G69" s="49" t="s">
        <v>57</v>
      </c>
      <c r="H69" s="49" t="s">
        <v>74</v>
      </c>
      <c r="I69" s="50"/>
      <c r="J69" s="51" t="s">
        <v>54</v>
      </c>
      <c r="K69" s="51" t="s">
        <v>31</v>
      </c>
      <c r="L69" s="51" t="s">
        <v>52</v>
      </c>
    </row>
    <row r="70" spans="2:12">
      <c r="B70" s="45"/>
      <c r="C70" s="48" t="s">
        <v>41</v>
      </c>
      <c r="D70" s="57" t="str">
        <f>VLOOKUP($C70,'Input Data'!$B$37:$C$41,2,FALSE)</f>
        <v>Admin Support</v>
      </c>
      <c r="E70" s="58">
        <f>VLOOKUP($C70,'Input Data'!$B$37:$L$41,11,FALSE)</f>
        <v>102.26</v>
      </c>
      <c r="F70" s="58">
        <v>1</v>
      </c>
      <c r="G70" s="53">
        <v>0.75</v>
      </c>
      <c r="H70" s="59">
        <f>E70*F70*G70</f>
        <v>76.695000000000007</v>
      </c>
      <c r="I70" s="45"/>
      <c r="J70" s="58">
        <f>VLOOKUP($C70,'Input Data'!$B$37:$L$41,3,FALSE)*G70</f>
        <v>32.776325989093188</v>
      </c>
      <c r="K70" s="58">
        <f>VLOOKUP($C70,'Input Data'!$B$37:$L$41,6,FALSE)*G70</f>
        <v>17.119739042941596</v>
      </c>
      <c r="L70" s="58">
        <f>VLOOKUP($C70,'Input Data'!$B$37:$L$41,8,FALSE)*G70</f>
        <v>24.948032516017395</v>
      </c>
    </row>
    <row r="71" spans="2:12">
      <c r="B71" s="45"/>
      <c r="C71" s="52"/>
      <c r="D71" s="52"/>
      <c r="E71" s="52"/>
      <c r="F71" s="83"/>
      <c r="G71" s="54" t="s">
        <v>53</v>
      </c>
      <c r="H71" s="60">
        <f>SUM(H70:H70)</f>
        <v>76.695000000000007</v>
      </c>
      <c r="I71" s="45"/>
      <c r="J71" s="60">
        <f>SUM(J70:J70)</f>
        <v>32.776325989093188</v>
      </c>
      <c r="K71" s="60">
        <f>SUM(K70:K70)</f>
        <v>17.119739042941596</v>
      </c>
      <c r="L71" s="60">
        <f>SUM(L70:L70)</f>
        <v>24.948032516017395</v>
      </c>
    </row>
    <row r="72" spans="2:12" s="125" customFormat="1" ht="7.2" customHeight="1">
      <c r="B72" s="151"/>
      <c r="C72" s="151"/>
      <c r="D72" s="151"/>
      <c r="E72" s="151"/>
      <c r="F72" s="151"/>
      <c r="G72" s="151"/>
      <c r="H72" s="151"/>
      <c r="I72" s="151"/>
      <c r="J72" s="151"/>
      <c r="K72" s="151"/>
      <c r="L72" s="151"/>
    </row>
    <row r="73" spans="2:12" s="7" customFormat="1">
      <c r="B73" s="187" t="s">
        <v>13</v>
      </c>
      <c r="C73" s="187"/>
      <c r="D73" s="187"/>
      <c r="E73" s="187"/>
      <c r="F73" s="187"/>
      <c r="G73" s="187"/>
      <c r="H73" s="187"/>
      <c r="I73" s="187"/>
      <c r="J73" s="187"/>
      <c r="K73" s="187"/>
      <c r="L73" s="187"/>
    </row>
    <row r="74" spans="2:12" s="7" customFormat="1">
      <c r="B74" s="188" t="s">
        <v>286</v>
      </c>
      <c r="C74" s="188"/>
      <c r="D74" s="188"/>
      <c r="E74" s="188"/>
      <c r="F74" s="188"/>
      <c r="G74" s="188"/>
      <c r="H74" s="188"/>
      <c r="I74" s="188"/>
      <c r="J74" s="188"/>
      <c r="K74" s="188"/>
      <c r="L74" s="188"/>
    </row>
    <row r="75" spans="2:12" s="125" customFormat="1">
      <c r="B75" s="151"/>
      <c r="C75" s="151"/>
      <c r="D75" s="151"/>
      <c r="E75" s="151"/>
      <c r="F75" s="151"/>
      <c r="G75" s="151"/>
      <c r="H75" s="151"/>
      <c r="I75" s="151"/>
      <c r="J75" s="151"/>
      <c r="K75" s="151"/>
      <c r="L75" s="151"/>
    </row>
    <row r="76" spans="2:12" s="125" customFormat="1">
      <c r="B76" s="151"/>
      <c r="C76" s="151"/>
      <c r="D76" s="151"/>
      <c r="E76" s="151"/>
      <c r="F76" s="151"/>
      <c r="G76" s="151"/>
      <c r="H76" s="151"/>
      <c r="I76" s="151"/>
      <c r="J76" s="151"/>
      <c r="K76" s="151"/>
      <c r="L76" s="151"/>
    </row>
    <row r="77" spans="2:12" s="125" customFormat="1">
      <c r="B77" s="151"/>
      <c r="C77" s="151"/>
      <c r="D77" s="151"/>
      <c r="E77" s="151"/>
      <c r="F77" s="151"/>
      <c r="G77" s="151"/>
      <c r="H77" s="151"/>
      <c r="I77" s="151"/>
      <c r="J77" s="151"/>
      <c r="K77" s="151"/>
      <c r="L77" s="151"/>
    </row>
    <row r="78" spans="2:12" s="125" customFormat="1">
      <c r="B78" s="151"/>
      <c r="C78" s="151"/>
      <c r="D78" s="151"/>
      <c r="E78" s="151"/>
      <c r="F78" s="151"/>
      <c r="G78" s="151"/>
      <c r="H78" s="151"/>
      <c r="I78" s="151"/>
      <c r="J78" s="151"/>
      <c r="K78" s="151"/>
      <c r="L78" s="151"/>
    </row>
    <row r="79" spans="2:12" s="125" customFormat="1" hidden="1">
      <c r="B79" s="151"/>
      <c r="C79" s="151"/>
      <c r="D79" s="151"/>
      <c r="E79" s="151"/>
      <c r="F79" s="151"/>
      <c r="G79" s="151"/>
      <c r="H79" s="151"/>
      <c r="I79" s="151"/>
      <c r="J79" s="151"/>
      <c r="K79" s="151"/>
      <c r="L79" s="151"/>
    </row>
    <row r="80" spans="2:12" s="125" customFormat="1" hidden="1">
      <c r="B80" s="151"/>
      <c r="C80" s="151"/>
      <c r="D80" s="151"/>
      <c r="E80" s="151"/>
      <c r="F80" s="151"/>
      <c r="G80" s="151"/>
      <c r="H80" s="151"/>
      <c r="I80" s="151"/>
      <c r="J80" s="151"/>
      <c r="K80" s="151"/>
      <c r="L80" s="151"/>
    </row>
    <row r="81" spans="2:12" s="125" customFormat="1" hidden="1">
      <c r="B81" s="151"/>
      <c r="C81" s="151"/>
      <c r="D81" s="151"/>
      <c r="E81" s="151"/>
      <c r="F81" s="151"/>
      <c r="G81" s="151"/>
      <c r="H81" s="151"/>
      <c r="I81" s="151"/>
      <c r="J81" s="151"/>
      <c r="K81" s="151"/>
      <c r="L81" s="151"/>
    </row>
    <row r="82" spans="2:12" s="125" customFormat="1" hidden="1">
      <c r="B82" s="151"/>
      <c r="C82" s="151"/>
      <c r="D82" s="151"/>
      <c r="E82" s="151"/>
      <c r="F82" s="151"/>
      <c r="G82" s="151"/>
      <c r="H82" s="151"/>
      <c r="I82" s="151"/>
      <c r="J82" s="151"/>
      <c r="K82" s="151"/>
      <c r="L82" s="151"/>
    </row>
    <row r="83" spans="2:12" s="125" customFormat="1" hidden="1">
      <c r="B83" s="151"/>
      <c r="C83" s="151"/>
      <c r="D83" s="151"/>
      <c r="E83" s="151"/>
      <c r="F83" s="151"/>
      <c r="G83" s="151"/>
      <c r="H83" s="151"/>
      <c r="I83" s="151"/>
      <c r="J83" s="151"/>
      <c r="K83" s="151"/>
      <c r="L83" s="151"/>
    </row>
    <row r="84" spans="2:12" s="125" customFormat="1" hidden="1">
      <c r="B84" s="151"/>
      <c r="C84" s="151"/>
      <c r="D84" s="151"/>
      <c r="E84" s="151"/>
      <c r="F84" s="151"/>
      <c r="G84" s="151"/>
      <c r="H84" s="151"/>
      <c r="I84" s="151"/>
      <c r="J84" s="151"/>
      <c r="K84" s="151"/>
      <c r="L84" s="151"/>
    </row>
    <row r="85" spans="2:12" s="125" customFormat="1" hidden="1">
      <c r="B85" s="151"/>
      <c r="C85" s="151"/>
      <c r="D85" s="151"/>
      <c r="E85" s="151"/>
      <c r="F85" s="151"/>
      <c r="G85" s="151"/>
      <c r="H85" s="151"/>
      <c r="I85" s="151"/>
      <c r="J85" s="151"/>
      <c r="K85" s="151"/>
      <c r="L85" s="151"/>
    </row>
    <row r="86" spans="2:12" s="125" customFormat="1" hidden="1">
      <c r="B86" s="151"/>
      <c r="C86" s="151"/>
      <c r="D86" s="151"/>
      <c r="E86" s="151"/>
      <c r="F86" s="151"/>
      <c r="G86" s="151"/>
      <c r="H86" s="151"/>
      <c r="I86" s="151"/>
      <c r="J86" s="151"/>
      <c r="K86" s="151"/>
      <c r="L86" s="151"/>
    </row>
    <row r="87" spans="2:12" s="125" customFormat="1" hidden="1">
      <c r="B87" s="151"/>
      <c r="C87" s="151"/>
      <c r="D87" s="151"/>
      <c r="E87" s="151"/>
      <c r="F87" s="151"/>
      <c r="G87" s="151"/>
      <c r="H87" s="151"/>
      <c r="I87" s="151"/>
      <c r="J87" s="151"/>
      <c r="K87" s="151"/>
      <c r="L87" s="151"/>
    </row>
    <row r="88" spans="2:12" s="125" customFormat="1" hidden="1">
      <c r="B88" s="151"/>
      <c r="C88" s="151"/>
      <c r="D88" s="151"/>
      <c r="E88" s="151"/>
      <c r="F88" s="151"/>
      <c r="G88" s="151"/>
      <c r="H88" s="151"/>
      <c r="I88" s="151"/>
      <c r="J88" s="151"/>
      <c r="K88" s="151"/>
      <c r="L88" s="151"/>
    </row>
    <row r="89" spans="2:12" s="125" customFormat="1" hidden="1">
      <c r="B89" s="151"/>
      <c r="C89" s="151"/>
      <c r="D89" s="151"/>
      <c r="E89" s="151"/>
      <c r="F89" s="151"/>
      <c r="G89" s="151"/>
      <c r="H89" s="151"/>
      <c r="I89" s="151"/>
      <c r="J89" s="151"/>
      <c r="K89" s="151"/>
      <c r="L89" s="151"/>
    </row>
    <row r="90" spans="2:12" s="125" customFormat="1" hidden="1">
      <c r="B90" s="151"/>
      <c r="C90" s="151"/>
      <c r="D90" s="151"/>
      <c r="E90" s="151"/>
      <c r="F90" s="151"/>
      <c r="G90" s="151"/>
      <c r="H90" s="151"/>
      <c r="I90" s="151"/>
      <c r="J90" s="151"/>
      <c r="K90" s="151"/>
      <c r="L90" s="151"/>
    </row>
    <row r="91" spans="2:12" s="125" customFormat="1" hidden="1">
      <c r="B91" s="151"/>
      <c r="C91" s="151"/>
      <c r="D91" s="151"/>
      <c r="E91" s="151"/>
      <c r="F91" s="151"/>
      <c r="G91" s="151"/>
      <c r="H91" s="151"/>
      <c r="I91" s="151"/>
      <c r="J91" s="151"/>
      <c r="K91" s="151"/>
      <c r="L91" s="151"/>
    </row>
    <row r="92" spans="2:12" s="125" customFormat="1" hidden="1">
      <c r="B92" s="151"/>
      <c r="C92" s="151"/>
      <c r="D92" s="151"/>
      <c r="E92" s="151"/>
      <c r="F92" s="151"/>
      <c r="G92" s="151"/>
      <c r="H92" s="151"/>
      <c r="I92" s="151"/>
      <c r="J92" s="151"/>
      <c r="K92" s="151"/>
      <c r="L92" s="151"/>
    </row>
    <row r="93" spans="2:12"/>
    <row r="94" spans="2:12"/>
    <row r="95" spans="2:12"/>
    <row r="96" spans="2:12"/>
    <row r="97"/>
    <row r="98"/>
    <row r="99"/>
    <row r="100"/>
    <row r="101"/>
  </sheetData>
  <mergeCells count="33">
    <mergeCell ref="B20:L20"/>
    <mergeCell ref="B21:L21"/>
    <mergeCell ref="C3:L3"/>
    <mergeCell ref="C5:L5"/>
    <mergeCell ref="C6:D6"/>
    <mergeCell ref="C16:D16"/>
    <mergeCell ref="C15:L15"/>
    <mergeCell ref="B12:L12"/>
    <mergeCell ref="B13:L13"/>
    <mergeCell ref="C23:L23"/>
    <mergeCell ref="C24:D24"/>
    <mergeCell ref="B30:L30"/>
    <mergeCell ref="B31:L31"/>
    <mergeCell ref="C33:L33"/>
    <mergeCell ref="C34:D34"/>
    <mergeCell ref="B38:L38"/>
    <mergeCell ref="B39:L39"/>
    <mergeCell ref="C41:L41"/>
    <mergeCell ref="C42:D42"/>
    <mergeCell ref="B47:L47"/>
    <mergeCell ref="B48:L48"/>
    <mergeCell ref="C50:L50"/>
    <mergeCell ref="C51:D51"/>
    <mergeCell ref="B57:L57"/>
    <mergeCell ref="C68:L68"/>
    <mergeCell ref="C69:D69"/>
    <mergeCell ref="B73:L73"/>
    <mergeCell ref="B74:L74"/>
    <mergeCell ref="B58:L58"/>
    <mergeCell ref="C60:L60"/>
    <mergeCell ref="C61:D61"/>
    <mergeCell ref="B65:L65"/>
    <mergeCell ref="B66:L66"/>
  </mergeCells>
  <dataValidations count="1">
    <dataValidation type="list" allowBlank="1" showInputMessage="1" showErrorMessage="1" sqref="C70 C7:C8 C43:C44 C25:C26 C17 C62 C52:C53 C35">
      <formula1>Rates</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CB67"/>
  <sheetViews>
    <sheetView zoomScale="80" zoomScaleNormal="80" workbookViewId="0"/>
  </sheetViews>
  <sheetFormatPr defaultColWidth="0" defaultRowHeight="14.4" zeroHeight="1"/>
  <cols>
    <col min="1" max="1" width="3.6640625" style="125" customWidth="1"/>
    <col min="2" max="2" width="40.6640625" customWidth="1"/>
    <col min="3" max="12" width="20.6640625" customWidth="1"/>
    <col min="13" max="14" width="9.109375" style="125" customWidth="1"/>
    <col min="15" max="80" width="0" style="125" hidden="1" customWidth="1"/>
    <col min="81" max="16384" width="9.109375" hidden="1"/>
  </cols>
  <sheetData>
    <row r="1" spans="1:80" s="125" customFormat="1"/>
    <row r="2" spans="1:80" s="38" customFormat="1" ht="21" customHeight="1">
      <c r="A2" s="147"/>
      <c r="B2" s="28" t="s">
        <v>59</v>
      </c>
      <c r="C2" s="28"/>
      <c r="D2" s="28"/>
      <c r="E2" s="28"/>
      <c r="F2" s="28"/>
      <c r="G2" s="28"/>
      <c r="H2" s="28"/>
      <c r="I2" s="28"/>
      <c r="J2" s="28"/>
      <c r="K2" s="28"/>
      <c r="L2" s="28"/>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row>
    <row r="3" spans="1:80" s="125" customFormat="1">
      <c r="B3" s="155"/>
    </row>
    <row r="4" spans="1:80" s="125" customFormat="1"/>
    <row r="5" spans="1:80" s="8" customFormat="1">
      <c r="A5" s="15"/>
      <c r="B5" s="1" t="s">
        <v>291</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row>
    <row r="6" spans="1:80" s="15" customFormat="1">
      <c r="B6" s="41"/>
    </row>
    <row r="7" spans="1:80" s="15" customFormat="1">
      <c r="B7" s="3" t="s">
        <v>249</v>
      </c>
      <c r="C7" s="6" t="s">
        <v>5</v>
      </c>
      <c r="D7" s="6" t="s">
        <v>6</v>
      </c>
      <c r="E7" s="6" t="s">
        <v>7</v>
      </c>
      <c r="F7" s="6" t="s">
        <v>8</v>
      </c>
      <c r="G7" s="6" t="s">
        <v>9</v>
      </c>
      <c r="H7" s="32" t="s">
        <v>18</v>
      </c>
      <c r="I7" s="32" t="s">
        <v>19</v>
      </c>
      <c r="J7" s="32" t="s">
        <v>20</v>
      </c>
      <c r="K7" s="32" t="s">
        <v>21</v>
      </c>
      <c r="L7" s="32" t="s">
        <v>22</v>
      </c>
    </row>
    <row r="8" spans="1:80" s="15" customFormat="1">
      <c r="B8" s="8" t="s">
        <v>10</v>
      </c>
      <c r="C8" s="134">
        <v>1</v>
      </c>
      <c r="D8" s="134">
        <f>D9*D10</f>
        <v>1.0353329951690822</v>
      </c>
      <c r="E8" s="134">
        <f t="shared" ref="E8:G8" si="0">E9*E10</f>
        <v>1.0621947743913043</v>
      </c>
      <c r="F8" s="134">
        <f t="shared" si="0"/>
        <v>1.0876998293290694</v>
      </c>
      <c r="G8" s="134">
        <f t="shared" si="0"/>
        <v>1.1205581534732714</v>
      </c>
      <c r="H8" s="9"/>
      <c r="I8" s="9"/>
      <c r="J8" s="9"/>
      <c r="K8" s="9"/>
      <c r="L8" s="9"/>
    </row>
    <row r="9" spans="1:80" s="15" customFormat="1">
      <c r="B9" s="8" t="s">
        <v>11</v>
      </c>
      <c r="C9" s="134">
        <v>1</v>
      </c>
      <c r="D9" s="134">
        <f>C9*(1+D18)</f>
        <v>1.0248792270531402</v>
      </c>
      <c r="E9" s="134">
        <f t="shared" ref="E9:G10" si="1">D9*(1+E18)</f>
        <v>1.0403381642512077</v>
      </c>
      <c r="F9" s="134">
        <f t="shared" si="1"/>
        <v>1.0536231884057969</v>
      </c>
      <c r="G9" s="134">
        <f t="shared" si="1"/>
        <v>1.0736420289855071</v>
      </c>
      <c r="H9" s="9"/>
      <c r="I9" s="9"/>
      <c r="J9" s="9"/>
      <c r="K9" s="9"/>
      <c r="L9" s="9"/>
    </row>
    <row r="10" spans="1:80" s="15" customFormat="1">
      <c r="B10" s="8" t="s">
        <v>12</v>
      </c>
      <c r="C10" s="134">
        <v>1</v>
      </c>
      <c r="D10" s="134">
        <f>C10*(1+D19)</f>
        <v>1.0102</v>
      </c>
      <c r="E10" s="134">
        <f t="shared" si="1"/>
        <v>1.0210091399999999</v>
      </c>
      <c r="F10" s="134">
        <f t="shared" si="1"/>
        <v>1.0323423414540001</v>
      </c>
      <c r="G10" s="134">
        <f t="shared" si="1"/>
        <v>1.043698107209994</v>
      </c>
      <c r="H10" s="135"/>
      <c r="I10" s="135"/>
      <c r="J10" s="135"/>
      <c r="K10" s="135"/>
      <c r="L10" s="135"/>
    </row>
    <row r="11" spans="1:80" s="15" customFormat="1">
      <c r="B11" s="41"/>
    </row>
    <row r="12" spans="1:80" s="8" customFormat="1">
      <c r="A12" s="15"/>
      <c r="B12" s="3" t="s">
        <v>4</v>
      </c>
      <c r="C12" s="6" t="s">
        <v>5</v>
      </c>
      <c r="D12" s="6" t="s">
        <v>6</v>
      </c>
      <c r="E12" s="6" t="s">
        <v>7</v>
      </c>
      <c r="F12" s="6" t="s">
        <v>8</v>
      </c>
      <c r="G12" s="6" t="s">
        <v>9</v>
      </c>
      <c r="H12" s="32" t="s">
        <v>18</v>
      </c>
      <c r="I12" s="32" t="s">
        <v>19</v>
      </c>
      <c r="J12" s="32" t="s">
        <v>20</v>
      </c>
      <c r="K12" s="32" t="s">
        <v>21</v>
      </c>
      <c r="L12" s="32" t="s">
        <v>22</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80" s="8" customFormat="1">
      <c r="A13" s="15"/>
      <c r="B13" s="8" t="s">
        <v>10</v>
      </c>
      <c r="C13" s="9"/>
      <c r="D13" s="9"/>
      <c r="E13" s="9"/>
      <c r="F13" s="9"/>
      <c r="G13" s="69">
        <v>1</v>
      </c>
      <c r="H13" s="69">
        <f>H14*H15</f>
        <v>1.0276240678492865</v>
      </c>
      <c r="I13" s="69">
        <f t="shared" ref="I13:L13" si="2">I14*I15</f>
        <v>1.0592497813772299</v>
      </c>
      <c r="J13" s="69">
        <f t="shared" si="2"/>
        <v>1.0963162030397382</v>
      </c>
      <c r="K13" s="69">
        <f t="shared" si="2"/>
        <v>1.1373288908332129</v>
      </c>
      <c r="L13" s="69">
        <f t="shared" si="2"/>
        <v>1.1781674433570202</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80" s="8" customFormat="1">
      <c r="A14" s="15"/>
      <c r="B14" s="8" t="s">
        <v>11</v>
      </c>
      <c r="C14" s="9"/>
      <c r="D14" s="9"/>
      <c r="E14" s="9"/>
      <c r="F14" s="9"/>
      <c r="G14" s="68">
        <v>1</v>
      </c>
      <c r="H14" s="68">
        <f t="shared" ref="H14:L14" si="3">G14*(1+H18)</f>
        <v>1.0242487465753967</v>
      </c>
      <c r="I14" s="68">
        <f t="shared" si="3"/>
        <v>1.0490854948612711</v>
      </c>
      <c r="J14" s="68">
        <f t="shared" si="3"/>
        <v>1.0745245031620867</v>
      </c>
      <c r="K14" s="68">
        <f t="shared" si="3"/>
        <v>1.1005803755283181</v>
      </c>
      <c r="L14" s="68">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80" s="8" customFormat="1">
      <c r="A15" s="15"/>
      <c r="B15" s="8" t="s">
        <v>12</v>
      </c>
      <c r="C15" s="9"/>
      <c r="D15" s="9"/>
      <c r="E15" s="9"/>
      <c r="F15" s="9"/>
      <c r="G15" s="68">
        <v>1</v>
      </c>
      <c r="H15" s="68">
        <f t="shared" ref="H15:L15" si="4">G15*(1+H19)</f>
        <v>1.0032954116714083</v>
      </c>
      <c r="I15" s="68">
        <f t="shared" si="4"/>
        <v>1.0096887113259563</v>
      </c>
      <c r="J15" s="68">
        <f t="shared" si="4"/>
        <v>1.0202803191677094</v>
      </c>
      <c r="K15" s="68">
        <f t="shared" si="4"/>
        <v>1.0333901240854437</v>
      </c>
      <c r="L15" s="68">
        <f t="shared" si="4"/>
        <v>1.0451528563301924</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80" s="8" customFormat="1">
      <c r="A16" s="15"/>
      <c r="C16" s="9"/>
      <c r="D16" s="9"/>
      <c r="E16" s="9"/>
      <c r="F16" s="9"/>
      <c r="G16" s="9"/>
      <c r="H16" s="9"/>
      <c r="I16" s="9"/>
      <c r="J16" s="9"/>
      <c r="K16" s="9"/>
      <c r="L16" s="9"/>
      <c r="M16" s="18"/>
      <c r="N16" s="18"/>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s="8" customFormat="1">
      <c r="A17" s="15"/>
      <c r="B17" s="3" t="s">
        <v>250</v>
      </c>
      <c r="C17" s="6" t="s">
        <v>5</v>
      </c>
      <c r="D17" s="6" t="s">
        <v>6</v>
      </c>
      <c r="E17" s="6" t="s">
        <v>7</v>
      </c>
      <c r="F17" s="6" t="s">
        <v>8</v>
      </c>
      <c r="G17" s="6" t="s">
        <v>9</v>
      </c>
      <c r="H17" s="32" t="s">
        <v>18</v>
      </c>
      <c r="I17" s="32" t="s">
        <v>19</v>
      </c>
      <c r="J17" s="32" t="s">
        <v>20</v>
      </c>
      <c r="K17" s="32" t="s">
        <v>21</v>
      </c>
      <c r="L17" s="32" t="s">
        <v>22</v>
      </c>
      <c r="M17" s="18"/>
      <c r="N17" s="18"/>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s="8" customFormat="1">
      <c r="A18" s="15"/>
      <c r="B18" s="8" t="s">
        <v>251</v>
      </c>
      <c r="C18" s="156">
        <v>2.4498886414253906E-2</v>
      </c>
      <c r="D18" s="156">
        <v>2.4879227053140163E-2</v>
      </c>
      <c r="E18" s="156">
        <v>1.5083667216591934E-2</v>
      </c>
      <c r="F18" s="156">
        <v>1.2769909449732886E-2</v>
      </c>
      <c r="G18" s="157">
        <v>1.9E-2</v>
      </c>
      <c r="H18" s="157">
        <v>2.4248746575396697E-2</v>
      </c>
      <c r="I18" s="157">
        <v>2.4248746575396697E-2</v>
      </c>
      <c r="J18" s="157">
        <v>2.4248746575396697E-2</v>
      </c>
      <c r="K18" s="157">
        <v>2.4248746575396697E-2</v>
      </c>
      <c r="L18" s="157">
        <v>2.4248746575396697E-2</v>
      </c>
      <c r="M18" s="18"/>
      <c r="N18" s="18"/>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s="8" customFormat="1">
      <c r="A19" s="15"/>
      <c r="B19" s="8" t="s">
        <v>252</v>
      </c>
      <c r="C19" s="156">
        <v>0</v>
      </c>
      <c r="D19" s="156">
        <v>1.0200000000000001E-2</v>
      </c>
      <c r="E19" s="156">
        <v>1.0699999999999999E-2</v>
      </c>
      <c r="F19" s="156">
        <v>1.11E-2</v>
      </c>
      <c r="G19" s="156">
        <v>1.0999999999999999E-2</v>
      </c>
      <c r="H19" s="157">
        <v>3.2954116714084369E-3</v>
      </c>
      <c r="I19" s="157">
        <v>6.3723003017598194E-3</v>
      </c>
      <c r="J19" s="157">
        <v>1.0489973516534423E-2</v>
      </c>
      <c r="K19" s="157">
        <v>1.2849218662208877E-2</v>
      </c>
      <c r="L19" s="157">
        <v>1.1382663691661226E-2</v>
      </c>
      <c r="M19" s="18"/>
      <c r="N19" s="18"/>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s="8" customFormat="1">
      <c r="A20" s="15"/>
      <c r="C20" s="9"/>
      <c r="D20" s="9"/>
      <c r="E20" s="9"/>
      <c r="F20" s="9"/>
      <c r="G20" s="9"/>
      <c r="H20" s="9"/>
      <c r="I20" s="9"/>
      <c r="J20" s="9"/>
      <c r="K20" s="9"/>
      <c r="L20" s="9"/>
      <c r="M20" s="18"/>
      <c r="N20" s="18"/>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s="8" customFormat="1">
      <c r="A21" s="15"/>
      <c r="C21" s="9"/>
      <c r="D21" s="9"/>
      <c r="E21" s="9"/>
      <c r="F21" s="9"/>
      <c r="G21" s="9"/>
      <c r="H21" s="9"/>
      <c r="I21" s="9"/>
      <c r="J21" s="9"/>
      <c r="K21" s="9"/>
      <c r="L21" s="9"/>
      <c r="M21" s="18"/>
      <c r="N21" s="18"/>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s="8" customFormat="1">
      <c r="A22" s="15"/>
      <c r="C22" s="9"/>
      <c r="D22" s="9"/>
      <c r="E22" s="9"/>
      <c r="F22" s="9"/>
      <c r="G22" s="9"/>
      <c r="H22" s="9"/>
      <c r="I22" s="9"/>
      <c r="J22" s="9"/>
      <c r="K22" s="9"/>
      <c r="L22" s="9"/>
      <c r="M22" s="18"/>
      <c r="N22" s="18"/>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s="8" customFormat="1">
      <c r="A23" s="15"/>
      <c r="B23" s="86" t="s">
        <v>253</v>
      </c>
      <c r="C23" s="86"/>
      <c r="D23" s="86"/>
      <c r="E23" s="86"/>
      <c r="F23" s="86"/>
      <c r="G23" s="86"/>
      <c r="H23" s="86"/>
      <c r="I23" s="86"/>
      <c r="J23" s="86"/>
      <c r="K23" s="86"/>
      <c r="L23" s="86"/>
      <c r="M23" s="18"/>
      <c r="N23" s="18"/>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s="8" customFormat="1" ht="28.8">
      <c r="A24" s="15"/>
      <c r="B24" s="42" t="s">
        <v>26</v>
      </c>
      <c r="C24" s="42" t="s">
        <v>27</v>
      </c>
      <c r="D24" s="42" t="s">
        <v>28</v>
      </c>
      <c r="E24" s="42" t="s">
        <v>29</v>
      </c>
      <c r="F24" s="42" t="s">
        <v>30</v>
      </c>
      <c r="G24" s="42" t="s">
        <v>31</v>
      </c>
      <c r="H24" s="42" t="s">
        <v>32</v>
      </c>
      <c r="I24" s="42" t="s">
        <v>33</v>
      </c>
      <c r="J24" s="42" t="s">
        <v>34</v>
      </c>
      <c r="K24" s="42" t="s">
        <v>35</v>
      </c>
      <c r="L24" s="42" t="s">
        <v>36</v>
      </c>
      <c r="M24" s="18"/>
      <c r="N24" s="18"/>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s="8" customFormat="1" ht="28.8">
      <c r="A25" s="15"/>
      <c r="B25" s="43"/>
      <c r="C25" s="43"/>
      <c r="D25" s="43" t="s">
        <v>38</v>
      </c>
      <c r="E25" s="43" t="s">
        <v>37</v>
      </c>
      <c r="F25" s="43" t="s">
        <v>37</v>
      </c>
      <c r="G25" s="43" t="s">
        <v>38</v>
      </c>
      <c r="H25" s="43" t="s">
        <v>38</v>
      </c>
      <c r="I25" s="43" t="s">
        <v>38</v>
      </c>
      <c r="J25" s="43" t="s">
        <v>39</v>
      </c>
      <c r="K25" s="43"/>
      <c r="L25" s="43" t="s">
        <v>40</v>
      </c>
      <c r="M25" s="18"/>
      <c r="N25" s="18"/>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s="8" customFormat="1">
      <c r="A26" s="15"/>
      <c r="B26" s="136" t="s">
        <v>41</v>
      </c>
      <c r="C26" s="137" t="s">
        <v>42</v>
      </c>
      <c r="D26" s="138">
        <v>39</v>
      </c>
      <c r="E26" s="139">
        <v>0.52232025787876424</v>
      </c>
      <c r="F26" s="140">
        <v>0.5</v>
      </c>
      <c r="G26" s="141">
        <f>E26*D26</f>
        <v>20.370490057271805</v>
      </c>
      <c r="H26" s="142">
        <f>G26+D26</f>
        <v>59.370490057271809</v>
      </c>
      <c r="I26" s="142">
        <f>H26*F26</f>
        <v>29.685245028635904</v>
      </c>
      <c r="J26" s="142">
        <f>I26+H26</f>
        <v>89.055735085907713</v>
      </c>
      <c r="K26" s="143">
        <v>0</v>
      </c>
      <c r="L26" s="144">
        <v>89.055735085907713</v>
      </c>
      <c r="M26" s="18"/>
      <c r="N26" s="18"/>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s="8" customFormat="1">
      <c r="A27" s="15"/>
      <c r="B27" s="145" t="s">
        <v>43</v>
      </c>
      <c r="C27" s="146" t="s">
        <v>44</v>
      </c>
      <c r="D27" s="138">
        <v>59</v>
      </c>
      <c r="E27" s="139">
        <v>0.52232025787876424</v>
      </c>
      <c r="F27" s="140">
        <v>0.59</v>
      </c>
      <c r="G27" s="141">
        <f t="shared" ref="G27:G30" si="5">E27*D27</f>
        <v>30.81689521484709</v>
      </c>
      <c r="H27" s="142">
        <f t="shared" ref="H27:H30" si="6">G27+D27</f>
        <v>89.816895214847094</v>
      </c>
      <c r="I27" s="142">
        <f t="shared" ref="I27:I30" si="7">H27*F27</f>
        <v>52.991968176759784</v>
      </c>
      <c r="J27" s="142">
        <f t="shared" ref="J27:J30" si="8">I27+H27</f>
        <v>142.80886339160688</v>
      </c>
      <c r="K27" s="143">
        <v>0</v>
      </c>
      <c r="L27" s="144">
        <v>142.80886339160688</v>
      </c>
      <c r="M27" s="18"/>
      <c r="N27" s="18"/>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s="8" customFormat="1">
      <c r="A28" s="15"/>
      <c r="B28" s="145" t="s">
        <v>45</v>
      </c>
      <c r="C28" s="146" t="s">
        <v>46</v>
      </c>
      <c r="D28" s="138">
        <v>69</v>
      </c>
      <c r="E28" s="139">
        <v>0.52232025787876424</v>
      </c>
      <c r="F28" s="140">
        <v>0.69000000000000006</v>
      </c>
      <c r="G28" s="141">
        <f t="shared" si="5"/>
        <v>36.040097793634729</v>
      </c>
      <c r="H28" s="142">
        <f t="shared" si="6"/>
        <v>105.04009779363473</v>
      </c>
      <c r="I28" s="142">
        <f t="shared" si="7"/>
        <v>72.477667477607966</v>
      </c>
      <c r="J28" s="142">
        <f t="shared" si="8"/>
        <v>177.51776527124269</v>
      </c>
      <c r="K28" s="143">
        <v>0</v>
      </c>
      <c r="L28" s="144">
        <v>177.51776527124269</v>
      </c>
      <c r="M28" s="18"/>
      <c r="N28" s="18"/>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s="8" customFormat="1">
      <c r="A29" s="15"/>
      <c r="B29" s="145" t="s">
        <v>47</v>
      </c>
      <c r="C29" s="146" t="s">
        <v>48</v>
      </c>
      <c r="D29" s="138">
        <v>47</v>
      </c>
      <c r="E29" s="139">
        <v>0.52232025787876424</v>
      </c>
      <c r="F29" s="140">
        <v>0.87</v>
      </c>
      <c r="G29" s="141">
        <f t="shared" si="5"/>
        <v>24.549052120301919</v>
      </c>
      <c r="H29" s="142">
        <f t="shared" si="6"/>
        <v>71.549052120301923</v>
      </c>
      <c r="I29" s="142">
        <f t="shared" si="7"/>
        <v>62.247675344662674</v>
      </c>
      <c r="J29" s="142">
        <f t="shared" si="8"/>
        <v>133.79672746496459</v>
      </c>
      <c r="K29" s="143">
        <v>0</v>
      </c>
      <c r="L29" s="144">
        <v>133.79672746496459</v>
      </c>
      <c r="M29" s="18"/>
      <c r="N29" s="18"/>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s="8" customFormat="1">
      <c r="A30" s="15"/>
      <c r="B30" s="145" t="s">
        <v>49</v>
      </c>
      <c r="C30" s="146" t="s">
        <v>50</v>
      </c>
      <c r="D30" s="138">
        <v>82</v>
      </c>
      <c r="E30" s="139">
        <v>0.52232025787876424</v>
      </c>
      <c r="F30" s="140">
        <v>0.69000000000000006</v>
      </c>
      <c r="G30" s="141">
        <f t="shared" si="5"/>
        <v>42.830261146058668</v>
      </c>
      <c r="H30" s="142">
        <f t="shared" si="6"/>
        <v>124.83026114605866</v>
      </c>
      <c r="I30" s="142">
        <f t="shared" si="7"/>
        <v>86.132880190780483</v>
      </c>
      <c r="J30" s="142">
        <f t="shared" si="8"/>
        <v>210.96314133683916</v>
      </c>
      <c r="K30" s="143">
        <v>0</v>
      </c>
      <c r="L30" s="144">
        <v>210.96314133683916</v>
      </c>
      <c r="M30" s="18"/>
      <c r="N30" s="18"/>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s="8" customFormat="1">
      <c r="A31" s="15"/>
      <c r="C31" s="9"/>
      <c r="D31" s="9"/>
      <c r="E31" s="9"/>
      <c r="F31" s="9"/>
      <c r="G31" s="9"/>
      <c r="H31" s="9"/>
      <c r="I31" s="9"/>
      <c r="J31" s="9"/>
      <c r="K31" s="9"/>
      <c r="L31" s="9"/>
      <c r="M31" s="18"/>
      <c r="N31" s="18"/>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s="8" customFormat="1">
      <c r="A32" s="15"/>
      <c r="C32" s="9"/>
      <c r="D32" s="9"/>
      <c r="E32" s="9"/>
      <c r="F32" s="9"/>
      <c r="G32" s="9"/>
      <c r="H32" s="9"/>
      <c r="I32" s="9"/>
      <c r="J32" s="9"/>
      <c r="K32" s="9"/>
      <c r="L32" s="9"/>
      <c r="M32" s="18"/>
      <c r="N32" s="18"/>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s="8" customFormat="1">
      <c r="A33" s="15"/>
      <c r="C33" s="9"/>
      <c r="D33" s="9"/>
      <c r="E33" s="9"/>
      <c r="F33" s="9"/>
      <c r="G33" s="9"/>
      <c r="H33" s="9"/>
      <c r="I33" s="9"/>
      <c r="J33" s="9"/>
      <c r="K33" s="9"/>
      <c r="L33" s="9"/>
      <c r="M33" s="18"/>
      <c r="N33" s="18"/>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B34" s="190" t="s">
        <v>255</v>
      </c>
      <c r="C34" s="190"/>
      <c r="D34" s="190"/>
      <c r="E34" s="190"/>
      <c r="F34" s="190"/>
      <c r="G34" s="190"/>
      <c r="H34" s="190"/>
      <c r="I34" s="190"/>
      <c r="J34" s="190"/>
      <c r="K34" s="190"/>
      <c r="L34" s="190"/>
    </row>
    <row r="35" spans="1:80" ht="45" customHeight="1">
      <c r="B35" s="42" t="s">
        <v>26</v>
      </c>
      <c r="C35" s="42" t="s">
        <v>27</v>
      </c>
      <c r="D35" s="42" t="s">
        <v>28</v>
      </c>
      <c r="E35" s="42" t="s">
        <v>29</v>
      </c>
      <c r="F35" s="42" t="s">
        <v>30</v>
      </c>
      <c r="G35" s="42" t="s">
        <v>31</v>
      </c>
      <c r="H35" s="42" t="s">
        <v>32</v>
      </c>
      <c r="I35" s="42" t="s">
        <v>33</v>
      </c>
      <c r="J35" s="42" t="s">
        <v>34</v>
      </c>
      <c r="K35" s="42" t="s">
        <v>35</v>
      </c>
      <c r="L35" s="42" t="s">
        <v>36</v>
      </c>
      <c r="M35" s="148"/>
    </row>
    <row r="36" spans="1:80" ht="43.2">
      <c r="B36" s="43"/>
      <c r="C36" s="43"/>
      <c r="D36" s="43" t="s">
        <v>254</v>
      </c>
      <c r="E36" s="43" t="s">
        <v>37</v>
      </c>
      <c r="F36" s="43" t="s">
        <v>37</v>
      </c>
      <c r="G36" s="43" t="s">
        <v>38</v>
      </c>
      <c r="H36" s="43" t="s">
        <v>38</v>
      </c>
      <c r="I36" s="43" t="s">
        <v>38</v>
      </c>
      <c r="J36" s="43" t="s">
        <v>39</v>
      </c>
      <c r="K36" s="43"/>
      <c r="L36" s="43" t="s">
        <v>40</v>
      </c>
      <c r="M36" s="148"/>
    </row>
    <row r="37" spans="1:80">
      <c r="B37" s="136" t="s">
        <v>41</v>
      </c>
      <c r="C37" s="137" t="s">
        <v>42</v>
      </c>
      <c r="D37" s="138">
        <f>D26*$G$8</f>
        <v>43.701767985457586</v>
      </c>
      <c r="E37" s="139">
        <f>E26</f>
        <v>0.52232025787876424</v>
      </c>
      <c r="F37" s="139">
        <f>F26</f>
        <v>0.5</v>
      </c>
      <c r="G37" s="141">
        <f>E37*D37</f>
        <v>22.826318723922128</v>
      </c>
      <c r="H37" s="142">
        <f>G37+D37</f>
        <v>66.528086709379721</v>
      </c>
      <c r="I37" s="142">
        <f>H37*F37</f>
        <v>33.264043354689861</v>
      </c>
      <c r="J37" s="142">
        <f>I37+H37</f>
        <v>99.792130064069582</v>
      </c>
      <c r="K37" s="143">
        <v>0</v>
      </c>
      <c r="L37" s="158">
        <v>102.26</v>
      </c>
    </row>
    <row r="38" spans="1:80">
      <c r="B38" s="145" t="s">
        <v>43</v>
      </c>
      <c r="C38" s="146" t="s">
        <v>44</v>
      </c>
      <c r="D38" s="138">
        <f t="shared" ref="D38:D41" si="9">D27*$G$8</f>
        <v>66.11293105492301</v>
      </c>
      <c r="E38" s="139">
        <f t="shared" ref="E38:F41" si="10">E27</f>
        <v>0.52232025787876424</v>
      </c>
      <c r="F38" s="139">
        <f t="shared" si="10"/>
        <v>0.59</v>
      </c>
      <c r="G38" s="141">
        <f t="shared" ref="G38:G41" si="11">E38*D38</f>
        <v>34.532123197728346</v>
      </c>
      <c r="H38" s="142">
        <f>G38+D38</f>
        <v>100.64505425265136</v>
      </c>
      <c r="I38" s="142">
        <f t="shared" ref="I38:I41" si="12">H38*F38</f>
        <v>59.380582009064298</v>
      </c>
      <c r="J38" s="142">
        <f t="shared" ref="J38:J41" si="13">I38+H38</f>
        <v>160.02563626171565</v>
      </c>
      <c r="K38" s="143">
        <v>0</v>
      </c>
      <c r="L38" s="158">
        <v>153.38999999999999</v>
      </c>
    </row>
    <row r="39" spans="1:80">
      <c r="B39" s="145" t="s">
        <v>45</v>
      </c>
      <c r="C39" s="146" t="s">
        <v>46</v>
      </c>
      <c r="D39" s="138">
        <f t="shared" si="9"/>
        <v>77.318512589655725</v>
      </c>
      <c r="E39" s="139">
        <f t="shared" si="10"/>
        <v>0.52232025787876424</v>
      </c>
      <c r="F39" s="139">
        <f t="shared" si="10"/>
        <v>0.69000000000000006</v>
      </c>
      <c r="G39" s="141">
        <f t="shared" si="11"/>
        <v>40.385025434631459</v>
      </c>
      <c r="H39" s="142">
        <f t="shared" ref="H39:H41" si="14">G39+D39</f>
        <v>117.70353802428718</v>
      </c>
      <c r="I39" s="142">
        <f t="shared" si="12"/>
        <v>81.215441236758167</v>
      </c>
      <c r="J39" s="142">
        <f t="shared" si="13"/>
        <v>198.91897926104537</v>
      </c>
      <c r="K39" s="143">
        <v>0</v>
      </c>
      <c r="L39" s="158">
        <v>191.74</v>
      </c>
    </row>
    <row r="40" spans="1:80">
      <c r="B40" s="145" t="s">
        <v>47</v>
      </c>
      <c r="C40" s="146" t="s">
        <v>48</v>
      </c>
      <c r="D40" s="138">
        <f t="shared" si="9"/>
        <v>52.666233213243757</v>
      </c>
      <c r="E40" s="139">
        <f t="shared" si="10"/>
        <v>0.52232025787876424</v>
      </c>
      <c r="F40" s="139">
        <f t="shared" si="10"/>
        <v>0.87</v>
      </c>
      <c r="G40" s="141">
        <f t="shared" si="11"/>
        <v>27.508640513444618</v>
      </c>
      <c r="H40" s="142">
        <f t="shared" si="14"/>
        <v>80.174873726688375</v>
      </c>
      <c r="I40" s="142">
        <f t="shared" si="12"/>
        <v>69.752140142218892</v>
      </c>
      <c r="J40" s="142">
        <f t="shared" si="13"/>
        <v>149.92701386890727</v>
      </c>
      <c r="K40" s="143">
        <v>0</v>
      </c>
      <c r="L40" s="158">
        <v>147.83000000000001</v>
      </c>
    </row>
    <row r="41" spans="1:80">
      <c r="B41" s="145" t="s">
        <v>49</v>
      </c>
      <c r="C41" s="146" t="s">
        <v>50</v>
      </c>
      <c r="D41" s="138">
        <f t="shared" si="9"/>
        <v>91.885768584808247</v>
      </c>
      <c r="E41" s="139">
        <f t="shared" si="10"/>
        <v>0.52232025787876424</v>
      </c>
      <c r="F41" s="139">
        <f t="shared" si="10"/>
        <v>0.69000000000000006</v>
      </c>
      <c r="G41" s="141">
        <f t="shared" si="11"/>
        <v>47.993798342605494</v>
      </c>
      <c r="H41" s="142">
        <f t="shared" si="14"/>
        <v>139.87956692741375</v>
      </c>
      <c r="I41" s="142">
        <f t="shared" si="12"/>
        <v>96.516901179915493</v>
      </c>
      <c r="J41" s="142">
        <f t="shared" si="13"/>
        <v>236.39646810732924</v>
      </c>
      <c r="K41" s="143">
        <v>0</v>
      </c>
      <c r="L41" s="158">
        <v>210.91</v>
      </c>
    </row>
    <row r="42" spans="1:80" s="125" customFormat="1"/>
    <row r="43" spans="1:80">
      <c r="B43" s="44" t="s">
        <v>13</v>
      </c>
      <c r="C43" s="125"/>
      <c r="D43" s="125"/>
      <c r="E43" s="125"/>
      <c r="F43" s="125"/>
      <c r="G43" s="125"/>
      <c r="H43" s="125"/>
      <c r="I43" s="125"/>
      <c r="J43" s="125"/>
      <c r="K43" s="125"/>
      <c r="L43" s="125"/>
    </row>
    <row r="44" spans="1:80" ht="14.4" customHeight="1">
      <c r="B44" s="191" t="s">
        <v>256</v>
      </c>
      <c r="C44" s="191"/>
      <c r="D44" s="191"/>
      <c r="E44" s="191"/>
      <c r="F44" s="191"/>
      <c r="G44" s="191"/>
      <c r="H44" s="191"/>
      <c r="I44" s="191"/>
      <c r="J44" s="191"/>
      <c r="K44" s="191"/>
      <c r="L44" s="191"/>
    </row>
    <row r="45" spans="1:80" s="125" customFormat="1"/>
    <row r="46" spans="1:80" s="125" customFormat="1"/>
    <row r="47" spans="1:80" s="125" customFormat="1" hidden="1"/>
    <row r="48" spans="1:80" s="125" customFormat="1" hidden="1"/>
    <row r="49" s="125" customFormat="1" hidden="1"/>
    <row r="50" s="125" customFormat="1" hidden="1"/>
    <row r="51" s="125" customFormat="1" hidden="1"/>
    <row r="52" s="125" customFormat="1" hidden="1"/>
    <row r="53" s="125" customFormat="1" hidden="1"/>
    <row r="54" s="125" customFormat="1" hidden="1"/>
    <row r="55" s="125" customFormat="1" hidden="1"/>
    <row r="56" s="125" customFormat="1" hidden="1"/>
    <row r="57" s="125" customFormat="1" hidden="1"/>
    <row r="58" s="125" customFormat="1" hidden="1"/>
    <row r="59" s="125" customFormat="1" hidden="1"/>
    <row r="60" s="125" customFormat="1" hidden="1"/>
    <row r="61" s="125" customFormat="1" hidden="1"/>
    <row r="62" s="125" customFormat="1" hidden="1"/>
    <row r="63" s="125" customFormat="1" hidden="1"/>
    <row r="64" s="125" customFormat="1" hidden="1"/>
    <row r="65" s="125" customFormat="1" hidden="1"/>
    <row r="66" s="125" customFormat="1" hidden="1"/>
    <row r="67" s="125" customFormat="1" hidden="1"/>
  </sheetData>
  <mergeCells count="2">
    <mergeCell ref="B34:L34"/>
    <mergeCell ref="B44:L44"/>
  </mergeCells>
  <pageMargins left="0.7" right="0.7" top="0.75" bottom="0.75" header="0.3" footer="0.3"/>
  <pageSetup paperSize="9"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E153"/>
  <sheetViews>
    <sheetView workbookViewId="0">
      <selection sqref="A1:A2"/>
    </sheetView>
  </sheetViews>
  <sheetFormatPr defaultColWidth="8.88671875" defaultRowHeight="14.4"/>
  <cols>
    <col min="1" max="1" width="47.6640625" style="93" customWidth="1"/>
    <col min="2" max="2" width="37.88671875" style="93" customWidth="1"/>
    <col min="3" max="3" width="11.33203125" style="93" customWidth="1"/>
    <col min="4" max="4" width="17.109375" style="93" customWidth="1"/>
    <col min="5" max="5" width="11.33203125" style="121" customWidth="1"/>
    <col min="6" max="6" width="19.6640625" style="93" customWidth="1"/>
    <col min="7" max="7" width="19.6640625" style="122" customWidth="1"/>
    <col min="8" max="14" width="19.6640625" style="93" customWidth="1"/>
    <col min="15" max="15" width="26.5546875" style="37" customWidth="1"/>
    <col min="16" max="16384" width="8.88671875" style="93"/>
  </cols>
  <sheetData>
    <row r="1" spans="1:15" ht="24">
      <c r="A1" s="194" t="s">
        <v>98</v>
      </c>
      <c r="B1" s="194" t="s">
        <v>99</v>
      </c>
      <c r="C1" s="195" t="s">
        <v>100</v>
      </c>
      <c r="D1" s="196"/>
      <c r="E1" s="199" t="s">
        <v>101</v>
      </c>
      <c r="F1" s="192" t="s">
        <v>102</v>
      </c>
      <c r="G1" s="88" t="s">
        <v>103</v>
      </c>
      <c r="H1" s="89" t="s">
        <v>104</v>
      </c>
      <c r="I1" s="90" t="s">
        <v>105</v>
      </c>
      <c r="J1" s="90" t="s">
        <v>106</v>
      </c>
      <c r="K1" s="90" t="s">
        <v>107</v>
      </c>
      <c r="L1" s="90" t="s">
        <v>107</v>
      </c>
      <c r="M1" s="91"/>
      <c r="N1" s="92"/>
      <c r="O1" s="192" t="s">
        <v>108</v>
      </c>
    </row>
    <row r="2" spans="1:15">
      <c r="A2" s="194"/>
      <c r="B2" s="194"/>
      <c r="C2" s="197"/>
      <c r="D2" s="198"/>
      <c r="E2" s="199"/>
      <c r="F2" s="193"/>
      <c r="G2" s="94" t="s">
        <v>109</v>
      </c>
      <c r="H2" s="94" t="s">
        <v>109</v>
      </c>
      <c r="I2" s="94" t="s">
        <v>109</v>
      </c>
      <c r="J2" s="94" t="s">
        <v>109</v>
      </c>
      <c r="K2" s="95" t="s">
        <v>110</v>
      </c>
      <c r="L2" s="95" t="s">
        <v>111</v>
      </c>
      <c r="M2" s="95" t="s">
        <v>112</v>
      </c>
      <c r="N2" s="95" t="s">
        <v>113</v>
      </c>
      <c r="O2" s="193"/>
    </row>
    <row r="3" spans="1:15">
      <c r="A3" s="96" t="s">
        <v>114</v>
      </c>
      <c r="B3" s="96" t="s">
        <v>115</v>
      </c>
      <c r="C3" s="96" t="s">
        <v>116</v>
      </c>
      <c r="D3" s="96" t="s">
        <v>117</v>
      </c>
      <c r="E3" s="97" t="s">
        <v>118</v>
      </c>
      <c r="F3" s="98" t="s">
        <v>119</v>
      </c>
      <c r="G3" s="99">
        <v>163</v>
      </c>
      <c r="H3" s="100">
        <v>428.43</v>
      </c>
      <c r="I3" s="101">
        <v>428.43</v>
      </c>
      <c r="J3" s="101">
        <v>428.72246328038557</v>
      </c>
      <c r="K3" s="101">
        <v>443.87051200434843</v>
      </c>
      <c r="L3" s="99">
        <v>455.38676016059338</v>
      </c>
      <c r="M3" s="99">
        <v>466.32135013961368</v>
      </c>
      <c r="N3" s="99">
        <v>482.67141605393874</v>
      </c>
      <c r="O3" s="102" t="s">
        <v>120</v>
      </c>
    </row>
    <row r="4" spans="1:15">
      <c r="A4" s="96" t="s">
        <v>114</v>
      </c>
      <c r="B4" s="96" t="s">
        <v>115</v>
      </c>
      <c r="C4" s="96" t="s">
        <v>116</v>
      </c>
      <c r="D4" s="96" t="s">
        <v>121</v>
      </c>
      <c r="E4" s="97" t="s">
        <v>118</v>
      </c>
      <c r="F4" s="98" t="s">
        <v>119</v>
      </c>
      <c r="G4" s="99">
        <v>244.99999999999997</v>
      </c>
      <c r="H4" s="100">
        <v>571.24</v>
      </c>
      <c r="I4" s="101">
        <v>571.24</v>
      </c>
      <c r="J4" s="101">
        <v>571.62995104051424</v>
      </c>
      <c r="K4" s="101">
        <v>591.82734933913139</v>
      </c>
      <c r="L4" s="99">
        <v>607.18234688079121</v>
      </c>
      <c r="M4" s="99">
        <v>621.7618001861515</v>
      </c>
      <c r="N4" s="99">
        <v>643.56188807191825</v>
      </c>
      <c r="O4" s="102" t="s">
        <v>120</v>
      </c>
    </row>
    <row r="5" spans="1:15">
      <c r="A5" s="96" t="s">
        <v>114</v>
      </c>
      <c r="B5" s="96" t="s">
        <v>115</v>
      </c>
      <c r="C5" s="96" t="s">
        <v>116</v>
      </c>
      <c r="D5" s="96" t="s">
        <v>122</v>
      </c>
      <c r="E5" s="97" t="s">
        <v>118</v>
      </c>
      <c r="F5" s="98" t="s">
        <v>119</v>
      </c>
      <c r="G5" s="99">
        <v>407.90909090909088</v>
      </c>
      <c r="H5" s="100">
        <v>999.67</v>
      </c>
      <c r="I5" s="101">
        <v>999.67</v>
      </c>
      <c r="J5" s="101">
        <v>1000.3524143208997</v>
      </c>
      <c r="K5" s="101">
        <v>1035.6978613434796</v>
      </c>
      <c r="L5" s="99">
        <v>1062.5691070413845</v>
      </c>
      <c r="M5" s="99">
        <v>1088.083150325765</v>
      </c>
      <c r="N5" s="99">
        <v>1126.2333041258569</v>
      </c>
      <c r="O5" s="102" t="s">
        <v>120</v>
      </c>
    </row>
    <row r="6" spans="1:15">
      <c r="A6" s="96" t="s">
        <v>114</v>
      </c>
      <c r="B6" s="96" t="s">
        <v>115</v>
      </c>
      <c r="C6" s="96" t="s">
        <v>116</v>
      </c>
      <c r="D6" s="96" t="s">
        <v>123</v>
      </c>
      <c r="E6" s="97" t="s">
        <v>118</v>
      </c>
      <c r="F6" s="98" t="s">
        <v>119</v>
      </c>
      <c r="G6" s="99">
        <v>489.90909090909082</v>
      </c>
      <c r="H6" s="100">
        <v>1285.29</v>
      </c>
      <c r="I6" s="101">
        <v>1285.29</v>
      </c>
      <c r="J6" s="101">
        <v>1286.1673898411568</v>
      </c>
      <c r="K6" s="101">
        <v>1331.6115360130455</v>
      </c>
      <c r="L6" s="99">
        <v>1366.1602804817801</v>
      </c>
      <c r="M6" s="99">
        <v>1398.9640504188408</v>
      </c>
      <c r="N6" s="99">
        <v>1448.0142481618161</v>
      </c>
      <c r="O6" s="102" t="s">
        <v>120</v>
      </c>
    </row>
    <row r="7" spans="1:15">
      <c r="A7" s="96" t="s">
        <v>114</v>
      </c>
      <c r="B7" s="96" t="s">
        <v>115</v>
      </c>
      <c r="C7" s="96" t="s">
        <v>124</v>
      </c>
      <c r="D7" s="96"/>
      <c r="E7" s="97" t="s">
        <v>118</v>
      </c>
      <c r="F7" s="98" t="s">
        <v>125</v>
      </c>
      <c r="G7" s="99">
        <v>82</v>
      </c>
      <c r="H7" s="100">
        <v>142.81</v>
      </c>
      <c r="I7" s="101">
        <v>142.81</v>
      </c>
      <c r="J7" s="101">
        <v>142.90748776012856</v>
      </c>
      <c r="K7" s="101">
        <v>147.95683733478285</v>
      </c>
      <c r="L7" s="99">
        <v>151.7955867201978</v>
      </c>
      <c r="M7" s="99">
        <v>155.44045004653788</v>
      </c>
      <c r="N7" s="99">
        <v>160.89047201797956</v>
      </c>
      <c r="O7" s="102" t="s">
        <v>126</v>
      </c>
    </row>
    <row r="8" spans="1:15">
      <c r="A8" s="96" t="s">
        <v>114</v>
      </c>
      <c r="B8" s="96" t="s">
        <v>115</v>
      </c>
      <c r="C8" s="96" t="s">
        <v>127</v>
      </c>
      <c r="D8" s="96"/>
      <c r="E8" s="97" t="s">
        <v>118</v>
      </c>
      <c r="F8" s="98" t="s">
        <v>125</v>
      </c>
      <c r="G8" s="99">
        <v>82</v>
      </c>
      <c r="H8" s="100">
        <v>142.81</v>
      </c>
      <c r="I8" s="101">
        <v>142.81</v>
      </c>
      <c r="J8" s="101">
        <v>142.90748776012856</v>
      </c>
      <c r="K8" s="101">
        <v>147.95683733478285</v>
      </c>
      <c r="L8" s="99">
        <v>151.7955867201978</v>
      </c>
      <c r="M8" s="99">
        <v>155.44045004653788</v>
      </c>
      <c r="N8" s="99">
        <v>160.89047201797956</v>
      </c>
      <c r="O8" s="102" t="s">
        <v>126</v>
      </c>
    </row>
    <row r="9" spans="1:15">
      <c r="A9" s="96" t="s">
        <v>114</v>
      </c>
      <c r="B9" s="96" t="s">
        <v>115</v>
      </c>
      <c r="C9" s="96" t="s">
        <v>128</v>
      </c>
      <c r="D9" s="96"/>
      <c r="E9" s="97" t="s">
        <v>118</v>
      </c>
      <c r="F9" s="98" t="s">
        <v>125</v>
      </c>
      <c r="G9" s="99">
        <v>82</v>
      </c>
      <c r="H9" s="100">
        <v>142.81</v>
      </c>
      <c r="I9" s="101">
        <v>142.81</v>
      </c>
      <c r="J9" s="101">
        <v>142.90748776012856</v>
      </c>
      <c r="K9" s="101">
        <v>147.95683733478285</v>
      </c>
      <c r="L9" s="99">
        <v>151.7955867201978</v>
      </c>
      <c r="M9" s="99">
        <v>155.44045004653788</v>
      </c>
      <c r="N9" s="99">
        <v>160.89047201797956</v>
      </c>
      <c r="O9" s="102" t="s">
        <v>126</v>
      </c>
    </row>
    <row r="10" spans="1:15">
      <c r="A10" s="96" t="s">
        <v>114</v>
      </c>
      <c r="B10" s="96" t="s">
        <v>115</v>
      </c>
      <c r="C10" s="96" t="s">
        <v>129</v>
      </c>
      <c r="D10" s="96"/>
      <c r="E10" s="97" t="s">
        <v>118</v>
      </c>
      <c r="F10" s="98" t="s">
        <v>125</v>
      </c>
      <c r="G10" s="99">
        <v>82</v>
      </c>
      <c r="H10" s="100">
        <v>142.81</v>
      </c>
      <c r="I10" s="101">
        <v>142.81</v>
      </c>
      <c r="J10" s="101">
        <v>142.90748776012856</v>
      </c>
      <c r="K10" s="101">
        <v>147.95683733478285</v>
      </c>
      <c r="L10" s="99">
        <v>151.7955867201978</v>
      </c>
      <c r="M10" s="99">
        <v>155.44045004653788</v>
      </c>
      <c r="N10" s="99">
        <v>160.89047201797956</v>
      </c>
      <c r="O10" s="102" t="s">
        <v>126</v>
      </c>
    </row>
    <row r="11" spans="1:15">
      <c r="A11" s="96" t="s">
        <v>114</v>
      </c>
      <c r="B11" s="96" t="s">
        <v>115</v>
      </c>
      <c r="C11" s="96" t="s">
        <v>129</v>
      </c>
      <c r="D11" s="96"/>
      <c r="E11" s="97" t="s">
        <v>118</v>
      </c>
      <c r="F11" s="98" t="s">
        <v>125</v>
      </c>
      <c r="G11" s="99">
        <v>98.36363636363636</v>
      </c>
      <c r="H11" s="100">
        <v>166.43754737754293</v>
      </c>
      <c r="I11" s="101">
        <v>166.43754737754293</v>
      </c>
      <c r="J11" s="101">
        <v>166.5511642369724</v>
      </c>
      <c r="K11" s="101">
        <v>172.43591571836234</v>
      </c>
      <c r="L11" s="99">
        <v>176.90977632129992</v>
      </c>
      <c r="M11" s="99">
        <v>181.15767291511264</v>
      </c>
      <c r="N11" s="99">
        <v>187.50938701132773</v>
      </c>
      <c r="O11" s="102" t="s">
        <v>126</v>
      </c>
    </row>
    <row r="12" spans="1:15">
      <c r="A12" s="96" t="s">
        <v>114</v>
      </c>
      <c r="B12" s="96" t="s">
        <v>115</v>
      </c>
      <c r="C12" s="96" t="s">
        <v>129</v>
      </c>
      <c r="D12" s="96"/>
      <c r="E12" s="97" t="s">
        <v>118</v>
      </c>
      <c r="F12" s="98" t="s">
        <v>125</v>
      </c>
      <c r="G12" s="99" t="s">
        <v>130</v>
      </c>
      <c r="H12" s="100">
        <v>210.96</v>
      </c>
      <c r="I12" s="101">
        <v>210.96</v>
      </c>
      <c r="J12" s="101">
        <v>211.10400964832095</v>
      </c>
      <c r="K12" s="101">
        <v>218.56294660139895</v>
      </c>
      <c r="L12" s="99">
        <v>224.23357590149797</v>
      </c>
      <c r="M12" s="99">
        <v>229.61779526516091</v>
      </c>
      <c r="N12" s="99">
        <v>237.66860847918892</v>
      </c>
      <c r="O12" s="102" t="s">
        <v>126</v>
      </c>
    </row>
    <row r="13" spans="1:15">
      <c r="A13" s="96" t="s">
        <v>114</v>
      </c>
      <c r="B13" s="96" t="s">
        <v>115</v>
      </c>
      <c r="C13" s="96" t="s">
        <v>131</v>
      </c>
      <c r="D13" s="96"/>
      <c r="E13" s="97" t="s">
        <v>118</v>
      </c>
      <c r="F13" s="98" t="s">
        <v>119</v>
      </c>
      <c r="G13" s="99" t="s">
        <v>130</v>
      </c>
      <c r="H13" s="100">
        <v>535.54</v>
      </c>
      <c r="I13" s="101">
        <v>535.54</v>
      </c>
      <c r="J13" s="101">
        <v>535.90558080708092</v>
      </c>
      <c r="K13" s="101">
        <v>554.84073010482177</v>
      </c>
      <c r="L13" s="99">
        <v>569.23610750041826</v>
      </c>
      <c r="M13" s="99">
        <v>582.90440878035781</v>
      </c>
      <c r="N13" s="99">
        <v>603.34208658013301</v>
      </c>
      <c r="O13" s="102" t="s">
        <v>132</v>
      </c>
    </row>
    <row r="14" spans="1:15">
      <c r="A14" s="96" t="s">
        <v>114</v>
      </c>
      <c r="B14" s="96" t="s">
        <v>115</v>
      </c>
      <c r="C14" s="96" t="s">
        <v>133</v>
      </c>
      <c r="D14" s="96"/>
      <c r="E14" s="97" t="s">
        <v>118</v>
      </c>
      <c r="F14" s="98" t="s">
        <v>125</v>
      </c>
      <c r="G14" s="99" t="s">
        <v>130</v>
      </c>
      <c r="H14" s="100">
        <v>142.81</v>
      </c>
      <c r="I14" s="101">
        <v>142.81</v>
      </c>
      <c r="J14" s="101">
        <v>142.90748776012856</v>
      </c>
      <c r="K14" s="101">
        <v>147.95683733478285</v>
      </c>
      <c r="L14" s="99">
        <v>151.7955867201978</v>
      </c>
      <c r="M14" s="99">
        <v>155.44045004653788</v>
      </c>
      <c r="N14" s="99">
        <v>160.89047201797956</v>
      </c>
      <c r="O14" s="102" t="s">
        <v>126</v>
      </c>
    </row>
    <row r="15" spans="1:15">
      <c r="A15" s="103" t="s">
        <v>114</v>
      </c>
      <c r="B15" s="103" t="s">
        <v>134</v>
      </c>
      <c r="C15" s="103" t="s">
        <v>135</v>
      </c>
      <c r="D15" s="103"/>
      <c r="E15" s="104" t="s">
        <v>118</v>
      </c>
      <c r="F15" s="105" t="s">
        <v>119</v>
      </c>
      <c r="G15" s="106"/>
      <c r="H15" s="107">
        <v>1285.29</v>
      </c>
      <c r="I15" s="108">
        <v>1285.29</v>
      </c>
      <c r="J15" s="108">
        <v>1286.1673898411568</v>
      </c>
      <c r="K15" s="108">
        <v>1331.6115360130455</v>
      </c>
      <c r="L15" s="106">
        <v>1366.1602804817801</v>
      </c>
      <c r="M15" s="99">
        <v>1398.9640504188408</v>
      </c>
      <c r="N15" s="99">
        <v>1448.0142481618161</v>
      </c>
      <c r="O15" s="109" t="s">
        <v>120</v>
      </c>
    </row>
    <row r="16" spans="1:15">
      <c r="A16" s="96" t="s">
        <v>114</v>
      </c>
      <c r="B16" s="96" t="s">
        <v>134</v>
      </c>
      <c r="C16" s="96" t="s">
        <v>116</v>
      </c>
      <c r="D16" s="96" t="s">
        <v>117</v>
      </c>
      <c r="E16" s="97" t="s">
        <v>118</v>
      </c>
      <c r="F16" s="98" t="s">
        <v>119</v>
      </c>
      <c r="G16" s="99">
        <v>82</v>
      </c>
      <c r="H16" s="100">
        <v>285.62</v>
      </c>
      <c r="I16" s="101">
        <v>285.62</v>
      </c>
      <c r="J16" s="101">
        <v>285.81497552025712</v>
      </c>
      <c r="K16" s="101">
        <v>295.91367466956569</v>
      </c>
      <c r="L16" s="99">
        <v>303.59117344039561</v>
      </c>
      <c r="M16" s="99">
        <v>310.88090009307575</v>
      </c>
      <c r="N16" s="99">
        <v>321.78094403595912</v>
      </c>
      <c r="O16" s="102" t="s">
        <v>120</v>
      </c>
    </row>
    <row r="17" spans="1:15">
      <c r="A17" s="96" t="s">
        <v>114</v>
      </c>
      <c r="B17" s="96" t="s">
        <v>134</v>
      </c>
      <c r="C17" s="96" t="s">
        <v>116</v>
      </c>
      <c r="D17" s="96" t="s">
        <v>136</v>
      </c>
      <c r="E17" s="97" t="s">
        <v>118</v>
      </c>
      <c r="F17" s="98" t="s">
        <v>119</v>
      </c>
      <c r="G17" s="99">
        <v>163</v>
      </c>
      <c r="H17" s="100">
        <v>428.43</v>
      </c>
      <c r="I17" s="101">
        <v>428.43</v>
      </c>
      <c r="J17" s="101">
        <v>428.72246328038557</v>
      </c>
      <c r="K17" s="101">
        <v>443.87051200434843</v>
      </c>
      <c r="L17" s="99">
        <v>455.38676016059338</v>
      </c>
      <c r="M17" s="99">
        <v>466.32135013961368</v>
      </c>
      <c r="N17" s="99">
        <v>482.67141605393874</v>
      </c>
      <c r="O17" s="102" t="s">
        <v>120</v>
      </c>
    </row>
    <row r="18" spans="1:15">
      <c r="A18" s="96" t="s">
        <v>114</v>
      </c>
      <c r="B18" s="96" t="s">
        <v>134</v>
      </c>
      <c r="C18" s="96" t="s">
        <v>116</v>
      </c>
      <c r="D18" s="96" t="s">
        <v>122</v>
      </c>
      <c r="E18" s="97" t="s">
        <v>118</v>
      </c>
      <c r="F18" s="98" t="s">
        <v>119</v>
      </c>
      <c r="G18" s="99">
        <v>244.99999999999997</v>
      </c>
      <c r="H18" s="100">
        <v>714.05</v>
      </c>
      <c r="I18" s="101">
        <v>714.05</v>
      </c>
      <c r="J18" s="101">
        <v>714.53743880064258</v>
      </c>
      <c r="K18" s="101">
        <v>739.78418667391406</v>
      </c>
      <c r="L18" s="99">
        <v>758.97793360098888</v>
      </c>
      <c r="M18" s="99">
        <v>777.20225023268927</v>
      </c>
      <c r="N18" s="99">
        <v>804.45236008989775</v>
      </c>
      <c r="O18" s="102" t="s">
        <v>120</v>
      </c>
    </row>
    <row r="19" spans="1:15">
      <c r="A19" s="96" t="s">
        <v>114</v>
      </c>
      <c r="B19" s="96" t="s">
        <v>134</v>
      </c>
      <c r="C19" s="96" t="s">
        <v>116</v>
      </c>
      <c r="D19" s="96" t="s">
        <v>123</v>
      </c>
      <c r="E19" s="97" t="s">
        <v>118</v>
      </c>
      <c r="F19" s="98" t="s">
        <v>119</v>
      </c>
      <c r="G19" s="99">
        <v>325.90909090909088</v>
      </c>
      <c r="H19" s="100">
        <v>856.86</v>
      </c>
      <c r="I19" s="101">
        <v>856.86</v>
      </c>
      <c r="J19" s="101">
        <v>857.44492656077114</v>
      </c>
      <c r="K19" s="101">
        <v>887.74102400869685</v>
      </c>
      <c r="L19" s="99">
        <v>910.77352032118677</v>
      </c>
      <c r="M19" s="99">
        <v>932.64270027922737</v>
      </c>
      <c r="N19" s="99">
        <v>965.34283210787748</v>
      </c>
      <c r="O19" s="102" t="s">
        <v>120</v>
      </c>
    </row>
    <row r="20" spans="1:15">
      <c r="A20" s="96" t="s">
        <v>114</v>
      </c>
      <c r="B20" s="96" t="s">
        <v>134</v>
      </c>
      <c r="C20" s="96" t="s">
        <v>124</v>
      </c>
      <c r="D20" s="96" t="s">
        <v>137</v>
      </c>
      <c r="E20" s="97" t="s">
        <v>118</v>
      </c>
      <c r="F20" s="98" t="s">
        <v>119</v>
      </c>
      <c r="G20" s="99">
        <v>82</v>
      </c>
      <c r="H20" s="100">
        <v>285.62</v>
      </c>
      <c r="I20" s="101">
        <v>285.62</v>
      </c>
      <c r="J20" s="101">
        <v>285.81497552025712</v>
      </c>
      <c r="K20" s="101">
        <v>295.91367466956569</v>
      </c>
      <c r="L20" s="99">
        <v>303.59117344039561</v>
      </c>
      <c r="M20" s="99">
        <v>310.88090009307575</v>
      </c>
      <c r="N20" s="99">
        <v>321.78094403595912</v>
      </c>
      <c r="O20" s="102" t="s">
        <v>120</v>
      </c>
    </row>
    <row r="21" spans="1:15">
      <c r="A21" s="96" t="s">
        <v>114</v>
      </c>
      <c r="B21" s="96" t="s">
        <v>134</v>
      </c>
      <c r="C21" s="96" t="s">
        <v>124</v>
      </c>
      <c r="D21" s="96" t="s">
        <v>138</v>
      </c>
      <c r="E21" s="97" t="s">
        <v>118</v>
      </c>
      <c r="F21" s="98" t="s">
        <v>119</v>
      </c>
      <c r="G21" s="99">
        <v>163</v>
      </c>
      <c r="H21" s="100">
        <v>428.43</v>
      </c>
      <c r="I21" s="101">
        <v>428.43</v>
      </c>
      <c r="J21" s="101">
        <v>428.72246328038557</v>
      </c>
      <c r="K21" s="101">
        <v>443.87051200434843</v>
      </c>
      <c r="L21" s="99">
        <v>455.38676016059338</v>
      </c>
      <c r="M21" s="99">
        <v>466.32135013961368</v>
      </c>
      <c r="N21" s="99">
        <v>482.67141605393874</v>
      </c>
      <c r="O21" s="102" t="s">
        <v>120</v>
      </c>
    </row>
    <row r="22" spans="1:15">
      <c r="A22" s="96" t="s">
        <v>114</v>
      </c>
      <c r="B22" s="96" t="s">
        <v>134</v>
      </c>
      <c r="C22" s="96" t="s">
        <v>124</v>
      </c>
      <c r="D22" s="96" t="s">
        <v>139</v>
      </c>
      <c r="E22" s="97" t="s">
        <v>118</v>
      </c>
      <c r="F22" s="98" t="s">
        <v>119</v>
      </c>
      <c r="G22" s="99">
        <v>244.99999999999997</v>
      </c>
      <c r="H22" s="100">
        <v>714.05</v>
      </c>
      <c r="I22" s="101">
        <v>714.05</v>
      </c>
      <c r="J22" s="101">
        <v>714.53743880064258</v>
      </c>
      <c r="K22" s="101">
        <v>739.78418667391406</v>
      </c>
      <c r="L22" s="99">
        <v>758.97793360098888</v>
      </c>
      <c r="M22" s="99">
        <v>777.20225023268927</v>
      </c>
      <c r="N22" s="99">
        <v>804.45236008989775</v>
      </c>
      <c r="O22" s="102" t="s">
        <v>120</v>
      </c>
    </row>
    <row r="23" spans="1:15">
      <c r="A23" s="96" t="s">
        <v>114</v>
      </c>
      <c r="B23" s="96" t="s">
        <v>134</v>
      </c>
      <c r="C23" s="96" t="s">
        <v>127</v>
      </c>
      <c r="D23" s="96" t="s">
        <v>140</v>
      </c>
      <c r="E23" s="97" t="s">
        <v>118</v>
      </c>
      <c r="F23" s="98" t="s">
        <v>119</v>
      </c>
      <c r="G23" s="99">
        <v>163</v>
      </c>
      <c r="H23" s="100">
        <v>428.43</v>
      </c>
      <c r="I23" s="101">
        <v>428.43</v>
      </c>
      <c r="J23" s="101">
        <v>428.72246328038557</v>
      </c>
      <c r="K23" s="101">
        <v>443.87051200434843</v>
      </c>
      <c r="L23" s="99">
        <v>455.38676016059338</v>
      </c>
      <c r="M23" s="99">
        <v>466.32135013961368</v>
      </c>
      <c r="N23" s="99">
        <v>482.67141605393874</v>
      </c>
      <c r="O23" s="102" t="s">
        <v>120</v>
      </c>
    </row>
    <row r="24" spans="1:15">
      <c r="A24" s="96" t="s">
        <v>114</v>
      </c>
      <c r="B24" s="96" t="s">
        <v>134</v>
      </c>
      <c r="C24" s="96" t="s">
        <v>127</v>
      </c>
      <c r="D24" s="96" t="s">
        <v>141</v>
      </c>
      <c r="E24" s="97" t="s">
        <v>118</v>
      </c>
      <c r="F24" s="98" t="s">
        <v>119</v>
      </c>
      <c r="G24" s="99">
        <v>244.99999999999997</v>
      </c>
      <c r="H24" s="100">
        <v>571.24</v>
      </c>
      <c r="I24" s="101">
        <v>571.24</v>
      </c>
      <c r="J24" s="101">
        <v>571.62995104051424</v>
      </c>
      <c r="K24" s="101">
        <v>591.82734933913139</v>
      </c>
      <c r="L24" s="99">
        <v>607.18234688079121</v>
      </c>
      <c r="M24" s="99">
        <v>621.7618001861515</v>
      </c>
      <c r="N24" s="99">
        <v>643.56188807191825</v>
      </c>
      <c r="O24" s="102" t="s">
        <v>120</v>
      </c>
    </row>
    <row r="25" spans="1:15">
      <c r="A25" s="96" t="s">
        <v>114</v>
      </c>
      <c r="B25" s="96" t="s">
        <v>134</v>
      </c>
      <c r="C25" s="96" t="s">
        <v>127</v>
      </c>
      <c r="D25" s="96" t="s">
        <v>123</v>
      </c>
      <c r="E25" s="97" t="s">
        <v>118</v>
      </c>
      <c r="F25" s="98" t="s">
        <v>119</v>
      </c>
      <c r="G25" s="99">
        <v>489.99999999999994</v>
      </c>
      <c r="H25" s="100">
        <v>856.86</v>
      </c>
      <c r="I25" s="101">
        <v>856.86</v>
      </c>
      <c r="J25" s="101">
        <v>857.44492656077114</v>
      </c>
      <c r="K25" s="101">
        <v>887.74102400869685</v>
      </c>
      <c r="L25" s="99">
        <v>910.77352032118677</v>
      </c>
      <c r="M25" s="99">
        <v>932.64270027922737</v>
      </c>
      <c r="N25" s="99">
        <v>965.34283210787748</v>
      </c>
      <c r="O25" s="102" t="s">
        <v>120</v>
      </c>
    </row>
    <row r="26" spans="1:15">
      <c r="A26" s="96" t="s">
        <v>114</v>
      </c>
      <c r="B26" s="96" t="s">
        <v>134</v>
      </c>
      <c r="C26" s="96" t="s">
        <v>128</v>
      </c>
      <c r="D26" s="96"/>
      <c r="E26" s="97" t="s">
        <v>118</v>
      </c>
      <c r="F26" s="98" t="s">
        <v>125</v>
      </c>
      <c r="G26" s="99">
        <v>98.36363636363636</v>
      </c>
      <c r="H26" s="100" t="s">
        <v>261</v>
      </c>
      <c r="I26" s="101">
        <v>166.43754737754293</v>
      </c>
      <c r="J26" s="101">
        <v>166.5511642369724</v>
      </c>
      <c r="K26" s="101">
        <v>172.43591571836234</v>
      </c>
      <c r="L26" s="99">
        <v>176.90977632129992</v>
      </c>
      <c r="M26" s="99">
        <v>181.15767291511264</v>
      </c>
      <c r="N26" s="99">
        <v>187.50938701132773</v>
      </c>
      <c r="O26" s="102" t="s">
        <v>126</v>
      </c>
    </row>
    <row r="27" spans="1:15">
      <c r="A27" s="96" t="s">
        <v>114</v>
      </c>
      <c r="B27" s="96" t="s">
        <v>134</v>
      </c>
      <c r="C27" s="96" t="s">
        <v>129</v>
      </c>
      <c r="D27" s="96"/>
      <c r="E27" s="97" t="s">
        <v>118</v>
      </c>
      <c r="F27" s="98" t="s">
        <v>125</v>
      </c>
      <c r="G27" s="99">
        <v>82</v>
      </c>
      <c r="H27" s="100" t="s">
        <v>262</v>
      </c>
      <c r="I27" s="101">
        <v>142.81</v>
      </c>
      <c r="J27" s="101">
        <v>142.90748776012856</v>
      </c>
      <c r="K27" s="101">
        <v>147.95683733478285</v>
      </c>
      <c r="L27" s="99">
        <v>151.7955867201978</v>
      </c>
      <c r="M27" s="99">
        <v>155.44045004653788</v>
      </c>
      <c r="N27" s="99">
        <v>160.89047201797956</v>
      </c>
      <c r="O27" s="102" t="s">
        <v>126</v>
      </c>
    </row>
    <row r="28" spans="1:15">
      <c r="A28" s="96" t="s">
        <v>114</v>
      </c>
      <c r="B28" s="96" t="s">
        <v>134</v>
      </c>
      <c r="C28" s="96" t="s">
        <v>129</v>
      </c>
      <c r="D28" s="96"/>
      <c r="E28" s="97" t="s">
        <v>118</v>
      </c>
      <c r="F28" s="98" t="s">
        <v>125</v>
      </c>
      <c r="G28" s="99">
        <v>98.36363636363636</v>
      </c>
      <c r="H28" s="100" t="s">
        <v>262</v>
      </c>
      <c r="I28" s="101">
        <v>166.43754737754293</v>
      </c>
      <c r="J28" s="101">
        <v>166.5511642369724</v>
      </c>
      <c r="K28" s="101">
        <v>172.43591571836234</v>
      </c>
      <c r="L28" s="99">
        <v>176.90977632129992</v>
      </c>
      <c r="M28" s="99">
        <v>181.15767291511264</v>
      </c>
      <c r="N28" s="99">
        <v>187.50938701132773</v>
      </c>
      <c r="O28" s="102" t="s">
        <v>126</v>
      </c>
    </row>
    <row r="29" spans="1:15">
      <c r="A29" s="96" t="s">
        <v>114</v>
      </c>
      <c r="B29" s="96" t="s">
        <v>134</v>
      </c>
      <c r="C29" s="96" t="s">
        <v>142</v>
      </c>
      <c r="D29" s="96"/>
      <c r="E29" s="97" t="s">
        <v>118</v>
      </c>
      <c r="F29" s="98" t="s">
        <v>119</v>
      </c>
      <c r="G29" s="110" t="s">
        <v>130</v>
      </c>
      <c r="H29" s="100">
        <v>856.86</v>
      </c>
      <c r="I29" s="101">
        <v>856.86</v>
      </c>
      <c r="J29" s="101">
        <v>857.44492656077114</v>
      </c>
      <c r="K29" s="101">
        <v>887.74102400869685</v>
      </c>
      <c r="L29" s="99">
        <v>910.77352032118677</v>
      </c>
      <c r="M29" s="99">
        <v>932.64270027922737</v>
      </c>
      <c r="N29" s="99">
        <v>965.34283210787748</v>
      </c>
      <c r="O29" s="102" t="s">
        <v>132</v>
      </c>
    </row>
    <row r="30" spans="1:15">
      <c r="A30" s="103" t="s">
        <v>114</v>
      </c>
      <c r="B30" s="103" t="s">
        <v>134</v>
      </c>
      <c r="C30" s="103" t="s">
        <v>143</v>
      </c>
      <c r="D30" s="103"/>
      <c r="E30" s="104" t="s">
        <v>118</v>
      </c>
      <c r="F30" s="105" t="s">
        <v>125</v>
      </c>
      <c r="G30" s="111" t="s">
        <v>130</v>
      </c>
      <c r="H30" s="107">
        <v>142.81</v>
      </c>
      <c r="I30" s="108">
        <v>142.81</v>
      </c>
      <c r="J30" s="108">
        <v>142.90748776012856</v>
      </c>
      <c r="K30" s="108">
        <v>147.95683733478285</v>
      </c>
      <c r="L30" s="106">
        <v>151.7955867201978</v>
      </c>
      <c r="M30" s="99">
        <v>155.44045004653788</v>
      </c>
      <c r="N30" s="99">
        <v>160.89047201797956</v>
      </c>
      <c r="O30" s="109" t="s">
        <v>132</v>
      </c>
    </row>
    <row r="31" spans="1:15">
      <c r="A31" s="96" t="s">
        <v>114</v>
      </c>
      <c r="B31" s="96" t="s">
        <v>134</v>
      </c>
      <c r="C31" s="96" t="s">
        <v>133</v>
      </c>
      <c r="D31" s="96"/>
      <c r="E31" s="97" t="s">
        <v>118</v>
      </c>
      <c r="F31" s="98" t="s">
        <v>125</v>
      </c>
      <c r="G31" s="110" t="s">
        <v>130</v>
      </c>
      <c r="H31" s="100" t="s">
        <v>263</v>
      </c>
      <c r="I31" s="101">
        <v>142.81</v>
      </c>
      <c r="J31" s="101">
        <v>142.90748776012856</v>
      </c>
      <c r="K31" s="101">
        <v>147.95683733478285</v>
      </c>
      <c r="L31" s="99">
        <v>151.7955867201978</v>
      </c>
      <c r="M31" s="99">
        <v>155.44045004653788</v>
      </c>
      <c r="N31" s="99">
        <v>160.89047201797956</v>
      </c>
      <c r="O31" s="102" t="s">
        <v>126</v>
      </c>
    </row>
    <row r="32" spans="1:15">
      <c r="A32" s="96" t="s">
        <v>114</v>
      </c>
      <c r="B32" s="96" t="s">
        <v>144</v>
      </c>
      <c r="C32" s="96" t="s">
        <v>116</v>
      </c>
      <c r="D32" s="96"/>
      <c r="E32" s="97" t="s">
        <v>118</v>
      </c>
      <c r="F32" s="98" t="s">
        <v>125</v>
      </c>
      <c r="G32" s="99">
        <v>82</v>
      </c>
      <c r="H32" s="100" t="s">
        <v>263</v>
      </c>
      <c r="I32" s="101">
        <v>142.81</v>
      </c>
      <c r="J32" s="101">
        <v>142.90748776012856</v>
      </c>
      <c r="K32" s="101">
        <v>147.95683733478285</v>
      </c>
      <c r="L32" s="99">
        <v>151.7955867201978</v>
      </c>
      <c r="M32" s="99">
        <v>155.44045004653788</v>
      </c>
      <c r="N32" s="99">
        <v>160.89047201797956</v>
      </c>
      <c r="O32" s="102" t="s">
        <v>126</v>
      </c>
    </row>
    <row r="33" spans="1:16">
      <c r="A33" s="96" t="s">
        <v>114</v>
      </c>
      <c r="B33" s="96" t="s">
        <v>144</v>
      </c>
      <c r="C33" s="96" t="s">
        <v>124</v>
      </c>
      <c r="D33" s="96"/>
      <c r="E33" s="97" t="s">
        <v>118</v>
      </c>
      <c r="F33" s="98" t="s">
        <v>125</v>
      </c>
      <c r="G33" s="99">
        <v>82</v>
      </c>
      <c r="H33" s="100" t="s">
        <v>263</v>
      </c>
      <c r="I33" s="101">
        <v>142.81</v>
      </c>
      <c r="J33" s="101">
        <v>142.90748776012856</v>
      </c>
      <c r="K33" s="101">
        <v>147.95683733478285</v>
      </c>
      <c r="L33" s="99">
        <v>151.7955867201978</v>
      </c>
      <c r="M33" s="99">
        <v>155.44045004653788</v>
      </c>
      <c r="N33" s="99">
        <v>160.89047201797956</v>
      </c>
      <c r="O33" s="102" t="s">
        <v>126</v>
      </c>
    </row>
    <row r="34" spans="1:16">
      <c r="A34" s="96" t="s">
        <v>114</v>
      </c>
      <c r="B34" s="96" t="s">
        <v>144</v>
      </c>
      <c r="C34" s="96" t="s">
        <v>127</v>
      </c>
      <c r="D34" s="96"/>
      <c r="E34" s="97" t="s">
        <v>118</v>
      </c>
      <c r="F34" s="98" t="s">
        <v>125</v>
      </c>
      <c r="G34" s="99">
        <v>82</v>
      </c>
      <c r="H34" s="100" t="s">
        <v>263</v>
      </c>
      <c r="I34" s="101">
        <v>142.81</v>
      </c>
      <c r="J34" s="101">
        <v>142.90748776012856</v>
      </c>
      <c r="K34" s="101">
        <v>147.95683733478285</v>
      </c>
      <c r="L34" s="99">
        <v>151.7955867201978</v>
      </c>
      <c r="M34" s="99">
        <v>155.44045004653788</v>
      </c>
      <c r="N34" s="99">
        <v>160.89047201797956</v>
      </c>
      <c r="O34" s="102" t="s">
        <v>126</v>
      </c>
    </row>
    <row r="35" spans="1:16" ht="24">
      <c r="A35" s="96" t="s">
        <v>114</v>
      </c>
      <c r="B35" s="96" t="s">
        <v>144</v>
      </c>
      <c r="C35" s="96" t="s">
        <v>145</v>
      </c>
      <c r="D35" s="96"/>
      <c r="E35" s="97" t="s">
        <v>118</v>
      </c>
      <c r="F35" s="98" t="s">
        <v>125</v>
      </c>
      <c r="G35" s="99">
        <v>98.36363636363636</v>
      </c>
      <c r="H35" s="100" t="s">
        <v>264</v>
      </c>
      <c r="I35" s="101">
        <v>166.43754737754293</v>
      </c>
      <c r="J35" s="101">
        <v>166.5511642369724</v>
      </c>
      <c r="K35" s="101">
        <v>172.43591571836234</v>
      </c>
      <c r="L35" s="99">
        <v>176.90977632129992</v>
      </c>
      <c r="M35" s="99">
        <v>181.15767291511264</v>
      </c>
      <c r="N35" s="99">
        <v>187.50938701132773</v>
      </c>
      <c r="O35" s="102" t="s">
        <v>126</v>
      </c>
    </row>
    <row r="36" spans="1:16" ht="24">
      <c r="A36" s="96" t="s">
        <v>114</v>
      </c>
      <c r="B36" s="96" t="s">
        <v>144</v>
      </c>
      <c r="C36" s="96" t="s">
        <v>146</v>
      </c>
      <c r="D36" s="96"/>
      <c r="E36" s="97" t="s">
        <v>118</v>
      </c>
      <c r="F36" s="98" t="s">
        <v>125</v>
      </c>
      <c r="G36" s="99" t="s">
        <v>130</v>
      </c>
      <c r="H36" s="100" t="s">
        <v>264</v>
      </c>
      <c r="I36" s="101">
        <v>210.96</v>
      </c>
      <c r="J36" s="101">
        <v>211.10400964832095</v>
      </c>
      <c r="K36" s="101">
        <v>218.56294660139895</v>
      </c>
      <c r="L36" s="99">
        <v>224.23357590149797</v>
      </c>
      <c r="M36" s="99">
        <v>229.61779526516091</v>
      </c>
      <c r="N36" s="99">
        <v>237.66860847918892</v>
      </c>
      <c r="O36" s="102" t="s">
        <v>126</v>
      </c>
    </row>
    <row r="37" spans="1:16" ht="24">
      <c r="A37" s="96" t="s">
        <v>114</v>
      </c>
      <c r="B37" s="96" t="s">
        <v>144</v>
      </c>
      <c r="C37" s="96" t="s">
        <v>147</v>
      </c>
      <c r="D37" s="96"/>
      <c r="E37" s="97" t="s">
        <v>118</v>
      </c>
      <c r="F37" s="98" t="s">
        <v>125</v>
      </c>
      <c r="G37" s="99">
        <v>82</v>
      </c>
      <c r="H37" s="100" t="s">
        <v>265</v>
      </c>
      <c r="I37" s="101">
        <v>166.43754737754293</v>
      </c>
      <c r="J37" s="101">
        <v>166.5511642369724</v>
      </c>
      <c r="K37" s="101">
        <v>172.43591571836234</v>
      </c>
      <c r="L37" s="99">
        <v>176.90977632129992</v>
      </c>
      <c r="M37" s="99">
        <v>181.15767291511264</v>
      </c>
      <c r="N37" s="99">
        <v>187.50938701132773</v>
      </c>
      <c r="O37" s="102" t="s">
        <v>126</v>
      </c>
      <c r="P37" s="112"/>
    </row>
    <row r="38" spans="1:16" ht="24">
      <c r="A38" s="96" t="s">
        <v>114</v>
      </c>
      <c r="B38" s="96" t="s">
        <v>144</v>
      </c>
      <c r="C38" s="96" t="s">
        <v>148</v>
      </c>
      <c r="D38" s="96"/>
      <c r="E38" s="97" t="s">
        <v>118</v>
      </c>
      <c r="F38" s="98" t="s">
        <v>125</v>
      </c>
      <c r="G38" s="99">
        <v>98.36363636363636</v>
      </c>
      <c r="H38" s="100" t="s">
        <v>265</v>
      </c>
      <c r="I38" s="101">
        <v>210.96</v>
      </c>
      <c r="J38" s="101">
        <v>211.10400964832095</v>
      </c>
      <c r="K38" s="101">
        <v>218.56294660139895</v>
      </c>
      <c r="L38" s="99">
        <v>224.23357590149797</v>
      </c>
      <c r="M38" s="99">
        <v>229.61779526516091</v>
      </c>
      <c r="N38" s="99">
        <v>237.66860847918892</v>
      </c>
      <c r="O38" s="102" t="s">
        <v>126</v>
      </c>
      <c r="P38" s="112"/>
    </row>
    <row r="39" spans="1:16">
      <c r="A39" s="96" t="s">
        <v>149</v>
      </c>
      <c r="B39" s="96" t="s">
        <v>150</v>
      </c>
      <c r="C39" s="96" t="s">
        <v>116</v>
      </c>
      <c r="D39" s="96" t="s">
        <v>151</v>
      </c>
      <c r="E39" s="97" t="s">
        <v>118</v>
      </c>
      <c r="F39" s="98" t="s">
        <v>119</v>
      </c>
      <c r="G39" s="99" t="s">
        <v>152</v>
      </c>
      <c r="H39" s="100">
        <v>71.41</v>
      </c>
      <c r="I39" s="101">
        <v>71.41</v>
      </c>
      <c r="J39" s="101">
        <v>71.458747293262221</v>
      </c>
      <c r="K39" s="101">
        <v>73.983598866163717</v>
      </c>
      <c r="L39" s="99">
        <v>75.903107959451887</v>
      </c>
      <c r="M39" s="99">
        <v>77.725667234950436</v>
      </c>
      <c r="N39" s="99">
        <v>80.450869034408825</v>
      </c>
      <c r="O39" s="102" t="s">
        <v>153</v>
      </c>
      <c r="P39" s="112"/>
    </row>
    <row r="40" spans="1:16">
      <c r="A40" s="96" t="s">
        <v>149</v>
      </c>
      <c r="B40" s="96" t="s">
        <v>150</v>
      </c>
      <c r="C40" s="96" t="s">
        <v>116</v>
      </c>
      <c r="D40" s="96" t="s">
        <v>154</v>
      </c>
      <c r="E40" s="97" t="s">
        <v>118</v>
      </c>
      <c r="F40" s="98" t="s">
        <v>119</v>
      </c>
      <c r="G40" s="99" t="s">
        <v>152</v>
      </c>
      <c r="H40" s="100">
        <v>171.37</v>
      </c>
      <c r="I40" s="101">
        <v>171.37</v>
      </c>
      <c r="J40" s="101">
        <v>171.48698394687509</v>
      </c>
      <c r="K40" s="101">
        <v>177.54613272223051</v>
      </c>
      <c r="L40" s="99">
        <v>182.15257822449621</v>
      </c>
      <c r="M40" s="99">
        <v>186.52636317117293</v>
      </c>
      <c r="N40" s="99">
        <v>193.06631321140796</v>
      </c>
      <c r="O40" s="102" t="s">
        <v>153</v>
      </c>
      <c r="P40" s="112"/>
    </row>
    <row r="41" spans="1:16">
      <c r="A41" s="96" t="s">
        <v>149</v>
      </c>
      <c r="B41" s="96" t="s">
        <v>150</v>
      </c>
      <c r="C41" s="96" t="s">
        <v>116</v>
      </c>
      <c r="D41" s="96" t="s">
        <v>155</v>
      </c>
      <c r="E41" s="97" t="s">
        <v>118</v>
      </c>
      <c r="F41" s="98" t="s">
        <v>119</v>
      </c>
      <c r="G41" s="99" t="s">
        <v>152</v>
      </c>
      <c r="H41" s="100">
        <v>357.03</v>
      </c>
      <c r="I41" s="101">
        <v>357.03</v>
      </c>
      <c r="J41" s="101">
        <v>357.27372281351927</v>
      </c>
      <c r="K41" s="101">
        <v>369.89727353572937</v>
      </c>
      <c r="L41" s="99">
        <v>379.49428139984747</v>
      </c>
      <c r="M41" s="99">
        <v>388.60656732802613</v>
      </c>
      <c r="N41" s="99">
        <v>402.23181307036788</v>
      </c>
      <c r="O41" s="102" t="s">
        <v>153</v>
      </c>
      <c r="P41" s="112"/>
    </row>
    <row r="42" spans="1:16">
      <c r="A42" s="96" t="s">
        <v>149</v>
      </c>
      <c r="B42" s="96" t="s">
        <v>150</v>
      </c>
      <c r="C42" s="96" t="s">
        <v>116</v>
      </c>
      <c r="D42" s="96" t="s">
        <v>156</v>
      </c>
      <c r="E42" s="97" t="s">
        <v>118</v>
      </c>
      <c r="F42" s="98" t="s">
        <v>119</v>
      </c>
      <c r="G42" s="99" t="s">
        <v>157</v>
      </c>
      <c r="H42" s="100">
        <v>42.84</v>
      </c>
      <c r="I42" s="101">
        <v>42.84</v>
      </c>
      <c r="J42" s="101">
        <v>42.869244280119787</v>
      </c>
      <c r="K42" s="101">
        <v>44.383943081171466</v>
      </c>
      <c r="L42" s="99">
        <v>45.535487256447553</v>
      </c>
      <c r="M42" s="99">
        <v>46.628869686952484</v>
      </c>
      <c r="N42" s="99">
        <v>48.263761790142475</v>
      </c>
      <c r="O42" s="102" t="s">
        <v>153</v>
      </c>
      <c r="P42" s="112"/>
    </row>
    <row r="43" spans="1:16">
      <c r="A43" s="96" t="s">
        <v>149</v>
      </c>
      <c r="B43" s="96" t="s">
        <v>150</v>
      </c>
      <c r="C43" s="96" t="s">
        <v>116</v>
      </c>
      <c r="D43" s="96" t="s">
        <v>158</v>
      </c>
      <c r="E43" s="97" t="s">
        <v>118</v>
      </c>
      <c r="F43" s="98" t="s">
        <v>119</v>
      </c>
      <c r="G43" s="99" t="s">
        <v>157</v>
      </c>
      <c r="H43" s="100">
        <v>99.97</v>
      </c>
      <c r="I43" s="101">
        <v>99.97</v>
      </c>
      <c r="J43" s="101">
        <v>100.03824348000875</v>
      </c>
      <c r="K43" s="101">
        <v>103.57289425361135</v>
      </c>
      <c r="L43" s="99">
        <v>106.26009946375025</v>
      </c>
      <c r="M43" s="99">
        <v>108.81158035958541</v>
      </c>
      <c r="N43" s="99">
        <v>112.62671022783711</v>
      </c>
      <c r="O43" s="102" t="s">
        <v>153</v>
      </c>
      <c r="P43" s="112"/>
    </row>
    <row r="44" spans="1:16">
      <c r="A44" s="96" t="s">
        <v>149</v>
      </c>
      <c r="B44" s="96" t="s">
        <v>150</v>
      </c>
      <c r="C44" s="96" t="s">
        <v>116</v>
      </c>
      <c r="D44" s="96" t="s">
        <v>159</v>
      </c>
      <c r="E44" s="97" t="s">
        <v>118</v>
      </c>
      <c r="F44" s="98" t="s">
        <v>119</v>
      </c>
      <c r="G44" s="99" t="s">
        <v>157</v>
      </c>
      <c r="H44" s="100">
        <v>214.22</v>
      </c>
      <c r="I44" s="101">
        <v>214.22</v>
      </c>
      <c r="J44" s="101">
        <v>214.36623505339077</v>
      </c>
      <c r="K44" s="101">
        <v>221.94043620094655</v>
      </c>
      <c r="L44" s="99">
        <v>227.69869467964969</v>
      </c>
      <c r="M44" s="99">
        <v>233.16611728148834</v>
      </c>
      <c r="N44" s="99">
        <v>241.34134105238843</v>
      </c>
      <c r="O44" s="102" t="s">
        <v>153</v>
      </c>
      <c r="P44" s="112"/>
    </row>
    <row r="45" spans="1:16">
      <c r="A45" s="96" t="s">
        <v>149</v>
      </c>
      <c r="B45" s="96" t="s">
        <v>150</v>
      </c>
      <c r="C45" s="96" t="s">
        <v>116</v>
      </c>
      <c r="D45" s="96" t="s">
        <v>160</v>
      </c>
      <c r="E45" s="97" t="s">
        <v>118</v>
      </c>
      <c r="F45" s="98" t="s">
        <v>119</v>
      </c>
      <c r="G45" s="99" t="s">
        <v>161</v>
      </c>
      <c r="H45" s="100">
        <v>14.28</v>
      </c>
      <c r="I45" s="101">
        <v>14.28</v>
      </c>
      <c r="J45" s="101">
        <v>14.289748093373261</v>
      </c>
      <c r="K45" s="101">
        <v>14.794647693723819</v>
      </c>
      <c r="L45" s="99">
        <v>15.17849575214918</v>
      </c>
      <c r="M45" s="99">
        <v>15.542956562317491</v>
      </c>
      <c r="N45" s="99">
        <v>16.087920596714152</v>
      </c>
      <c r="O45" s="102" t="s">
        <v>153</v>
      </c>
      <c r="P45" s="112"/>
    </row>
    <row r="46" spans="1:16">
      <c r="A46" s="96" t="s">
        <v>149</v>
      </c>
      <c r="B46" s="96" t="s">
        <v>150</v>
      </c>
      <c r="C46" s="96" t="s">
        <v>116</v>
      </c>
      <c r="D46" s="96" t="s">
        <v>162</v>
      </c>
      <c r="E46" s="97" t="s">
        <v>118</v>
      </c>
      <c r="F46" s="98" t="s">
        <v>119</v>
      </c>
      <c r="G46" s="99" t="s">
        <v>161</v>
      </c>
      <c r="H46" s="100">
        <v>57.12</v>
      </c>
      <c r="I46" s="101">
        <v>57.12</v>
      </c>
      <c r="J46" s="101">
        <v>57.158992373493042</v>
      </c>
      <c r="K46" s="101">
        <v>59.178590774895277</v>
      </c>
      <c r="L46" s="99">
        <v>60.71398300859672</v>
      </c>
      <c r="M46" s="99">
        <v>62.171826249269962</v>
      </c>
      <c r="N46" s="99">
        <v>64.351682386856609</v>
      </c>
      <c r="O46" s="102" t="s">
        <v>153</v>
      </c>
      <c r="P46" s="112"/>
    </row>
    <row r="47" spans="1:16">
      <c r="A47" s="96" t="s">
        <v>149</v>
      </c>
      <c r="B47" s="96" t="s">
        <v>150</v>
      </c>
      <c r="C47" s="96" t="s">
        <v>116</v>
      </c>
      <c r="D47" s="96" t="s">
        <v>163</v>
      </c>
      <c r="E47" s="97" t="s">
        <v>118</v>
      </c>
      <c r="F47" s="98" t="s">
        <v>119</v>
      </c>
      <c r="G47" s="99" t="s">
        <v>161</v>
      </c>
      <c r="H47" s="100">
        <v>99.97</v>
      </c>
      <c r="I47" s="101">
        <v>99.97</v>
      </c>
      <c r="J47" s="101">
        <v>100.03824348000875</v>
      </c>
      <c r="K47" s="101">
        <v>103.57289425361135</v>
      </c>
      <c r="L47" s="99">
        <v>106.26009946375025</v>
      </c>
      <c r="M47" s="99">
        <v>108.81158035958541</v>
      </c>
      <c r="N47" s="99">
        <v>112.62671022783711</v>
      </c>
      <c r="O47" s="102" t="s">
        <v>153</v>
      </c>
      <c r="P47" s="112"/>
    </row>
    <row r="48" spans="1:16">
      <c r="A48" s="96" t="s">
        <v>149</v>
      </c>
      <c r="B48" s="96" t="s">
        <v>150</v>
      </c>
      <c r="C48" s="96" t="s">
        <v>116</v>
      </c>
      <c r="D48" s="96" t="s">
        <v>164</v>
      </c>
      <c r="E48" s="97" t="s">
        <v>118</v>
      </c>
      <c r="F48" s="98" t="s">
        <v>119</v>
      </c>
      <c r="G48" s="99">
        <v>41</v>
      </c>
      <c r="H48" s="100">
        <v>71.41</v>
      </c>
      <c r="I48" s="101">
        <v>71.41</v>
      </c>
      <c r="J48" s="101">
        <v>71.458747293262221</v>
      </c>
      <c r="K48" s="101">
        <v>73.983598866163717</v>
      </c>
      <c r="L48" s="99">
        <v>75.903107959451887</v>
      </c>
      <c r="M48" s="99">
        <v>77.725667234950436</v>
      </c>
      <c r="N48" s="99">
        <v>80.450869034408825</v>
      </c>
      <c r="O48" s="102" t="s">
        <v>120</v>
      </c>
      <c r="P48" s="112"/>
    </row>
    <row r="49" spans="1:22">
      <c r="A49" s="96" t="s">
        <v>149</v>
      </c>
      <c r="B49" s="96" t="s">
        <v>150</v>
      </c>
      <c r="C49" s="96" t="s">
        <v>124</v>
      </c>
      <c r="D49" s="96" t="s">
        <v>165</v>
      </c>
      <c r="E49" s="97" t="s">
        <v>166</v>
      </c>
      <c r="F49" s="98" t="s">
        <v>119</v>
      </c>
      <c r="G49" s="99" t="s">
        <v>167</v>
      </c>
      <c r="H49" s="100">
        <v>85.69</v>
      </c>
      <c r="I49" s="101">
        <v>85.69</v>
      </c>
      <c r="J49" s="101">
        <v>85.748495386635483</v>
      </c>
      <c r="K49" s="101">
        <v>88.778246559887549</v>
      </c>
      <c r="L49" s="99">
        <v>91.081603711601076</v>
      </c>
      <c r="M49" s="99">
        <v>93.268623797267921</v>
      </c>
      <c r="N49" s="99">
        <v>96.538789631122953</v>
      </c>
      <c r="O49" s="102" t="s">
        <v>168</v>
      </c>
      <c r="P49" s="112"/>
      <c r="Q49" s="112"/>
      <c r="R49" s="112"/>
      <c r="S49" s="112"/>
      <c r="T49" s="112"/>
      <c r="U49" s="112"/>
      <c r="V49" s="112"/>
    </row>
    <row r="50" spans="1:22">
      <c r="A50" s="96" t="s">
        <v>149</v>
      </c>
      <c r="B50" s="96" t="s">
        <v>150</v>
      </c>
      <c r="C50" s="96" t="s">
        <v>124</v>
      </c>
      <c r="D50" s="96" t="s">
        <v>169</v>
      </c>
      <c r="E50" s="97" t="s">
        <v>166</v>
      </c>
      <c r="F50" s="98" t="s">
        <v>119</v>
      </c>
      <c r="G50" s="99" t="s">
        <v>167</v>
      </c>
      <c r="H50" s="100">
        <v>171.37</v>
      </c>
      <c r="I50" s="101">
        <v>171.37</v>
      </c>
      <c r="J50" s="101">
        <v>171.48698394687509</v>
      </c>
      <c r="K50" s="101">
        <v>177.54613272223051</v>
      </c>
      <c r="L50" s="99">
        <v>182.15257822449621</v>
      </c>
      <c r="M50" s="99">
        <v>186.52636317117293</v>
      </c>
      <c r="N50" s="99">
        <v>193.06631321140796</v>
      </c>
      <c r="O50" s="102" t="s">
        <v>168</v>
      </c>
      <c r="P50" s="112"/>
      <c r="Q50" s="112"/>
      <c r="R50" s="112"/>
      <c r="S50" s="112"/>
      <c r="T50" s="112"/>
      <c r="U50" s="112"/>
      <c r="V50" s="112"/>
    </row>
    <row r="51" spans="1:22">
      <c r="A51" s="96" t="s">
        <v>149</v>
      </c>
      <c r="B51" s="96" t="s">
        <v>150</v>
      </c>
      <c r="C51" s="96" t="s">
        <v>124</v>
      </c>
      <c r="D51" s="96" t="s">
        <v>170</v>
      </c>
      <c r="E51" s="97" t="s">
        <v>166</v>
      </c>
      <c r="F51" s="98" t="s">
        <v>119</v>
      </c>
      <c r="G51" s="99" t="s">
        <v>167</v>
      </c>
      <c r="H51" s="100">
        <v>314.18</v>
      </c>
      <c r="I51" s="101">
        <v>314.18</v>
      </c>
      <c r="J51" s="101">
        <v>314.39447170700362</v>
      </c>
      <c r="K51" s="101">
        <v>325.50297005701333</v>
      </c>
      <c r="L51" s="99">
        <v>333.94816494469399</v>
      </c>
      <c r="M51" s="99">
        <v>341.96681321771081</v>
      </c>
      <c r="N51" s="99">
        <v>353.95678522938755</v>
      </c>
      <c r="O51" s="102" t="s">
        <v>168</v>
      </c>
      <c r="P51" s="112"/>
      <c r="Q51" s="112"/>
      <c r="R51" s="112"/>
      <c r="S51" s="112"/>
      <c r="T51" s="112"/>
      <c r="U51" s="112"/>
      <c r="V51" s="112"/>
    </row>
    <row r="52" spans="1:22">
      <c r="A52" s="96" t="s">
        <v>149</v>
      </c>
      <c r="B52" s="96" t="s">
        <v>150</v>
      </c>
      <c r="C52" s="96" t="s">
        <v>124</v>
      </c>
      <c r="D52" s="96" t="s">
        <v>171</v>
      </c>
      <c r="E52" s="97" t="s">
        <v>166</v>
      </c>
      <c r="F52" s="98" t="s">
        <v>119</v>
      </c>
      <c r="G52" s="99" t="s">
        <v>172</v>
      </c>
      <c r="H52" s="100">
        <v>71.41</v>
      </c>
      <c r="I52" s="101">
        <v>71.41</v>
      </c>
      <c r="J52" s="101">
        <v>71.458747293262221</v>
      </c>
      <c r="K52" s="101">
        <v>73.983598866163717</v>
      </c>
      <c r="L52" s="99">
        <v>75.903107959451887</v>
      </c>
      <c r="M52" s="99">
        <v>77.725667234950436</v>
      </c>
      <c r="N52" s="99">
        <v>80.450869034408825</v>
      </c>
      <c r="O52" s="102" t="s">
        <v>168</v>
      </c>
      <c r="P52" s="112"/>
      <c r="Q52" s="112"/>
      <c r="R52" s="112"/>
      <c r="S52" s="112"/>
      <c r="T52" s="112"/>
      <c r="U52" s="112"/>
      <c r="V52" s="112"/>
    </row>
    <row r="53" spans="1:22">
      <c r="A53" s="96" t="s">
        <v>149</v>
      </c>
      <c r="B53" s="96" t="s">
        <v>150</v>
      </c>
      <c r="C53" s="96" t="s">
        <v>124</v>
      </c>
      <c r="D53" s="96" t="s">
        <v>173</v>
      </c>
      <c r="E53" s="97" t="s">
        <v>166</v>
      </c>
      <c r="F53" s="98" t="s">
        <v>119</v>
      </c>
      <c r="G53" s="99" t="s">
        <v>172</v>
      </c>
      <c r="H53" s="100">
        <v>142.81</v>
      </c>
      <c r="I53" s="101">
        <v>142.81</v>
      </c>
      <c r="J53" s="101">
        <v>142.90748776012856</v>
      </c>
      <c r="K53" s="101">
        <v>147.95683733478285</v>
      </c>
      <c r="L53" s="99">
        <v>151.7955867201978</v>
      </c>
      <c r="M53" s="99">
        <v>155.44045004653788</v>
      </c>
      <c r="N53" s="99">
        <v>160.89047201797956</v>
      </c>
      <c r="O53" s="102" t="s">
        <v>168</v>
      </c>
      <c r="P53" s="112"/>
      <c r="Q53" s="112"/>
      <c r="R53" s="112"/>
      <c r="S53" s="112"/>
      <c r="T53" s="112"/>
      <c r="U53" s="112"/>
      <c r="V53" s="112"/>
    </row>
    <row r="54" spans="1:22">
      <c r="A54" s="96" t="s">
        <v>149</v>
      </c>
      <c r="B54" s="96" t="s">
        <v>150</v>
      </c>
      <c r="C54" s="96" t="s">
        <v>124</v>
      </c>
      <c r="D54" s="96" t="s">
        <v>174</v>
      </c>
      <c r="E54" s="97" t="s">
        <v>166</v>
      </c>
      <c r="F54" s="98" t="s">
        <v>119</v>
      </c>
      <c r="G54" s="99" t="s">
        <v>172</v>
      </c>
      <c r="H54" s="100">
        <v>285.62</v>
      </c>
      <c r="I54" s="101">
        <v>285.62</v>
      </c>
      <c r="J54" s="101">
        <v>285.81497552025712</v>
      </c>
      <c r="K54" s="101">
        <v>295.91367466956569</v>
      </c>
      <c r="L54" s="99">
        <v>303.59117344039561</v>
      </c>
      <c r="M54" s="99">
        <v>310.88090009307575</v>
      </c>
      <c r="N54" s="99">
        <v>321.78094403595912</v>
      </c>
      <c r="O54" s="102" t="s">
        <v>168</v>
      </c>
      <c r="P54" s="112"/>
      <c r="Q54" s="112"/>
      <c r="R54" s="112"/>
      <c r="S54" s="112"/>
      <c r="T54" s="112"/>
      <c r="U54" s="112"/>
      <c r="V54" s="112"/>
    </row>
    <row r="55" spans="1:22">
      <c r="A55" s="96" t="s">
        <v>149</v>
      </c>
      <c r="B55" s="96" t="s">
        <v>150</v>
      </c>
      <c r="C55" s="96" t="s">
        <v>124</v>
      </c>
      <c r="D55" s="96" t="s">
        <v>175</v>
      </c>
      <c r="E55" s="97" t="s">
        <v>166</v>
      </c>
      <c r="F55" s="98" t="s">
        <v>119</v>
      </c>
      <c r="G55" s="99" t="s">
        <v>176</v>
      </c>
      <c r="H55" s="100">
        <v>57.12</v>
      </c>
      <c r="I55" s="101">
        <v>57.12</v>
      </c>
      <c r="J55" s="101">
        <v>57.158992373493042</v>
      </c>
      <c r="K55" s="101">
        <v>59.178590774895277</v>
      </c>
      <c r="L55" s="99">
        <v>60.71398300859672</v>
      </c>
      <c r="M55" s="99">
        <v>62.171826249269962</v>
      </c>
      <c r="N55" s="99">
        <v>64.351682386856609</v>
      </c>
      <c r="O55" s="102" t="s">
        <v>168</v>
      </c>
      <c r="P55" s="112"/>
      <c r="Q55" s="112"/>
      <c r="R55" s="112"/>
      <c r="S55" s="112"/>
      <c r="T55" s="112"/>
      <c r="U55" s="112"/>
      <c r="V55" s="112"/>
    </row>
    <row r="56" spans="1:22">
      <c r="A56" s="96" t="s">
        <v>149</v>
      </c>
      <c r="B56" s="96" t="s">
        <v>150</v>
      </c>
      <c r="C56" s="96" t="s">
        <v>124</v>
      </c>
      <c r="D56" s="96" t="s">
        <v>177</v>
      </c>
      <c r="E56" s="97" t="s">
        <v>166</v>
      </c>
      <c r="F56" s="98" t="s">
        <v>119</v>
      </c>
      <c r="G56" s="99" t="s">
        <v>176</v>
      </c>
      <c r="H56" s="100">
        <v>99.97</v>
      </c>
      <c r="I56" s="101">
        <v>99.97</v>
      </c>
      <c r="J56" s="101">
        <v>100.03824348000875</v>
      </c>
      <c r="K56" s="101">
        <v>103.57289425361135</v>
      </c>
      <c r="L56" s="99">
        <v>106.26009946375025</v>
      </c>
      <c r="M56" s="99">
        <v>108.81158035958541</v>
      </c>
      <c r="N56" s="99">
        <v>112.62671022783711</v>
      </c>
      <c r="O56" s="102" t="s">
        <v>168</v>
      </c>
      <c r="P56" s="112"/>
      <c r="Q56" s="112"/>
      <c r="R56" s="112"/>
      <c r="S56" s="112"/>
      <c r="T56" s="112"/>
      <c r="U56" s="112"/>
      <c r="V56" s="112"/>
    </row>
    <row r="57" spans="1:22">
      <c r="A57" s="96" t="s">
        <v>149</v>
      </c>
      <c r="B57" s="96" t="s">
        <v>150</v>
      </c>
      <c r="C57" s="96" t="s">
        <v>124</v>
      </c>
      <c r="D57" s="96" t="s">
        <v>178</v>
      </c>
      <c r="E57" s="97" t="s">
        <v>166</v>
      </c>
      <c r="F57" s="98" t="s">
        <v>119</v>
      </c>
      <c r="G57" s="99" t="s">
        <v>176</v>
      </c>
      <c r="H57" s="100">
        <v>214.22</v>
      </c>
      <c r="I57" s="101">
        <v>214.22</v>
      </c>
      <c r="J57" s="101">
        <v>214.36623505339077</v>
      </c>
      <c r="K57" s="101">
        <v>221.94043620094655</v>
      </c>
      <c r="L57" s="99">
        <v>227.69869467964969</v>
      </c>
      <c r="M57" s="99">
        <v>233.16611728148834</v>
      </c>
      <c r="N57" s="99">
        <v>241.34134105238843</v>
      </c>
      <c r="O57" s="102" t="s">
        <v>168</v>
      </c>
      <c r="P57" s="112"/>
      <c r="Q57" s="112"/>
      <c r="R57" s="112"/>
      <c r="S57" s="112"/>
      <c r="T57" s="112"/>
      <c r="U57" s="112"/>
      <c r="V57" s="112"/>
    </row>
    <row r="58" spans="1:22">
      <c r="A58" s="96" t="s">
        <v>149</v>
      </c>
      <c r="B58" s="96" t="s">
        <v>150</v>
      </c>
      <c r="C58" s="96" t="s">
        <v>124</v>
      </c>
      <c r="D58" s="96" t="s">
        <v>164</v>
      </c>
      <c r="E58" s="97" t="s">
        <v>166</v>
      </c>
      <c r="F58" s="98" t="s">
        <v>119</v>
      </c>
      <c r="G58" s="99">
        <v>41</v>
      </c>
      <c r="H58" s="100">
        <v>71.41</v>
      </c>
      <c r="I58" s="101">
        <v>71.41</v>
      </c>
      <c r="J58" s="101">
        <v>71.458747293262221</v>
      </c>
      <c r="K58" s="101">
        <v>73.983598866163717</v>
      </c>
      <c r="L58" s="99">
        <v>75.903107959451887</v>
      </c>
      <c r="M58" s="99">
        <v>77.725667234950436</v>
      </c>
      <c r="N58" s="99">
        <v>80.450869034408825</v>
      </c>
      <c r="O58" s="102" t="s">
        <v>120</v>
      </c>
    </row>
    <row r="59" spans="1:22">
      <c r="A59" s="96" t="s">
        <v>149</v>
      </c>
      <c r="B59" s="96" t="s">
        <v>150</v>
      </c>
      <c r="C59" s="96" t="s">
        <v>127</v>
      </c>
      <c r="D59" s="96" t="s">
        <v>151</v>
      </c>
      <c r="E59" s="97" t="s">
        <v>166</v>
      </c>
      <c r="F59" s="98" t="s">
        <v>119</v>
      </c>
      <c r="G59" s="99" t="s">
        <v>152</v>
      </c>
      <c r="H59" s="100">
        <v>71.41</v>
      </c>
      <c r="I59" s="101">
        <v>71.41</v>
      </c>
      <c r="J59" s="101">
        <v>71.458747293262221</v>
      </c>
      <c r="K59" s="101">
        <v>73.983598866163717</v>
      </c>
      <c r="L59" s="99">
        <v>75.903107959451887</v>
      </c>
      <c r="M59" s="99">
        <v>77.725667234950436</v>
      </c>
      <c r="N59" s="99">
        <v>80.450869034408825</v>
      </c>
      <c r="O59" s="102" t="s">
        <v>153</v>
      </c>
    </row>
    <row r="60" spans="1:22">
      <c r="A60" s="96" t="s">
        <v>149</v>
      </c>
      <c r="B60" s="96" t="s">
        <v>150</v>
      </c>
      <c r="C60" s="96" t="s">
        <v>127</v>
      </c>
      <c r="D60" s="96" t="s">
        <v>154</v>
      </c>
      <c r="E60" s="97" t="s">
        <v>166</v>
      </c>
      <c r="F60" s="98" t="s">
        <v>119</v>
      </c>
      <c r="G60" s="99" t="s">
        <v>152</v>
      </c>
      <c r="H60" s="100">
        <v>171.37</v>
      </c>
      <c r="I60" s="101">
        <v>171.37</v>
      </c>
      <c r="J60" s="101">
        <v>171.48698394687509</v>
      </c>
      <c r="K60" s="101">
        <v>177.54613272223051</v>
      </c>
      <c r="L60" s="99">
        <v>182.15257822449621</v>
      </c>
      <c r="M60" s="99">
        <v>186.52636317117293</v>
      </c>
      <c r="N60" s="99">
        <v>193.06631321140796</v>
      </c>
      <c r="O60" s="102" t="s">
        <v>153</v>
      </c>
    </row>
    <row r="61" spans="1:22">
      <c r="A61" s="96" t="s">
        <v>149</v>
      </c>
      <c r="B61" s="96" t="s">
        <v>150</v>
      </c>
      <c r="C61" s="96" t="s">
        <v>127</v>
      </c>
      <c r="D61" s="96" t="s">
        <v>155</v>
      </c>
      <c r="E61" s="97" t="s">
        <v>166</v>
      </c>
      <c r="F61" s="98" t="s">
        <v>119</v>
      </c>
      <c r="G61" s="99" t="s">
        <v>152</v>
      </c>
      <c r="H61" s="100">
        <v>357.03</v>
      </c>
      <c r="I61" s="101">
        <v>357.03</v>
      </c>
      <c r="J61" s="101">
        <v>357.27372281351927</v>
      </c>
      <c r="K61" s="101">
        <v>369.89727353572937</v>
      </c>
      <c r="L61" s="99">
        <v>379.49428139984747</v>
      </c>
      <c r="M61" s="99">
        <v>388.60656732802613</v>
      </c>
      <c r="N61" s="99">
        <v>402.23181307036788</v>
      </c>
      <c r="O61" s="102" t="s">
        <v>153</v>
      </c>
    </row>
    <row r="62" spans="1:22">
      <c r="A62" s="96" t="s">
        <v>149</v>
      </c>
      <c r="B62" s="96" t="s">
        <v>150</v>
      </c>
      <c r="C62" s="96" t="s">
        <v>127</v>
      </c>
      <c r="D62" s="96" t="s">
        <v>156</v>
      </c>
      <c r="E62" s="97" t="s">
        <v>166</v>
      </c>
      <c r="F62" s="98" t="s">
        <v>119</v>
      </c>
      <c r="G62" s="99" t="s">
        <v>152</v>
      </c>
      <c r="H62" s="100">
        <v>71.41</v>
      </c>
      <c r="I62" s="101">
        <v>71.41</v>
      </c>
      <c r="J62" s="101">
        <v>71.458747293262221</v>
      </c>
      <c r="K62" s="101">
        <v>73.983598866163717</v>
      </c>
      <c r="L62" s="99">
        <v>75.903107959451887</v>
      </c>
      <c r="M62" s="99">
        <v>77.725667234950436</v>
      </c>
      <c r="N62" s="99">
        <v>80.450869034408825</v>
      </c>
      <c r="O62" s="102" t="s">
        <v>153</v>
      </c>
    </row>
    <row r="63" spans="1:22">
      <c r="A63" s="96" t="s">
        <v>149</v>
      </c>
      <c r="B63" s="96" t="s">
        <v>150</v>
      </c>
      <c r="C63" s="96" t="s">
        <v>127</v>
      </c>
      <c r="D63" s="96" t="s">
        <v>158</v>
      </c>
      <c r="E63" s="97" t="s">
        <v>166</v>
      </c>
      <c r="F63" s="98" t="s">
        <v>119</v>
      </c>
      <c r="G63" s="99" t="s">
        <v>152</v>
      </c>
      <c r="H63" s="100">
        <v>171.37</v>
      </c>
      <c r="I63" s="101">
        <v>171.37</v>
      </c>
      <c r="J63" s="101">
        <v>171.48698394687509</v>
      </c>
      <c r="K63" s="101">
        <v>177.54613272223051</v>
      </c>
      <c r="L63" s="99">
        <v>182.15257822449621</v>
      </c>
      <c r="M63" s="99">
        <v>186.52636317117293</v>
      </c>
      <c r="N63" s="99">
        <v>193.06631321140796</v>
      </c>
      <c r="O63" s="102" t="s">
        <v>153</v>
      </c>
    </row>
    <row r="64" spans="1:22">
      <c r="A64" s="96" t="s">
        <v>149</v>
      </c>
      <c r="B64" s="96" t="s">
        <v>150</v>
      </c>
      <c r="C64" s="96" t="s">
        <v>127</v>
      </c>
      <c r="D64" s="96" t="s">
        <v>159</v>
      </c>
      <c r="E64" s="97" t="s">
        <v>166</v>
      </c>
      <c r="F64" s="98" t="s">
        <v>119</v>
      </c>
      <c r="G64" s="99" t="s">
        <v>152</v>
      </c>
      <c r="H64" s="100">
        <v>357.03</v>
      </c>
      <c r="I64" s="101">
        <v>357.03</v>
      </c>
      <c r="J64" s="101">
        <v>357.27372281351927</v>
      </c>
      <c r="K64" s="101">
        <v>369.89727353572937</v>
      </c>
      <c r="L64" s="99">
        <v>379.49428139984747</v>
      </c>
      <c r="M64" s="99">
        <v>388.60656732802613</v>
      </c>
      <c r="N64" s="99">
        <v>402.23181307036788</v>
      </c>
      <c r="O64" s="102" t="s">
        <v>153</v>
      </c>
    </row>
    <row r="65" spans="1:16359">
      <c r="A65" s="96" t="s">
        <v>149</v>
      </c>
      <c r="B65" s="96" t="s">
        <v>150</v>
      </c>
      <c r="C65" s="96" t="s">
        <v>127</v>
      </c>
      <c r="D65" s="96" t="s">
        <v>160</v>
      </c>
      <c r="E65" s="97" t="s">
        <v>166</v>
      </c>
      <c r="F65" s="98" t="s">
        <v>119</v>
      </c>
      <c r="G65" s="99" t="s">
        <v>152</v>
      </c>
      <c r="H65" s="100">
        <v>71.41</v>
      </c>
      <c r="I65" s="101">
        <v>71.41</v>
      </c>
      <c r="J65" s="101">
        <v>71.458747293262221</v>
      </c>
      <c r="K65" s="101">
        <v>73.983598866163717</v>
      </c>
      <c r="L65" s="99">
        <v>75.903107959451887</v>
      </c>
      <c r="M65" s="99">
        <v>77.725667234950436</v>
      </c>
      <c r="N65" s="99">
        <v>80.450869034408825</v>
      </c>
      <c r="O65" s="102" t="s">
        <v>153</v>
      </c>
    </row>
    <row r="66" spans="1:16359">
      <c r="A66" s="96" t="s">
        <v>149</v>
      </c>
      <c r="B66" s="96" t="s">
        <v>150</v>
      </c>
      <c r="C66" s="96" t="s">
        <v>127</v>
      </c>
      <c r="D66" s="96" t="s">
        <v>162</v>
      </c>
      <c r="E66" s="97" t="s">
        <v>166</v>
      </c>
      <c r="F66" s="98" t="s">
        <v>119</v>
      </c>
      <c r="G66" s="99" t="s">
        <v>152</v>
      </c>
      <c r="H66" s="100">
        <v>171.37</v>
      </c>
      <c r="I66" s="101">
        <v>171.37</v>
      </c>
      <c r="J66" s="101">
        <v>171.48698394687509</v>
      </c>
      <c r="K66" s="101">
        <v>177.54613272223051</v>
      </c>
      <c r="L66" s="99">
        <v>182.15257822449621</v>
      </c>
      <c r="M66" s="99">
        <v>186.52636317117293</v>
      </c>
      <c r="N66" s="99">
        <v>193.06631321140796</v>
      </c>
      <c r="O66" s="102" t="s">
        <v>153</v>
      </c>
    </row>
    <row r="67" spans="1:16359">
      <c r="A67" s="96" t="s">
        <v>149</v>
      </c>
      <c r="B67" s="96" t="s">
        <v>150</v>
      </c>
      <c r="C67" s="96" t="s">
        <v>127</v>
      </c>
      <c r="D67" s="96" t="s">
        <v>163</v>
      </c>
      <c r="E67" s="97" t="s">
        <v>166</v>
      </c>
      <c r="F67" s="98" t="s">
        <v>119</v>
      </c>
      <c r="G67" s="99" t="s">
        <v>152</v>
      </c>
      <c r="H67" s="100">
        <v>357.03</v>
      </c>
      <c r="I67" s="101">
        <v>357.03</v>
      </c>
      <c r="J67" s="101">
        <v>357.27372281351927</v>
      </c>
      <c r="K67" s="101">
        <v>369.89727353572937</v>
      </c>
      <c r="L67" s="99">
        <v>379.49428139984747</v>
      </c>
      <c r="M67" s="99">
        <v>388.60656732802613</v>
      </c>
      <c r="N67" s="99">
        <v>402.23181307036788</v>
      </c>
      <c r="O67" s="102" t="s">
        <v>153</v>
      </c>
    </row>
    <row r="68" spans="1:16359">
      <c r="A68" s="96" t="s">
        <v>149</v>
      </c>
      <c r="B68" s="96" t="s">
        <v>150</v>
      </c>
      <c r="C68" s="96" t="s">
        <v>127</v>
      </c>
      <c r="D68" s="96" t="s">
        <v>164</v>
      </c>
      <c r="E68" s="97" t="s">
        <v>166</v>
      </c>
      <c r="F68" s="98" t="s">
        <v>119</v>
      </c>
      <c r="G68" s="99">
        <v>41</v>
      </c>
      <c r="H68" s="100">
        <v>71.41</v>
      </c>
      <c r="I68" s="101">
        <v>71.41</v>
      </c>
      <c r="J68" s="101">
        <v>71.458747293262221</v>
      </c>
      <c r="K68" s="101">
        <v>73.983598866163717</v>
      </c>
      <c r="L68" s="99">
        <v>75.903107959451887</v>
      </c>
      <c r="M68" s="99">
        <v>77.725667234950436</v>
      </c>
      <c r="N68" s="99">
        <v>80.450869034408825</v>
      </c>
      <c r="O68" s="102" t="s">
        <v>120</v>
      </c>
    </row>
    <row r="69" spans="1:16359">
      <c r="A69" s="96" t="s">
        <v>149</v>
      </c>
      <c r="B69" s="96" t="s">
        <v>150</v>
      </c>
      <c r="C69" s="96" t="s">
        <v>179</v>
      </c>
      <c r="D69" s="96"/>
      <c r="E69" s="97" t="s">
        <v>166</v>
      </c>
      <c r="F69" s="98" t="s">
        <v>119</v>
      </c>
      <c r="G69" s="99" t="s">
        <v>130</v>
      </c>
      <c r="H69" s="100">
        <v>428.43</v>
      </c>
      <c r="I69" s="101">
        <v>428.43</v>
      </c>
      <c r="J69" s="101">
        <v>428.72246328038557</v>
      </c>
      <c r="K69" s="101">
        <v>443.87051200434843</v>
      </c>
      <c r="L69" s="99">
        <v>455.38676016059338</v>
      </c>
      <c r="M69" s="99">
        <v>466.32135013961368</v>
      </c>
      <c r="N69" s="99">
        <v>482.67141605393874</v>
      </c>
      <c r="O69" s="102" t="s">
        <v>132</v>
      </c>
    </row>
    <row r="70" spans="1:16359">
      <c r="A70" s="96" t="s">
        <v>149</v>
      </c>
      <c r="B70" s="96" t="s">
        <v>150</v>
      </c>
      <c r="C70" s="96" t="s">
        <v>180</v>
      </c>
      <c r="D70" s="96"/>
      <c r="E70" s="97" t="s">
        <v>166</v>
      </c>
      <c r="F70" s="98" t="s">
        <v>119</v>
      </c>
      <c r="G70" s="99" t="s">
        <v>130</v>
      </c>
      <c r="H70" s="100">
        <v>1142.48</v>
      </c>
      <c r="I70" s="101">
        <v>1142.48</v>
      </c>
      <c r="J70" s="101">
        <v>1143.2599020810285</v>
      </c>
      <c r="K70" s="101">
        <v>1183.6546986782628</v>
      </c>
      <c r="L70" s="99">
        <v>1214.3646937615824</v>
      </c>
      <c r="M70" s="99">
        <v>1243.523600372303</v>
      </c>
      <c r="N70" s="99">
        <v>1287.1237761438365</v>
      </c>
      <c r="O70" s="102" t="s">
        <v>132</v>
      </c>
    </row>
    <row r="71" spans="1:16359">
      <c r="A71" s="96" t="s">
        <v>149</v>
      </c>
      <c r="B71" s="96" t="s">
        <v>150</v>
      </c>
      <c r="C71" s="96" t="s">
        <v>181</v>
      </c>
      <c r="D71" s="96"/>
      <c r="E71" s="97" t="s">
        <v>166</v>
      </c>
      <c r="F71" s="98" t="s">
        <v>119</v>
      </c>
      <c r="G71" s="99" t="s">
        <v>130</v>
      </c>
      <c r="H71" s="100">
        <v>999.67000000000007</v>
      </c>
      <c r="I71" s="101">
        <v>999.67000000000007</v>
      </c>
      <c r="J71" s="101">
        <v>1000.3524143208998</v>
      </c>
      <c r="K71" s="101">
        <v>1035.6978613434799</v>
      </c>
      <c r="L71" s="99">
        <v>1062.5691070413848</v>
      </c>
      <c r="M71" s="99">
        <v>1088.0831503257652</v>
      </c>
      <c r="N71" s="99">
        <v>1126.2333041258571</v>
      </c>
      <c r="O71" s="102" t="s">
        <v>132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row>
    <row r="72" spans="1:16359">
      <c r="A72" s="96" t="s">
        <v>149</v>
      </c>
      <c r="B72" s="96" t="s">
        <v>150</v>
      </c>
      <c r="C72" s="96" t="s">
        <v>128</v>
      </c>
      <c r="D72" s="96"/>
      <c r="E72" s="97" t="s">
        <v>166</v>
      </c>
      <c r="F72" s="98" t="s">
        <v>125</v>
      </c>
      <c r="G72" s="99">
        <v>123</v>
      </c>
      <c r="H72" s="100">
        <v>142.81</v>
      </c>
      <c r="I72" s="101">
        <v>142.81</v>
      </c>
      <c r="J72" s="101">
        <v>142.90748776012856</v>
      </c>
      <c r="K72" s="101">
        <v>147.95683733478285</v>
      </c>
      <c r="L72" s="99">
        <v>151.7955867201978</v>
      </c>
      <c r="M72" s="99">
        <v>155.44045004653788</v>
      </c>
      <c r="N72" s="99">
        <v>160.89047201797956</v>
      </c>
      <c r="O72" s="102" t="s">
        <v>126</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row>
    <row r="73" spans="1:16359">
      <c r="A73" s="96" t="s">
        <v>149</v>
      </c>
      <c r="B73" s="96" t="s">
        <v>150</v>
      </c>
      <c r="C73" s="96" t="s">
        <v>128</v>
      </c>
      <c r="D73" s="96"/>
      <c r="E73" s="97" t="s">
        <v>166</v>
      </c>
      <c r="F73" s="98" t="s">
        <v>125</v>
      </c>
      <c r="G73" s="99">
        <v>139.36363636363637</v>
      </c>
      <c r="H73" s="100">
        <v>166.43754737754293</v>
      </c>
      <c r="I73" s="101">
        <v>166.43754737754293</v>
      </c>
      <c r="J73" s="101">
        <v>166.5511642369724</v>
      </c>
      <c r="K73" s="101">
        <v>172.43591571836234</v>
      </c>
      <c r="L73" s="99">
        <v>176.90977632129992</v>
      </c>
      <c r="M73" s="99">
        <v>181.15767291511264</v>
      </c>
      <c r="N73" s="99">
        <v>187.50938701132773</v>
      </c>
      <c r="O73" s="102" t="s">
        <v>126</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row>
    <row r="74" spans="1:16359">
      <c r="A74" s="96" t="s">
        <v>149</v>
      </c>
      <c r="B74" s="96" t="s">
        <v>150</v>
      </c>
      <c r="C74" s="96" t="s">
        <v>128</v>
      </c>
      <c r="D74" s="96"/>
      <c r="E74" s="97" t="s">
        <v>166</v>
      </c>
      <c r="F74" s="98" t="s">
        <v>125</v>
      </c>
      <c r="G74" s="99" t="s">
        <v>130</v>
      </c>
      <c r="H74" s="100">
        <v>210.96</v>
      </c>
      <c r="I74" s="101">
        <v>210.96</v>
      </c>
      <c r="J74" s="101">
        <v>211.10400964832095</v>
      </c>
      <c r="K74" s="101">
        <v>218.56294660139895</v>
      </c>
      <c r="L74" s="99">
        <v>224.23357590149797</v>
      </c>
      <c r="M74" s="99">
        <v>229.61779526516091</v>
      </c>
      <c r="N74" s="99">
        <v>237.66860847918892</v>
      </c>
      <c r="O74" s="102" t="s">
        <v>126</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row>
    <row r="75" spans="1:16359">
      <c r="A75" s="96" t="s">
        <v>149</v>
      </c>
      <c r="B75" s="96" t="s">
        <v>150</v>
      </c>
      <c r="C75" s="96" t="s">
        <v>129</v>
      </c>
      <c r="D75" s="96"/>
      <c r="E75" s="97" t="s">
        <v>166</v>
      </c>
      <c r="F75" s="98" t="s">
        <v>125</v>
      </c>
      <c r="G75" s="99">
        <v>123</v>
      </c>
      <c r="H75" s="100">
        <v>142.81</v>
      </c>
      <c r="I75" s="101">
        <v>142.81</v>
      </c>
      <c r="J75" s="101">
        <v>142.90748776012856</v>
      </c>
      <c r="K75" s="101">
        <v>147.95683733478285</v>
      </c>
      <c r="L75" s="99">
        <v>151.7955867201978</v>
      </c>
      <c r="M75" s="99">
        <v>155.44045004653788</v>
      </c>
      <c r="N75" s="99">
        <v>160.89047201797956</v>
      </c>
      <c r="O75" s="102" t="s">
        <v>126</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row>
    <row r="76" spans="1:16359">
      <c r="A76" s="96" t="s">
        <v>149</v>
      </c>
      <c r="B76" s="96" t="s">
        <v>150</v>
      </c>
      <c r="C76" s="96" t="s">
        <v>129</v>
      </c>
      <c r="D76" s="96"/>
      <c r="E76" s="97" t="s">
        <v>166</v>
      </c>
      <c r="F76" s="98" t="s">
        <v>125</v>
      </c>
      <c r="G76" s="99">
        <v>139.36363636363637</v>
      </c>
      <c r="H76" s="100">
        <v>166.43754737754293</v>
      </c>
      <c r="I76" s="101">
        <v>166.43754737754293</v>
      </c>
      <c r="J76" s="101">
        <v>166.5511642369724</v>
      </c>
      <c r="K76" s="101">
        <v>172.43591571836234</v>
      </c>
      <c r="L76" s="99">
        <v>176.90977632129992</v>
      </c>
      <c r="M76" s="99">
        <v>181.15767291511264</v>
      </c>
      <c r="N76" s="99">
        <v>187.50938701132773</v>
      </c>
      <c r="O76" s="102" t="s">
        <v>126</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row>
    <row r="77" spans="1:16359">
      <c r="A77" s="96" t="s">
        <v>149</v>
      </c>
      <c r="B77" s="96" t="s">
        <v>150</v>
      </c>
      <c r="C77" s="96" t="s">
        <v>129</v>
      </c>
      <c r="D77" s="96"/>
      <c r="E77" s="97" t="s">
        <v>166</v>
      </c>
      <c r="F77" s="98" t="s">
        <v>125</v>
      </c>
      <c r="G77" s="99" t="s">
        <v>130</v>
      </c>
      <c r="H77" s="100">
        <v>210.96</v>
      </c>
      <c r="I77" s="101">
        <v>210.96</v>
      </c>
      <c r="J77" s="101">
        <v>211.10400964832095</v>
      </c>
      <c r="K77" s="101">
        <v>218.56294660139895</v>
      </c>
      <c r="L77" s="99">
        <v>224.23357590149797</v>
      </c>
      <c r="M77" s="99">
        <v>229.61779526516091</v>
      </c>
      <c r="N77" s="99">
        <v>237.66860847918892</v>
      </c>
      <c r="O77" s="102" t="s">
        <v>126</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row>
    <row r="78" spans="1:16359">
      <c r="A78" s="96" t="s">
        <v>149</v>
      </c>
      <c r="B78" s="96" t="s">
        <v>182</v>
      </c>
      <c r="C78" s="96" t="s">
        <v>183</v>
      </c>
      <c r="D78" s="96" t="s">
        <v>184</v>
      </c>
      <c r="E78" s="97" t="s">
        <v>185</v>
      </c>
      <c r="F78" s="113" t="s">
        <v>119</v>
      </c>
      <c r="G78" s="99">
        <v>20.545454545454547</v>
      </c>
      <c r="H78" s="114">
        <v>29.41</v>
      </c>
      <c r="I78" s="115">
        <v>29.41</v>
      </c>
      <c r="J78" s="115">
        <v>29.430076430399694</v>
      </c>
      <c r="K78" s="101">
        <v>30.469929178740728</v>
      </c>
      <c r="L78" s="99">
        <v>31.260473394307244</v>
      </c>
      <c r="M78" s="99">
        <v>32.011089110487212</v>
      </c>
      <c r="N78" s="99">
        <v>33.133455514661293</v>
      </c>
      <c r="O78" s="102" t="s">
        <v>120</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row>
    <row r="79" spans="1:16359">
      <c r="A79" s="96" t="s">
        <v>149</v>
      </c>
      <c r="B79" s="96" t="s">
        <v>182</v>
      </c>
      <c r="C79" s="96" t="s">
        <v>183</v>
      </c>
      <c r="D79" s="96" t="s">
        <v>186</v>
      </c>
      <c r="E79" s="97" t="s">
        <v>185</v>
      </c>
      <c r="F79" s="113" t="s">
        <v>119</v>
      </c>
      <c r="G79" s="99">
        <v>33.81818181818182</v>
      </c>
      <c r="H79" s="114">
        <v>50.83</v>
      </c>
      <c r="I79" s="115">
        <v>50.83</v>
      </c>
      <c r="J79" s="115">
        <v>50.864698570459588</v>
      </c>
      <c r="K79" s="101">
        <v>52.661900719326461</v>
      </c>
      <c r="L79" s="99">
        <v>54.028217022531017</v>
      </c>
      <c r="M79" s="99">
        <v>55.325523953963454</v>
      </c>
      <c r="N79" s="99">
        <v>57.265336409732527</v>
      </c>
      <c r="O79" s="102" t="s">
        <v>120</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row>
    <row r="80" spans="1:16359">
      <c r="A80" s="96" t="s">
        <v>149</v>
      </c>
      <c r="B80" s="96" t="s">
        <v>182</v>
      </c>
      <c r="C80" s="96" t="s">
        <v>183</v>
      </c>
      <c r="D80" s="96" t="s">
        <v>187</v>
      </c>
      <c r="E80" s="97" t="s">
        <v>185</v>
      </c>
      <c r="F80" s="113" t="s">
        <v>119</v>
      </c>
      <c r="G80" s="99">
        <v>98.36363636363636</v>
      </c>
      <c r="H80" s="114">
        <v>165.08</v>
      </c>
      <c r="I80" s="115">
        <v>165.08</v>
      </c>
      <c r="J80" s="115">
        <v>165.19269014384162</v>
      </c>
      <c r="K80" s="101">
        <v>171.02944266666168</v>
      </c>
      <c r="L80" s="99">
        <v>175.46681223843049</v>
      </c>
      <c r="M80" s="99">
        <v>179.68006087586639</v>
      </c>
      <c r="N80" s="99">
        <v>185.97996723428383</v>
      </c>
      <c r="O80" s="102" t="s">
        <v>120</v>
      </c>
    </row>
    <row r="81" spans="1:15">
      <c r="A81" s="96" t="s">
        <v>149</v>
      </c>
      <c r="B81" s="96" t="s">
        <v>188</v>
      </c>
      <c r="C81" s="96" t="s">
        <v>189</v>
      </c>
      <c r="D81" s="96"/>
      <c r="E81" s="97" t="s">
        <v>166</v>
      </c>
      <c r="F81" s="98" t="s">
        <v>125</v>
      </c>
      <c r="G81" s="99">
        <v>123</v>
      </c>
      <c r="H81" s="100">
        <v>142.81</v>
      </c>
      <c r="I81" s="101">
        <v>142.81</v>
      </c>
      <c r="J81" s="101">
        <v>142.90748776012856</v>
      </c>
      <c r="K81" s="101">
        <v>147.95683733478285</v>
      </c>
      <c r="L81" s="99">
        <v>151.7955867201978</v>
      </c>
      <c r="M81" s="99">
        <v>155.44045004653788</v>
      </c>
      <c r="N81" s="99">
        <v>160.89047201797956</v>
      </c>
      <c r="O81" s="102" t="s">
        <v>126</v>
      </c>
    </row>
    <row r="82" spans="1:15">
      <c r="A82" s="96" t="s">
        <v>149</v>
      </c>
      <c r="B82" s="96" t="s">
        <v>188</v>
      </c>
      <c r="C82" s="96" t="s">
        <v>189</v>
      </c>
      <c r="D82" s="96"/>
      <c r="E82" s="97" t="s">
        <v>185</v>
      </c>
      <c r="F82" s="98" t="s">
        <v>125</v>
      </c>
      <c r="G82" s="99">
        <v>82</v>
      </c>
      <c r="H82" s="100">
        <v>166.43754737754293</v>
      </c>
      <c r="I82" s="101">
        <v>166.43754737754293</v>
      </c>
      <c r="J82" s="101">
        <v>166.5511642369724</v>
      </c>
      <c r="K82" s="101">
        <v>172.43591571836234</v>
      </c>
      <c r="L82" s="99">
        <v>176.90977632129992</v>
      </c>
      <c r="M82" s="99">
        <v>181.15767291511264</v>
      </c>
      <c r="N82" s="99">
        <v>187.50938701132773</v>
      </c>
      <c r="O82" s="102" t="s">
        <v>126</v>
      </c>
    </row>
    <row r="83" spans="1:15">
      <c r="A83" s="96" t="s">
        <v>149</v>
      </c>
      <c r="B83" s="96" t="s">
        <v>188</v>
      </c>
      <c r="C83" s="96" t="s">
        <v>189</v>
      </c>
      <c r="D83" s="96"/>
      <c r="E83" s="97" t="s">
        <v>166</v>
      </c>
      <c r="F83" s="98" t="s">
        <v>125</v>
      </c>
      <c r="G83" s="99" t="s">
        <v>130</v>
      </c>
      <c r="H83" s="100">
        <v>210.96</v>
      </c>
      <c r="I83" s="101">
        <v>210.96</v>
      </c>
      <c r="J83" s="101">
        <v>211.10400964832095</v>
      </c>
      <c r="K83" s="101">
        <v>218.56294660139895</v>
      </c>
      <c r="L83" s="99">
        <v>224.23357590149797</v>
      </c>
      <c r="M83" s="99">
        <v>229.61779526516091</v>
      </c>
      <c r="N83" s="99">
        <v>237.66860847918892</v>
      </c>
      <c r="O83" s="102" t="s">
        <v>126</v>
      </c>
    </row>
    <row r="84" spans="1:15">
      <c r="A84" s="96" t="s">
        <v>190</v>
      </c>
      <c r="B84" s="96" t="s">
        <v>191</v>
      </c>
      <c r="C84" s="96" t="s">
        <v>192</v>
      </c>
      <c r="D84" s="96"/>
      <c r="E84" s="97" t="s">
        <v>193</v>
      </c>
      <c r="F84" s="113" t="s">
        <v>125</v>
      </c>
      <c r="G84" s="99">
        <v>82</v>
      </c>
      <c r="H84" s="114">
        <v>142.81</v>
      </c>
      <c r="I84" s="115">
        <v>142.81</v>
      </c>
      <c r="J84" s="115">
        <v>142.90748776012856</v>
      </c>
      <c r="K84" s="101">
        <v>147.95683733478285</v>
      </c>
      <c r="L84" s="99">
        <v>151.7955867201978</v>
      </c>
      <c r="M84" s="99">
        <v>155.44045004653788</v>
      </c>
      <c r="N84" s="99">
        <v>160.89047201797956</v>
      </c>
      <c r="O84" s="102" t="s">
        <v>126</v>
      </c>
    </row>
    <row r="85" spans="1:15">
      <c r="A85" s="96" t="s">
        <v>194</v>
      </c>
      <c r="B85" s="96" t="s">
        <v>116</v>
      </c>
      <c r="C85" s="96"/>
      <c r="D85" s="96"/>
      <c r="E85" s="97" t="s">
        <v>118</v>
      </c>
      <c r="F85" s="113" t="s">
        <v>119</v>
      </c>
      <c r="G85" s="99">
        <v>27.636363636363633</v>
      </c>
      <c r="H85" s="114">
        <v>1799.25</v>
      </c>
      <c r="I85" s="115">
        <v>1799.25</v>
      </c>
      <c r="J85" s="115">
        <v>1800.4782392858433</v>
      </c>
      <c r="K85" s="101">
        <v>1864.0945282165676</v>
      </c>
      <c r="L85" s="99">
        <v>1912.4585771746788</v>
      </c>
      <c r="M85" s="99">
        <v>1958.379873581915</v>
      </c>
      <c r="N85" s="99">
        <v>2027.0441970334693</v>
      </c>
      <c r="O85" s="102" t="s">
        <v>120</v>
      </c>
    </row>
    <row r="86" spans="1:15">
      <c r="A86" s="96" t="s">
        <v>194</v>
      </c>
      <c r="B86" s="96" t="s">
        <v>124</v>
      </c>
      <c r="C86" s="96"/>
      <c r="D86" s="96"/>
      <c r="E86" s="97" t="s">
        <v>118</v>
      </c>
      <c r="F86" s="113" t="s">
        <v>119</v>
      </c>
      <c r="G86" s="99">
        <v>908.18181818181813</v>
      </c>
      <c r="H86" s="114">
        <v>1060.6600000000001</v>
      </c>
      <c r="I86" s="115">
        <v>1060.6600000000001</v>
      </c>
      <c r="J86" s="115">
        <v>1061.3840485096136</v>
      </c>
      <c r="K86" s="101">
        <v>1098.8859259681446</v>
      </c>
      <c r="L86" s="99">
        <v>1127.396589949198</v>
      </c>
      <c r="M86" s="99">
        <v>1154.4672484165033</v>
      </c>
      <c r="N86" s="99">
        <v>1194.9449481870329</v>
      </c>
      <c r="O86" s="102" t="s">
        <v>120</v>
      </c>
    </row>
    <row r="87" spans="1:15">
      <c r="A87" s="96" t="s">
        <v>194</v>
      </c>
      <c r="B87" s="96" t="s">
        <v>127</v>
      </c>
      <c r="C87" s="96"/>
      <c r="D87" s="96"/>
      <c r="E87" s="97" t="s">
        <v>118</v>
      </c>
      <c r="F87" s="113" t="s">
        <v>119</v>
      </c>
      <c r="G87" s="99">
        <v>908.18181818181813</v>
      </c>
      <c r="H87" s="114">
        <v>2392.7199999999998</v>
      </c>
      <c r="I87" s="115">
        <v>2392.7199999999998</v>
      </c>
      <c r="J87" s="115">
        <v>2394.3533654044868</v>
      </c>
      <c r="K87" s="101">
        <v>2478.9530412973991</v>
      </c>
      <c r="L87" s="99">
        <v>2543.2696327788785</v>
      </c>
      <c r="M87" s="99">
        <v>2604.3377469039428</v>
      </c>
      <c r="N87" s="99">
        <v>2695.6505161183395</v>
      </c>
      <c r="O87" s="102" t="s">
        <v>120</v>
      </c>
    </row>
    <row r="88" spans="1:15">
      <c r="A88" s="96" t="s">
        <v>194</v>
      </c>
      <c r="B88" s="96" t="s">
        <v>128</v>
      </c>
      <c r="C88" s="96"/>
      <c r="D88" s="96"/>
      <c r="E88" s="97" t="s">
        <v>118</v>
      </c>
      <c r="F88" s="98" t="s">
        <v>125</v>
      </c>
      <c r="G88" s="99">
        <v>908.18181818181813</v>
      </c>
      <c r="H88" s="100">
        <v>142.81</v>
      </c>
      <c r="I88" s="101">
        <v>142.81</v>
      </c>
      <c r="J88" s="101">
        <v>142.90748776012856</v>
      </c>
      <c r="K88" s="101">
        <v>147.95683733478285</v>
      </c>
      <c r="L88" s="99">
        <v>151.7955867201978</v>
      </c>
      <c r="M88" s="99">
        <v>155.44045004653788</v>
      </c>
      <c r="N88" s="99">
        <v>160.89047201797956</v>
      </c>
      <c r="O88" s="102" t="s">
        <v>126</v>
      </c>
    </row>
    <row r="89" spans="1:15">
      <c r="A89" s="96" t="s">
        <v>194</v>
      </c>
      <c r="B89" s="96" t="s">
        <v>129</v>
      </c>
      <c r="C89" s="96"/>
      <c r="D89" s="96"/>
      <c r="E89" s="97" t="s">
        <v>118</v>
      </c>
      <c r="F89" s="98" t="s">
        <v>125</v>
      </c>
      <c r="G89" s="99">
        <v>908.18181818181813</v>
      </c>
      <c r="H89" s="100">
        <v>142.81</v>
      </c>
      <c r="I89" s="101">
        <v>142.81</v>
      </c>
      <c r="J89" s="101">
        <v>142.90748776012856</v>
      </c>
      <c r="K89" s="101">
        <v>147.95683733478285</v>
      </c>
      <c r="L89" s="99">
        <v>151.7955867201978</v>
      </c>
      <c r="M89" s="99">
        <v>155.44045004653788</v>
      </c>
      <c r="N89" s="99">
        <v>160.89047201797956</v>
      </c>
      <c r="O89" s="102" t="s">
        <v>126</v>
      </c>
    </row>
    <row r="90" spans="1:15">
      <c r="A90" s="96" t="s">
        <v>194</v>
      </c>
      <c r="B90" s="96" t="s">
        <v>195</v>
      </c>
      <c r="C90" s="96"/>
      <c r="D90" s="96"/>
      <c r="E90" s="97" t="s">
        <v>118</v>
      </c>
      <c r="F90" s="98" t="s">
        <v>125</v>
      </c>
      <c r="G90" s="99" t="s">
        <v>130</v>
      </c>
      <c r="H90" s="100">
        <v>142.81</v>
      </c>
      <c r="I90" s="101">
        <v>142.81</v>
      </c>
      <c r="J90" s="101">
        <v>142.90748776012856</v>
      </c>
      <c r="K90" s="101">
        <v>147.95683733478285</v>
      </c>
      <c r="L90" s="99">
        <v>151.7955867201978</v>
      </c>
      <c r="M90" s="99">
        <v>155.44045004653788</v>
      </c>
      <c r="N90" s="99">
        <v>160.89047201797956</v>
      </c>
      <c r="O90" s="102" t="s">
        <v>126</v>
      </c>
    </row>
    <row r="91" spans="1:15">
      <c r="A91" s="96" t="s">
        <v>196</v>
      </c>
      <c r="B91" s="96" t="s">
        <v>116</v>
      </c>
      <c r="C91" s="96"/>
      <c r="D91" s="96"/>
      <c r="E91" s="97" t="s">
        <v>166</v>
      </c>
      <c r="F91" s="98" t="s">
        <v>119</v>
      </c>
      <c r="G91" s="99">
        <v>27.636363636363633</v>
      </c>
      <c r="H91" s="116">
        <v>1820.47</v>
      </c>
      <c r="I91" s="117">
        <v>1820.47</v>
      </c>
      <c r="J91" s="101">
        <v>1821.7127248979848</v>
      </c>
      <c r="K91" s="101">
        <v>1886.0792918062609</v>
      </c>
      <c r="L91" s="99">
        <v>1935.0137368287833</v>
      </c>
      <c r="M91" s="99">
        <v>1981.4766199581322</v>
      </c>
      <c r="N91" s="99">
        <v>2050.95075691178</v>
      </c>
      <c r="O91" s="102" t="s">
        <v>120</v>
      </c>
    </row>
    <row r="92" spans="1:15">
      <c r="A92" s="96" t="s">
        <v>196</v>
      </c>
      <c r="B92" s="96" t="s">
        <v>124</v>
      </c>
      <c r="C92" s="96"/>
      <c r="D92" s="96"/>
      <c r="E92" s="97" t="s">
        <v>166</v>
      </c>
      <c r="F92" s="98" t="s">
        <v>119</v>
      </c>
      <c r="G92" s="99">
        <v>1210.5454545454543</v>
      </c>
      <c r="H92" s="116">
        <v>1820.47</v>
      </c>
      <c r="I92" s="117">
        <v>1820.47</v>
      </c>
      <c r="J92" s="101">
        <v>1821.7127248979848</v>
      </c>
      <c r="K92" s="101">
        <v>1886.0792918062609</v>
      </c>
      <c r="L92" s="99">
        <v>1935.0137368287833</v>
      </c>
      <c r="M92" s="99">
        <v>1981.4766199581322</v>
      </c>
      <c r="N92" s="99">
        <v>2050.95075691178</v>
      </c>
      <c r="O92" s="102" t="s">
        <v>120</v>
      </c>
    </row>
    <row r="93" spans="1:15">
      <c r="A93" s="96" t="s">
        <v>196</v>
      </c>
      <c r="B93" s="96" t="s">
        <v>197</v>
      </c>
      <c r="C93" s="96"/>
      <c r="D93" s="96"/>
      <c r="E93" s="97" t="s">
        <v>166</v>
      </c>
      <c r="F93" s="98" t="s">
        <v>119</v>
      </c>
      <c r="G93" s="99">
        <v>1210.5454545454543</v>
      </c>
      <c r="H93" s="116">
        <v>1820.47</v>
      </c>
      <c r="I93" s="117">
        <v>1820.47</v>
      </c>
      <c r="J93" s="101">
        <v>1821.7127248979848</v>
      </c>
      <c r="K93" s="101">
        <v>1886.0792918062609</v>
      </c>
      <c r="L93" s="99">
        <v>1935.0137368287833</v>
      </c>
      <c r="M93" s="99">
        <v>1981.4766199581322</v>
      </c>
      <c r="N93" s="99">
        <v>2050.95075691178</v>
      </c>
      <c r="O93" s="102" t="s">
        <v>120</v>
      </c>
    </row>
    <row r="94" spans="1:15">
      <c r="A94" s="96" t="s">
        <v>196</v>
      </c>
      <c r="B94" s="96" t="s">
        <v>128</v>
      </c>
      <c r="C94" s="96"/>
      <c r="D94" s="96"/>
      <c r="E94" s="97" t="s">
        <v>166</v>
      </c>
      <c r="F94" s="98" t="s">
        <v>119</v>
      </c>
      <c r="G94" s="99">
        <v>1210.5454545454543</v>
      </c>
      <c r="H94" s="116">
        <v>1820.47</v>
      </c>
      <c r="I94" s="117">
        <v>1820.47</v>
      </c>
      <c r="J94" s="101">
        <v>1821.7127248979848</v>
      </c>
      <c r="K94" s="101">
        <v>1886.0792918062609</v>
      </c>
      <c r="L94" s="99">
        <v>1935.0137368287833</v>
      </c>
      <c r="M94" s="99">
        <v>1981.4766199581322</v>
      </c>
      <c r="N94" s="99">
        <v>2050.95075691178</v>
      </c>
      <c r="O94" s="102" t="s">
        <v>120</v>
      </c>
    </row>
    <row r="95" spans="1:15">
      <c r="A95" s="96" t="s">
        <v>196</v>
      </c>
      <c r="B95" s="96" t="s">
        <v>129</v>
      </c>
      <c r="C95" s="96"/>
      <c r="D95" s="96"/>
      <c r="E95" s="97" t="s">
        <v>166</v>
      </c>
      <c r="F95" s="98" t="s">
        <v>119</v>
      </c>
      <c r="G95" s="99">
        <v>1210.5454545454543</v>
      </c>
      <c r="H95" s="116">
        <v>1820.47</v>
      </c>
      <c r="I95" s="117">
        <v>1820.47</v>
      </c>
      <c r="J95" s="101">
        <v>1821.7127248979848</v>
      </c>
      <c r="K95" s="101">
        <v>1886.0792918062609</v>
      </c>
      <c r="L95" s="99">
        <v>1935.0137368287833</v>
      </c>
      <c r="M95" s="99">
        <v>1981.4766199581322</v>
      </c>
      <c r="N95" s="99">
        <v>2050.95075691178</v>
      </c>
      <c r="O95" s="102" t="s">
        <v>120</v>
      </c>
    </row>
    <row r="96" spans="1:15">
      <c r="A96" s="96" t="s">
        <v>196</v>
      </c>
      <c r="B96" s="96" t="s">
        <v>195</v>
      </c>
      <c r="C96" s="96"/>
      <c r="D96" s="96"/>
      <c r="E96" s="97" t="s">
        <v>166</v>
      </c>
      <c r="F96" s="98" t="s">
        <v>125</v>
      </c>
      <c r="G96" s="99" t="s">
        <v>130</v>
      </c>
      <c r="H96" s="100">
        <v>142.81</v>
      </c>
      <c r="I96" s="101">
        <v>142.81</v>
      </c>
      <c r="J96" s="101">
        <v>142.90748776012856</v>
      </c>
      <c r="K96" s="101">
        <v>147.95683733478285</v>
      </c>
      <c r="L96" s="99">
        <v>151.7955867201978</v>
      </c>
      <c r="M96" s="99">
        <v>155.44045004653788</v>
      </c>
      <c r="N96" s="99">
        <v>160.89047201797956</v>
      </c>
      <c r="O96" s="102" t="s">
        <v>126</v>
      </c>
    </row>
    <row r="97" spans="1:15">
      <c r="A97" s="96" t="s">
        <v>198</v>
      </c>
      <c r="B97" s="96" t="s">
        <v>198</v>
      </c>
      <c r="C97" s="96"/>
      <c r="D97" s="96"/>
      <c r="E97" s="97" t="s">
        <v>199</v>
      </c>
      <c r="F97" s="98" t="s">
        <v>119</v>
      </c>
      <c r="G97" s="99" t="s">
        <v>130</v>
      </c>
      <c r="H97" s="100">
        <v>928.27</v>
      </c>
      <c r="I97" s="101">
        <v>928.27</v>
      </c>
      <c r="J97" s="101">
        <v>928.9036738540334</v>
      </c>
      <c r="K97" s="101">
        <v>961.72462287486064</v>
      </c>
      <c r="L97" s="99">
        <v>986.67662828063862</v>
      </c>
      <c r="M97" s="99">
        <v>1010.3683675141777</v>
      </c>
      <c r="N97" s="99">
        <v>1045.7937011422864</v>
      </c>
      <c r="O97" s="102" t="s">
        <v>120</v>
      </c>
    </row>
    <row r="98" spans="1:15">
      <c r="A98" s="96" t="s">
        <v>200</v>
      </c>
      <c r="B98" s="96" t="s">
        <v>200</v>
      </c>
      <c r="C98" s="96"/>
      <c r="D98" s="96"/>
      <c r="E98" s="97" t="s">
        <v>118</v>
      </c>
      <c r="F98" s="98" t="s">
        <v>125</v>
      </c>
      <c r="G98" s="99">
        <v>65.63636363636364</v>
      </c>
      <c r="H98" s="100">
        <v>132.39529398962279</v>
      </c>
      <c r="I98" s="101">
        <v>132.39529398962279</v>
      </c>
      <c r="J98" s="101">
        <v>132.48567225908997</v>
      </c>
      <c r="K98" s="101">
        <v>137.166787876993</v>
      </c>
      <c r="L98" s="99">
        <v>140.72558875532437</v>
      </c>
      <c r="M98" s="99">
        <v>144.10464310475919</v>
      </c>
      <c r="N98" s="99">
        <v>149.15721128036964</v>
      </c>
      <c r="O98" s="102" t="s">
        <v>126</v>
      </c>
    </row>
    <row r="99" spans="1:15">
      <c r="A99" s="96" t="s">
        <v>201</v>
      </c>
      <c r="B99" s="96"/>
      <c r="C99" s="96"/>
      <c r="D99" s="96"/>
      <c r="E99" s="97" t="s">
        <v>202</v>
      </c>
      <c r="F99" s="98" t="s">
        <v>119</v>
      </c>
      <c r="G99" s="99">
        <v>197.81818181818178</v>
      </c>
      <c r="H99" s="116">
        <v>464.42</v>
      </c>
      <c r="I99" s="117">
        <v>464.42</v>
      </c>
      <c r="J99" s="101">
        <v>464.73703147930047</v>
      </c>
      <c r="K99" s="101">
        <v>481.1575827674522</v>
      </c>
      <c r="L99" s="99">
        <v>493.64124630344003</v>
      </c>
      <c r="M99" s="99">
        <v>505.4943898229335</v>
      </c>
      <c r="N99" s="99">
        <v>523.2179330200272</v>
      </c>
      <c r="O99" s="102" t="s">
        <v>203</v>
      </c>
    </row>
    <row r="100" spans="1:15">
      <c r="A100" s="96" t="s">
        <v>60</v>
      </c>
      <c r="B100" s="96" t="s">
        <v>78</v>
      </c>
      <c r="C100" s="96"/>
      <c r="D100" s="96" t="s">
        <v>204</v>
      </c>
      <c r="E100" s="97" t="s">
        <v>205</v>
      </c>
      <c r="F100" s="98" t="s">
        <v>119</v>
      </c>
      <c r="G100" s="99">
        <v>163</v>
      </c>
      <c r="H100" s="100">
        <v>541.11</v>
      </c>
      <c r="I100" s="101">
        <v>541.11</v>
      </c>
      <c r="J100" s="101">
        <v>541.47938310960831</v>
      </c>
      <c r="K100" s="101">
        <v>560.61147153717764</v>
      </c>
      <c r="L100" s="99">
        <v>575.15657117965281</v>
      </c>
      <c r="M100" s="99">
        <v>588.96703259353058</v>
      </c>
      <c r="N100" s="99">
        <v>609.61727689691838</v>
      </c>
      <c r="O100" s="102" t="s">
        <v>120</v>
      </c>
    </row>
    <row r="101" spans="1:15">
      <c r="A101" s="96" t="s">
        <v>60</v>
      </c>
      <c r="B101" s="96" t="s">
        <v>79</v>
      </c>
      <c r="C101" s="96"/>
      <c r="D101" s="96" t="s">
        <v>204</v>
      </c>
      <c r="E101" s="97" t="s">
        <v>185</v>
      </c>
      <c r="F101" s="98" t="s">
        <v>119</v>
      </c>
      <c r="G101" s="99">
        <v>163</v>
      </c>
      <c r="H101" s="100">
        <v>374.68</v>
      </c>
      <c r="I101" s="101">
        <v>374.68</v>
      </c>
      <c r="J101" s="101">
        <v>374.93577140231747</v>
      </c>
      <c r="K101" s="101">
        <v>388.18337520199162</v>
      </c>
      <c r="L101" s="99">
        <v>398.25481711591419</v>
      </c>
      <c r="M101" s="99">
        <v>407.8175745636637</v>
      </c>
      <c r="N101" s="99">
        <v>422.11639279949992</v>
      </c>
      <c r="O101" s="102" t="s">
        <v>120</v>
      </c>
    </row>
    <row r="102" spans="1:15">
      <c r="A102" s="96" t="s">
        <v>206</v>
      </c>
      <c r="B102" s="96" t="s">
        <v>116</v>
      </c>
      <c r="C102" s="96" t="s">
        <v>116</v>
      </c>
      <c r="D102" s="96" t="s">
        <v>117</v>
      </c>
      <c r="E102" s="97" t="s">
        <v>118</v>
      </c>
      <c r="F102" s="98" t="s">
        <v>119</v>
      </c>
      <c r="G102" s="99">
        <v>197.81818181818178</v>
      </c>
      <c r="H102" s="100">
        <v>356.24</v>
      </c>
      <c r="I102" s="101">
        <v>356.24</v>
      </c>
      <c r="J102" s="101">
        <v>356.48318352824168</v>
      </c>
      <c r="K102" s="101">
        <v>369.07880212970406</v>
      </c>
      <c r="L102" s="99">
        <v>378.65457470207451</v>
      </c>
      <c r="M102" s="99">
        <v>387.74669788235178</v>
      </c>
      <c r="N102" s="99">
        <v>401.34179505416324</v>
      </c>
      <c r="O102" s="102" t="s">
        <v>120</v>
      </c>
    </row>
    <row r="103" spans="1:15">
      <c r="A103" s="96" t="s">
        <v>206</v>
      </c>
      <c r="B103" s="96" t="s">
        <v>116</v>
      </c>
      <c r="C103" s="96" t="s">
        <v>116</v>
      </c>
      <c r="D103" s="96" t="s">
        <v>207</v>
      </c>
      <c r="E103" s="97" t="s">
        <v>118</v>
      </c>
      <c r="F103" s="98" t="s">
        <v>119</v>
      </c>
      <c r="G103" s="99">
        <v>264.45454545454544</v>
      </c>
      <c r="H103" s="100">
        <v>445.3</v>
      </c>
      <c r="I103" s="101">
        <v>445.3</v>
      </c>
      <c r="J103" s="101">
        <v>445.60397941030203</v>
      </c>
      <c r="K103" s="101">
        <v>461.34850266213004</v>
      </c>
      <c r="L103" s="99">
        <v>473.31821837759315</v>
      </c>
      <c r="M103" s="99">
        <v>484.68337235293967</v>
      </c>
      <c r="N103" s="99">
        <v>501.67724381770398</v>
      </c>
      <c r="O103" s="102" t="s">
        <v>120</v>
      </c>
    </row>
    <row r="104" spans="1:15">
      <c r="A104" s="96" t="s">
        <v>206</v>
      </c>
      <c r="B104" s="96" t="s">
        <v>116</v>
      </c>
      <c r="C104" s="96" t="s">
        <v>116</v>
      </c>
      <c r="D104" s="96" t="s">
        <v>122</v>
      </c>
      <c r="E104" s="97" t="s">
        <v>118</v>
      </c>
      <c r="F104" s="98" t="s">
        <v>119</v>
      </c>
      <c r="G104" s="99">
        <v>330.09090909090907</v>
      </c>
      <c r="H104" s="100">
        <v>623.41999999999996</v>
      </c>
      <c r="I104" s="101">
        <v>623.41999999999996</v>
      </c>
      <c r="J104" s="101">
        <v>623.84557117442284</v>
      </c>
      <c r="K104" s="101">
        <v>645.88790372698213</v>
      </c>
      <c r="L104" s="99">
        <v>662.6455057286305</v>
      </c>
      <c r="M104" s="99">
        <v>678.55672129411562</v>
      </c>
      <c r="N104" s="99">
        <v>702.34814134478563</v>
      </c>
      <c r="O104" s="102" t="s">
        <v>120</v>
      </c>
    </row>
    <row r="105" spans="1:15">
      <c r="A105" s="96" t="s">
        <v>206</v>
      </c>
      <c r="B105" s="96" t="s">
        <v>116</v>
      </c>
      <c r="C105" s="96" t="s">
        <v>116</v>
      </c>
      <c r="D105" s="96" t="s">
        <v>123</v>
      </c>
      <c r="E105" s="97" t="s">
        <v>118</v>
      </c>
      <c r="F105" s="98" t="s">
        <v>119</v>
      </c>
      <c r="G105" s="99">
        <v>396.63636363636363</v>
      </c>
      <c r="H105" s="100">
        <v>712.48</v>
      </c>
      <c r="I105" s="101">
        <v>712.48</v>
      </c>
      <c r="J105" s="101">
        <v>712.96636705648336</v>
      </c>
      <c r="K105" s="101">
        <v>738.15760425940812</v>
      </c>
      <c r="L105" s="99">
        <v>757.30914940414903</v>
      </c>
      <c r="M105" s="99">
        <v>775.49339576470356</v>
      </c>
      <c r="N105" s="99">
        <v>802.68359010832648</v>
      </c>
      <c r="O105" s="102" t="s">
        <v>120</v>
      </c>
    </row>
    <row r="106" spans="1:15">
      <c r="A106" s="96" t="s">
        <v>206</v>
      </c>
      <c r="B106" s="96" t="s">
        <v>124</v>
      </c>
      <c r="C106" s="96" t="s">
        <v>124</v>
      </c>
      <c r="D106" s="96" t="s">
        <v>208</v>
      </c>
      <c r="E106" s="97" t="s">
        <v>118</v>
      </c>
      <c r="F106" s="98" t="s">
        <v>119</v>
      </c>
      <c r="G106" s="99">
        <v>197.81818181818178</v>
      </c>
      <c r="H106" s="100">
        <v>356.24</v>
      </c>
      <c r="I106" s="101">
        <v>356.24</v>
      </c>
      <c r="J106" s="101">
        <v>356.48318352824168</v>
      </c>
      <c r="K106" s="101">
        <v>369.07880212970406</v>
      </c>
      <c r="L106" s="99">
        <v>378.65457470207451</v>
      </c>
      <c r="M106" s="99">
        <v>387.74669788235178</v>
      </c>
      <c r="N106" s="99">
        <v>401.34179505416324</v>
      </c>
      <c r="O106" s="102" t="s">
        <v>120</v>
      </c>
    </row>
    <row r="107" spans="1:15">
      <c r="A107" s="96" t="s">
        <v>206</v>
      </c>
      <c r="B107" s="96" t="s">
        <v>124</v>
      </c>
      <c r="C107" s="96" t="s">
        <v>124</v>
      </c>
      <c r="D107" s="96" t="s">
        <v>209</v>
      </c>
      <c r="E107" s="97" t="s">
        <v>118</v>
      </c>
      <c r="F107" s="98" t="s">
        <v>119</v>
      </c>
      <c r="G107" s="99">
        <v>264.45454545454544</v>
      </c>
      <c r="H107" s="100">
        <v>445.3</v>
      </c>
      <c r="I107" s="101">
        <v>445.3</v>
      </c>
      <c r="J107" s="101">
        <v>445.60397941030203</v>
      </c>
      <c r="K107" s="101">
        <v>461.34850266213004</v>
      </c>
      <c r="L107" s="99">
        <v>473.31821837759315</v>
      </c>
      <c r="M107" s="99">
        <v>484.68337235293967</v>
      </c>
      <c r="N107" s="99">
        <v>501.67724381770398</v>
      </c>
      <c r="O107" s="102" t="s">
        <v>120</v>
      </c>
    </row>
    <row r="108" spans="1:15">
      <c r="A108" s="96" t="s">
        <v>206</v>
      </c>
      <c r="B108" s="96" t="s">
        <v>124</v>
      </c>
      <c r="C108" s="96" t="s">
        <v>124</v>
      </c>
      <c r="D108" s="96" t="s">
        <v>210</v>
      </c>
      <c r="E108" s="97" t="s">
        <v>118</v>
      </c>
      <c r="F108" s="98" t="s">
        <v>119</v>
      </c>
      <c r="G108" s="99">
        <v>396.63636363636363</v>
      </c>
      <c r="H108" s="100">
        <v>801.54</v>
      </c>
      <c r="I108" s="101">
        <v>801.54</v>
      </c>
      <c r="J108" s="101">
        <v>802.08716293854366</v>
      </c>
      <c r="K108" s="101">
        <v>830.4273047918341</v>
      </c>
      <c r="L108" s="99">
        <v>851.97279307966767</v>
      </c>
      <c r="M108" s="99">
        <v>872.4300702352914</v>
      </c>
      <c r="N108" s="99">
        <v>903.01903887186711</v>
      </c>
      <c r="O108" s="102" t="s">
        <v>120</v>
      </c>
    </row>
    <row r="109" spans="1:15">
      <c r="A109" s="96" t="s">
        <v>206</v>
      </c>
      <c r="B109" s="96" t="s">
        <v>197</v>
      </c>
      <c r="C109" s="96" t="s">
        <v>197</v>
      </c>
      <c r="D109" s="96" t="s">
        <v>211</v>
      </c>
      <c r="E109" s="97" t="s">
        <v>118</v>
      </c>
      <c r="F109" s="98" t="s">
        <v>125</v>
      </c>
      <c r="G109" s="99">
        <v>65.63636363636364</v>
      </c>
      <c r="H109" s="100">
        <v>89.06</v>
      </c>
      <c r="I109" s="101">
        <v>89.06</v>
      </c>
      <c r="J109" s="101">
        <v>89.12079588206042</v>
      </c>
      <c r="K109" s="101">
        <v>92.269700532426015</v>
      </c>
      <c r="L109" s="99">
        <v>94.663643675518628</v>
      </c>
      <c r="M109" s="99">
        <v>96.936674470587946</v>
      </c>
      <c r="N109" s="99">
        <v>100.33544876354081</v>
      </c>
      <c r="O109" s="102" t="s">
        <v>126</v>
      </c>
    </row>
    <row r="110" spans="1:15">
      <c r="A110" s="96" t="s">
        <v>206</v>
      </c>
      <c r="B110" s="96" t="s">
        <v>128</v>
      </c>
      <c r="C110" s="96" t="s">
        <v>128</v>
      </c>
      <c r="D110" s="96" t="s">
        <v>211</v>
      </c>
      <c r="E110" s="97" t="s">
        <v>118</v>
      </c>
      <c r="F110" s="98" t="s">
        <v>125</v>
      </c>
      <c r="G110" s="99">
        <v>65.63636363636364</v>
      </c>
      <c r="H110" s="100">
        <v>89.06</v>
      </c>
      <c r="I110" s="101">
        <v>89.06</v>
      </c>
      <c r="J110" s="101">
        <v>89.12079588206042</v>
      </c>
      <c r="K110" s="101">
        <v>92.269700532426015</v>
      </c>
      <c r="L110" s="99">
        <v>94.663643675518628</v>
      </c>
      <c r="M110" s="99">
        <v>96.936674470587946</v>
      </c>
      <c r="N110" s="99">
        <v>100.33544876354081</v>
      </c>
      <c r="O110" s="102" t="s">
        <v>126</v>
      </c>
    </row>
    <row r="111" spans="1:15">
      <c r="A111" s="96" t="s">
        <v>206</v>
      </c>
      <c r="B111" s="96" t="s">
        <v>129</v>
      </c>
      <c r="C111" s="96" t="s">
        <v>129</v>
      </c>
      <c r="D111" s="96" t="s">
        <v>211</v>
      </c>
      <c r="E111" s="97" t="s">
        <v>118</v>
      </c>
      <c r="F111" s="98" t="s">
        <v>125</v>
      </c>
      <c r="G111" s="99">
        <v>65.63636363636364</v>
      </c>
      <c r="H111" s="100">
        <v>89.06</v>
      </c>
      <c r="I111" s="101">
        <v>89.06</v>
      </c>
      <c r="J111" s="101">
        <v>89.12079588206042</v>
      </c>
      <c r="K111" s="101">
        <v>92.269700532426015</v>
      </c>
      <c r="L111" s="99">
        <v>94.663643675518628</v>
      </c>
      <c r="M111" s="99">
        <v>96.936674470587946</v>
      </c>
      <c r="N111" s="99">
        <v>100.33544876354081</v>
      </c>
      <c r="O111" s="102" t="s">
        <v>126</v>
      </c>
    </row>
    <row r="112" spans="1:15">
      <c r="A112" s="96" t="s">
        <v>206</v>
      </c>
      <c r="B112" s="96" t="s">
        <v>212</v>
      </c>
      <c r="C112" s="96" t="s">
        <v>212</v>
      </c>
      <c r="D112" s="96" t="s">
        <v>213</v>
      </c>
      <c r="E112" s="97" t="s">
        <v>118</v>
      </c>
      <c r="F112" s="98" t="s">
        <v>119</v>
      </c>
      <c r="G112" s="99" t="s">
        <v>130</v>
      </c>
      <c r="H112" s="100">
        <v>106.87</v>
      </c>
      <c r="I112" s="101">
        <v>106.87</v>
      </c>
      <c r="J112" s="101">
        <v>106.94295369319332</v>
      </c>
      <c r="K112" s="101">
        <v>110.7215685594023</v>
      </c>
      <c r="L112" s="99">
        <v>113.59424657088118</v>
      </c>
      <c r="M112" s="99">
        <v>116.32183248003295</v>
      </c>
      <c r="N112" s="99">
        <v>120.40028530608137</v>
      </c>
      <c r="O112" s="102" t="s">
        <v>120</v>
      </c>
    </row>
    <row r="113" spans="1:15">
      <c r="A113" s="96" t="s">
        <v>206</v>
      </c>
      <c r="B113" s="96" t="s">
        <v>290</v>
      </c>
      <c r="C113" s="96" t="s">
        <v>290</v>
      </c>
      <c r="D113" s="96" t="s">
        <v>211</v>
      </c>
      <c r="E113" s="97" t="s">
        <v>118</v>
      </c>
      <c r="F113" s="98" t="s">
        <v>125</v>
      </c>
      <c r="G113" s="99" t="s">
        <v>130</v>
      </c>
      <c r="H113" s="100">
        <v>89.06</v>
      </c>
      <c r="I113" s="101">
        <v>89.06</v>
      </c>
      <c r="J113" s="101">
        <v>89.12079588206042</v>
      </c>
      <c r="K113" s="101">
        <v>92.269700532426015</v>
      </c>
      <c r="L113" s="99">
        <v>94.663643675518628</v>
      </c>
      <c r="M113" s="99">
        <v>96.936674470587946</v>
      </c>
      <c r="N113" s="99">
        <v>100.33544876354081</v>
      </c>
      <c r="O113" s="102" t="s">
        <v>126</v>
      </c>
    </row>
    <row r="114" spans="1:15">
      <c r="A114" s="96" t="s">
        <v>214</v>
      </c>
      <c r="B114" s="96" t="s">
        <v>215</v>
      </c>
      <c r="C114" s="96"/>
      <c r="D114" s="96"/>
      <c r="E114" s="97" t="s">
        <v>216</v>
      </c>
      <c r="F114" s="118" t="s">
        <v>119</v>
      </c>
      <c r="G114" s="119">
        <v>37.909090909090907</v>
      </c>
      <c r="H114" s="120">
        <v>29.64</v>
      </c>
      <c r="I114" s="117">
        <v>29.64</v>
      </c>
      <c r="J114" s="101">
        <v>29.660233437505848</v>
      </c>
      <c r="K114" s="101">
        <v>30.708218322267093</v>
      </c>
      <c r="L114" s="99">
        <v>31.504944964544944</v>
      </c>
      <c r="M114" s="99">
        <v>32.26143084783547</v>
      </c>
      <c r="N114" s="99">
        <v>33.392574683936111</v>
      </c>
      <c r="O114" s="102" t="s">
        <v>120</v>
      </c>
    </row>
    <row r="115" spans="1:15">
      <c r="A115" s="96" t="s">
        <v>214</v>
      </c>
      <c r="B115" s="96" t="s">
        <v>217</v>
      </c>
      <c r="C115" s="96"/>
      <c r="D115" s="96"/>
      <c r="E115" s="97" t="s">
        <v>216</v>
      </c>
      <c r="F115" s="118" t="s">
        <v>119</v>
      </c>
      <c r="G115" s="119">
        <v>74.818181818181813</v>
      </c>
      <c r="H115" s="120">
        <v>230.33</v>
      </c>
      <c r="I115" s="117">
        <v>230.33</v>
      </c>
      <c r="J115" s="101">
        <v>230.48723237721734</v>
      </c>
      <c r="K115" s="101">
        <v>238.63103664533668</v>
      </c>
      <c r="L115" s="99">
        <v>244.82233379499448</v>
      </c>
      <c r="M115" s="99">
        <v>250.70092331922885</v>
      </c>
      <c r="N115" s="99">
        <v>259.49094895246299</v>
      </c>
      <c r="O115" s="102" t="s">
        <v>120</v>
      </c>
    </row>
    <row r="116" spans="1:15">
      <c r="A116" s="96" t="s">
        <v>218</v>
      </c>
      <c r="B116" s="96"/>
      <c r="C116" s="96"/>
      <c r="D116" s="96"/>
      <c r="E116" s="97" t="s">
        <v>118</v>
      </c>
      <c r="F116" s="98" t="s">
        <v>125</v>
      </c>
      <c r="G116" s="99" t="s">
        <v>130</v>
      </c>
      <c r="H116" s="100">
        <v>199.83</v>
      </c>
      <c r="I116" s="101">
        <v>199.83</v>
      </c>
      <c r="J116" s="101">
        <v>199.96641186966238</v>
      </c>
      <c r="K116" s="101">
        <v>207.03182413423184</v>
      </c>
      <c r="L116" s="99">
        <v>212.40327774173463</v>
      </c>
      <c r="M116" s="99">
        <v>217.50343206217815</v>
      </c>
      <c r="N116" s="99">
        <v>225.12949389645581</v>
      </c>
      <c r="O116" s="102" t="s">
        <v>126</v>
      </c>
    </row>
    <row r="117" spans="1:15">
      <c r="A117" s="96" t="s">
        <v>219</v>
      </c>
      <c r="B117" s="96"/>
      <c r="C117" s="96"/>
      <c r="D117" s="96"/>
      <c r="E117" s="97" t="s">
        <v>118</v>
      </c>
      <c r="F117" s="98" t="s">
        <v>125</v>
      </c>
      <c r="G117" s="99" t="s">
        <v>130</v>
      </c>
      <c r="H117" s="100">
        <v>202.06</v>
      </c>
      <c r="I117" s="101">
        <v>202.06</v>
      </c>
      <c r="J117" s="101">
        <v>202.19793415595245</v>
      </c>
      <c r="K117" s="101">
        <v>209.34219278668311</v>
      </c>
      <c r="L117" s="99">
        <v>214.7735890531697</v>
      </c>
      <c r="M117" s="99">
        <v>219.93065847211992</v>
      </c>
      <c r="N117" s="99">
        <v>227.64182323333767</v>
      </c>
      <c r="O117" s="102" t="s">
        <v>126</v>
      </c>
    </row>
    <row r="118" spans="1:15">
      <c r="A118" s="96" t="s">
        <v>220</v>
      </c>
      <c r="B118" s="96" t="s">
        <v>221</v>
      </c>
      <c r="C118" s="96"/>
      <c r="D118" s="96"/>
      <c r="E118" s="97" t="s">
        <v>118</v>
      </c>
      <c r="F118" s="98" t="s">
        <v>119</v>
      </c>
      <c r="G118" s="99" t="s">
        <v>130</v>
      </c>
      <c r="H118" s="100">
        <v>7.42</v>
      </c>
      <c r="I118" s="101">
        <v>7.42</v>
      </c>
      <c r="J118" s="101">
        <v>7.4250651857723806</v>
      </c>
      <c r="K118" s="101">
        <v>7.6874149781113967</v>
      </c>
      <c r="L118" s="99">
        <v>7.8868654398422215</v>
      </c>
      <c r="M118" s="99">
        <v>8.0762421353218343</v>
      </c>
      <c r="N118" s="99">
        <v>8.3594097218220611</v>
      </c>
      <c r="O118" s="102" t="s">
        <v>120</v>
      </c>
    </row>
    <row r="119" spans="1:15">
      <c r="A119" s="96" t="s">
        <v>220</v>
      </c>
      <c r="B119" s="96" t="s">
        <v>222</v>
      </c>
      <c r="C119" s="96"/>
      <c r="D119" s="96"/>
      <c r="E119" s="97" t="s">
        <v>118</v>
      </c>
      <c r="F119" s="98" t="s">
        <v>119</v>
      </c>
      <c r="G119" s="99" t="s">
        <v>130</v>
      </c>
      <c r="H119" s="100">
        <v>188.7</v>
      </c>
      <c r="I119" s="101">
        <v>188.7</v>
      </c>
      <c r="J119" s="101">
        <v>188.82881409100381</v>
      </c>
      <c r="K119" s="101">
        <v>195.50070166706476</v>
      </c>
      <c r="L119" s="99">
        <v>200.57297958197131</v>
      </c>
      <c r="M119" s="99">
        <v>205.38906885919542</v>
      </c>
      <c r="N119" s="99">
        <v>212.59037931372276</v>
      </c>
      <c r="O119" s="102" t="s">
        <v>120</v>
      </c>
    </row>
    <row r="120" spans="1:15">
      <c r="A120" s="96" t="s">
        <v>220</v>
      </c>
      <c r="B120" s="96" t="s">
        <v>223</v>
      </c>
      <c r="C120" s="96"/>
      <c r="D120" s="96"/>
      <c r="E120" s="97" t="s">
        <v>118</v>
      </c>
      <c r="F120" s="98" t="s">
        <v>119</v>
      </c>
      <c r="G120" s="99" t="s">
        <v>130</v>
      </c>
      <c r="H120" s="100">
        <v>188.7</v>
      </c>
      <c r="I120" s="101">
        <v>188.7</v>
      </c>
      <c r="J120" s="101">
        <v>188.82881409100381</v>
      </c>
      <c r="K120" s="101">
        <v>195.50070166706476</v>
      </c>
      <c r="L120" s="99">
        <v>200.57297958197131</v>
      </c>
      <c r="M120" s="99">
        <v>205.38906885919542</v>
      </c>
      <c r="N120" s="99">
        <v>212.59037931372276</v>
      </c>
      <c r="O120" s="102" t="s">
        <v>120</v>
      </c>
    </row>
    <row r="121" spans="1:15">
      <c r="A121" s="96" t="s">
        <v>220</v>
      </c>
      <c r="B121" s="96" t="s">
        <v>224</v>
      </c>
      <c r="C121" s="96"/>
      <c r="D121" s="96"/>
      <c r="E121" s="97" t="s">
        <v>118</v>
      </c>
      <c r="F121" s="98" t="s">
        <v>119</v>
      </c>
      <c r="G121" s="99" t="s">
        <v>130</v>
      </c>
      <c r="H121" s="100">
        <v>241.33</v>
      </c>
      <c r="I121" s="101">
        <v>241.33</v>
      </c>
      <c r="J121" s="101">
        <v>241.49474141272893</v>
      </c>
      <c r="K121" s="101">
        <v>250.0274739444236</v>
      </c>
      <c r="L121" s="99">
        <v>256.51445237157992</v>
      </c>
      <c r="M121" s="99">
        <v>262.67378901849298</v>
      </c>
      <c r="N121" s="99">
        <v>271.88360487430157</v>
      </c>
      <c r="O121" s="102" t="s">
        <v>120</v>
      </c>
    </row>
    <row r="122" spans="1:15">
      <c r="A122" s="96" t="s">
        <v>220</v>
      </c>
      <c r="B122" s="96" t="s">
        <v>225</v>
      </c>
      <c r="C122" s="96"/>
      <c r="D122" s="96"/>
      <c r="E122" s="97" t="s">
        <v>118</v>
      </c>
      <c r="F122" s="98" t="s">
        <v>125</v>
      </c>
      <c r="G122" s="99" t="s">
        <v>130</v>
      </c>
      <c r="H122" s="100">
        <v>210.96</v>
      </c>
      <c r="I122" s="101">
        <v>210.96</v>
      </c>
      <c r="J122" s="101">
        <v>211.10400964832095</v>
      </c>
      <c r="K122" s="101">
        <v>218.56294660139895</v>
      </c>
      <c r="L122" s="99">
        <v>224.23357590149797</v>
      </c>
      <c r="M122" s="99">
        <v>229.61779526516091</v>
      </c>
      <c r="N122" s="99">
        <v>237.66860847918892</v>
      </c>
      <c r="O122" s="102" t="s">
        <v>126</v>
      </c>
    </row>
    <row r="123" spans="1:15">
      <c r="A123" s="96" t="s">
        <v>226</v>
      </c>
      <c r="B123" s="96" t="s">
        <v>227</v>
      </c>
      <c r="C123" s="96"/>
      <c r="D123" s="96"/>
      <c r="E123" s="97" t="s">
        <v>228</v>
      </c>
      <c r="F123" s="98" t="s">
        <v>119</v>
      </c>
      <c r="G123" s="99">
        <v>226.5454545454545</v>
      </c>
      <c r="H123" s="100">
        <v>749.78</v>
      </c>
      <c r="I123" s="101">
        <v>749.78</v>
      </c>
      <c r="J123" s="101">
        <v>750.29182951326356</v>
      </c>
      <c r="K123" s="101">
        <v>776.80188710085747</v>
      </c>
      <c r="L123" s="99">
        <v>796.95606057747978</v>
      </c>
      <c r="M123" s="99">
        <v>816.09229490857194</v>
      </c>
      <c r="N123" s="99">
        <v>844.70595973419722</v>
      </c>
      <c r="O123" s="102" t="s">
        <v>120</v>
      </c>
    </row>
    <row r="124" spans="1:15">
      <c r="A124" s="96" t="s">
        <v>226</v>
      </c>
      <c r="B124" s="96" t="s">
        <v>229</v>
      </c>
      <c r="C124" s="96"/>
      <c r="D124" s="96"/>
      <c r="E124" s="97" t="s">
        <v>230</v>
      </c>
      <c r="F124" s="98" t="s">
        <v>125</v>
      </c>
      <c r="G124" s="99" t="s">
        <v>130</v>
      </c>
      <c r="H124" s="100">
        <v>264.79000000000002</v>
      </c>
      <c r="I124" s="101">
        <v>264.79000000000002</v>
      </c>
      <c r="J124" s="101">
        <v>264.97075613755646</v>
      </c>
      <c r="K124" s="101">
        <v>274.3329665841128</v>
      </c>
      <c r="L124" s="99">
        <v>281.45055253582507</v>
      </c>
      <c r="M124" s="99">
        <v>288.20864622801463</v>
      </c>
      <c r="N124" s="99">
        <v>298.31376014033202</v>
      </c>
      <c r="O124" s="102" t="s">
        <v>126</v>
      </c>
    </row>
    <row r="125" spans="1:15">
      <c r="A125" s="96" t="s">
        <v>226</v>
      </c>
      <c r="B125" s="96" t="s">
        <v>231</v>
      </c>
      <c r="C125" s="96"/>
      <c r="D125" s="96"/>
      <c r="E125" s="97" t="s">
        <v>232</v>
      </c>
      <c r="F125" s="98" t="s">
        <v>125</v>
      </c>
      <c r="G125" s="99" t="s">
        <v>130</v>
      </c>
      <c r="H125" s="100">
        <v>132.4</v>
      </c>
      <c r="I125" s="101">
        <v>132.4</v>
      </c>
      <c r="J125" s="101">
        <v>132.49038148197619</v>
      </c>
      <c r="K125" s="101">
        <v>137.17166349082871</v>
      </c>
      <c r="L125" s="99">
        <v>140.73059086726553</v>
      </c>
      <c r="M125" s="99">
        <v>144.10976532568881</v>
      </c>
      <c r="N125" s="99">
        <v>149.16251309558504</v>
      </c>
      <c r="O125" s="102" t="s">
        <v>233</v>
      </c>
    </row>
    <row r="126" spans="1:15">
      <c r="A126" s="96" t="s">
        <v>226</v>
      </c>
      <c r="B126" s="96" t="s">
        <v>234</v>
      </c>
      <c r="C126" s="96"/>
      <c r="D126" s="96"/>
      <c r="E126" s="97" t="s">
        <v>118</v>
      </c>
      <c r="F126" s="98" t="s">
        <v>125</v>
      </c>
      <c r="G126" s="99" t="s">
        <v>130</v>
      </c>
      <c r="H126" s="100">
        <v>135</v>
      </c>
      <c r="I126" s="101">
        <v>135</v>
      </c>
      <c r="J126" s="101">
        <v>135.09215634491531</v>
      </c>
      <c r="K126" s="101">
        <v>139.86536685243109</v>
      </c>
      <c r="L126" s="99">
        <v>143.49418253082212</v>
      </c>
      <c r="M126" s="99">
        <v>146.93971540006035</v>
      </c>
      <c r="N126" s="99">
        <v>152.09168631347416</v>
      </c>
      <c r="O126" s="102" t="s">
        <v>126</v>
      </c>
    </row>
    <row r="127" spans="1:15">
      <c r="A127" s="96" t="s">
        <v>235</v>
      </c>
      <c r="B127" s="96" t="s">
        <v>235</v>
      </c>
      <c r="C127" s="96"/>
      <c r="D127" s="96"/>
      <c r="E127" s="97" t="s">
        <v>118</v>
      </c>
      <c r="F127" s="98" t="s">
        <v>119</v>
      </c>
      <c r="G127" s="99" t="s">
        <v>130</v>
      </c>
      <c r="H127" s="100">
        <v>202.06</v>
      </c>
      <c r="I127" s="101">
        <v>202.06</v>
      </c>
      <c r="J127" s="101">
        <v>202.19793415595245</v>
      </c>
      <c r="K127" s="101">
        <v>209.34219278668311</v>
      </c>
      <c r="L127" s="99">
        <v>214.7735890531697</v>
      </c>
      <c r="M127" s="99">
        <v>219.93065847211992</v>
      </c>
      <c r="N127" s="99">
        <v>227.64182323333767</v>
      </c>
      <c r="O127" s="102" t="s">
        <v>120</v>
      </c>
    </row>
    <row r="128" spans="1:15">
      <c r="A128" s="96" t="s">
        <v>236</v>
      </c>
      <c r="B128" s="96" t="s">
        <v>237</v>
      </c>
      <c r="C128" s="96"/>
      <c r="D128" s="96"/>
      <c r="E128" s="97" t="s">
        <v>118</v>
      </c>
      <c r="F128" s="98" t="s">
        <v>119</v>
      </c>
      <c r="G128" s="99" t="s">
        <v>130</v>
      </c>
      <c r="H128" s="100">
        <v>5177.6400000000003</v>
      </c>
      <c r="I128" s="101">
        <v>5177.6400000000003</v>
      </c>
      <c r="J128" s="101">
        <v>5181.1744620569425</v>
      </c>
      <c r="K128" s="101">
        <v>5345.9321839311706</v>
      </c>
      <c r="L128" s="99">
        <v>5484.632728327786</v>
      </c>
      <c r="M128" s="99">
        <v>5616.3278396407068</v>
      </c>
      <c r="N128" s="99">
        <v>5813.2464030886213</v>
      </c>
      <c r="O128" s="102" t="s">
        <v>238</v>
      </c>
    </row>
    <row r="129" spans="1:15">
      <c r="A129" s="96" t="s">
        <v>236</v>
      </c>
      <c r="B129" s="96" t="s">
        <v>239</v>
      </c>
      <c r="C129" s="96"/>
      <c r="D129" s="96"/>
      <c r="E129" s="97" t="s">
        <v>118</v>
      </c>
      <c r="F129" s="98" t="s">
        <v>119</v>
      </c>
      <c r="G129" s="99" t="s">
        <v>130</v>
      </c>
      <c r="H129" s="100">
        <v>2579.39</v>
      </c>
      <c r="I129" s="101">
        <v>2579.39</v>
      </c>
      <c r="J129" s="101">
        <v>2581.1507937371189</v>
      </c>
      <c r="K129" s="101">
        <v>2670.7645497223302</v>
      </c>
      <c r="L129" s="99">
        <v>2740.0577027696381</v>
      </c>
      <c r="M129" s="99">
        <v>2805.8510242269335</v>
      </c>
      <c r="N129" s="99">
        <v>2904.2292116681733</v>
      </c>
      <c r="O129" s="102" t="s">
        <v>238</v>
      </c>
    </row>
    <row r="130" spans="1:15">
      <c r="A130" s="96" t="s">
        <v>236</v>
      </c>
      <c r="B130" s="96" t="s">
        <v>240</v>
      </c>
      <c r="C130" s="96"/>
      <c r="D130" s="96"/>
      <c r="E130" s="97" t="s">
        <v>118</v>
      </c>
      <c r="F130" s="98" t="s">
        <v>119</v>
      </c>
      <c r="G130" s="99" t="s">
        <v>130</v>
      </c>
      <c r="H130" s="100">
        <v>1862.37</v>
      </c>
      <c r="I130" s="101">
        <v>1862.37</v>
      </c>
      <c r="J130" s="101">
        <v>1863.6413274968879</v>
      </c>
      <c r="K130" s="101">
        <v>1928.0119678771377</v>
      </c>
      <c r="L130" s="99">
        <v>1978.0343587992581</v>
      </c>
      <c r="M130" s="99">
        <v>2025.5302382803757</v>
      </c>
      <c r="N130" s="99">
        <v>2096.5489743889143</v>
      </c>
      <c r="O130" s="102" t="s">
        <v>238</v>
      </c>
    </row>
    <row r="131" spans="1:15">
      <c r="A131" s="96" t="s">
        <v>236</v>
      </c>
      <c r="B131" s="96" t="s">
        <v>241</v>
      </c>
      <c r="C131" s="96"/>
      <c r="D131" s="96"/>
      <c r="E131" s="97" t="s">
        <v>118</v>
      </c>
      <c r="F131" s="98" t="s">
        <v>119</v>
      </c>
      <c r="G131" s="99" t="s">
        <v>130</v>
      </c>
      <c r="H131" s="100">
        <v>2584.7399999999998</v>
      </c>
      <c r="I131" s="101">
        <v>2584.7399999999998</v>
      </c>
      <c r="J131" s="101">
        <v>2586.5044458589355</v>
      </c>
      <c r="K131" s="101">
        <v>2675.7842506925231</v>
      </c>
      <c r="L131" s="99">
        <v>2745.2076401950117</v>
      </c>
      <c r="M131" s="99">
        <v>2811.1246201753265</v>
      </c>
      <c r="N131" s="99">
        <v>2909.6877093829899</v>
      </c>
      <c r="O131" s="102" t="s">
        <v>238</v>
      </c>
    </row>
    <row r="132" spans="1:15">
      <c r="A132" s="96" t="s">
        <v>236</v>
      </c>
      <c r="B132" s="96" t="s">
        <v>242</v>
      </c>
      <c r="C132" s="96"/>
      <c r="D132" s="96"/>
      <c r="E132" s="97" t="s">
        <v>118</v>
      </c>
      <c r="F132" s="98" t="s">
        <v>119</v>
      </c>
      <c r="G132" s="99" t="s">
        <v>130</v>
      </c>
      <c r="H132" s="100">
        <v>2021.03</v>
      </c>
      <c r="I132" s="101">
        <v>2021.03</v>
      </c>
      <c r="J132" s="101">
        <v>2022.409635094549</v>
      </c>
      <c r="K132" s="101">
        <v>2093.5001921877952</v>
      </c>
      <c r="L132" s="99">
        <v>2147.8161854253567</v>
      </c>
      <c r="M132" s="99">
        <v>2199.3888076281792</v>
      </c>
      <c r="N132" s="99">
        <v>2276.5033381234766</v>
      </c>
      <c r="O132" s="102" t="s">
        <v>238</v>
      </c>
    </row>
    <row r="133" spans="1:15">
      <c r="A133" s="96" t="s">
        <v>243</v>
      </c>
      <c r="B133" s="96"/>
      <c r="C133" s="96"/>
      <c r="D133" s="96"/>
      <c r="E133" s="97" t="s">
        <v>118</v>
      </c>
      <c r="F133" s="98" t="s">
        <v>125</v>
      </c>
      <c r="G133" s="99" t="s">
        <v>130</v>
      </c>
      <c r="H133" s="100">
        <v>210.96</v>
      </c>
      <c r="I133" s="101">
        <v>210.96</v>
      </c>
      <c r="J133" s="101">
        <v>211.10400964832095</v>
      </c>
      <c r="K133" s="101">
        <v>218.56294660139895</v>
      </c>
      <c r="L133" s="99">
        <v>224.23357590149797</v>
      </c>
      <c r="M133" s="99">
        <v>229.61779526516091</v>
      </c>
      <c r="N133" s="99">
        <v>237.66860847918892</v>
      </c>
      <c r="O133" s="102" t="s">
        <v>126</v>
      </c>
    </row>
    <row r="134" spans="1:15">
      <c r="A134" s="96" t="s">
        <v>244</v>
      </c>
      <c r="B134" s="96"/>
      <c r="C134" s="96"/>
      <c r="D134" s="96"/>
      <c r="E134" s="97" t="s">
        <v>118</v>
      </c>
      <c r="F134" s="98" t="s">
        <v>125</v>
      </c>
      <c r="G134" s="99" t="s">
        <v>130</v>
      </c>
      <c r="H134" s="100">
        <v>210.96</v>
      </c>
      <c r="I134" s="101">
        <v>210.96</v>
      </c>
      <c r="J134" s="101">
        <v>211.10400964832095</v>
      </c>
      <c r="K134" s="101">
        <v>218.56294660139895</v>
      </c>
      <c r="L134" s="99">
        <v>224.23357590149797</v>
      </c>
      <c r="M134" s="99">
        <v>229.61779526516091</v>
      </c>
      <c r="N134" s="99">
        <v>237.66860847918892</v>
      </c>
      <c r="O134" s="102" t="s">
        <v>245</v>
      </c>
    </row>
    <row r="135" spans="1:15">
      <c r="A135" s="96" t="s">
        <v>246</v>
      </c>
      <c r="B135" s="96"/>
      <c r="C135" s="96"/>
      <c r="D135" s="96"/>
      <c r="E135" s="97" t="s">
        <v>247</v>
      </c>
      <c r="F135" s="98" t="s">
        <v>125</v>
      </c>
      <c r="G135" s="99" t="s">
        <v>130</v>
      </c>
      <c r="H135" s="100">
        <v>210.96</v>
      </c>
      <c r="I135" s="101">
        <v>210.96</v>
      </c>
      <c r="J135" s="101">
        <v>211.10400964832095</v>
      </c>
      <c r="K135" s="101">
        <v>218.56294660139895</v>
      </c>
      <c r="L135" s="99">
        <v>224.23357590149797</v>
      </c>
      <c r="M135" s="99">
        <v>229.61779526516091</v>
      </c>
      <c r="N135" s="99">
        <v>237.66860847918892</v>
      </c>
      <c r="O135" s="102" t="s">
        <v>126</v>
      </c>
    </row>
    <row r="136" spans="1:15">
      <c r="A136" s="96" t="s">
        <v>248</v>
      </c>
      <c r="B136" s="96" t="s">
        <v>266</v>
      </c>
      <c r="C136" s="96"/>
      <c r="D136" s="96"/>
      <c r="E136" s="97"/>
      <c r="F136" s="98" t="s">
        <v>119</v>
      </c>
      <c r="G136" s="96"/>
      <c r="H136" s="100">
        <v>52.4</v>
      </c>
      <c r="I136" s="101">
        <v>52.4</v>
      </c>
      <c r="J136" s="101">
        <v>52.435770314618971</v>
      </c>
      <c r="K136" s="101">
        <v>54.288483133832507</v>
      </c>
      <c r="L136" s="99">
        <v>55.697001219370947</v>
      </c>
      <c r="M136" s="99">
        <v>57.034378421949341</v>
      </c>
      <c r="N136" s="99">
        <v>59.034106391304036</v>
      </c>
      <c r="O136" s="102" t="s">
        <v>120</v>
      </c>
    </row>
    <row r="137" spans="1:15">
      <c r="A137" s="96" t="s">
        <v>248</v>
      </c>
      <c r="B137" s="96" t="s">
        <v>267</v>
      </c>
      <c r="C137" s="96"/>
      <c r="D137" s="96"/>
      <c r="E137" s="97"/>
      <c r="F137" s="98" t="s">
        <v>119</v>
      </c>
      <c r="G137" s="96"/>
      <c r="H137" s="100">
        <v>9.69</v>
      </c>
      <c r="I137" s="101">
        <v>9.69</v>
      </c>
      <c r="J137" s="101">
        <v>9.6966147776461415</v>
      </c>
      <c r="K137" s="101">
        <v>10.039225220741164</v>
      </c>
      <c r="L137" s="99">
        <v>10.29969354610123</v>
      </c>
      <c r="M137" s="99">
        <v>10.54700623871544</v>
      </c>
      <c r="N137" s="99">
        <v>10.916803262056032</v>
      </c>
      <c r="O137" s="102" t="s">
        <v>120</v>
      </c>
    </row>
    <row r="138" spans="1:15">
      <c r="A138" s="96" t="s">
        <v>248</v>
      </c>
      <c r="B138" s="96" t="s">
        <v>268</v>
      </c>
      <c r="C138" s="96"/>
      <c r="D138" s="96"/>
      <c r="E138" s="97"/>
      <c r="F138" s="98" t="s">
        <v>119</v>
      </c>
      <c r="G138" s="96"/>
      <c r="H138" s="100">
        <v>548.30999999999995</v>
      </c>
      <c r="I138" s="101">
        <v>548.30999999999995</v>
      </c>
      <c r="J138" s="101">
        <v>548.68429811467036</v>
      </c>
      <c r="K138" s="101">
        <v>568.07095776930726</v>
      </c>
      <c r="L138" s="99">
        <v>582.80959424796333</v>
      </c>
      <c r="M138" s="99">
        <v>596.80381741486713</v>
      </c>
      <c r="N138" s="99">
        <v>617.72883350030372</v>
      </c>
      <c r="O138" s="102" t="s">
        <v>120</v>
      </c>
    </row>
    <row r="139" spans="1:15">
      <c r="A139" s="96" t="s">
        <v>248</v>
      </c>
      <c r="B139" s="96" t="s">
        <v>269</v>
      </c>
      <c r="C139" s="96"/>
      <c r="D139" s="96"/>
      <c r="E139" s="97"/>
      <c r="F139" s="98" t="s">
        <v>125</v>
      </c>
      <c r="G139" s="96"/>
      <c r="H139" s="100" t="s">
        <v>270</v>
      </c>
      <c r="I139" s="101">
        <v>0</v>
      </c>
      <c r="J139" s="101">
        <v>0</v>
      </c>
      <c r="K139" s="101">
        <v>0</v>
      </c>
      <c r="L139" s="99">
        <v>0</v>
      </c>
      <c r="M139" s="99">
        <v>0</v>
      </c>
      <c r="N139" s="99">
        <v>0</v>
      </c>
      <c r="O139" s="102" t="s">
        <v>126</v>
      </c>
    </row>
    <row r="140" spans="1:15">
      <c r="A140" s="96" t="s">
        <v>248</v>
      </c>
      <c r="B140" s="96" t="s">
        <v>271</v>
      </c>
      <c r="C140" s="96"/>
      <c r="D140" s="96"/>
      <c r="E140" s="97"/>
      <c r="F140" s="98" t="s">
        <v>119</v>
      </c>
      <c r="G140" s="96"/>
      <c r="H140" s="100">
        <v>13.83</v>
      </c>
      <c r="I140" s="101">
        <v>13.83</v>
      </c>
      <c r="J140" s="101">
        <v>13.839440905556877</v>
      </c>
      <c r="K140" s="101">
        <v>14.328429804215716</v>
      </c>
      <c r="L140" s="99">
        <v>14.700181810379775</v>
      </c>
      <c r="M140" s="99">
        <v>15.053157510983958</v>
      </c>
      <c r="N140" s="99">
        <v>15.580948309002574</v>
      </c>
      <c r="O140" s="102" t="s">
        <v>120</v>
      </c>
    </row>
    <row r="141" spans="1:15">
      <c r="A141" s="96" t="s">
        <v>248</v>
      </c>
      <c r="B141" s="96" t="s">
        <v>272</v>
      </c>
      <c r="C141" s="96"/>
      <c r="D141" s="96"/>
      <c r="E141" s="97"/>
      <c r="F141" s="98" t="s">
        <v>119</v>
      </c>
      <c r="G141" s="96"/>
      <c r="H141" s="100">
        <v>156.78</v>
      </c>
      <c r="I141" s="101">
        <v>156.78</v>
      </c>
      <c r="J141" s="101">
        <v>156.8870242352283</v>
      </c>
      <c r="K141" s="101">
        <v>162.4303127046233</v>
      </c>
      <c r="L141" s="99">
        <v>166.64457731246139</v>
      </c>
      <c r="M141" s="99">
        <v>170.6459894846034</v>
      </c>
      <c r="N141" s="99">
        <v>176.62914503871468</v>
      </c>
      <c r="O141" s="102" t="s">
        <v>120</v>
      </c>
    </row>
    <row r="142" spans="1:15">
      <c r="A142" s="96" t="s">
        <v>248</v>
      </c>
      <c r="B142" s="96" t="s">
        <v>273</v>
      </c>
      <c r="C142" s="96"/>
      <c r="D142" s="96"/>
      <c r="E142" s="97"/>
      <c r="F142" s="98" t="s">
        <v>119</v>
      </c>
      <c r="G142" s="96"/>
      <c r="H142" s="100">
        <v>198.39</v>
      </c>
      <c r="I142" s="101">
        <v>198.39</v>
      </c>
      <c r="J142" s="101">
        <v>198.52542886864995</v>
      </c>
      <c r="K142" s="101">
        <v>205.53992688780593</v>
      </c>
      <c r="L142" s="99">
        <v>210.87267312807256</v>
      </c>
      <c r="M142" s="99">
        <v>215.9360750979109</v>
      </c>
      <c r="N142" s="99">
        <v>223.50718257577884</v>
      </c>
      <c r="O142" s="102" t="s">
        <v>120</v>
      </c>
    </row>
    <row r="143" spans="1:15">
      <c r="A143" s="96" t="s">
        <v>248</v>
      </c>
      <c r="B143" s="96" t="s">
        <v>274</v>
      </c>
      <c r="C143" s="96"/>
      <c r="D143" s="96"/>
      <c r="E143" s="97"/>
      <c r="F143" s="98" t="s">
        <v>119</v>
      </c>
      <c r="G143" s="96"/>
      <c r="H143" s="100">
        <v>41.89</v>
      </c>
      <c r="I143" s="101">
        <v>41.89</v>
      </c>
      <c r="J143" s="101">
        <v>41.918595772507423</v>
      </c>
      <c r="K143" s="101">
        <v>43.39970531443214</v>
      </c>
      <c r="L143" s="99">
        <v>44.5257133793788</v>
      </c>
      <c r="M143" s="99">
        <v>45.594849467470574</v>
      </c>
      <c r="N143" s="99">
        <v>47.193486960529128</v>
      </c>
      <c r="O143" s="102" t="s">
        <v>120</v>
      </c>
    </row>
    <row r="144" spans="1:15">
      <c r="A144" s="96" t="s">
        <v>248</v>
      </c>
      <c r="B144" s="96" t="s">
        <v>275</v>
      </c>
      <c r="C144" s="96"/>
      <c r="D144" s="96"/>
      <c r="E144" s="97"/>
      <c r="F144" s="98" t="s">
        <v>119</v>
      </c>
      <c r="G144" s="96"/>
      <c r="H144" s="100">
        <v>138.66999999999999</v>
      </c>
      <c r="I144" s="101">
        <v>138.66999999999999</v>
      </c>
      <c r="J144" s="101">
        <v>138.76466163221778</v>
      </c>
      <c r="K144" s="101">
        <v>143.66763275130825</v>
      </c>
      <c r="L144" s="99">
        <v>147.39509845591922</v>
      </c>
      <c r="M144" s="99">
        <v>150.93429877426934</v>
      </c>
      <c r="N144" s="99">
        <v>156.22632697103302</v>
      </c>
      <c r="O144" s="102" t="s">
        <v>120</v>
      </c>
    </row>
    <row r="145" spans="1:15">
      <c r="A145" s="96" t="s">
        <v>248</v>
      </c>
      <c r="B145" s="96" t="s">
        <v>276</v>
      </c>
      <c r="C145" s="96"/>
      <c r="D145" s="96"/>
      <c r="E145" s="97"/>
      <c r="F145" s="98" t="s">
        <v>119</v>
      </c>
      <c r="G145" s="96"/>
      <c r="H145" s="100">
        <v>233.2</v>
      </c>
      <c r="I145" s="101">
        <v>233.2</v>
      </c>
      <c r="J145" s="101">
        <v>233.35919155284626</v>
      </c>
      <c r="K145" s="101">
        <v>241.60447074064388</v>
      </c>
      <c r="L145" s="99">
        <v>247.87291382361266</v>
      </c>
      <c r="M145" s="99">
        <v>253.82475282440049</v>
      </c>
      <c r="N145" s="99">
        <v>262.72430554297904</v>
      </c>
      <c r="O145" s="102" t="s">
        <v>120</v>
      </c>
    </row>
    <row r="146" spans="1:15">
      <c r="A146" s="96" t="s">
        <v>248</v>
      </c>
      <c r="B146" s="96" t="s">
        <v>277</v>
      </c>
      <c r="C146" s="96"/>
      <c r="D146" s="96"/>
      <c r="E146" s="97"/>
      <c r="F146" s="98" t="s">
        <v>119</v>
      </c>
      <c r="G146" s="96"/>
      <c r="H146" s="100">
        <v>370.44</v>
      </c>
      <c r="I146" s="101">
        <v>370.44</v>
      </c>
      <c r="J146" s="101">
        <v>370.69287701044755</v>
      </c>
      <c r="K146" s="101">
        <v>383.79056664307092</v>
      </c>
      <c r="L146" s="99">
        <v>393.74803686457591</v>
      </c>
      <c r="M146" s="99">
        <v>403.2025790577656</v>
      </c>
      <c r="N146" s="99">
        <v>417.33958724417312</v>
      </c>
      <c r="O146" s="102" t="s">
        <v>120</v>
      </c>
    </row>
    <row r="147" spans="1:15">
      <c r="A147" s="96" t="s">
        <v>248</v>
      </c>
      <c r="B147" s="96" t="s">
        <v>278</v>
      </c>
      <c r="C147" s="96"/>
      <c r="D147" s="96"/>
      <c r="E147" s="97"/>
      <c r="F147" s="98" t="s">
        <v>119</v>
      </c>
      <c r="G147" s="96"/>
      <c r="H147" s="100">
        <v>309.33</v>
      </c>
      <c r="I147" s="101">
        <v>309.33</v>
      </c>
      <c r="J147" s="101">
        <v>309.54116090498252</v>
      </c>
      <c r="K147" s="101">
        <v>320.47817724787041</v>
      </c>
      <c r="L147" s="99">
        <v>328.79300357229033</v>
      </c>
      <c r="M147" s="99">
        <v>336.68786788667154</v>
      </c>
      <c r="N147" s="99">
        <v>348.49275057294039</v>
      </c>
      <c r="O147" s="102" t="s">
        <v>120</v>
      </c>
    </row>
    <row r="148" spans="1:15">
      <c r="A148" s="96" t="s">
        <v>248</v>
      </c>
      <c r="B148" s="96" t="s">
        <v>279</v>
      </c>
      <c r="C148" s="96"/>
      <c r="D148" s="96"/>
      <c r="E148" s="97"/>
      <c r="F148" s="98" t="s">
        <v>119</v>
      </c>
      <c r="G148" s="96"/>
      <c r="H148" s="100">
        <v>95.53</v>
      </c>
      <c r="I148" s="101">
        <v>95.53</v>
      </c>
      <c r="J148" s="101">
        <v>95.595212560220432</v>
      </c>
      <c r="K148" s="101">
        <v>98.97287774379808</v>
      </c>
      <c r="L148" s="99">
        <v>101.5407352382921</v>
      </c>
      <c r="M148" s="99">
        <v>103.97889638642786</v>
      </c>
      <c r="N148" s="99">
        <v>107.6245836557495</v>
      </c>
      <c r="O148" s="102" t="s">
        <v>120</v>
      </c>
    </row>
    <row r="149" spans="1:15">
      <c r="A149" s="96" t="s">
        <v>248</v>
      </c>
      <c r="B149" s="96" t="s">
        <v>280</v>
      </c>
      <c r="C149" s="96"/>
      <c r="D149" s="96"/>
      <c r="E149" s="97"/>
      <c r="F149" s="98" t="s">
        <v>119</v>
      </c>
      <c r="G149" s="96"/>
      <c r="H149" s="100" t="s">
        <v>281</v>
      </c>
      <c r="I149" s="101">
        <v>0</v>
      </c>
      <c r="J149" s="101">
        <v>0</v>
      </c>
      <c r="K149" s="101">
        <v>0</v>
      </c>
      <c r="L149" s="99">
        <v>0</v>
      </c>
      <c r="M149" s="99">
        <v>0</v>
      </c>
      <c r="N149" s="99">
        <v>0</v>
      </c>
      <c r="O149" s="102" t="s">
        <v>120</v>
      </c>
    </row>
    <row r="150" spans="1:15">
      <c r="A150" s="96" t="s">
        <v>248</v>
      </c>
      <c r="B150" s="96" t="s">
        <v>282</v>
      </c>
      <c r="C150" s="96"/>
      <c r="D150" s="96"/>
      <c r="E150" s="97"/>
      <c r="F150" s="98" t="s">
        <v>119</v>
      </c>
      <c r="G150" s="96"/>
      <c r="H150" s="100">
        <v>24.4</v>
      </c>
      <c r="I150" s="101">
        <v>24.4</v>
      </c>
      <c r="J150" s="101">
        <v>24.416656406043945</v>
      </c>
      <c r="K150" s="101">
        <v>25.279370008883838</v>
      </c>
      <c r="L150" s="99">
        <v>25.935244842607844</v>
      </c>
      <c r="M150" s="99">
        <v>26.557993005640533</v>
      </c>
      <c r="N150" s="99">
        <v>27.489164044805698</v>
      </c>
      <c r="O150" s="102" t="s">
        <v>120</v>
      </c>
    </row>
    <row r="151" spans="1:15">
      <c r="A151" s="96" t="s">
        <v>248</v>
      </c>
      <c r="B151" s="96" t="s">
        <v>283</v>
      </c>
      <c r="C151" s="96"/>
      <c r="D151" s="96"/>
      <c r="E151" s="97"/>
      <c r="F151" s="98" t="s">
        <v>119</v>
      </c>
      <c r="G151" s="96"/>
      <c r="H151" s="100">
        <v>75.319999999999993</v>
      </c>
      <c r="I151" s="101">
        <v>75.319999999999993</v>
      </c>
      <c r="J151" s="101">
        <v>75.3714164140668</v>
      </c>
      <c r="K151" s="101">
        <v>78.034514306111902</v>
      </c>
      <c r="L151" s="99">
        <v>80.059124653492731</v>
      </c>
      <c r="M151" s="99">
        <v>81.981476769870682</v>
      </c>
      <c r="N151" s="99">
        <v>84.855894912080529</v>
      </c>
      <c r="O151" s="102" t="s">
        <v>120</v>
      </c>
    </row>
    <row r="152" spans="1:15">
      <c r="A152" s="96" t="s">
        <v>248</v>
      </c>
      <c r="B152" s="96" t="s">
        <v>284</v>
      </c>
      <c r="C152" s="96"/>
      <c r="D152" s="96"/>
      <c r="E152" s="97"/>
      <c r="F152" s="98" t="s">
        <v>119</v>
      </c>
      <c r="G152" s="96"/>
      <c r="H152" s="100">
        <v>136.06</v>
      </c>
      <c r="I152" s="101">
        <v>136.06</v>
      </c>
      <c r="J152" s="101">
        <v>136.15287994288278</v>
      </c>
      <c r="K152" s="101">
        <v>140.96356899216127</v>
      </c>
      <c r="L152" s="99">
        <v>144.6208775936567</v>
      </c>
      <c r="M152" s="99">
        <v>148.09346427653489</v>
      </c>
      <c r="N152" s="99">
        <v>153.2858877023059</v>
      </c>
      <c r="O152" s="102" t="s">
        <v>120</v>
      </c>
    </row>
    <row r="153" spans="1:15">
      <c r="A153" s="96" t="s">
        <v>248</v>
      </c>
      <c r="B153" s="96" t="s">
        <v>285</v>
      </c>
      <c r="C153" s="96"/>
      <c r="D153" s="96"/>
      <c r="E153" s="97"/>
      <c r="F153" s="98" t="s">
        <v>119</v>
      </c>
      <c r="G153" s="96"/>
      <c r="H153" s="100">
        <v>34.729999999999997</v>
      </c>
      <c r="I153" s="101">
        <v>34.729999999999997</v>
      </c>
      <c r="J153" s="101">
        <v>34.753708073028946</v>
      </c>
      <c r="K153" s="101">
        <v>35.98166067248097</v>
      </c>
      <c r="L153" s="99">
        <v>36.915207105892229</v>
      </c>
      <c r="M153" s="99">
        <v>37.801602339585891</v>
      </c>
      <c r="N153" s="99">
        <v>39.12699456049598</v>
      </c>
      <c r="O153" s="102" t="s">
        <v>120</v>
      </c>
    </row>
  </sheetData>
  <autoFilter ref="A2:XEG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AER FD method and comparison</vt:lpstr>
      <vt:lpstr>AER FD AER Summary</vt:lpstr>
      <vt:lpstr>AER FD Input Data</vt: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Cremona;Yuelin Linda Li</dc:creator>
  <cp:lastModifiedBy>Bohan, Dane</cp:lastModifiedBy>
  <dcterms:created xsi:type="dcterms:W3CDTF">2017-04-27T04:13:24Z</dcterms:created>
  <dcterms:modified xsi:type="dcterms:W3CDTF">2019-04-13T08:38:13Z</dcterms:modified>
</cp:coreProperties>
</file>