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lavko\Reset\2019-24 final decision Overviews\For Jim-Board-DNSPs\Attachments - Locked down\Ausgrid\"/>
    </mc:Choice>
  </mc:AlternateContent>
  <bookViews>
    <workbookView xWindow="0" yWindow="0" windowWidth="19200" windowHeight="7050" tabRatio="691" activeTab="5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E7" i="4" l="1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C42" i="4" l="1"/>
  <c r="C44" i="4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H13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E18" i="4" l="1"/>
  <c r="G15" i="4"/>
  <c r="G18" i="4" s="1"/>
  <c r="H15" i="4"/>
  <c r="H16" i="4"/>
  <c r="H14" i="4"/>
  <c r="E20" i="4"/>
  <c r="F14" i="4"/>
  <c r="F18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F21" i="4" l="1"/>
  <c r="G21" i="4"/>
  <c r="E21" i="4"/>
  <c r="H18" i="4"/>
  <c r="P22" i="13"/>
  <c r="H25" i="4" s="1"/>
  <c r="H27" i="4" s="1"/>
  <c r="P15" i="13"/>
  <c r="L30" i="3"/>
  <c r="L31" i="3" s="1"/>
  <c r="H26" i="4" s="1"/>
  <c r="G28" i="4"/>
  <c r="H21" i="4" l="1"/>
  <c r="H28" i="4"/>
  <c r="D31" i="4" s="1"/>
  <c r="D34" i="4" s="1"/>
  <c r="D35" i="4" l="1"/>
  <c r="D36" i="4" s="1"/>
  <c r="D42" i="4" s="1"/>
  <c r="D33" i="4"/>
  <c r="E42" i="4" l="1"/>
  <c r="F42" i="4" s="1"/>
  <c r="G42" i="4" s="1"/>
  <c r="H42" i="4" s="1"/>
  <c r="J8" i="10"/>
  <c r="K8" i="10"/>
  <c r="L8" i="10" l="1"/>
  <c r="M8" i="10" l="1"/>
  <c r="N8" i="10" l="1"/>
  <c r="D44" i="4"/>
  <c r="O8" i="10" l="1"/>
</calcChain>
</file>

<file path=xl/comments1.xml><?xml version="1.0" encoding="utf-8"?>
<comments xmlns="http://schemas.openxmlformats.org/spreadsheetml/2006/main">
  <authors>
    <author>Author</author>
    <author>RG</author>
    <author>Wellfare, Nicholas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K18" authorId="2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<sst xmlns="http://schemas.openxmlformats.org/spreadsheetml/2006/main" count="203" uniqueCount="110">
  <si>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</si>
  <si>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</si>
  <si>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</si>
  <si>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</si>
  <si>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</si>
  <si>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</si>
  <si>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</si>
  <si>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</si>
  <si>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</si>
  <si>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</si>
  <si>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</si>
  <si>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</si>
  <si>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</si>
  <si>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</si>
  <si>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</si>
  <si>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</si>
  <si>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</si>
  <si>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</si>
  <si>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</si>
  <si>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</si>
  <si>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</si>
  <si>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</si>
  <si>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</si>
  <si>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</si>
  <si>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</si>
  <si>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</si>
  <si>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</si>
  <si>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</si>
  <si>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</si>
  <si>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</si>
  <si>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</si>
  <si>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</si>
  <si>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</si>
  <si>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</si>
  <si>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</si>
  <si>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</si>
  <si>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</si>
  <si>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</si>
  <si>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</si>
  <si>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</si>
  <si>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</si>
  <si>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</si>
  <si>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</si>
  <si>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</si>
  <si>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</si>
  <si>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</si>
  <si>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</si>
  <si>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</si>
  <si>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</si>
  <si>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</si>
  <si>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</si>
  <si>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</si>
  <si>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</si>
  <si>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</si>
  <si>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</si>
  <si>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</si>
  <si>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</si>
  <si>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</si>
  <si>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</si>
  <si>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</si>
  <si>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</si>
  <si>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</si>
  <si>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</si>
  <si>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</si>
  <si>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</si>
  <si>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</si>
  <si>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</si>
  <si>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</si>
  <si>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</si>
  <si>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</si>
  <si>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</si>
  <si>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</si>
  <si>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</si>
  <si>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</si>
  <si>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</si>
  <si>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</si>
  <si>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</si>
  <si>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</si>
  <si>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</si>
  <si>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</si>
  <si>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</si>
  <si>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</si>
  <si>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</si>
  <si>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</si>
  <si>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</si>
  <si>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</si>
  <si>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</si>
  <si>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</si>
  <si>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</si>
  <si>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</si>
  <si>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</si>
  <si>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</si>
  <si>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</si>
  <si>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</si>
  <si>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</si>
  <si>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</si>
  <si>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</si>
  <si>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</si>
  <si>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</si>
  <si>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</si>
  <si>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</si>
  <si>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</si>
  <si>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</si>
  <si>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Ausgrid DX</t>
  </si>
  <si>
    <t>Final Decision</t>
  </si>
  <si>
    <t>2019-24</t>
  </si>
  <si>
    <t>2019-20</t>
  </si>
  <si>
    <t>No</t>
  </si>
  <si>
    <t>AER Final Decision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</si>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</sst>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CCFF"/>
      <color rgb="FFFFFF99"/>
      <color rgb="FFDAEEF3"/>
      <color rgb="FFFF00FF"/>
      <color rgb="FF00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B1" sqref="B1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Ausgrid DX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9" sqref="D9"/>
    </sheetView>
  </sheetViews>
  <sheetFormatPr defaultColWidth="0" defaultRowHeight="0" customHeight="1" zeroHeight="1"/>
  <cols>
    <col min="1" max="2" width="1.26953125" style="14" customWidth="1"/>
    <col min="3" max="3" width="56.7265625" style="15" customWidth="1"/>
    <col min="4" max="8" width="12.7265625" style="14" customWidth="1"/>
    <col min="9" max="9" width="9.453125" style="14" customWidth="1"/>
    <col min="10" max="10" width="9.26953125" style="14" customWidth="1"/>
    <col min="11" max="12" width="2.81640625" style="14" customWidth="1"/>
    <col min="13" max="22" width="9.1796875" style="14" hidden="1" customWidth="1"/>
    <col min="23" max="16384" width="12.7265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DX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103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104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105</v>
      </c>
      <c r="J8" s="79"/>
      <c r="K8" s="79"/>
      <c r="L8" s="79"/>
      <c r="M8" s="79"/>
    </row>
    <row r="9" spans="1:13" s="70" customFormat="1" ht="11.25" customHeight="1">
      <c r="C9" s="188" t="s">
        <v>102</v>
      </c>
      <c r="D9" s="160" t="s">
        <v>106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87" t="str">
        <f t="shared" ref="D13:F13" si="0">IF(LEN(E13)&gt;4,CONCATENATE(LEFT(E13,4)-1&amp;"–"&amp;IF(RIGHT(E13,2)="00","99",IF(RIGHT(E13,2)-1&lt;10,"0","")&amp;RIGHT(E13,2)-1)),E13-1)</f>
        <v>2014–15</v>
      </c>
      <c r="E13" s="187" t="str">
        <f t="shared" si="0"/>
        <v>2015–16</v>
      </c>
      <c r="F13" s="187" t="str">
        <f t="shared" si="0"/>
        <v>2016–17</v>
      </c>
      <c r="G13" s="187" t="str">
        <f>IF(LEN(H13)&gt;4,CONCATENATE(LEFT(H13,4)-1&amp;"–"&amp;IF(RIGHT(H13,2)="00","99",IF(RIGHT(H13,2)-1&lt;10,"0","")&amp;RIGHT(H13,2)-1)),H13-1)</f>
        <v>2017–18</v>
      </c>
      <c r="H13" s="187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107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87" t="str">
        <f>D9</f>
        <v>2019-20</v>
      </c>
      <c r="E18" s="187" t="str">
        <f>IF(LEN(D18)&gt;4,CONCATENATE(LEFT(D18,4)+1&amp;"–"&amp;IF(RIGHT(D18,2)+1&gt;9,"","0")&amp;RIGHT(D18,2)+1),D18+1)</f>
        <v>2020–21</v>
      </c>
      <c r="F18" s="187" t="str">
        <f t="shared" ref="F18:H18" si="1">IF(LEN(E18)&gt;4,CONCATENATE(LEFT(E18,4)+1&amp;"–"&amp;IF(RIGHT(E18,2)+1&gt;9,"","0")&amp;RIGHT(E18,2)+1),E18+1)</f>
        <v>2021–22</v>
      </c>
      <c r="G18" s="187" t="str">
        <f t="shared" si="1"/>
        <v>2022–23</v>
      </c>
      <c r="H18" s="187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K14" sqref="K14"/>
    </sheetView>
  </sheetViews>
  <sheetFormatPr defaultColWidth="0" defaultRowHeight="18" customHeight="1" zeroHeight="1"/>
  <cols>
    <col min="1" max="2" width="1.1796875" style="24" customWidth="1"/>
    <col min="3" max="3" width="36.7265625" style="24" customWidth="1"/>
    <col min="4" max="5" width="22.81640625" style="24" customWidth="1"/>
    <col min="6" max="6" width="12.7265625" style="24" customWidth="1"/>
    <col min="7" max="12" width="12.7265625" style="11" customWidth="1"/>
    <col min="13" max="13" width="12.54296875" style="22" customWidth="1"/>
    <col min="14" max="16" width="12.7265625" style="24" customWidth="1"/>
    <col min="17" max="18" width="2.81640625" style="24" customWidth="1"/>
    <col min="19" max="32" width="12.7265625" style="24" hidden="1" customWidth="1"/>
    <col min="33" max="16384" width="9.1796875" style="24" hidden="1"/>
  </cols>
  <sheetData>
    <row r="1" spans="1:20" s="11" customFormat="1" ht="18" customHeight="1">
      <c r="B1" s="3" t="str">
        <f>'Input | General'!$B$1</f>
        <v>Ausgrid DX 2019-24 Final Decision - Capital expenditure sharing scheme model</v>
      </c>
      <c r="D1" s="12"/>
      <c r="E1" s="12"/>
      <c r="F1" s="12"/>
      <c r="G1" s="105"/>
      <c r="H1" s="106" t="s">
        <v>47</v>
      </c>
      <c r="I1" s="159" t="s">
        <v>48</v>
      </c>
      <c r="J1" s="164" t="s">
        <v>36</v>
      </c>
      <c r="K1" s="190" t="s">
        <v>108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2013–14</v>
      </c>
      <c r="G7" s="173" t="str">
        <f>'Input | General'!D13</f>
        <v>2014–15</v>
      </c>
      <c r="H7" s="173" t="str">
        <f>'Input | General'!E13</f>
        <v>2015–16</v>
      </c>
      <c r="I7" s="173" t="str">
        <f>'Input | General'!F13</f>
        <v>2016–17</v>
      </c>
      <c r="J7" s="173" t="str">
        <f>'Input | General'!G13</f>
        <v>2017–18</v>
      </c>
      <c r="K7" s="173" t="str">
        <f>'Input | General'!H13</f>
        <v>2018–19</v>
      </c>
      <c r="L7" s="173" t="str">
        <f>'Input | General'!D18</f>
        <v>2019-20</v>
      </c>
      <c r="M7" s="173" t="str">
        <f>'Input | General'!E18</f>
        <v>2020–21</v>
      </c>
      <c r="N7" s="173" t="str">
        <f>'Input | General'!F18</f>
        <v>2021–22</v>
      </c>
      <c r="O7" s="173" t="str">
        <f>'Input | General'!G18</f>
        <v>2022–23</v>
      </c>
      <c r="P7" s="173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2.4498886414253906E-2</v>
      </c>
      <c r="H8" s="161">
        <v>2.4879227053140163E-2</v>
      </c>
      <c r="I8" s="161">
        <v>1.5083667216591934E-2</v>
      </c>
      <c r="J8" s="161">
        <v>1.2769909449732886E-2</v>
      </c>
      <c r="K8" s="161">
        <v>1.95E-2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2.5000000000000001E-2</v>
      </c>
      <c r="M9" s="143">
        <f t="shared" ref="M9:P9" si="0">L9</f>
        <v>2.5000000000000001E-2</v>
      </c>
      <c r="N9" s="143">
        <f t="shared" si="0"/>
        <v>2.5000000000000001E-2</v>
      </c>
      <c r="O9" s="143">
        <f t="shared" si="0"/>
        <v>2.5000000000000001E-2</v>
      </c>
      <c r="P9" s="143">
        <f t="shared" si="0"/>
        <v>2.5000000000000001E-2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1.0244988864142539</v>
      </c>
      <c r="H10" s="123">
        <f>IF(H7&lt;&gt;"",(G10*(1+H8)),"")</f>
        <v>1.0499876268250434</v>
      </c>
      <c r="I10" s="123">
        <f>IF(I7&lt;&gt;"",(H10*(1+I8)),"")</f>
        <v>1.0658252907696115</v>
      </c>
      <c r="J10" s="123">
        <f>IF(J7&lt;&gt;"",(I10*(1+J8)),"")</f>
        <v>1.0794357832219748</v>
      </c>
      <c r="K10" s="123">
        <f>IF(K7&lt;&gt;"",(J10*(1+K8)),"")</f>
        <v>1.1004847809948033</v>
      </c>
      <c r="L10" s="87">
        <f t="shared" ref="L10:P10" si="1">IF(L7&lt;&gt;"",(K10*(1+L9)),"")</f>
        <v>1.1279969005196733</v>
      </c>
      <c r="M10" s="87">
        <f t="shared" si="1"/>
        <v>1.1561968230326649</v>
      </c>
      <c r="N10" s="87">
        <f t="shared" si="1"/>
        <v>1.1851017436084814</v>
      </c>
      <c r="O10" s="87">
        <f t="shared" si="1"/>
        <v>1.2147292871986934</v>
      </c>
      <c r="P10" s="87">
        <f t="shared" si="1"/>
        <v>1.2450975193786606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2.4879227053140163E-2</v>
      </c>
      <c r="H13" s="161">
        <v>1.5083667216591934E-2</v>
      </c>
      <c r="I13" s="161">
        <v>1.2769909449732886E-2</v>
      </c>
      <c r="J13" s="161">
        <v>1.9486474094452033E-2</v>
      </c>
      <c r="K13" s="191">
        <v>1.9114009444569424E-2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1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1.0248792270531402</v>
      </c>
      <c r="H15" s="123">
        <f>IF(H7&lt;&gt;"",(G15*(1+H13)),"")</f>
        <v>1.0403381642512077</v>
      </c>
      <c r="I15" s="123">
        <f>IF(I7&lt;&gt;"",(H15*(1+I13)),"")</f>
        <v>1.0536231884057969</v>
      </c>
      <c r="J15" s="123">
        <f>IF(J7&lt;&gt;"",(I15*(1+J13)),"")</f>
        <v>1.0741545893719804</v>
      </c>
      <c r="K15" s="87">
        <f>IF(K7&lt;&gt;"",(J15*(1+K13)),"")</f>
        <v>1.094685990338164</v>
      </c>
      <c r="L15" s="87">
        <f t="shared" ref="L15:P15" si="3">IF(L7&lt;&gt;"",(K15*(1+L14)),"")</f>
        <v>1.1212307534975112</v>
      </c>
      <c r="M15" s="87">
        <f t="shared" si="3"/>
        <v>1.1484191938916135</v>
      </c>
      <c r="N15" s="87">
        <f t="shared" si="3"/>
        <v>1.1762669198866125</v>
      </c>
      <c r="O15" s="87">
        <f t="shared" si="3"/>
        <v>1.2047899183319652</v>
      </c>
      <c r="P15" s="87">
        <f t="shared" si="3"/>
        <v>1.23400456373819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2014–15</v>
      </c>
      <c r="H19" s="173" t="str">
        <f t="shared" ref="H19:P19" si="4">H7</f>
        <v>2015–16</v>
      </c>
      <c r="I19" s="173" t="str">
        <f t="shared" si="4"/>
        <v>2016–17</v>
      </c>
      <c r="J19" s="173" t="str">
        <f t="shared" si="4"/>
        <v>2017–18</v>
      </c>
      <c r="K19" s="173" t="str">
        <f t="shared" si="4"/>
        <v>2018–19</v>
      </c>
      <c r="L19" s="173" t="str">
        <f t="shared" si="4"/>
        <v>2019-20</v>
      </c>
      <c r="M19" s="173" t="str">
        <f t="shared" si="4"/>
        <v>2020–21</v>
      </c>
      <c r="N19" s="173" t="str">
        <f t="shared" si="4"/>
        <v>2021–22</v>
      </c>
      <c r="O19" s="173" t="str">
        <f t="shared" si="4"/>
        <v>2022–23</v>
      </c>
      <c r="P19" s="173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4.2254018761887169E-2</v>
      </c>
      <c r="H20" s="161">
        <v>4.163547694214853E-2</v>
      </c>
      <c r="I20" s="161">
        <v>4.0761033280446446E-2</v>
      </c>
      <c r="J20" s="161">
        <v>3.9860233470544681E-2</v>
      </c>
      <c r="K20" s="161">
        <v>3.8827966039358675E-2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1">
        <v>3.2190287615159054E-2</v>
      </c>
      <c r="M21" s="191">
        <v>3.1076092433442157E-2</v>
      </c>
      <c r="N21" s="191">
        <v>2.9961897251725531E-2</v>
      </c>
      <c r="O21" s="191">
        <v>2.8847702070008641E-2</v>
      </c>
      <c r="P21" s="191">
        <v>2.7733506888291883E-2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6.8184493141711933E-2</v>
      </c>
      <c r="H22" s="144">
        <f>IF(AND(H13&lt;&gt;"",H20&lt;&gt;""),((1+H20)*(1+H13)-1),"")</f>
        <v>5.7347159837339845E-2</v>
      </c>
      <c r="I22" s="144">
        <f>IF(AND(I13&lt;&gt;"",I20&lt;&gt;""),((1+I20)*(1+I13)-1),"")</f>
        <v>5.4051457434248107E-2</v>
      </c>
      <c r="J22" s="144">
        <f>IF(AND(J13&lt;&gt;"",J20&lt;&gt;""),((1+J20)*(1+J13)-1),"")</f>
        <v>6.0123442971919294E-2</v>
      </c>
      <c r="K22" s="144">
        <f>IF(AND(K13&lt;&gt;"",K20&lt;&gt;""),((1+K20)*(1+K13)-1),"")</f>
        <v>5.8684133593517762E-2</v>
      </c>
      <c r="L22" s="144">
        <f>IF(AND(L14&lt;&gt;"",L21&lt;&gt;""),((1+L21)*(1+L14)-1),"")</f>
        <v>5.7219608317124804E-2</v>
      </c>
      <c r="M22" s="144">
        <f t="shared" ref="M22:P22" si="5">IF(AND(M14&lt;&gt;"",M21&lt;&gt;""),((1+M21)*(1+M14)-1),"")</f>
        <v>5.6078395298810868E-2</v>
      </c>
      <c r="N22" s="144">
        <f t="shared" si="5"/>
        <v>5.4937182280497376E-2</v>
      </c>
      <c r="O22" s="144">
        <f t="shared" si="5"/>
        <v>5.3795969262183441E-2</v>
      </c>
      <c r="P22" s="144">
        <f t="shared" si="5"/>
        <v>5.2654756243869727E-2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K18" sqref="K18"/>
    </sheetView>
  </sheetViews>
  <sheetFormatPr defaultColWidth="0" defaultRowHeight="18" customHeight="1" zeroHeight="1"/>
  <cols>
    <col min="1" max="2" width="1.26953125" style="11" customWidth="1"/>
    <col min="3" max="3" width="49.81640625" style="16" customWidth="1"/>
    <col min="4" max="4" width="23.7265625" style="16" customWidth="1"/>
    <col min="5" max="5" width="13.453125" style="16" customWidth="1"/>
    <col min="6" max="6" width="9.1796875" style="16" customWidth="1"/>
    <col min="7" max="7" width="2.81640625" style="16" customWidth="1"/>
    <col min="8" max="12" width="13.7265625" style="11" bestFit="1" customWidth="1"/>
    <col min="13" max="14" width="2.81640625" style="11" customWidth="1"/>
    <col min="15" max="23" width="0" style="11" hidden="1" customWidth="1"/>
    <col min="24" max="16384" width="12.7265625" style="11" hidden="1"/>
  </cols>
  <sheetData>
    <row r="1" spans="2:14" ht="18" customHeight="1">
      <c r="B1" s="3" t="str">
        <f>'Input | General'!$B$1</f>
        <v>Ausgrid DX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0" t="s">
        <v>108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tr">
        <f>IF('Input | General'!D14="Yes",'Input | General'!D13,"n/a")</f>
        <v>n/a</v>
      </c>
      <c r="I6" s="175" t="str">
        <f>IF('Input | General'!E14="Yes",'Input | General'!E13,"n/a")</f>
        <v>2015–16</v>
      </c>
      <c r="J6" s="175" t="str">
        <f>IF('Input | General'!F14="Yes",'Input | General'!F13,"n/a")</f>
        <v>2016–17</v>
      </c>
      <c r="K6" s="175" t="str">
        <f>IF('Input | General'!G14="Yes",'Input | General'!G13,"n/a")</f>
        <v>2017–18</v>
      </c>
      <c r="L6" s="175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78" t="str">
        <f>'Input | Inflation and Disc Rate'!$F$7</f>
        <v>2013–14</v>
      </c>
      <c r="G8" s="68"/>
      <c r="H8" s="162"/>
      <c r="I8" s="162">
        <v>704.94439500646354</v>
      </c>
      <c r="J8" s="162">
        <v>659.58186200938633</v>
      </c>
      <c r="K8" s="162">
        <v>663.48707410221675</v>
      </c>
      <c r="L8" s="162">
        <v>591.73942931150452</v>
      </c>
      <c r="M8" s="2"/>
      <c r="N8" s="2"/>
    </row>
    <row r="9" spans="2:14" ht="10.5" customHeight="1">
      <c r="C9" s="80" t="s">
        <v>100</v>
      </c>
      <c r="D9" s="78" t="s">
        <v>49</v>
      </c>
      <c r="E9" s="78" t="s">
        <v>50</v>
      </c>
      <c r="F9" s="178" t="str">
        <f>'Input | Inflation and Disc Rate'!$F$7</f>
        <v>2013–14</v>
      </c>
      <c r="G9" s="68"/>
      <c r="H9" s="162"/>
      <c r="I9" s="162">
        <v>95.58188190928</v>
      </c>
      <c r="J9" s="162">
        <v>93.872445448103093</v>
      </c>
      <c r="K9" s="162">
        <v>116.39916041676371</v>
      </c>
      <c r="L9" s="162">
        <v>94.863628534547587</v>
      </c>
      <c r="M9" s="2"/>
      <c r="N9" s="2"/>
    </row>
    <row r="10" spans="2:14" ht="10.5" customHeight="1">
      <c r="C10" s="80" t="s">
        <v>94</v>
      </c>
      <c r="D10" s="78" t="s">
        <v>49</v>
      </c>
      <c r="E10" s="78" t="s">
        <v>50</v>
      </c>
      <c r="F10" s="178" t="str">
        <f>'Input | Inflation and Disc Rate'!$F$7</f>
        <v>2013–14</v>
      </c>
      <c r="G10" s="68"/>
      <c r="H10" s="162"/>
      <c r="I10" s="162">
        <v>17.800182164674201</v>
      </c>
      <c r="J10" s="162">
        <v>28.278620368853808</v>
      </c>
      <c r="K10" s="162">
        <v>7.8264478359282217</v>
      </c>
      <c r="L10" s="162">
        <v>22.537873892804935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61</v>
      </c>
      <c r="E12" s="176" t="s">
        <v>50</v>
      </c>
      <c r="F12" s="177" t="str">
        <f>'Input | Inflation and Disc Rate'!$F$7</f>
        <v>2013–14</v>
      </c>
      <c r="G12" s="68"/>
      <c r="H12" s="66">
        <f>IF(H6="", "", H8-H9-H10)</f>
        <v>0</v>
      </c>
      <c r="I12" s="66">
        <f t="shared" ref="I12:L12" si="0">IF(I6="", "", I8-I9-I10)</f>
        <v>591.56233093250933</v>
      </c>
      <c r="J12" s="66">
        <f t="shared" si="0"/>
        <v>537.4307961924294</v>
      </c>
      <c r="K12" s="66">
        <f t="shared" si="0"/>
        <v>539.26146584952482</v>
      </c>
      <c r="L12" s="66">
        <f t="shared" si="0"/>
        <v>474.33792688415195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tr">
        <f>H6</f>
        <v>n/a</v>
      </c>
      <c r="I16" s="175" t="str">
        <f t="shared" ref="I16:L16" si="1">I6</f>
        <v>2015–16</v>
      </c>
      <c r="J16" s="175" t="str">
        <f t="shared" si="1"/>
        <v>2016–17</v>
      </c>
      <c r="K16" s="175" t="str">
        <f t="shared" si="1"/>
        <v>2017–18</v>
      </c>
      <c r="L16" s="175" t="str">
        <f t="shared" si="1"/>
        <v>2018–19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78</v>
      </c>
      <c r="D18" s="78" t="s">
        <v>49</v>
      </c>
      <c r="E18" s="78" t="s">
        <v>50</v>
      </c>
      <c r="F18" s="78" t="s">
        <v>53</v>
      </c>
      <c r="G18" s="68"/>
      <c r="H18" s="162"/>
      <c r="I18" s="162">
        <v>485.37455498999998</v>
      </c>
      <c r="J18" s="162">
        <v>484.50138074000006</v>
      </c>
      <c r="K18" s="196">
        <v>659.80767401999992</v>
      </c>
      <c r="L18" s="162">
        <v>862.31908388936665</v>
      </c>
    </row>
    <row r="19" spans="2:14" s="2" customFormat="1" ht="10.5" customHeight="1">
      <c r="B19" s="73"/>
      <c r="C19" s="80" t="s">
        <v>100</v>
      </c>
      <c r="D19" s="78" t="s">
        <v>49</v>
      </c>
      <c r="E19" s="78" t="s">
        <v>50</v>
      </c>
      <c r="F19" s="78" t="s">
        <v>53</v>
      </c>
      <c r="G19" s="142"/>
      <c r="H19" s="163"/>
      <c r="I19" s="162">
        <v>75.732270060000005</v>
      </c>
      <c r="J19" s="162">
        <v>115.93740186999997</v>
      </c>
      <c r="K19" s="162">
        <v>110.569087</v>
      </c>
      <c r="L19" s="162">
        <v>101.5336502745437</v>
      </c>
    </row>
    <row r="20" spans="2:14" s="2" customFormat="1" ht="10.5" customHeight="1">
      <c r="B20" s="73"/>
      <c r="C20" s="141" t="s">
        <v>94</v>
      </c>
      <c r="D20" s="78" t="s">
        <v>49</v>
      </c>
      <c r="E20" s="78" t="s">
        <v>50</v>
      </c>
      <c r="F20" s="78" t="s">
        <v>53</v>
      </c>
      <c r="G20" s="142"/>
      <c r="H20" s="163"/>
      <c r="I20" s="162">
        <v>98.769681371249774</v>
      </c>
      <c r="J20" s="162">
        <v>19.442388766251906</v>
      </c>
      <c r="K20" s="162">
        <v>24.707864999999998</v>
      </c>
      <c r="L20" s="162">
        <v>13.583590010768859</v>
      </c>
    </row>
    <row r="21" spans="2:14" s="2" customFormat="1" ht="10.5" customHeight="1">
      <c r="B21" s="73"/>
      <c r="C21" s="156" t="s">
        <v>99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162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77</v>
      </c>
      <c r="D23" s="76" t="s">
        <v>61</v>
      </c>
      <c r="E23" s="179" t="s">
        <v>50</v>
      </c>
      <c r="F23" s="179" t="s">
        <v>53</v>
      </c>
      <c r="G23" s="68"/>
      <c r="H23" s="66">
        <f>IF(H16="", "", H18-H19-H20-H21)</f>
        <v>0</v>
      </c>
      <c r="I23" s="66">
        <f t="shared" ref="I23:L23" si="2">IF(I16="", "", I18-I19-I20-I21)</f>
        <v>310.8726035587502</v>
      </c>
      <c r="J23" s="66">
        <f t="shared" si="2"/>
        <v>349.12159010374819</v>
      </c>
      <c r="K23" s="66">
        <f t="shared" si="2"/>
        <v>524.53072201999998</v>
      </c>
      <c r="L23" s="66">
        <f t="shared" si="2"/>
        <v>747.20184360405415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5" t="str">
        <f>'Input | General'!D18</f>
        <v>2019-20</v>
      </c>
      <c r="I27" s="175" t="str">
        <f>'Input | General'!E18</f>
        <v>2020–21</v>
      </c>
      <c r="J27" s="175" t="str">
        <f>'Input | General'!F18</f>
        <v>2021–22</v>
      </c>
      <c r="K27" s="175" t="str">
        <f>'Input | General'!G18</f>
        <v>2022–23</v>
      </c>
      <c r="L27" s="175" t="str">
        <f>'Input | General'!H18</f>
        <v>2023–24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87</v>
      </c>
      <c r="D29" s="65" t="s">
        <v>88</v>
      </c>
      <c r="E29" s="78" t="s">
        <v>50</v>
      </c>
      <c r="F29" s="78" t="s">
        <v>53</v>
      </c>
      <c r="G29" s="68"/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"/>
      <c r="N29" s="2"/>
    </row>
    <row r="30" spans="2:14" ht="11.25" customHeight="1">
      <c r="C30" s="84" t="s">
        <v>87</v>
      </c>
      <c r="D30" s="65" t="s">
        <v>61</v>
      </c>
      <c r="E30" s="78" t="s">
        <v>50</v>
      </c>
      <c r="F30" s="78" t="str">
        <f>'Input | Inflation and Disc Rate'!$F$7</f>
        <v>2013–14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87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F18" sqref="F18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s="11" customFormat="1" ht="18" customHeight="1">
      <c r="B1" s="3" t="str">
        <f>'Input | General'!$B$1</f>
        <v>Ausgrid DX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5" t="str">
        <f>IF('Input | General'!D14="Yes",'Input | General'!D13,"n/a")</f>
        <v>n/a</v>
      </c>
      <c r="E7" s="175" t="str">
        <f>IF('Input | General'!E14="Yes",'Input | General'!E13,"n/a")</f>
        <v>2015–16</v>
      </c>
      <c r="F7" s="175" t="str">
        <f>IF('Input | General'!F14="Yes",'Input | General'!F13,"n/a")</f>
        <v>2016–17</v>
      </c>
      <c r="G7" s="175" t="str">
        <f>IF('Input | General'!G14="Yes",'Input | General'!G13,"n/a")</f>
        <v>2017–18</v>
      </c>
      <c r="H7" s="180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92"/>
      <c r="E8" s="165">
        <f>'Input | Inflation and Disc Rate'!H20</f>
        <v>4.163547694214853E-2</v>
      </c>
      <c r="F8" s="165">
        <f>'Input | Inflation and Disc Rate'!I20</f>
        <v>4.0761033280446446E-2</v>
      </c>
      <c r="G8" s="165">
        <f>'Input | Inflation and Disc Rate'!J20</f>
        <v>3.9860233470544681E-2</v>
      </c>
      <c r="H8" s="166">
        <f>'Input | Inflation and Disc Rate'!K20</f>
        <v>3.8827966039358675E-2</v>
      </c>
      <c r="I8" s="97"/>
      <c r="J8" s="79"/>
      <c r="K8" s="79"/>
    </row>
    <row r="9" spans="2:23" ht="11.25" customHeight="1">
      <c r="C9" s="148" t="s">
        <v>97</v>
      </c>
      <c r="D9" s="193"/>
      <c r="E9" s="165">
        <f>'Input | Inflation and Disc Rate'!H22</f>
        <v>5.7347159837339845E-2</v>
      </c>
      <c r="F9" s="165">
        <f>'Input | Inflation and Disc Rate'!I22</f>
        <v>5.4051457434248107E-2</v>
      </c>
      <c r="G9" s="165">
        <f>'Input | Inflation and Disc Rate'!J22</f>
        <v>6.0123442971919294E-2</v>
      </c>
      <c r="H9" s="166">
        <f>'Input | Inflation and Disc Rate'!K22</f>
        <v>5.8684133593517762E-2</v>
      </c>
      <c r="I9" s="97"/>
      <c r="J9" s="79"/>
      <c r="K9" s="79"/>
    </row>
    <row r="10" spans="2:23" ht="11.25" customHeight="1">
      <c r="C10" s="113" t="s">
        <v>13</v>
      </c>
      <c r="D10" s="194"/>
      <c r="E10" s="167">
        <f>'Input | Reported Capex'!I$12*'Input | Inflation and Disc Rate'!H$15*(1+'Input | Inflation and Disc Rate'!H$20)^0.5</f>
        <v>628.10597347801502</v>
      </c>
      <c r="F10" s="167">
        <f>'Input | Reported Capex'!J$12*'Input | Inflation and Disc Rate'!I$15*(1+'Input | Inflation and Disc Rate'!I$20)^0.5</f>
        <v>577.6747445221099</v>
      </c>
      <c r="G10" s="167">
        <f>'Input | Reported Capex'!K$12*'Input | Inflation and Disc Rate'!J$15*(1+'Input | Inflation and Disc Rate'!J$20)^0.5</f>
        <v>590.68189746164921</v>
      </c>
      <c r="H10" s="168">
        <f>'Input | Reported Capex'!L$12*'Input | Inflation and Disc Rate'!K$15*(1+'Input | Inflation and Disc Rate'!K$20)^0.5</f>
        <v>529.23581622576398</v>
      </c>
      <c r="I10" s="97"/>
      <c r="J10" s="79"/>
      <c r="K10" s="79"/>
      <c r="N10" s="139"/>
    </row>
    <row r="11" spans="2:23" ht="11.25" customHeight="1">
      <c r="C11" s="113" t="s">
        <v>15</v>
      </c>
      <c r="D11" s="195"/>
      <c r="E11" s="167">
        <f>'Input | Reported Capex'!I23*(1+E$9)^0.5</f>
        <v>319.66217636464597</v>
      </c>
      <c r="F11" s="167">
        <f>'Input | Reported Capex'!J23*(1+F$9)^0.5</f>
        <v>358.43269156705117</v>
      </c>
      <c r="G11" s="167">
        <f>'Input | Reported Capex'!K23*(1+G$9)^0.5</f>
        <v>540.06887543552261</v>
      </c>
      <c r="H11" s="168">
        <f>'Input | Reported Capex'!L23*(1+H$9)^0.5</f>
        <v>768.81374118440374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308.44379711336904</v>
      </c>
      <c r="F12" s="146">
        <f t="shared" ref="F12:H12" si="0">(F10-F11)</f>
        <v>219.24205295505874</v>
      </c>
      <c r="G12" s="146">
        <f t="shared" si="0"/>
        <v>50.6130220261266</v>
      </c>
      <c r="H12" s="151">
        <f t="shared" si="0"/>
        <v>-239.57792495863976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12.572487879285307</v>
      </c>
      <c r="G14" s="146">
        <f>$E$12*G$8*(1+'Input | Inflation and Disc Rate'!I13)</f>
        <v>12.451643227542291</v>
      </c>
      <c r="H14" s="151">
        <f>$E$12*H$8*(1+'Input | Inflation and Disc Rate'!I13)*(1+'Input | Inflation and Disc Rate'!J13)</f>
        <v>12.365535815498662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8.7390394173501615</v>
      </c>
      <c r="H15" s="151">
        <f>$F$12*$H$8*(1+'Input | Inflation and Disc Rate'!J13)</f>
        <v>8.678605942488721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1.9652007003797562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12.572487879285307</v>
      </c>
      <c r="G18" s="152">
        <f t="shared" si="1"/>
        <v>21.190682644892455</v>
      </c>
      <c r="H18" s="153">
        <f t="shared" si="1"/>
        <v>23.00934245836714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1.1829997581602174</v>
      </c>
      <c r="F19" s="152">
        <f>G19*(1+G$9)</f>
        <v>1.1223358687249034</v>
      </c>
      <c r="G19" s="152">
        <f>H19*(1+H$9)</f>
        <v>1.0586841335935178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364.88893739113473</v>
      </c>
      <c r="F20" s="146">
        <f t="shared" ref="F20:H20" si="2">F12*F19</f>
        <v>246.06321996434713</v>
      </c>
      <c r="G20" s="146">
        <f t="shared" si="2"/>
        <v>53.58320337227947</v>
      </c>
      <c r="H20" s="151">
        <f t="shared" si="2"/>
        <v>-239.57792495863976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14.110554106030992</v>
      </c>
      <c r="G21" s="152">
        <f t="shared" si="3"/>
        <v>22.434239496163162</v>
      </c>
      <c r="H21" s="153">
        <f t="shared" si="3"/>
        <v>23.00934245836714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1" t="str">
        <f>'Input | General'!$D$18</f>
        <v>2019-20</v>
      </c>
      <c r="E24" s="181" t="str">
        <f>'Input | General'!$E$18</f>
        <v>2020–21</v>
      </c>
      <c r="F24" s="181" t="str">
        <f>'Input | General'!$F$18</f>
        <v>2021–22</v>
      </c>
      <c r="G24" s="181" t="str">
        <f>'Input | General'!$G$18</f>
        <v>2022–23</v>
      </c>
      <c r="H24" s="182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69">
        <f>'Input | Inflation and Disc Rate'!L$22</f>
        <v>5.7219608317124804E-2</v>
      </c>
      <c r="E25" s="169">
        <f>'Input | Inflation and Disc Rate'!M$22</f>
        <v>5.6078395298810868E-2</v>
      </c>
      <c r="F25" s="169">
        <f>'Input | Inflation and Disc Rate'!N$22</f>
        <v>5.4937182280497376E-2</v>
      </c>
      <c r="G25" s="169">
        <f>'Input | Inflation and Disc Rate'!O$22</f>
        <v>5.3795969262183441E-2</v>
      </c>
      <c r="H25" s="170">
        <f>'Input | Inflation and Disc Rate'!P$22</f>
        <v>5.2654756243869727E-2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0.97256222059416042</v>
      </c>
      <c r="E27" s="124">
        <f>1/((1+E25)^(0.5)*(1+D25))</f>
        <v>0.92042140837463271</v>
      </c>
      <c r="F27" s="124">
        <f>1/((1+F25)^(0.5)*(1+E25)*(1+D25))</f>
        <v>0.87201776495221961</v>
      </c>
      <c r="G27" s="124">
        <f>1/((1+G25)^(0.5)*(1+F25)*(1+E25)*(1+D25))</f>
        <v>0.82705380907273784</v>
      </c>
      <c r="H27" s="125">
        <f>1/((1+H25)^(0.5)*(1+G25)*(1+F25)*(1+E25)*(1+D25))</f>
        <v>0.78525827396277637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424.95743576912162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297.47020503838513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127.48723073073648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59.554136060561291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67.933094670175194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3" t="str">
        <f>'Input | General'!D18</f>
        <v>2019-20</v>
      </c>
      <c r="E40" s="183" t="str">
        <f>'Input | General'!E18</f>
        <v>2020–21</v>
      </c>
      <c r="F40" s="183" t="str">
        <f>'Input | General'!F18</f>
        <v>2021–22</v>
      </c>
      <c r="G40" s="183" t="str">
        <f>'Input | General'!G18</f>
        <v>2022–23</v>
      </c>
      <c r="H40" s="183" t="str">
        <f>'Input | General'!H18</f>
        <v>2023–24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101</v>
      </c>
      <c r="D41" s="171">
        <f>1/(1+'Input | Inflation and Disc Rate'!L21)</f>
        <v>0.96881361120967957</v>
      </c>
      <c r="E41" s="171">
        <f>D41/(1+'Input | Inflation and Disc Rate'!M21)</f>
        <v>0.9396140772919902</v>
      </c>
      <c r="F41" s="171">
        <f>E41/(1+'Input | Inflation and Disc Rate'!N21)</f>
        <v>0.91228042493531769</v>
      </c>
      <c r="G41" s="171">
        <f>F41/(1+'Input | Inflation and Disc Rate'!O21)</f>
        <v>0.88670113477421264</v>
      </c>
      <c r="H41" s="172">
        <f>G41/(1+'Input | Inflation and Disc Rate'!P21)</f>
        <v>0.86277340266827707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89" t="str">
        <f>CONCATENATE("CESS Payment Per Year ($", 'Output | Models'!$F$8," million)")</f>
        <v>CESS Payment Per Year ($2018–19 million)</v>
      </c>
      <c r="D42" s="110">
        <f>D36/(SUM(D41:H41))</f>
        <v>14.864415683058592</v>
      </c>
      <c r="E42" s="110">
        <f>D42</f>
        <v>14.864415683058592</v>
      </c>
      <c r="F42" s="110">
        <f t="shared" ref="F42:H42" si="5">E42</f>
        <v>14.864415683058592</v>
      </c>
      <c r="G42" s="110">
        <f t="shared" si="5"/>
        <v>14.864415683058592</v>
      </c>
      <c r="H42" s="149">
        <f t="shared" si="5"/>
        <v>14.864415683058592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89" t="str">
        <f>CONCATENATE("Total CESS Payment ($", 'Output | Models'!$F$8," million)")</f>
        <v>Total CESS Payment ($2018–19 million)</v>
      </c>
      <c r="D44" s="157">
        <f>SUM(D42:H42)</f>
        <v>74.322078415292964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>
      <selection activeCell="J10" sqref="J10:N10"/>
    </sheetView>
  </sheetViews>
  <sheetFormatPr defaultColWidth="0" defaultRowHeight="11.25" customHeight="1" zeroHeight="1"/>
  <cols>
    <col min="1" max="2" width="1.26953125" style="51" customWidth="1"/>
    <col min="3" max="3" width="36" style="51" customWidth="1"/>
    <col min="4" max="4" width="23.54296875" style="52" bestFit="1" customWidth="1"/>
    <col min="5" max="5" width="13.54296875" style="52" customWidth="1"/>
    <col min="6" max="6" width="9.1796875" style="52" customWidth="1"/>
    <col min="7" max="9" width="2.81640625" style="52" customWidth="1"/>
    <col min="10" max="15" width="9.26953125" style="51" customWidth="1"/>
    <col min="16" max="17" width="3" style="51" customWidth="1"/>
    <col min="18" max="24" width="9.26953125" style="51" hidden="1" customWidth="1"/>
    <col min="25" max="48" width="0" style="51" hidden="1" customWidth="1"/>
    <col min="49" max="16384" width="0" style="51" hidden="1"/>
  </cols>
  <sheetData>
    <row r="1" spans="1:27" s="34" customFormat="1" ht="15.5">
      <c r="B1" s="3" t="str">
        <f>'Input | General'!$B$1</f>
        <v>Ausgrid DX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5">
      <c r="C3" s="41"/>
      <c r="D3" s="42"/>
      <c r="E3" s="42"/>
      <c r="F3" s="42"/>
      <c r="G3" s="42"/>
      <c r="H3" s="42"/>
      <c r="I3" s="42"/>
      <c r="J3" s="197"/>
      <c r="K3" s="197"/>
      <c r="L3" s="197"/>
      <c r="M3" s="42"/>
      <c r="N3" s="197"/>
      <c r="O3" s="197"/>
      <c r="P3" s="197"/>
      <c r="Q3" s="197"/>
      <c r="R3" s="197"/>
      <c r="S3" s="197"/>
      <c r="T3" s="197"/>
      <c r="U3" s="43"/>
      <c r="V3" s="43"/>
      <c r="W3" s="43"/>
      <c r="X3" s="43"/>
      <c r="Y3" s="43"/>
      <c r="Z3" s="43"/>
      <c r="AA3" s="43"/>
    </row>
    <row r="4" spans="1:27" s="50" customFormat="1" ht="13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2019-20</v>
      </c>
      <c r="K6" s="184" t="str">
        <f>'Calc | CESS Revenue Increments'!E40</f>
        <v>2020–21</v>
      </c>
      <c r="L6" s="184" t="str">
        <f>'Calc | CESS Revenue Increments'!F40</f>
        <v>2021–22</v>
      </c>
      <c r="M6" s="184" t="str">
        <f>'Calc | CESS Revenue Increments'!G40</f>
        <v>2022–23</v>
      </c>
      <c r="N6" s="184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14.864415683058592</v>
      </c>
      <c r="K8" s="133">
        <f>'Calc | CESS Revenue Increments'!E42</f>
        <v>14.864415683058592</v>
      </c>
      <c r="L8" s="133">
        <f>'Calc | CESS Revenue Increments'!F42</f>
        <v>14.864415683058592</v>
      </c>
      <c r="M8" s="133">
        <f>'Calc | CESS Revenue Increments'!G42</f>
        <v>14.864415683058592</v>
      </c>
      <c r="N8" s="133">
        <f>'Calc | CESS Revenue Increments'!H42</f>
        <v>14.864415683058592</v>
      </c>
      <c r="O8" s="60">
        <f>SUM(J8:N8)</f>
        <v>74.322078415292964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61"/>
      <c r="N17" s="61"/>
      <c r="O17" s="61"/>
      <c r="P17" s="61"/>
      <c r="Q17" s="61"/>
      <c r="R17" s="61"/>
      <c r="S17" s="61"/>
      <c r="T17" s="61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Jovanoski, Slavko</cp:lastModifiedBy>
  <dcterms:created xsi:type="dcterms:W3CDTF">2017-09-22T02:00:05Z</dcterms:created>
  <dcterms:modified xsi:type="dcterms:W3CDTF">2019-05-06T19:19:48Z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