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Ausgrid\"/>
    </mc:Choice>
  </mc:AlternateContent>
  <bookViews>
    <workbookView xWindow="0" yWindow="0" windowWidth="19200" windowHeight="7050" tabRatio="69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C42" i="4" l="1"/>
  <c r="C44" i="4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H13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E18" i="4" l="1"/>
  <c r="G15" i="4"/>
  <c r="G18" i="4" s="1"/>
  <c r="H15" i="4"/>
  <c r="H16" i="4"/>
  <c r="H14" i="4"/>
  <c r="E20" i="4"/>
  <c r="F14" i="4"/>
  <c r="F18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F21" i="4" l="1"/>
  <c r="G21" i="4"/>
  <c r="E21" i="4"/>
  <c r="H18" i="4"/>
  <c r="P22" i="13"/>
  <c r="H25" i="4" s="1"/>
  <c r="H27" i="4" s="1"/>
  <c r="P15" i="13"/>
  <c r="L30" i="3"/>
  <c r="L31" i="3" s="1"/>
  <c r="H26" i="4" s="1"/>
  <c r="G28" i="4"/>
  <c r="H21" i="4" l="1"/>
  <c r="H28" i="4"/>
  <c r="D31" i="4" s="1"/>
  <c r="D34" i="4" s="1"/>
  <c r="D35" i="4" l="1"/>
  <c r="D36" i="4" s="1"/>
  <c r="D42" i="4" s="1"/>
  <c r="D33" i="4"/>
  <c r="E42" i="4" l="1"/>
  <c r="F42" i="4" s="1"/>
  <c r="G42" i="4" s="1"/>
  <c r="H42" i="4" s="1"/>
  <c r="J8" i="10"/>
  <c r="K8" i="10" l="1"/>
  <c r="L8" i="10"/>
  <c r="M8" i="10" l="1"/>
  <c r="N8" i="10" l="1"/>
  <c r="D44" i="4"/>
  <c r="O8" i="10" l="1"/>
</calcChain>
</file>

<file path=xl/comments1.xml><?xml version="1.0" encoding="utf-8"?>
<comments xmlns="http://schemas.openxmlformats.org/spreadsheetml/2006/main">
  <authors>
    <author>Author</author>
    <author>RG</author>
    <author>Goyal, Riya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J1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K1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<sst xmlns="http://schemas.openxmlformats.org/spreadsheetml/2006/main" count="203" uniqueCount="110">
  <si>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</si>
  <si>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</si>
  <si>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</si>
  <si>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</si>
  <si>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</si>
  <si>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</si>
  <si>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</si>
  <si>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</si>
  <si>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</si>
  <si>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</si>
  <si>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</si>
  <si>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</si>
  <si>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</si>
  <si>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</si>
  <si>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</si>
  <si>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</si>
  <si>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</si>
  <si>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</si>
  <si>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</si>
  <si>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</si>
  <si>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</si>
  <si>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</si>
  <si>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</si>
  <si>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</si>
  <si>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</si>
  <si>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</si>
  <si>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</si>
  <si>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</si>
  <si>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</si>
  <si>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</si>
  <si>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</si>
  <si>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</si>
  <si>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</si>
  <si>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</si>
  <si>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</si>
  <si>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</si>
  <si>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</si>
  <si>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</si>
  <si>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</si>
  <si>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</si>
  <si>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</si>
  <si>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</si>
  <si>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</si>
  <si>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</si>
  <si>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</si>
  <si>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</si>
  <si>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</si>
  <si>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</si>
  <si>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</si>
  <si>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</si>
  <si>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</si>
  <si>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</si>
  <si>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</si>
  <si>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</si>
  <si>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</si>
  <si>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</si>
  <si>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</si>
  <si>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</si>
  <si>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</si>
  <si>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</si>
  <si>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</si>
  <si>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</si>
  <si>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</si>
  <si>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</si>
  <si>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</si>
  <si>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</si>
  <si>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</si>
  <si>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</si>
  <si>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</si>
  <si>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</si>
  <si>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</si>
  <si>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</si>
  <si>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</si>
  <si>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</si>
  <si>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</si>
  <si>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</si>
  <si>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</si>
  <si>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</si>
  <si>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</si>
  <si>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</si>
  <si>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</si>
  <si>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</si>
  <si>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</si>
  <si>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</si>
  <si>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</si>
  <si>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</si>
  <si>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</si>
  <si>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</si>
  <si>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</si>
  <si>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</si>
  <si>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</si>
  <si>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</si>
  <si>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</si>
  <si>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</si>
  <si>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</si>
  <si>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</si>
  <si>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</si>
  <si>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</si>
  <si>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</si>
  <si>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</si>
  <si>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</si>
  <si>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</si>
  <si>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</si>
  <si>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</si>
  <si>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</si>
  <si>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</si>
  <si>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</si>
  <si>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</si>
  <si>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Ausgrid TX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</si>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</sst>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CCFF"/>
      <color rgb="FFFFFF99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Ausgrid TX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15" sqref="D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TX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108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103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104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106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Ausgrid TX 2019-24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4" t="s">
        <v>36</v>
      </c>
      <c r="K1" s="190" t="s">
        <v>107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2.4498886414253906E-2</v>
      </c>
      <c r="H8" s="161">
        <v>2.4879227053140163E-2</v>
      </c>
      <c r="I8" s="161">
        <v>1.5083667216591934E-2</v>
      </c>
      <c r="J8" s="161">
        <v>1.2769909449732886E-2</v>
      </c>
      <c r="K8" s="161">
        <v>1.95E-2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2.5000000000000001E-2</v>
      </c>
      <c r="M9" s="143">
        <f t="shared" ref="M9:P9" si="0">L9</f>
        <v>2.5000000000000001E-2</v>
      </c>
      <c r="N9" s="143">
        <f t="shared" si="0"/>
        <v>2.5000000000000001E-2</v>
      </c>
      <c r="O9" s="143">
        <f t="shared" si="0"/>
        <v>2.5000000000000001E-2</v>
      </c>
      <c r="P9" s="143">
        <f t="shared" si="0"/>
        <v>2.5000000000000001E-2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1.0244988864142539</v>
      </c>
      <c r="H10" s="123">
        <f>IF(H7&lt;&gt;"",(G10*(1+H8)),"")</f>
        <v>1.0499876268250434</v>
      </c>
      <c r="I10" s="123">
        <f>IF(I7&lt;&gt;"",(H10*(1+I8)),"")</f>
        <v>1.0658252907696115</v>
      </c>
      <c r="J10" s="123">
        <f>IF(J7&lt;&gt;"",(I10*(1+J8)),"")</f>
        <v>1.0794357832219748</v>
      </c>
      <c r="K10" s="123">
        <f>IF(K7&lt;&gt;"",(J10*(1+K8)),"")</f>
        <v>1.1004847809948033</v>
      </c>
      <c r="L10" s="87">
        <f t="shared" ref="L10:P10" si="1">IF(L7&lt;&gt;"",(K10*(1+L9)),"")</f>
        <v>1.1279969005196733</v>
      </c>
      <c r="M10" s="87">
        <f t="shared" si="1"/>
        <v>1.1561968230326649</v>
      </c>
      <c r="N10" s="87">
        <f t="shared" si="1"/>
        <v>1.1851017436084814</v>
      </c>
      <c r="O10" s="87">
        <f t="shared" si="1"/>
        <v>1.2147292871986934</v>
      </c>
      <c r="P10" s="87">
        <f t="shared" si="1"/>
        <v>1.2450975193786606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1.7175572519083859E-2</v>
      </c>
      <c r="H13" s="161">
        <v>1.6885553470919357E-2</v>
      </c>
      <c r="I13" s="161">
        <v>1.4760147601476037E-2</v>
      </c>
      <c r="J13" s="161">
        <v>1.9090909090909047E-2</v>
      </c>
      <c r="K13" s="191">
        <v>1.7841213202497874E-2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1.0171755725190839</v>
      </c>
      <c r="H15" s="123">
        <f>IF(H7&lt;&gt;"",(G15*(1+H13)),"")</f>
        <v>1.0343511450381679</v>
      </c>
      <c r="I15" s="123">
        <f>IF(I7&lt;&gt;"",(H15*(1+I13)),"")</f>
        <v>1.0496183206106871</v>
      </c>
      <c r="J15" s="123">
        <f>IF(J7&lt;&gt;"",(I15*(1+J13)),"")</f>
        <v>1.0696564885496183</v>
      </c>
      <c r="K15" s="87">
        <f>IF(K7&lt;&gt;"",(J15*(1+K13)),"")</f>
        <v>1.0887404580152673</v>
      </c>
      <c r="L15" s="87">
        <f t="shared" ref="L15:P15" si="3">IF(L7&lt;&gt;"",(K15*(1+L14)),"")</f>
        <v>1.1151410494680609</v>
      </c>
      <c r="M15" s="87">
        <f t="shared" si="3"/>
        <v>1.1421818221724338</v>
      </c>
      <c r="N15" s="87">
        <f t="shared" si="3"/>
        <v>1.169878299721318</v>
      </c>
      <c r="O15" s="87">
        <f t="shared" si="3"/>
        <v>1.1982463821353162</v>
      </c>
      <c r="P15" s="87">
        <f t="shared" si="3"/>
        <v>1.2273023549906015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4.2254018761887169E-2</v>
      </c>
      <c r="H20" s="161">
        <v>4.163547694214853E-2</v>
      </c>
      <c r="I20" s="161">
        <v>4.0761033280446446E-2</v>
      </c>
      <c r="J20" s="161">
        <v>3.9860233470544681E-2</v>
      </c>
      <c r="K20" s="161">
        <v>3.8827966039358675E-2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3.2190287615159054E-2</v>
      </c>
      <c r="M21" s="191">
        <v>3.1076092433442157E-2</v>
      </c>
      <c r="N21" s="191">
        <v>2.9961897251725531E-2</v>
      </c>
      <c r="O21" s="191">
        <v>2.8847702070008641E-2</v>
      </c>
      <c r="P21" s="191">
        <v>2.7733506888291883E-2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6.0155328244438477E-2</v>
      </c>
      <c r="H22" s="144">
        <f>IF(AND(H13&lt;&gt;"",H20&lt;&gt;""),((1+H20)*(1+H13)-1),"")</f>
        <v>5.9224068485261849E-2</v>
      </c>
      <c r="I22" s="144">
        <f>IF(AND(I13&lt;&gt;"",I20&lt;&gt;""),((1+I20)*(1+I13)-1),"")</f>
        <v>5.6122819749530484E-2</v>
      </c>
      <c r="J22" s="144">
        <f>IF(AND(J13&lt;&gt;"",J20&lt;&gt;""),((1+J20)*(1+J13)-1),"")</f>
        <v>5.9712110654982276E-2</v>
      </c>
      <c r="K22" s="144">
        <f>IF(AND(K13&lt;&gt;"",K20&lt;&gt;""),((1+K20)*(1+K13)-1),"")</f>
        <v>5.7361917262184203E-2</v>
      </c>
      <c r="L22" s="144">
        <f>IF(AND(L14&lt;&gt;"",L21&lt;&gt;""),((1+L21)*(1+L14)-1),"")</f>
        <v>5.7219608317124804E-2</v>
      </c>
      <c r="M22" s="144">
        <f t="shared" ref="M22:P22" si="5">IF(AND(M14&lt;&gt;"",M21&lt;&gt;""),((1+M21)*(1+M14)-1),"")</f>
        <v>5.6078395298810868E-2</v>
      </c>
      <c r="N22" s="144">
        <f t="shared" si="5"/>
        <v>5.4937182280497376E-2</v>
      </c>
      <c r="O22" s="144">
        <f t="shared" si="5"/>
        <v>5.3795969262183441E-2</v>
      </c>
      <c r="P22" s="144">
        <f t="shared" si="5"/>
        <v>5.2654756243869727E-2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J26" sqref="J26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Ausgrid TX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107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99.675656072788016</v>
      </c>
      <c r="J8" s="162">
        <v>116.57041391315373</v>
      </c>
      <c r="K8" s="162">
        <v>54.718592810829506</v>
      </c>
      <c r="L8" s="162">
        <v>47.134540247737782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/>
      <c r="J9" s="162"/>
      <c r="K9" s="162"/>
      <c r="L9" s="162"/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48.041103809637129</v>
      </c>
      <c r="J10" s="162">
        <v>2.0480896637898396</v>
      </c>
      <c r="K10" s="162">
        <v>0.44777240582818434</v>
      </c>
      <c r="L10" s="162">
        <v>3.1740218307885941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51.634552263150887</v>
      </c>
      <c r="J12" s="66">
        <f t="shared" si="0"/>
        <v>114.52232424936389</v>
      </c>
      <c r="K12" s="66">
        <f t="shared" si="0"/>
        <v>54.270820405001324</v>
      </c>
      <c r="L12" s="66">
        <f t="shared" si="0"/>
        <v>43.960518416949185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66.167502450000015</v>
      </c>
      <c r="J18" s="196">
        <v>107.76359317999999</v>
      </c>
      <c r="K18" s="196">
        <v>73.559289050000004</v>
      </c>
      <c r="L18" s="162">
        <v>54.855845234664756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/>
      <c r="J19" s="162"/>
      <c r="K19" s="162"/>
      <c r="L19" s="162"/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73.384549159362209</v>
      </c>
      <c r="J20" s="162">
        <v>5.202203411301336</v>
      </c>
      <c r="K20" s="162">
        <v>1.7523872999999999</v>
      </c>
      <c r="L20" s="162">
        <v>0.39195830788105446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62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-7.2170467093621937</v>
      </c>
      <c r="J23" s="66">
        <f t="shared" si="2"/>
        <v>102.56138976869865</v>
      </c>
      <c r="K23" s="66">
        <f t="shared" si="2"/>
        <v>71.806901750000009</v>
      </c>
      <c r="L23" s="66">
        <f t="shared" si="2"/>
        <v>54.463886926783701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G29" sqref="G29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Ausgrid TX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4.163547694214853E-2</v>
      </c>
      <c r="F8" s="165">
        <f>'Input | Inflation and Disc Rate'!I20</f>
        <v>4.0761033280446446E-2</v>
      </c>
      <c r="G8" s="165">
        <f>'Input | Inflation and Disc Rate'!J20</f>
        <v>3.9860233470544681E-2</v>
      </c>
      <c r="H8" s="166">
        <f>'Input | Inflation and Disc Rate'!K20</f>
        <v>3.8827966039358675E-2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5.9224068485261849E-2</v>
      </c>
      <c r="F9" s="165">
        <f>'Input | Inflation and Disc Rate'!I22</f>
        <v>5.6122819749530484E-2</v>
      </c>
      <c r="G9" s="165">
        <f>'Input | Inflation and Disc Rate'!J22</f>
        <v>5.9712110654982276E-2</v>
      </c>
      <c r="H9" s="166">
        <f>'Input | Inflation and Disc Rate'!K22</f>
        <v>5.7361917262184203E-2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54.508759252448513</v>
      </c>
      <c r="F10" s="167">
        <f>'Input | Reported Capex'!J$12*'Input | Inflation and Disc Rate'!I$15*(1+'Input | Inflation and Disc Rate'!I$20)^0.5</f>
        <v>122.63009588309278</v>
      </c>
      <c r="G10" s="167">
        <f>'Input | Reported Capex'!K$12*'Input | Inflation and Disc Rate'!J$15*(1+'Input | Inflation and Disc Rate'!J$20)^0.5</f>
        <v>59.196796062889412</v>
      </c>
      <c r="H10" s="168">
        <f>'Input | Reported Capex'!L$12*'Input | Inflation and Disc Rate'!K$15*(1+'Input | Inflation and Disc Rate'!K$20)^0.5</f>
        <v>48.78193053344804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-7.427684296756464</v>
      </c>
      <c r="F11" s="167">
        <f>'Input | Reported Capex'!J23*(1+F$9)^0.5</f>
        <v>105.40012124286173</v>
      </c>
      <c r="G11" s="167">
        <f>'Input | Reported Capex'!K23*(1+G$9)^0.5</f>
        <v>73.919690091780396</v>
      </c>
      <c r="H11" s="168">
        <f>'Input | Reported Capex'!L23*(1+H$9)^0.5</f>
        <v>56.004182822200058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61.936443549204981</v>
      </c>
      <c r="F12" s="146">
        <f t="shared" ref="F12:H12" si="0">(F10-F11)</f>
        <v>17.229974640231049</v>
      </c>
      <c r="G12" s="146">
        <f t="shared" si="0"/>
        <v>-14.722894028890984</v>
      </c>
      <c r="H12" s="151">
        <f t="shared" si="0"/>
        <v>-7.2222522887520171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2.5245934367816369</v>
      </c>
      <c r="G14" s="146">
        <f>$E$12*G$8*(1+'Input | Inflation and Disc Rate'!I13)</f>
        <v>2.5052409688442565</v>
      </c>
      <c r="H14" s="151">
        <f>$E$12*H$8*(1+'Input | Inflation and Disc Rate'!I13)*(1+'Input | Inflation and Disc Rate'!J13)</f>
        <v>2.4869510406468418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0.68679081185117374</v>
      </c>
      <c r="H15" s="151">
        <f>$F$12*$H$8*(1+'Input | Inflation and Disc Rate'!J13)</f>
        <v>0.68177678134807329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-0.57166002935485571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2.5245934367816369</v>
      </c>
      <c r="G18" s="152">
        <f t="shared" si="1"/>
        <v>3.1920317806954301</v>
      </c>
      <c r="H18" s="153">
        <f t="shared" si="1"/>
        <v>2.5970677926400594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1.1833848053305853</v>
      </c>
      <c r="F19" s="152">
        <f>G19*(1+G$9)</f>
        <v>1.1204992290681079</v>
      </c>
      <c r="G19" s="152">
        <f>H19*(1+H$9)</f>
        <v>1.0573619172621842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73.294646192344729</v>
      </c>
      <c r="F20" s="146">
        <f t="shared" ref="F20:H20" si="2">F12*F19</f>
        <v>19.306173301241941</v>
      </c>
      <c r="G20" s="146">
        <f t="shared" si="2"/>
        <v>-15.567427458036134</v>
      </c>
      <c r="H20" s="151">
        <f t="shared" si="2"/>
        <v>-7.2222522887520171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2.8288049996242295</v>
      </c>
      <c r="G21" s="152">
        <f t="shared" si="3"/>
        <v>3.3751328435979437</v>
      </c>
      <c r="H21" s="153">
        <f t="shared" si="3"/>
        <v>2.5970677926400594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5.7219608317124804E-2</v>
      </c>
      <c r="E25" s="169">
        <f>'Input | Inflation and Disc Rate'!M$22</f>
        <v>5.6078395298810868E-2</v>
      </c>
      <c r="F25" s="169">
        <f>'Input | Inflation and Disc Rate'!N$22</f>
        <v>5.4937182280497376E-2</v>
      </c>
      <c r="G25" s="169">
        <f>'Input | Inflation and Disc Rate'!O$22</f>
        <v>5.3795969262183441E-2</v>
      </c>
      <c r="H25" s="170">
        <f>'Input | Inflation and Disc Rate'!P$22</f>
        <v>5.2654756243869727E-2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0.97256222059416042</v>
      </c>
      <c r="E27" s="124">
        <f>1/((1+E25)^(0.5)*(1+D25))</f>
        <v>0.92042140837463271</v>
      </c>
      <c r="F27" s="124">
        <f>1/((1+F25)^(0.5)*(1+E25)*(1+D25))</f>
        <v>0.87201776495221961</v>
      </c>
      <c r="G27" s="124">
        <f>1/((1+G25)^(0.5)*(1+F25)*(1+E25)*(1+D25))</f>
        <v>0.82705380907273784</v>
      </c>
      <c r="H27" s="125">
        <f>1/((1+H25)^(0.5)*(1+G25)*(1+F25)*(1+E25)*(1+D25))</f>
        <v>0.78525827396277637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69.811139746798517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48.867797822758959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20.943341924039554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8.8010056358622322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12.142336288177322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0.96881361120967957</v>
      </c>
      <c r="E41" s="171">
        <f>D41/(1+'Input | Inflation and Disc Rate'!M21)</f>
        <v>0.9396140772919902</v>
      </c>
      <c r="F41" s="171">
        <f>E41/(1+'Input | Inflation and Disc Rate'!N21)</f>
        <v>0.91228042493531769</v>
      </c>
      <c r="G41" s="171">
        <f>F41/(1+'Input | Inflation and Disc Rate'!O21)</f>
        <v>0.88670113477421264</v>
      </c>
      <c r="H41" s="172">
        <f>G41/(1+'Input | Inflation and Disc Rate'!P21)</f>
        <v>0.86277340266827707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2.6568601773149423</v>
      </c>
      <c r="E42" s="110">
        <f>D42</f>
        <v>2.6568601773149423</v>
      </c>
      <c r="F42" s="110">
        <f t="shared" ref="F42:H42" si="5">E42</f>
        <v>2.6568601773149423</v>
      </c>
      <c r="G42" s="110">
        <f t="shared" si="5"/>
        <v>2.6568601773149423</v>
      </c>
      <c r="H42" s="149">
        <f t="shared" si="5"/>
        <v>2.6568601773149423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13.284300886574712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J10" sqref="J10:N10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Ausgrid TX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197"/>
      <c r="K3" s="197"/>
      <c r="L3" s="197"/>
      <c r="M3" s="42"/>
      <c r="N3" s="197"/>
      <c r="O3" s="197"/>
      <c r="P3" s="197"/>
      <c r="Q3" s="197"/>
      <c r="R3" s="197"/>
      <c r="S3" s="197"/>
      <c r="T3" s="197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2.6568601773149423</v>
      </c>
      <c r="K8" s="133">
        <f>'Calc | CESS Revenue Increments'!E42</f>
        <v>2.6568601773149423</v>
      </c>
      <c r="L8" s="133">
        <f>'Calc | CESS Revenue Increments'!F42</f>
        <v>2.6568601773149423</v>
      </c>
      <c r="M8" s="133">
        <f>'Calc | CESS Revenue Increments'!G42</f>
        <v>2.6568601773149423</v>
      </c>
      <c r="N8" s="133">
        <f>'Calc | CESS Revenue Increments'!H42</f>
        <v>2.6568601773149423</v>
      </c>
      <c r="O8" s="60">
        <f>SUM(J8:N8)</f>
        <v>13.284300886574712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1"/>
      <c r="N17" s="61"/>
      <c r="O17" s="61"/>
      <c r="P17" s="61"/>
      <c r="Q17" s="61"/>
      <c r="R17" s="61"/>
      <c r="S17" s="61"/>
      <c r="T17" s="6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Jovanoski, Slavko</cp:lastModifiedBy>
  <dcterms:created xsi:type="dcterms:W3CDTF">2017-09-22T02:00:05Z</dcterms:created>
  <dcterms:modified xsi:type="dcterms:W3CDTF">2019-05-06T19:20:37Z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