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lavko\Reset\2019-24 final decision Overviews\For Jim-Board-DNSPs\Attachments - Locked down\Evoenergy\"/>
    </mc:Choice>
  </mc:AlternateContent>
  <bookViews>
    <workbookView xWindow="0" yWindow="0" windowWidth="19200" windowHeight="7050" tabRatio="691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/>
</workbook>
</file>

<file path=xl/calcChain.xml><?xml version="1.0" encoding="utf-8"?>
<calcChain xmlns="http://schemas.openxmlformats.org/spreadsheetml/2006/main">
  <c r="H13" i="2" l="1"/>
  <c r="G13" i="2"/>
  <c r="F13" i="2"/>
  <c r="E13" i="2"/>
  <c r="D13" i="2"/>
  <c r="D18" i="2"/>
  <c r="E18" i="2"/>
  <c r="F18" i="2"/>
  <c r="G18" i="2"/>
  <c r="H18" i="2"/>
  <c r="G7" i="13"/>
  <c r="F7" i="13"/>
  <c r="F30" i="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H23" i="3"/>
  <c r="H12" i="3"/>
  <c r="I16" i="3"/>
  <c r="I23" i="3"/>
  <c r="I12" i="3"/>
  <c r="L16" i="3"/>
  <c r="L23" i="3"/>
  <c r="L12" i="3"/>
  <c r="K16" i="3"/>
  <c r="K23" i="3"/>
  <c r="K12" i="3"/>
  <c r="J16" i="3"/>
  <c r="J23" i="3"/>
  <c r="J12" i="3"/>
  <c r="G22" i="13"/>
  <c r="H22" i="13"/>
  <c r="I22" i="13"/>
  <c r="J22" i="13"/>
  <c r="K22" i="13"/>
  <c r="H9" i="4"/>
  <c r="G19" i="4" s="1"/>
  <c r="H8" i="4"/>
  <c r="M14" i="13"/>
  <c r="E9" i="4"/>
  <c r="E11" i="4" s="1"/>
  <c r="E12" i="4" s="1"/>
  <c r="M9" i="13"/>
  <c r="N9" i="13"/>
  <c r="O9" i="13"/>
  <c r="P9" i="13"/>
  <c r="C15" i="13"/>
  <c r="G15" i="13"/>
  <c r="H15" i="13"/>
  <c r="I15" i="13"/>
  <c r="J15" i="13"/>
  <c r="K15" i="13"/>
  <c r="C10" i="13"/>
  <c r="G8" i="4"/>
  <c r="G13" i="4" s="1"/>
  <c r="F8" i="4"/>
  <c r="F13" i="4" s="1"/>
  <c r="E8" i="4"/>
  <c r="E13" i="4" s="1"/>
  <c r="E18" i="4" s="1"/>
  <c r="F9" i="4"/>
  <c r="B1" i="2"/>
  <c r="B1" i="10"/>
  <c r="G9" i="4"/>
  <c r="G11" i="4" s="1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C42" i="4"/>
  <c r="C44" i="4"/>
  <c r="G10" i="13"/>
  <c r="H10" i="13"/>
  <c r="I10" i="13"/>
  <c r="J10" i="13"/>
  <c r="K10" i="13"/>
  <c r="L10" i="13"/>
  <c r="I30" i="3"/>
  <c r="F10" i="4"/>
  <c r="E10" i="4"/>
  <c r="F11" i="4"/>
  <c r="G10" i="4"/>
  <c r="H10" i="4"/>
  <c r="L15" i="13"/>
  <c r="B1" i="5"/>
  <c r="B1" i="3"/>
  <c r="B1" i="13"/>
  <c r="B1" i="4"/>
  <c r="H13" i="4"/>
  <c r="H30" i="3"/>
  <c r="H31" i="3" s="1"/>
  <c r="D26" i="4" s="1"/>
  <c r="M10" i="13"/>
  <c r="N10" i="13"/>
  <c r="K30" i="3"/>
  <c r="J30" i="3"/>
  <c r="O10" i="13"/>
  <c r="P10" i="13"/>
  <c r="L30" i="3"/>
  <c r="G12" i="4" l="1"/>
  <c r="F12" i="4"/>
  <c r="F19" i="4"/>
  <c r="E19" i="4" s="1"/>
  <c r="E21" i="4" s="1"/>
  <c r="H11" i="4"/>
  <c r="H12" i="4" s="1"/>
  <c r="H20" i="4" s="1"/>
  <c r="G15" i="4"/>
  <c r="G18" i="4" s="1"/>
  <c r="G21" i="4" s="1"/>
  <c r="H15" i="4"/>
  <c r="H14" i="4"/>
  <c r="H18" i="4" s="1"/>
  <c r="H21" i="4" s="1"/>
  <c r="F14" i="4"/>
  <c r="F18" i="4" s="1"/>
  <c r="F21" i="4" s="1"/>
  <c r="G14" i="4"/>
  <c r="H16" i="4"/>
  <c r="G20" i="4"/>
  <c r="I31" i="3"/>
  <c r="E26" i="4" s="1"/>
  <c r="M15" i="13"/>
  <c r="N14" i="13"/>
  <c r="D35" i="4" l="1"/>
  <c r="E20" i="4"/>
  <c r="F20" i="4"/>
  <c r="O14" i="13"/>
  <c r="N15" i="13"/>
  <c r="J31" i="3"/>
  <c r="F26" i="4" s="1"/>
  <c r="K31" i="3" l="1"/>
  <c r="G26" i="4" s="1"/>
  <c r="O15" i="13"/>
  <c r="P14" i="13"/>
  <c r="L31" i="3" l="1"/>
  <c r="H26" i="4" s="1"/>
  <c r="P15" i="13"/>
  <c r="M22" i="13" l="1"/>
  <c r="E25" i="4" s="1"/>
  <c r="N22" i="13" l="1"/>
  <c r="F25" i="4" s="1"/>
  <c r="D41" i="4"/>
  <c r="E41" i="4" s="1"/>
  <c r="F41" i="4" s="1"/>
  <c r="L22" i="13"/>
  <c r="D25" i="4" s="1"/>
  <c r="D27" i="4" l="1"/>
  <c r="D28" i="4" s="1"/>
  <c r="E27" i="4"/>
  <c r="E28" i="4" s="1"/>
  <c r="O22" i="13"/>
  <c r="G25" i="4" s="1"/>
  <c r="G27" i="4" s="1"/>
  <c r="G28" i="4" s="1"/>
  <c r="F27" i="4"/>
  <c r="F28" i="4" s="1"/>
  <c r="G41" i="4" l="1"/>
  <c r="P22" i="13"/>
  <c r="H25" i="4" s="1"/>
  <c r="H27" i="4" s="1"/>
  <c r="H28" i="4" s="1"/>
  <c r="D31" i="4" s="1"/>
  <c r="D34" i="4" l="1"/>
  <c r="D36" i="4" s="1"/>
  <c r="D33" i="4"/>
  <c r="H41" i="4"/>
  <c r="D42" i="4" l="1"/>
  <c r="E42" i="4" l="1"/>
  <c r="J8" i="10"/>
  <c r="F42" i="4" l="1"/>
  <c r="K8" i="10"/>
  <c r="G42" i="4" l="1"/>
  <c r="L8" i="10"/>
  <c r="H42" i="4" l="1"/>
  <c r="M8" i="10"/>
  <c r="N8" i="10" l="1"/>
  <c r="D44" i="4"/>
  <c r="O8" i="10" l="1"/>
</calcChain>
</file>

<file path=xl/comments1.xml><?xml version="1.0" encoding="utf-8"?>
<comments xmlns="http://schemas.openxmlformats.org/spreadsheetml/2006/main">
  <authors>
    <author>Author</author>
    <author>RG</author>
    <author>Wellfare, Nicholas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K18" authorId="2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As per final decision RFM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<sst xmlns="http://schemas.openxmlformats.org/spreadsheetml/2006/main" count="203" uniqueCount="110">
  <si>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</si>
  <si>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</si>
  <si>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</si>
  <si>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</si>
  <si>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</si>
  <si>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</si>
  <si>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</si>
  <si>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</si>
  <si>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</si>
  <si>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</si>
  <si>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</si>
  <si>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</si>
  <si>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</si>
  <si>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</si>
  <si>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</si>
  <si>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</si>
  <si>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</si>
  <si>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</si>
  <si>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</si>
  <si>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</si>
  <si>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</si>
  <si>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</si>
  <si>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</si>
  <si>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</si>
  <si>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</si>
  <si>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</si>
  <si>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</si>
  <si>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</si>
  <si>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</si>
  <si>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</si>
  <si>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</si>
  <si>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</si>
  <si>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</si>
  <si>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</si>
  <si>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</si>
  <si>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</si>
  <si>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</si>
  <si>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</si>
  <si>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</si>
  <si>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</si>
  <si>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</si>
  <si>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</si>
  <si>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</si>
  <si>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</si>
  <si>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</si>
  <si>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</si>
  <si>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</si>
  <si>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</si>
  <si>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</si>
  <si>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</si>
  <si>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</si>
  <si>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</si>
  <si>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</si>
  <si>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</si>
  <si>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</si>
  <si>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</si>
  <si>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</si>
  <si>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</si>
  <si>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</si>
  <si>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</si>
  <si>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</si>
  <si>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</si>
  <si>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</si>
  <si>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</si>
  <si>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</si>
  <si>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</si>
  <si>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</si>
  <si>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</si>
  <si>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</si>
  <si>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</si>
  <si>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</si>
  <si>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</si>
  <si>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</si>
  <si>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</si>
  <si>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</si>
  <si>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</si>
  <si>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</si>
  <si>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</si>
  <si>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</si>
  <si>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</si>
  <si>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</si>
  <si>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</si>
  <si>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</si>
  <si>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</si>
  <si>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</si>
  <si>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</si>
  <si>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</si>
  <si>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</si>
  <si>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</si>
  <si>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</si>
  <si>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</si>
  <si>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</si>
  <si>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</si>
  <si>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</si>
  <si>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</si>
  <si>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</si>
  <si>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</si>
  <si>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</si>
  <si>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</si>
  <si>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</si>
  <si>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</si>
  <si>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</si>
  <si>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</si>
  <si>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Final Decision</t>
  </si>
  <si>
    <t>2019-24</t>
  </si>
  <si>
    <t>2019-20</t>
  </si>
  <si>
    <t>No</t>
  </si>
  <si>
    <t>AER Final Decision</t>
  </si>
  <si>
    <t>Evoenergy DX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</si>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</sst>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8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1" fillId="56" borderId="0" xfId="265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10" fontId="17" fillId="0" borderId="34" xfId="268" applyNumberFormat="1" applyFont="1" applyFill="1" applyBorder="1" applyAlignment="1" applyProtection="1">
      <alignment horizontal="right" vertical="center"/>
    </xf>
    <xf numFmtId="10" fontId="17" fillId="0" borderId="2" xfId="268" applyNumberFormat="1" applyFont="1" applyFill="1" applyBorder="1" applyAlignment="1" applyProtection="1">
      <alignment horizontal="right" vertical="center"/>
    </xf>
    <xf numFmtId="2" fontId="17" fillId="0" borderId="43" xfId="265" applyNumberFormat="1" applyFont="1" applyFill="1" applyBorder="1" applyAlignment="1" applyProtection="1">
      <alignment horizontal="right" vertical="center"/>
    </xf>
    <xf numFmtId="2" fontId="17" fillId="0" borderId="5" xfId="265" applyNumberFormat="1" applyFont="1" applyFill="1" applyBorder="1" applyAlignment="1" applyProtection="1">
      <alignment horizontal="right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CCCFF"/>
      <color rgb="FFFFCCFF"/>
      <color rgb="FFFFFF99"/>
      <color rgb="FFDAEEF3"/>
      <color rgb="FFFF00FF"/>
      <color rgb="FF0000FF"/>
      <color rgb="FF006100"/>
      <color rgb="FFC6EFCE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tabSelected="1" workbookViewId="0">
      <selection activeCell="B1" sqref="B1"/>
    </sheetView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2:13" s="5" customFormat="1" ht="18" customHeight="1">
      <c r="B1" s="3" t="str">
        <f>'Input | General'!$B$1</f>
        <v>Evoenergy DX 2019-24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80</v>
      </c>
      <c r="D8" s="32" t="s">
        <v>79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81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9" t="s">
        <v>82</v>
      </c>
      <c r="D12" s="32" t="s">
        <v>59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34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workbookViewId="0">
      <selection activeCell="D15" sqref="D15"/>
    </sheetView>
  </sheetViews>
  <sheetFormatPr defaultColWidth="0" defaultRowHeight="0" customHeight="1" zeroHeight="1"/>
  <cols>
    <col min="1" max="2" width="1.26953125" style="14" customWidth="1"/>
    <col min="3" max="3" width="56.7265625" style="15" customWidth="1"/>
    <col min="4" max="8" width="12.7265625" style="14" customWidth="1"/>
    <col min="9" max="9" width="9.453125" style="14" customWidth="1"/>
    <col min="10" max="10" width="9.26953125" style="14" customWidth="1"/>
    <col min="11" max="12" width="2.81640625" style="14" customWidth="1"/>
    <col min="13" max="22" width="9.1796875" style="14" hidden="1" customWidth="1"/>
    <col min="23" max="16384" width="12.7265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Evoenergy DX 2019-24 Final Decision - Capital expenditure sharing scheme model</v>
      </c>
      <c r="F1" s="105"/>
      <c r="G1" s="106" t="s">
        <v>47</v>
      </c>
      <c r="H1" s="159" t="s">
        <v>48</v>
      </c>
      <c r="I1" s="164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0" t="s">
        <v>108</v>
      </c>
      <c r="J6" s="79"/>
      <c r="K6" s="79"/>
      <c r="L6" s="79"/>
      <c r="M6" s="79"/>
    </row>
    <row r="7" spans="1:13" s="70" customFormat="1" ht="11.25" customHeight="1">
      <c r="C7" s="69" t="s">
        <v>91</v>
      </c>
      <c r="D7" s="160" t="s">
        <v>103</v>
      </c>
      <c r="I7" s="79"/>
      <c r="J7" s="79"/>
      <c r="K7" s="79"/>
      <c r="L7" s="79"/>
    </row>
    <row r="8" spans="1:13" s="70" customFormat="1" ht="11.25" customHeight="1">
      <c r="C8" s="69" t="s">
        <v>92</v>
      </c>
      <c r="D8" s="160" t="s">
        <v>104</v>
      </c>
      <c r="J8" s="79"/>
      <c r="K8" s="79"/>
      <c r="L8" s="79"/>
      <c r="M8" s="79"/>
    </row>
    <row r="9" spans="1:13" s="70" customFormat="1" ht="11.25" customHeight="1">
      <c r="C9" s="188" t="s">
        <v>102</v>
      </c>
      <c r="D9" s="160" t="s">
        <v>105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90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64</v>
      </c>
      <c r="E12" s="71" t="s">
        <v>65</v>
      </c>
      <c r="F12" s="71" t="s">
        <v>66</v>
      </c>
      <c r="G12" s="71" t="s">
        <v>67</v>
      </c>
      <c r="H12" s="71" t="s">
        <v>68</v>
      </c>
      <c r="J12" s="79"/>
      <c r="K12" s="79"/>
      <c r="L12" s="79"/>
      <c r="M12" s="79"/>
    </row>
    <row r="13" spans="1:13" s="70" customFormat="1" ht="11.25" customHeight="1">
      <c r="C13" s="69" t="s">
        <v>62</v>
      </c>
      <c r="D13" s="187" t="str">
        <f t="shared" ref="D13:F13" si="0">IF(LEN(E13)&gt;4,CONCATENATE(LEFT(E13,4)-1&amp;"–"&amp;IF(RIGHT(E13,2)="00","99",IF(RIGHT(E13,2)-1&lt;10,"0","")&amp;RIGHT(E13,2)-1)),E13-1)</f>
        <v>2014–15</v>
      </c>
      <c r="E13" s="187" t="str">
        <f t="shared" si="0"/>
        <v>2015–16</v>
      </c>
      <c r="F13" s="187" t="str">
        <f t="shared" si="0"/>
        <v>2016–17</v>
      </c>
      <c r="G13" s="187" t="str">
        <f>IF(LEN(H13)&gt;4,CONCATENATE(LEFT(H13,4)-1&amp;"–"&amp;IF(RIGHT(H13,2)="00","99",IF(RIGHT(H13,2)-1&lt;10,"0","")&amp;RIGHT(H13,2)-1)),H13-1)</f>
        <v>2017–18</v>
      </c>
      <c r="H13" s="187" t="str">
        <f>IF(LEN(D9)&gt;4,CONCATENATE(LEFT(D9,4)-1&amp;"–"&amp;IF(RIGHT(D9,2)="00","99",IF(RIGHT(D9,2)-1&lt;10,"0","")&amp;RIGHT(D9,2)-1)),D9-1)</f>
        <v>2018–19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0" t="s">
        <v>106</v>
      </c>
      <c r="E14" s="160" t="s">
        <v>8</v>
      </c>
      <c r="F14" s="160" t="s">
        <v>8</v>
      </c>
      <c r="G14" s="160" t="s">
        <v>8</v>
      </c>
      <c r="H14" s="160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0" t="s">
        <v>109</v>
      </c>
      <c r="E15" s="160" t="s">
        <v>7</v>
      </c>
      <c r="F15" s="160" t="s">
        <v>7</v>
      </c>
      <c r="G15" s="160" t="s">
        <v>7</v>
      </c>
      <c r="H15" s="160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64</v>
      </c>
      <c r="E17" s="71" t="s">
        <v>65</v>
      </c>
      <c r="F17" s="71" t="s">
        <v>66</v>
      </c>
      <c r="G17" s="71" t="s">
        <v>67</v>
      </c>
      <c r="H17" s="71" t="s">
        <v>68</v>
      </c>
      <c r="J17" s="79"/>
      <c r="K17" s="79"/>
      <c r="L17" s="79"/>
      <c r="M17" s="79"/>
    </row>
    <row r="18" spans="1:13" s="70" customFormat="1" ht="11.25" customHeight="1">
      <c r="C18" s="69" t="s">
        <v>63</v>
      </c>
      <c r="D18" s="187" t="str">
        <f>D9</f>
        <v>2019-20</v>
      </c>
      <c r="E18" s="187" t="str">
        <f>IF(LEN(D18)&gt;4,CONCATENATE(LEFT(D18,4)+1&amp;"–"&amp;IF(RIGHT(D18,2)+1&gt;9,"","0")&amp;RIGHT(D18,2)+1),D18+1)</f>
        <v>2020–21</v>
      </c>
      <c r="F18" s="187" t="str">
        <f t="shared" ref="F18:H18" si="1">IF(LEN(E18)&gt;4,CONCATENATE(LEFT(E18,4)+1&amp;"–"&amp;IF(RIGHT(E18,2)+1&gt;9,"","0")&amp;RIGHT(E18,2)+1),E18+1)</f>
        <v>2021–22</v>
      </c>
      <c r="G18" s="187" t="str">
        <f t="shared" si="1"/>
        <v>2022–23</v>
      </c>
      <c r="H18" s="187" t="str">
        <f t="shared" si="1"/>
        <v>2023–24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Normal="100" workbookViewId="0">
      <selection activeCell="L21" sqref="L21"/>
    </sheetView>
  </sheetViews>
  <sheetFormatPr defaultColWidth="0" defaultRowHeight="18" customHeight="1" zeroHeight="1"/>
  <cols>
    <col min="1" max="2" width="1.1796875" style="24" customWidth="1"/>
    <col min="3" max="3" width="36.7265625" style="24" customWidth="1"/>
    <col min="4" max="5" width="22.81640625" style="24" customWidth="1"/>
    <col min="6" max="6" width="12.7265625" style="24" customWidth="1"/>
    <col min="7" max="12" width="12.7265625" style="11" customWidth="1"/>
    <col min="13" max="13" width="12.54296875" style="22" customWidth="1"/>
    <col min="14" max="16" width="12.7265625" style="24" customWidth="1"/>
    <col min="17" max="18" width="2.81640625" style="24" customWidth="1"/>
    <col min="19" max="32" width="12.7265625" style="24" hidden="1" customWidth="1"/>
    <col min="33" max="16384" width="9.1796875" style="24" hidden="1"/>
  </cols>
  <sheetData>
    <row r="1" spans="1:20" s="11" customFormat="1" ht="18" customHeight="1">
      <c r="B1" s="3" t="str">
        <f>'Input | General'!$B$1</f>
        <v>Evoenergy DX 2019-24 Final Decision - Capital expenditure sharing scheme model</v>
      </c>
      <c r="D1" s="12"/>
      <c r="E1" s="12"/>
      <c r="F1" s="12"/>
      <c r="G1" s="105"/>
      <c r="I1" s="106" t="s">
        <v>47</v>
      </c>
      <c r="J1" s="159" t="s">
        <v>48</v>
      </c>
      <c r="K1" s="164" t="s">
        <v>36</v>
      </c>
      <c r="L1" s="190" t="s">
        <v>107</v>
      </c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93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4" t="str">
        <f>IF(LEN(G7)&gt;4,CONCATENATE(LEFT(G7,4)-1&amp;"–"&amp;IF(RIGHT(G7,2)="00","99",IF(RIGHT(G7,2)-1&lt;10,"0","")&amp;RIGHT(G7,2)-1)),G7-1)</f>
        <v>2013–14</v>
      </c>
      <c r="G7" s="173" t="str">
        <f>'Input | General'!D13</f>
        <v>2014–15</v>
      </c>
      <c r="H7" s="173" t="str">
        <f>'Input | General'!E13</f>
        <v>2015–16</v>
      </c>
      <c r="I7" s="173" t="str">
        <f>'Input | General'!F13</f>
        <v>2016–17</v>
      </c>
      <c r="J7" s="173" t="str">
        <f>'Input | General'!G13</f>
        <v>2017–18</v>
      </c>
      <c r="K7" s="173" t="str">
        <f>'Input | General'!H13</f>
        <v>2018–19</v>
      </c>
      <c r="L7" s="173" t="str">
        <f>'Input | General'!D18</f>
        <v>2019-20</v>
      </c>
      <c r="M7" s="173" t="str">
        <f>'Input | General'!E18</f>
        <v>2020–21</v>
      </c>
      <c r="N7" s="173" t="str">
        <f>'Input | General'!F18</f>
        <v>2021–22</v>
      </c>
      <c r="O7" s="173" t="str">
        <f>'Input | General'!G18</f>
        <v>2022–23</v>
      </c>
      <c r="P7" s="173" t="str">
        <f>'Input | General'!H18</f>
        <v>2023–24</v>
      </c>
    </row>
    <row r="8" spans="1:20" ht="11.25" customHeight="1">
      <c r="A8" s="11"/>
      <c r="B8" s="11"/>
      <c r="C8" s="80" t="s">
        <v>83</v>
      </c>
      <c r="D8" s="78" t="s">
        <v>88</v>
      </c>
      <c r="E8" s="78" t="s">
        <v>51</v>
      </c>
      <c r="F8" s="78"/>
      <c r="G8" s="161">
        <v>2.4498886414253906E-2</v>
      </c>
      <c r="H8" s="161">
        <v>2.4879227053140163E-2</v>
      </c>
      <c r="I8" s="161">
        <v>1.5083667216591934E-2</v>
      </c>
      <c r="J8" s="161">
        <v>1.2769909449732886E-2</v>
      </c>
      <c r="K8" s="161">
        <v>2.3800000000000002E-2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84</v>
      </c>
      <c r="D9" s="78" t="s">
        <v>88</v>
      </c>
      <c r="E9" s="78" t="s">
        <v>51</v>
      </c>
      <c r="F9" s="78"/>
      <c r="G9" s="130"/>
      <c r="H9" s="130"/>
      <c r="I9" s="130"/>
      <c r="J9" s="130"/>
      <c r="K9" s="130"/>
      <c r="L9" s="161">
        <v>2.4999999999999911E-2</v>
      </c>
      <c r="M9" s="143">
        <f t="shared" ref="M9:P9" si="0">L9</f>
        <v>2.4999999999999911E-2</v>
      </c>
      <c r="N9" s="143">
        <f t="shared" si="0"/>
        <v>2.4999999999999911E-2</v>
      </c>
      <c r="O9" s="143">
        <f t="shared" si="0"/>
        <v>2.4999999999999911E-2</v>
      </c>
      <c r="P9" s="143">
        <f t="shared" si="0"/>
        <v>2.4999999999999911E-2</v>
      </c>
    </row>
    <row r="10" spans="1:20" ht="11.25" customHeight="1">
      <c r="A10" s="11"/>
      <c r="B10" s="11"/>
      <c r="C10" s="140" t="str">
        <f>"CPI Index (base year "&amp;F7&amp;")"</f>
        <v>CPI Index (base year 2013–14)</v>
      </c>
      <c r="D10" s="78" t="s">
        <v>88</v>
      </c>
      <c r="E10" s="78" t="s">
        <v>30</v>
      </c>
      <c r="F10" s="138">
        <v>1</v>
      </c>
      <c r="G10" s="123">
        <f>IF(G7&lt;&gt;"",(F10*(1+G8)),"")</f>
        <v>1.0244988864142539</v>
      </c>
      <c r="H10" s="123">
        <f>IF(H7&lt;&gt;"",(G10*(1+H8)),"")</f>
        <v>1.0499876268250434</v>
      </c>
      <c r="I10" s="123">
        <f>IF(I7&lt;&gt;"",(H10*(1+I8)),"")</f>
        <v>1.0658252907696115</v>
      </c>
      <c r="J10" s="123">
        <f>IF(J7&lt;&gt;"",(I10*(1+J8)),"")</f>
        <v>1.0794357832219748</v>
      </c>
      <c r="K10" s="123">
        <f>IF(K7&lt;&gt;"",(J10*(1+K8)),"")</f>
        <v>1.1051263548626578</v>
      </c>
      <c r="L10" s="87">
        <f t="shared" ref="L10:P10" si="1">IF(L7&lt;&gt;"",(K10*(1+L9)),"")</f>
        <v>1.1327545137342241</v>
      </c>
      <c r="M10" s="87">
        <f t="shared" si="1"/>
        <v>1.1610733765775796</v>
      </c>
      <c r="N10" s="87">
        <f t="shared" si="1"/>
        <v>1.1901002109920189</v>
      </c>
      <c r="O10" s="87">
        <f t="shared" si="1"/>
        <v>1.2198527162668193</v>
      </c>
      <c r="P10" s="87">
        <f t="shared" si="1"/>
        <v>1.2503490341734897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83</v>
      </c>
      <c r="D13" s="78" t="s">
        <v>49</v>
      </c>
      <c r="E13" s="78" t="s">
        <v>51</v>
      </c>
      <c r="F13" s="78"/>
      <c r="G13" s="161">
        <v>2.4879227053140163E-2</v>
      </c>
      <c r="H13" s="161">
        <v>1.5083667216591934E-2</v>
      </c>
      <c r="I13" s="161">
        <v>1.2769909449732886E-2</v>
      </c>
      <c r="J13" s="161">
        <v>1.9486474094452033E-2</v>
      </c>
      <c r="K13" s="191">
        <v>1.9114009444569424E-2</v>
      </c>
      <c r="L13" s="127"/>
      <c r="M13" s="127"/>
      <c r="N13" s="127"/>
      <c r="O13" s="127"/>
      <c r="P13" s="127"/>
    </row>
    <row r="14" spans="1:20" ht="11.25" customHeight="1">
      <c r="A14" s="11"/>
      <c r="B14" s="11"/>
      <c r="C14" s="80" t="s">
        <v>84</v>
      </c>
      <c r="D14" s="78" t="s">
        <v>49</v>
      </c>
      <c r="E14" s="78" t="s">
        <v>51</v>
      </c>
      <c r="F14" s="78"/>
      <c r="G14" s="86"/>
      <c r="H14" s="86"/>
      <c r="I14" s="86"/>
      <c r="J14" s="86"/>
      <c r="K14" s="86"/>
      <c r="L14" s="191">
        <v>2.4248746575396697E-2</v>
      </c>
      <c r="M14" s="143">
        <f t="shared" ref="M14:P14" si="2">L14</f>
        <v>2.4248746575396697E-2</v>
      </c>
      <c r="N14" s="143">
        <f t="shared" si="2"/>
        <v>2.4248746575396697E-2</v>
      </c>
      <c r="O14" s="143">
        <f t="shared" si="2"/>
        <v>2.4248746575396697E-2</v>
      </c>
      <c r="P14" s="143">
        <f t="shared" si="2"/>
        <v>2.4248746575396697E-2</v>
      </c>
    </row>
    <row r="15" spans="1:20" ht="11.25" customHeight="1">
      <c r="A15" s="11"/>
      <c r="B15" s="11"/>
      <c r="C15" s="140" t="str">
        <f>"CPI Index (base year "&amp;F7&amp;")"</f>
        <v>CPI Index (base year 2013–14)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1.0248792270531402</v>
      </c>
      <c r="H15" s="123">
        <f>IF(H7&lt;&gt;"",(G15*(1+H13)),"")</f>
        <v>1.0403381642512077</v>
      </c>
      <c r="I15" s="123">
        <f>IF(I7&lt;&gt;"",(H15*(1+I13)),"")</f>
        <v>1.0536231884057969</v>
      </c>
      <c r="J15" s="123">
        <f>IF(J7&lt;&gt;"",(I15*(1+J13)),"")</f>
        <v>1.0741545893719804</v>
      </c>
      <c r="K15" s="87">
        <f>IF(K7&lt;&gt;"",(J15*(1+K13)),"")</f>
        <v>1.094685990338164</v>
      </c>
      <c r="L15" s="87">
        <f t="shared" ref="L15:P15" si="3">IF(L7&lt;&gt;"",(K15*(1+L14)),"")</f>
        <v>1.1212307534975112</v>
      </c>
      <c r="M15" s="87">
        <f t="shared" si="3"/>
        <v>1.1484191938916135</v>
      </c>
      <c r="N15" s="87">
        <f t="shared" si="3"/>
        <v>1.1762669198866125</v>
      </c>
      <c r="O15" s="87">
        <f t="shared" si="3"/>
        <v>1.2047899183319652</v>
      </c>
      <c r="P15" s="87">
        <f t="shared" si="3"/>
        <v>1.23400456373819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69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3" t="str">
        <f>G7</f>
        <v>2014–15</v>
      </c>
      <c r="H19" s="173" t="str">
        <f t="shared" ref="H19:P19" si="4">H7</f>
        <v>2015–16</v>
      </c>
      <c r="I19" s="173" t="str">
        <f t="shared" si="4"/>
        <v>2016–17</v>
      </c>
      <c r="J19" s="173" t="str">
        <f t="shared" si="4"/>
        <v>2017–18</v>
      </c>
      <c r="K19" s="173" t="str">
        <f t="shared" si="4"/>
        <v>2018–19</v>
      </c>
      <c r="L19" s="173" t="str">
        <f t="shared" si="4"/>
        <v>2019-20</v>
      </c>
      <c r="M19" s="173" t="str">
        <f t="shared" si="4"/>
        <v>2020–21</v>
      </c>
      <c r="N19" s="173" t="str">
        <f t="shared" si="4"/>
        <v>2021–22</v>
      </c>
      <c r="O19" s="173" t="str">
        <f t="shared" si="4"/>
        <v>2022–23</v>
      </c>
      <c r="P19" s="173" t="str">
        <f t="shared" si="4"/>
        <v>2023–24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1">
        <v>3.9937757261681028E-2</v>
      </c>
      <c r="H20" s="161">
        <v>3.8954443119186832E-2</v>
      </c>
      <c r="I20" s="161">
        <v>3.8594655145808732E-2</v>
      </c>
      <c r="J20" s="161">
        <v>3.7966032691911566E-2</v>
      </c>
      <c r="K20" s="161">
        <v>3.7053154467784566E-2</v>
      </c>
      <c r="L20" s="86"/>
      <c r="M20" s="86"/>
      <c r="N20" s="86"/>
      <c r="O20" s="86"/>
      <c r="P20" s="86"/>
    </row>
    <row r="21" spans="1:16" ht="11.25" customHeight="1">
      <c r="C21" s="155" t="s">
        <v>98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191">
        <v>3.0323623766901432E-2</v>
      </c>
      <c r="M21" s="191">
        <v>2.9435023006109562E-2</v>
      </c>
      <c r="N21" s="191">
        <v>2.8546422245317692E-2</v>
      </c>
      <c r="O21" s="191">
        <v>2.7657821484525821E-2</v>
      </c>
      <c r="P21" s="191">
        <v>2.6769220723733819E-2</v>
      </c>
    </row>
    <row r="22" spans="1:16" ht="11.25" customHeight="1">
      <c r="C22" s="80" t="s">
        <v>70</v>
      </c>
      <c r="D22" s="78" t="s">
        <v>61</v>
      </c>
      <c r="E22" s="78" t="s">
        <v>51</v>
      </c>
      <c r="F22" s="79"/>
      <c r="G22" s="144">
        <f>IF(AND(G13&lt;&gt;"",G20&lt;&gt;""),((1+G20)*(1+G13)-1),"")</f>
        <v>6.5810604845727649E-2</v>
      </c>
      <c r="H22" s="144">
        <f>IF(AND(H13&lt;&gt;"",H20&lt;&gt;""),((1+H20)*(1+H13)-1),"")</f>
        <v>5.4625686192396161E-2</v>
      </c>
      <c r="I22" s="144">
        <f>IF(AND(I13&lt;&gt;"",I20&lt;&gt;""),((1+I20)*(1+I13)-1),"")</f>
        <v>5.1857414846997241E-2</v>
      </c>
      <c r="J22" s="144">
        <f>IF(AND(J13&lt;&gt;"",J20&lt;&gt;""),((1+J20)*(1+J13)-1),"")</f>
        <v>5.8192330898883649E-2</v>
      </c>
      <c r="K22" s="144">
        <f>IF(AND(K13&lt;&gt;"",K20&lt;&gt;""),((1+K20)*(1+K13)-1),"")</f>
        <v>5.6875398256802212E-2</v>
      </c>
      <c r="L22" s="144">
        <f>IF(AND(L14&lt;&gt;"",L21&lt;&gt;""),((1+L21)*(1+L14)-1),"")</f>
        <v>5.5307680210269217E-2</v>
      </c>
      <c r="M22" s="144">
        <f t="shared" ref="M22:P22" si="5">IF(AND(M14&lt;&gt;"",M21&lt;&gt;""),((1+M21)*(1+M14)-1),"")</f>
        <v>5.4397531994822446E-2</v>
      </c>
      <c r="N22" s="144">
        <f t="shared" si="5"/>
        <v>5.3487383779375453E-2</v>
      </c>
      <c r="O22" s="144">
        <f t="shared" si="5"/>
        <v>5.2577235563928237E-2</v>
      </c>
      <c r="P22" s="144">
        <f t="shared" si="5"/>
        <v>5.1667087348481022E-2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workbookViewId="0">
      <selection activeCell="H7" sqref="H7"/>
    </sheetView>
  </sheetViews>
  <sheetFormatPr defaultColWidth="0" defaultRowHeight="18" customHeight="1" zeroHeight="1"/>
  <cols>
    <col min="1" max="2" width="1.26953125" style="11" customWidth="1"/>
    <col min="3" max="3" width="49.81640625" style="16" customWidth="1"/>
    <col min="4" max="4" width="23.7265625" style="16" customWidth="1"/>
    <col min="5" max="5" width="13.453125" style="16" customWidth="1"/>
    <col min="6" max="6" width="9.1796875" style="16" customWidth="1"/>
    <col min="7" max="7" width="2.81640625" style="16" customWidth="1"/>
    <col min="8" max="12" width="13.7265625" style="11" bestFit="1" customWidth="1"/>
    <col min="13" max="14" width="2.81640625" style="11" customWidth="1"/>
    <col min="15" max="23" width="0" style="11" hidden="1" customWidth="1"/>
    <col min="24" max="16384" width="12.7265625" style="11" hidden="1"/>
  </cols>
  <sheetData>
    <row r="1" spans="2:14" ht="18" customHeight="1">
      <c r="B1" s="3" t="str">
        <f>'Input | General'!$B$1</f>
        <v>Evoenergy DX 2019-24 Final Decision - Capital expenditure sharing scheme model</v>
      </c>
      <c r="D1" s="12"/>
      <c r="E1" s="12"/>
      <c r="F1" s="12"/>
      <c r="G1" s="12"/>
      <c r="H1" s="105"/>
      <c r="I1" s="106" t="s">
        <v>47</v>
      </c>
      <c r="J1" s="159" t="s">
        <v>48</v>
      </c>
      <c r="K1" s="164" t="s">
        <v>36</v>
      </c>
      <c r="L1" s="190" t="s">
        <v>107</v>
      </c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5" t="str">
        <f>IF('Input | General'!D14="Yes",'Input | General'!D13,"n/a")</f>
        <v>n/a</v>
      </c>
      <c r="I6" s="175" t="str">
        <f>IF('Input | General'!E14="Yes",'Input | General'!E13,"n/a")</f>
        <v>2015–16</v>
      </c>
      <c r="J6" s="175" t="str">
        <f>IF('Input | General'!F14="Yes",'Input | General'!F13,"n/a")</f>
        <v>2016–17</v>
      </c>
      <c r="K6" s="175" t="str">
        <f>IF('Input | General'!G14="Yes",'Input | General'!G13,"n/a")</f>
        <v>2017–18</v>
      </c>
      <c r="L6" s="175" t="str">
        <f>IF('Input | General'!H14="Yes",'Input | General'!H13,"n/a")</f>
        <v>2018–19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78" t="str">
        <f>'Input | Inflation and Disc Rate'!$F$7</f>
        <v>2013–14</v>
      </c>
      <c r="G8" s="68"/>
      <c r="H8" s="162"/>
      <c r="I8" s="162">
        <v>55.625027173139621</v>
      </c>
      <c r="J8" s="162">
        <v>54.318897624471944</v>
      </c>
      <c r="K8" s="162">
        <v>51.924762517691377</v>
      </c>
      <c r="L8" s="162">
        <v>54.128992921377808</v>
      </c>
      <c r="M8" s="2"/>
      <c r="N8" s="2"/>
    </row>
    <row r="9" spans="2:14" ht="10.5" customHeight="1">
      <c r="C9" s="80" t="s">
        <v>100</v>
      </c>
      <c r="D9" s="78" t="s">
        <v>49</v>
      </c>
      <c r="E9" s="78" t="s">
        <v>50</v>
      </c>
      <c r="F9" s="178" t="str">
        <f>'Input | Inflation and Disc Rate'!$F$7</f>
        <v>2013–14</v>
      </c>
      <c r="G9" s="68"/>
      <c r="H9" s="162"/>
      <c r="I9" s="162">
        <v>6.0267461583113562</v>
      </c>
      <c r="J9" s="162">
        <v>5.318569954972558</v>
      </c>
      <c r="K9" s="162">
        <v>5.9672728298613329</v>
      </c>
      <c r="L9" s="162">
        <v>6.8181493469565693</v>
      </c>
      <c r="M9" s="2"/>
      <c r="N9" s="2"/>
    </row>
    <row r="10" spans="2:14" ht="10.5" customHeight="1">
      <c r="C10" s="80" t="s">
        <v>94</v>
      </c>
      <c r="D10" s="78" t="s">
        <v>49</v>
      </c>
      <c r="E10" s="78" t="s">
        <v>50</v>
      </c>
      <c r="F10" s="178" t="str">
        <f>'Input | Inflation and Disc Rate'!$F$7</f>
        <v>2013–14</v>
      </c>
      <c r="G10" s="68"/>
      <c r="H10" s="162"/>
      <c r="I10" s="162">
        <v>0.77688694691169891</v>
      </c>
      <c r="J10" s="162">
        <v>0.84179192111158574</v>
      </c>
      <c r="K10" s="162">
        <v>0.37441311236235503</v>
      </c>
      <c r="L10" s="162">
        <v>0.36076076415284625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61</v>
      </c>
      <c r="E12" s="176" t="s">
        <v>50</v>
      </c>
      <c r="F12" s="177" t="str">
        <f>'Input | Inflation and Disc Rate'!$F$7</f>
        <v>2013–14</v>
      </c>
      <c r="G12" s="68"/>
      <c r="H12" s="66">
        <f>IF(H6="", "", H8-H9-H10)</f>
        <v>0</v>
      </c>
      <c r="I12" s="66">
        <f t="shared" ref="I12:L12" si="0">IF(I6="", "", I8-I9-I10)</f>
        <v>48.821394067916565</v>
      </c>
      <c r="J12" s="66">
        <f t="shared" si="0"/>
        <v>48.158535748387798</v>
      </c>
      <c r="K12" s="66">
        <f t="shared" si="0"/>
        <v>45.583076575467693</v>
      </c>
      <c r="L12" s="66">
        <f t="shared" si="0"/>
        <v>46.950082810268398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5" t="str">
        <f>H6</f>
        <v>n/a</v>
      </c>
      <c r="I16" s="175" t="str">
        <f t="shared" ref="I16:L16" si="1">I6</f>
        <v>2015–16</v>
      </c>
      <c r="J16" s="175" t="str">
        <f t="shared" si="1"/>
        <v>2016–17</v>
      </c>
      <c r="K16" s="175" t="str">
        <f t="shared" si="1"/>
        <v>2017–18</v>
      </c>
      <c r="L16" s="175" t="str">
        <f t="shared" si="1"/>
        <v>2018–19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78</v>
      </c>
      <c r="D18" s="78" t="s">
        <v>49</v>
      </c>
      <c r="E18" s="78" t="s">
        <v>50</v>
      </c>
      <c r="F18" s="78" t="s">
        <v>53</v>
      </c>
      <c r="G18" s="68"/>
      <c r="H18" s="162"/>
      <c r="I18" s="162">
        <v>58.159786195116865</v>
      </c>
      <c r="J18" s="162">
        <v>54.055530810054641</v>
      </c>
      <c r="K18" s="196">
        <v>71.544107135569732</v>
      </c>
      <c r="L18" s="162">
        <v>63.395642441612047</v>
      </c>
    </row>
    <row r="19" spans="2:14" s="2" customFormat="1" ht="10.5" customHeight="1">
      <c r="B19" s="73"/>
      <c r="C19" s="80" t="s">
        <v>100</v>
      </c>
      <c r="D19" s="78" t="s">
        <v>49</v>
      </c>
      <c r="E19" s="78" t="s">
        <v>50</v>
      </c>
      <c r="F19" s="78" t="s">
        <v>53</v>
      </c>
      <c r="G19" s="142"/>
      <c r="H19" s="163"/>
      <c r="I19" s="162">
        <v>7.9003899985736874</v>
      </c>
      <c r="J19" s="162">
        <v>9.1002169448360952</v>
      </c>
      <c r="K19" s="162">
        <v>10.874872017319213</v>
      </c>
      <c r="L19" s="162">
        <v>6.8774322567756094</v>
      </c>
    </row>
    <row r="20" spans="2:14" s="2" customFormat="1" ht="10.5" customHeight="1">
      <c r="B20" s="73"/>
      <c r="C20" s="141" t="s">
        <v>94</v>
      </c>
      <c r="D20" s="78" t="s">
        <v>49</v>
      </c>
      <c r="E20" s="78" t="s">
        <v>50</v>
      </c>
      <c r="F20" s="78" t="s">
        <v>53</v>
      </c>
      <c r="G20" s="142"/>
      <c r="H20" s="163"/>
      <c r="I20" s="162">
        <v>6.1270611809330737E-2</v>
      </c>
      <c r="J20" s="162">
        <v>0.22005214214231664</v>
      </c>
      <c r="K20" s="196">
        <v>0.51494400490546066</v>
      </c>
      <c r="L20" s="162">
        <v>0.43439377172033655</v>
      </c>
    </row>
    <row r="21" spans="2:14" s="2" customFormat="1" ht="10.5" customHeight="1">
      <c r="B21" s="73"/>
      <c r="C21" s="156" t="s">
        <v>99</v>
      </c>
      <c r="D21" s="78" t="s">
        <v>49</v>
      </c>
      <c r="E21" s="78" t="s">
        <v>50</v>
      </c>
      <c r="F21" s="78" t="s">
        <v>53</v>
      </c>
      <c r="G21" s="68"/>
      <c r="H21" s="163"/>
      <c r="I21" s="162"/>
      <c r="J21" s="162"/>
      <c r="K21" s="162"/>
      <c r="L21" s="162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77</v>
      </c>
      <c r="D23" s="76" t="s">
        <v>61</v>
      </c>
      <c r="E23" s="179" t="s">
        <v>50</v>
      </c>
      <c r="F23" s="179" t="s">
        <v>53</v>
      </c>
      <c r="G23" s="68"/>
      <c r="H23" s="66">
        <f>IF(H16="", "", H18-H19-H20-H21)</f>
        <v>0</v>
      </c>
      <c r="I23" s="66">
        <f t="shared" ref="I23:L23" si="2">IF(I16="", "", I18-I19-I20-I21)</f>
        <v>50.198125584733845</v>
      </c>
      <c r="J23" s="66">
        <f t="shared" si="2"/>
        <v>44.735261723076228</v>
      </c>
      <c r="K23" s="66">
        <f t="shared" si="2"/>
        <v>60.15429111334506</v>
      </c>
      <c r="L23" s="66">
        <f t="shared" si="2"/>
        <v>56.083816413116097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5" t="str">
        <f>'Input | General'!D18</f>
        <v>2019-20</v>
      </c>
      <c r="I27" s="175" t="str">
        <f>'Input | General'!E18</f>
        <v>2020–21</v>
      </c>
      <c r="J27" s="175" t="str">
        <f>'Input | General'!F18</f>
        <v>2021–22</v>
      </c>
      <c r="K27" s="175" t="str">
        <f>'Input | General'!G18</f>
        <v>2022–23</v>
      </c>
      <c r="L27" s="175" t="str">
        <f>'Input | General'!H18</f>
        <v>2023–24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87</v>
      </c>
      <c r="D29" s="65" t="s">
        <v>88</v>
      </c>
      <c r="E29" s="78" t="s">
        <v>50</v>
      </c>
      <c r="F29" s="78" t="s">
        <v>53</v>
      </c>
      <c r="G29" s="68"/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2"/>
      <c r="N29" s="2"/>
    </row>
    <row r="30" spans="2:14" ht="11.25" customHeight="1">
      <c r="C30" s="84" t="s">
        <v>87</v>
      </c>
      <c r="D30" s="65" t="s">
        <v>61</v>
      </c>
      <c r="E30" s="78" t="s">
        <v>50</v>
      </c>
      <c r="F30" s="78" t="str">
        <f>'Input | Inflation and Disc Rate'!$F$7</f>
        <v>2013–14</v>
      </c>
      <c r="G30" s="68"/>
      <c r="H30" s="150">
        <f>IF(H29&lt;&gt;"",H29/('Input | Inflation and Disc Rate'!K10*(1+'Input | Inflation and Disc Rate'!L9)^0.5),"")</f>
        <v>0</v>
      </c>
      <c r="I30" s="150">
        <f>IF(I29&lt;&gt;"",I29/('Input | Inflation and Disc Rate'!L10*(1+'Input | Inflation and Disc Rate'!M9)^0.5),"")</f>
        <v>0</v>
      </c>
      <c r="J30" s="150">
        <f>IF(J29&lt;&gt;"",J29/('Input | Inflation and Disc Rate'!M10*(1+'Input | Inflation and Disc Rate'!N9)^0.5),"")</f>
        <v>0</v>
      </c>
      <c r="K30" s="150">
        <f>IF(K29&lt;&gt;"",K29/('Input | Inflation and Disc Rate'!N10*(1+'Input | Inflation and Disc Rate'!O9)^0.5),"")</f>
        <v>0</v>
      </c>
      <c r="L30" s="150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87</v>
      </c>
      <c r="D31" s="65" t="s">
        <v>49</v>
      </c>
      <c r="E31" s="78" t="s">
        <v>50</v>
      </c>
      <c r="F31" s="78" t="s">
        <v>53</v>
      </c>
      <c r="G31" s="68"/>
      <c r="H31" s="150">
        <f>IF(H29&lt;&gt;"",H30*'Input | Inflation and Disc Rate'!K15*(1+'Input | Inflation and Disc Rate'!L14)^0.5,"")</f>
        <v>0</v>
      </c>
      <c r="I31" s="150">
        <f>IF(I29&lt;&gt;"",I30*'Input | Inflation and Disc Rate'!L15*(1+'Input | Inflation and Disc Rate'!M14)^0.5,"")</f>
        <v>0</v>
      </c>
      <c r="J31" s="150">
        <f>IF(J29&lt;&gt;"",J30*'Input | Inflation and Disc Rate'!M15*(1+'Input | Inflation and Disc Rate'!N14)^0.5,"")</f>
        <v>0</v>
      </c>
      <c r="K31" s="150">
        <f>IF(K29&lt;&gt;"",K30*'Input | Inflation and Disc Rate'!N15*(1+'Input | Inflation and Disc Rate'!O14)^0.5,"")</f>
        <v>0</v>
      </c>
      <c r="L31" s="150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>
      <selection activeCell="F32" sqref="F32"/>
    </sheetView>
  </sheetViews>
  <sheetFormatPr defaultColWidth="0" defaultRowHeight="0" customHeight="1" zeroHeight="1"/>
  <cols>
    <col min="1" max="2" width="1.26953125" style="2" customWidth="1"/>
    <col min="3" max="3" width="70.81640625" style="9" customWidth="1"/>
    <col min="4" max="8" width="12.7265625" style="2" customWidth="1"/>
    <col min="9" max="9" width="2.26953125" style="2" customWidth="1"/>
    <col min="10" max="10" width="12.7265625" style="1" customWidth="1"/>
    <col min="11" max="14" width="12.7265625" style="2" customWidth="1"/>
    <col min="15" max="16" width="2.81640625" style="2" customWidth="1"/>
    <col min="17" max="16382" width="0" style="2" hidden="1"/>
    <col min="16383" max="16384" width="12.7265625" style="2" hidden="1"/>
  </cols>
  <sheetData>
    <row r="1" spans="2:23" s="11" customFormat="1" ht="18" customHeight="1">
      <c r="B1" s="3" t="str">
        <f>'Input | General'!$B$1</f>
        <v>Evoenergy DX 2019-24 Final Decision - Capital expenditure sharing scheme model</v>
      </c>
      <c r="J1" s="122"/>
      <c r="K1" s="106" t="s">
        <v>47</v>
      </c>
      <c r="L1" s="159" t="s">
        <v>48</v>
      </c>
      <c r="M1" s="164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5" t="str">
        <f>IF('Input | General'!D14="Yes",'Input | General'!D13,"n/a")</f>
        <v>n/a</v>
      </c>
      <c r="E7" s="175" t="str">
        <f>IF('Input | General'!E14="Yes",'Input | General'!E13,"n/a")</f>
        <v>2015–16</v>
      </c>
      <c r="F7" s="175" t="str">
        <f>IF('Input | General'!F14="Yes",'Input | General'!F13,"n/a")</f>
        <v>2016–17</v>
      </c>
      <c r="G7" s="175" t="str">
        <f>IF('Input | General'!G14="Yes",'Input | General'!G13,"n/a")</f>
        <v>2017–18</v>
      </c>
      <c r="H7" s="180" t="str">
        <f>IF('Input | General'!H14="Yes",'Input | General'!H13,"n/a")</f>
        <v>2018–19</v>
      </c>
      <c r="I7" s="97"/>
    </row>
    <row r="8" spans="2:23" ht="11.25" customHeight="1">
      <c r="C8" s="145" t="s">
        <v>96</v>
      </c>
      <c r="D8" s="192"/>
      <c r="E8" s="165">
        <f>'Input | Inflation and Disc Rate'!H20</f>
        <v>3.8954443119186832E-2</v>
      </c>
      <c r="F8" s="165">
        <f>'Input | Inflation and Disc Rate'!I20</f>
        <v>3.8594655145808732E-2</v>
      </c>
      <c r="G8" s="165">
        <f>'Input | Inflation and Disc Rate'!J20</f>
        <v>3.7966032691911566E-2</v>
      </c>
      <c r="H8" s="166">
        <f>'Input | Inflation and Disc Rate'!K20</f>
        <v>3.7053154467784566E-2</v>
      </c>
      <c r="I8" s="97"/>
      <c r="J8" s="79"/>
      <c r="K8" s="79"/>
    </row>
    <row r="9" spans="2:23" ht="11.25" customHeight="1">
      <c r="C9" s="148" t="s">
        <v>97</v>
      </c>
      <c r="D9" s="193"/>
      <c r="E9" s="165">
        <f>'Input | Inflation and Disc Rate'!H22</f>
        <v>5.4625686192396161E-2</v>
      </c>
      <c r="F9" s="165">
        <f>'Input | Inflation and Disc Rate'!I22</f>
        <v>5.1857414846997241E-2</v>
      </c>
      <c r="G9" s="165">
        <f>'Input | Inflation and Disc Rate'!J22</f>
        <v>5.8192330898883649E-2</v>
      </c>
      <c r="H9" s="166">
        <f>'Input | Inflation and Disc Rate'!K22</f>
        <v>5.6875398256802212E-2</v>
      </c>
      <c r="I9" s="97"/>
      <c r="J9" s="79"/>
      <c r="K9" s="79"/>
    </row>
    <row r="10" spans="2:23" ht="11.25" customHeight="1">
      <c r="C10" s="113" t="s">
        <v>13</v>
      </c>
      <c r="D10" s="194"/>
      <c r="E10" s="167">
        <f>'Input | Reported Capex'!I$12*'Input | Inflation and Disc Rate'!H$15*(1+'Input | Inflation and Disc Rate'!H$20)^0.5</f>
        <v>51.770571507286817</v>
      </c>
      <c r="F10" s="167">
        <f>'Input | Reported Capex'!J$12*'Input | Inflation and Disc Rate'!I$15*(1+'Input | Inflation and Disc Rate'!I$20)^0.5</f>
        <v>51.710845117864402</v>
      </c>
      <c r="G10" s="167">
        <f>'Input | Reported Capex'!K$12*'Input | Inflation and Disc Rate'!J$15*(1+'Input | Inflation and Disc Rate'!J$20)^0.5</f>
        <v>49.884082994056143</v>
      </c>
      <c r="H10" s="168">
        <f>'Input | Reported Capex'!L$12*'Input | Inflation and Disc Rate'!K$15*(1+'Input | Inflation and Disc Rate'!K$20)^0.5</f>
        <v>52.339121773854643</v>
      </c>
      <c r="I10" s="97"/>
      <c r="J10" s="79"/>
      <c r="K10" s="79"/>
      <c r="N10" s="139"/>
    </row>
    <row r="11" spans="2:23" ht="11.25" customHeight="1">
      <c r="C11" s="113" t="s">
        <v>15</v>
      </c>
      <c r="D11" s="195"/>
      <c r="E11" s="167">
        <f>'Input | Reported Capex'!I23*(1+E$9)^0.5</f>
        <v>51.55095000643945</v>
      </c>
      <c r="F11" s="167">
        <f>'Input | Reported Capex'!J23*(1+F$9)^0.5</f>
        <v>45.88052923796532</v>
      </c>
      <c r="G11" s="167">
        <f>'Input | Reported Capex'!K23*(1+G$9)^0.5</f>
        <v>61.879802383650954</v>
      </c>
      <c r="H11" s="168">
        <f>'Input | Reported Capex'!L23*(1+H$9)^0.5</f>
        <v>57.656656391470918</v>
      </c>
      <c r="I11" s="97"/>
      <c r="J11" s="79"/>
      <c r="K11" s="79"/>
    </row>
    <row r="12" spans="2:23" s="19" customFormat="1" ht="11.25" customHeight="1">
      <c r="C12" s="113" t="s">
        <v>17</v>
      </c>
      <c r="D12" s="158"/>
      <c r="E12" s="146">
        <f>(E10-E11)</f>
        <v>0.2196215008473672</v>
      </c>
      <c r="F12" s="146">
        <f t="shared" ref="F12:H12" si="0">(F10-F11)</f>
        <v>5.8303158798990822</v>
      </c>
      <c r="G12" s="146">
        <f t="shared" si="0"/>
        <v>-11.995719389594811</v>
      </c>
      <c r="H12" s="151">
        <f t="shared" si="0"/>
        <v>-5.3175346176162748</v>
      </c>
      <c r="I12" s="97"/>
      <c r="J12" s="79"/>
      <c r="K12" s="79"/>
    </row>
    <row r="13" spans="2:23" ht="11.25" customHeight="1">
      <c r="C13" s="113" t="s">
        <v>72</v>
      </c>
      <c r="D13" s="89"/>
      <c r="E13" s="146">
        <f>$D$12*$E$8</f>
        <v>0</v>
      </c>
      <c r="F13" s="146">
        <f>$D$12*$F$8*(1+'Input | Inflation and Disc Rate'!H13)</f>
        <v>0</v>
      </c>
      <c r="G13" s="146">
        <f>$D$12*$G$8*(1+'Input | Inflation and Disc Rate'!H13)*(1+'Input | Inflation and Disc Rate'!I13)</f>
        <v>0</v>
      </c>
      <c r="H13" s="151">
        <f>$D$12*$H$8*(1+'Input | Inflation and Disc Rate'!H13)*(1+'Input | Inflation and Disc Rate'!I13)*(1+'Input | Inflation and Disc Rate'!J13)</f>
        <v>0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73</v>
      </c>
      <c r="D14" s="89"/>
      <c r="E14" s="147"/>
      <c r="F14" s="146">
        <f>$E$12*F$8</f>
        <v>8.4762160878090777E-3</v>
      </c>
      <c r="G14" s="146">
        <f>$E$12*G$8*(1+'Input | Inflation and Disc Rate'!I13)</f>
        <v>8.4446345919200732E-3</v>
      </c>
      <c r="H14" s="151">
        <f>$E$12*H$8*(1+'Input | Inflation and Disc Rate'!I13)*(1+'Input | Inflation and Disc Rate'!J13)</f>
        <v>8.4021861623161231E-3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74</v>
      </c>
      <c r="D15" s="89"/>
      <c r="E15" s="146"/>
      <c r="F15" s="146"/>
      <c r="G15" s="146">
        <f>$F$12*G$8</f>
        <v>0.2213539633004197</v>
      </c>
      <c r="H15" s="151">
        <f>$F$12*$H$8*(1+'Input | Inflation and Disc Rate'!J13)</f>
        <v>0.22024128897136069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75</v>
      </c>
      <c r="D16" s="89"/>
      <c r="E16" s="146"/>
      <c r="F16" s="146"/>
      <c r="G16" s="146"/>
      <c r="H16" s="151">
        <f>$G$12*$H$8</f>
        <v>-0.4444792434948549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76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/>
      <c r="E18" s="152">
        <f>SUM(E13:E17)</f>
        <v>0</v>
      </c>
      <c r="F18" s="152">
        <f t="shared" ref="F18:H18" si="1">SUM(F13:F17)</f>
        <v>8.4762160878090777E-3</v>
      </c>
      <c r="G18" s="152">
        <f t="shared" si="1"/>
        <v>0.22979859789233978</v>
      </c>
      <c r="H18" s="153">
        <f t="shared" si="1"/>
        <v>-0.2158357683611781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95</v>
      </c>
      <c r="D19" s="126"/>
      <c r="E19" s="152">
        <f>F19*(1+F$9)</f>
        <v>1.1763736040723447</v>
      </c>
      <c r="F19" s="152">
        <f>G19*(1+G$9)</f>
        <v>1.1183774411510514</v>
      </c>
      <c r="G19" s="152">
        <f>H19*(1+H$9)</f>
        <v>1.0568753982568022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/>
      <c r="E20" s="146">
        <f>E12*E19</f>
        <v>0.25835693648359487</v>
      </c>
      <c r="F20" s="146">
        <f t="shared" ref="F20:H20" si="2">F12*F19</f>
        <v>6.5204937548638764</v>
      </c>
      <c r="G20" s="146">
        <f t="shared" si="2"/>
        <v>-12.677980707254861</v>
      </c>
      <c r="H20" s="151">
        <f t="shared" si="2"/>
        <v>-5.3175346176162748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/>
      <c r="E21" s="152">
        <f>E18*E19</f>
        <v>0</v>
      </c>
      <c r="F21" s="152">
        <f t="shared" ref="F21:H21" si="3">F18*F19</f>
        <v>9.4796088589272926E-3</v>
      </c>
      <c r="G21" s="152">
        <f t="shared" si="3"/>
        <v>0.24286848466632135</v>
      </c>
      <c r="H21" s="153">
        <f t="shared" si="3"/>
        <v>-0.2158357683611781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1" t="str">
        <f>'Input | General'!$D$18</f>
        <v>2019-20</v>
      </c>
      <c r="E24" s="181" t="str">
        <f>'Input | General'!$E$18</f>
        <v>2020–21</v>
      </c>
      <c r="F24" s="181" t="str">
        <f>'Input | General'!$F$18</f>
        <v>2021–22</v>
      </c>
      <c r="G24" s="181" t="str">
        <f>'Input | General'!$G$18</f>
        <v>2022–23</v>
      </c>
      <c r="H24" s="182" t="str">
        <f>'Input | General'!$H$18</f>
        <v>2023–24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71</v>
      </c>
      <c r="D25" s="169">
        <f>'Input | Inflation and Disc Rate'!L$22</f>
        <v>5.5307680210269217E-2</v>
      </c>
      <c r="E25" s="169">
        <f>'Input | Inflation and Disc Rate'!M$22</f>
        <v>5.4397531994822446E-2</v>
      </c>
      <c r="F25" s="169">
        <f>'Input | Inflation and Disc Rate'!N$22</f>
        <v>5.3487383779375453E-2</v>
      </c>
      <c r="G25" s="169">
        <f>'Input | Inflation and Disc Rate'!O$22</f>
        <v>5.2577235563928237E-2</v>
      </c>
      <c r="H25" s="170">
        <f>'Input | Inflation and Disc Rate'!P$22</f>
        <v>5.1667087348481022E-2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67">
        <f>'Input | Reported Capex'!H31</f>
        <v>0</v>
      </c>
      <c r="E26" s="167">
        <f>'Input | Reported Capex'!I31</f>
        <v>0</v>
      </c>
      <c r="F26" s="167">
        <f>'Input | Reported Capex'!J31</f>
        <v>0</v>
      </c>
      <c r="G26" s="167">
        <f>'Input | Reported Capex'!K31</f>
        <v>0</v>
      </c>
      <c r="H26" s="168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0.9734428299321517</v>
      </c>
      <c r="E27" s="124">
        <f>1/((1+E25)^(0.5)*(1+D25))</f>
        <v>0.92282363894880126</v>
      </c>
      <c r="F27" s="124">
        <f>1/((1+F25)^(0.5)*(1+E25)*(1+D25))</f>
        <v>0.87559213320123808</v>
      </c>
      <c r="G27" s="124">
        <f>1/((1+G25)^(0.5)*(1+F25)*(1+E25)*(1+D25))</f>
        <v>0.83149605849843033</v>
      </c>
      <c r="H27" s="125">
        <f>1/((1+H25)^(0.5)*(1+G25)*(1+F25)*(1+E25)*(1+D25))</f>
        <v>0.79030379431087538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-11.216664633523663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-7.8516652434665639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-3.3649993900570991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3.6512325164070575E-2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-3.4015117152211696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3" t="str">
        <f>'Input | General'!D18</f>
        <v>2019-20</v>
      </c>
      <c r="E40" s="183" t="str">
        <f>'Input | General'!E18</f>
        <v>2020–21</v>
      </c>
      <c r="F40" s="183" t="str">
        <f>'Input | General'!F18</f>
        <v>2021–22</v>
      </c>
      <c r="G40" s="183" t="str">
        <f>'Input | General'!G18</f>
        <v>2022–23</v>
      </c>
      <c r="H40" s="183" t="str">
        <f>'Input | General'!H18</f>
        <v>2023–24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101</v>
      </c>
      <c r="D41" s="171">
        <f>1/(1+'Input | Inflation and Disc Rate'!L21)</f>
        <v>0.97056883578381226</v>
      </c>
      <c r="E41" s="171">
        <f>D41/(1+'Input | Inflation and Disc Rate'!M21)</f>
        <v>0.94281699582126233</v>
      </c>
      <c r="F41" s="171">
        <f>E41/(1+'Input | Inflation and Disc Rate'!N21)</f>
        <v>0.91664992014953683</v>
      </c>
      <c r="G41" s="171">
        <f>F41/(1+'Input | Inflation and Disc Rate'!O21)</f>
        <v>0.89197970470887866</v>
      </c>
      <c r="H41" s="172">
        <f>G41/(1+'Input | Inflation and Disc Rate'!P21)</f>
        <v>0.86872462351389279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89" t="str">
        <f>CONCATENATE("CESS Payment Per Year ($", 'Output | Models'!$F$8," million)")</f>
        <v>CESS Payment Per Year ($2018–19 million)</v>
      </c>
      <c r="D42" s="110">
        <f>D36/(SUM(D41:H41))</f>
        <v>-0.74095062146013013</v>
      </c>
      <c r="E42" s="110">
        <f>D42</f>
        <v>-0.74095062146013013</v>
      </c>
      <c r="F42" s="110">
        <f t="shared" ref="F42:H42" si="5">E42</f>
        <v>-0.74095062146013013</v>
      </c>
      <c r="G42" s="110">
        <f t="shared" si="5"/>
        <v>-0.74095062146013013</v>
      </c>
      <c r="H42" s="149">
        <f t="shared" si="5"/>
        <v>-0.74095062146013013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89" t="str">
        <f>CONCATENATE("Total CESS Payment ($", 'Output | Models'!$F$8," million)")</f>
        <v>Total CESS Payment ($2018–19 million)</v>
      </c>
      <c r="D44" s="157">
        <f>SUM(D42:H42)</f>
        <v>-3.7047531073006508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K10" sqref="K10"/>
    </sheetView>
  </sheetViews>
  <sheetFormatPr defaultColWidth="0" defaultRowHeight="11.25" customHeight="1" zeroHeight="1"/>
  <cols>
    <col min="1" max="2" width="1.26953125" style="51" customWidth="1"/>
    <col min="3" max="3" width="36" style="51" customWidth="1"/>
    <col min="4" max="4" width="23.54296875" style="52" bestFit="1" customWidth="1"/>
    <col min="5" max="5" width="13.54296875" style="52" customWidth="1"/>
    <col min="6" max="6" width="9.1796875" style="52" customWidth="1"/>
    <col min="7" max="9" width="2.81640625" style="52" customWidth="1"/>
    <col min="10" max="15" width="9.26953125" style="51" customWidth="1"/>
    <col min="16" max="17" width="3" style="51" customWidth="1"/>
    <col min="18" max="24" width="9.26953125" style="51" hidden="1" customWidth="1"/>
    <col min="25" max="48" width="0" style="51" hidden="1" customWidth="1"/>
    <col min="49" max="16384" width="0" style="51" hidden="1"/>
  </cols>
  <sheetData>
    <row r="1" spans="1:27" s="34" customFormat="1" ht="15.5">
      <c r="B1" s="3" t="str">
        <f>'Input | General'!$B$1</f>
        <v>Evoenergy DX 2019-24 Final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59" t="s">
        <v>48</v>
      </c>
      <c r="M1" s="164" t="s">
        <v>36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81</v>
      </c>
      <c r="C2" s="38"/>
      <c r="D2" s="38"/>
      <c r="E2" s="38"/>
      <c r="F2" s="39"/>
      <c r="G2" s="39"/>
      <c r="H2" s="39"/>
      <c r="I2" s="39"/>
    </row>
    <row r="3" spans="1:27" s="40" customFormat="1" ht="10.5">
      <c r="C3" s="41"/>
      <c r="D3" s="42"/>
      <c r="E3" s="42"/>
      <c r="F3" s="42"/>
      <c r="G3" s="42"/>
      <c r="H3" s="42"/>
      <c r="I3" s="42"/>
      <c r="J3" s="197"/>
      <c r="K3" s="197"/>
      <c r="L3" s="197"/>
      <c r="M3" s="42"/>
      <c r="N3" s="197"/>
      <c r="O3" s="197"/>
      <c r="P3" s="197"/>
      <c r="Q3" s="197"/>
      <c r="R3" s="197"/>
      <c r="S3" s="197"/>
      <c r="T3" s="197"/>
      <c r="U3" s="43"/>
      <c r="V3" s="43"/>
      <c r="W3" s="43"/>
      <c r="X3" s="43"/>
      <c r="Y3" s="43"/>
      <c r="Z3" s="43"/>
      <c r="AA3" s="43"/>
    </row>
    <row r="4" spans="1:27" s="50" customFormat="1" ht="13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60</v>
      </c>
      <c r="D6" s="55" t="s">
        <v>6</v>
      </c>
      <c r="E6" s="55" t="s">
        <v>52</v>
      </c>
      <c r="F6" s="55" t="s">
        <v>4</v>
      </c>
      <c r="H6" s="55"/>
      <c r="I6" s="55"/>
      <c r="J6" s="184" t="str">
        <f>'Calc | CESS Revenue Increments'!D40</f>
        <v>2019-20</v>
      </c>
      <c r="K6" s="184" t="str">
        <f>'Calc | CESS Revenue Increments'!E40</f>
        <v>2020–21</v>
      </c>
      <c r="L6" s="184" t="str">
        <f>'Calc | CESS Revenue Increments'!F40</f>
        <v>2021–22</v>
      </c>
      <c r="M6" s="184" t="str">
        <f>'Calc | CESS Revenue Increments'!G40</f>
        <v>2022–23</v>
      </c>
      <c r="N6" s="184" t="str">
        <f>'Calc | CESS Revenue Increments'!H40</f>
        <v>2023–24</v>
      </c>
      <c r="O6" s="56" t="s">
        <v>89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85</v>
      </c>
      <c r="D8" s="186" t="s">
        <v>58</v>
      </c>
      <c r="E8" s="52" t="s">
        <v>50</v>
      </c>
      <c r="F8" s="185" t="str">
        <f>IF(LEN(J6)&gt;4,CONCATENATE(LEFT(J6,4)-1&amp;"–"&amp;IF(RIGHT(J6,2)="00","99",IF(RIGHT(J6,2)-1&lt;10,"0","")&amp;RIGHT(J6,2)-1)),J6-1)</f>
        <v>2018–19</v>
      </c>
      <c r="H8" s="55"/>
      <c r="I8" s="55"/>
      <c r="J8" s="133">
        <f>'Calc | CESS Revenue Increments'!D42</f>
        <v>-0.74095062146013013</v>
      </c>
      <c r="K8" s="133">
        <f>'Calc | CESS Revenue Increments'!E42</f>
        <v>-0.74095062146013013</v>
      </c>
      <c r="L8" s="133">
        <f>'Calc | CESS Revenue Increments'!F42</f>
        <v>-0.74095062146013013</v>
      </c>
      <c r="M8" s="133">
        <f>'Calc | CESS Revenue Increments'!G42</f>
        <v>-0.74095062146013013</v>
      </c>
      <c r="N8" s="133">
        <f>'Calc | CESS Revenue Increments'!H42</f>
        <v>-0.74095062146013013</v>
      </c>
      <c r="O8" s="60">
        <f>SUM(J8:N8)</f>
        <v>-3.7047531073006508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" hidden="1"/>
    <row r="13" spans="1:27" ht="10" hidden="1"/>
    <row r="14" spans="1:27" ht="10" hidden="1"/>
    <row r="15" spans="1:27" ht="10" hidden="1"/>
    <row r="16" spans="1:27" ht="10" hidden="1"/>
    <row r="17" spans="13:20" ht="10" hidden="1">
      <c r="M17" s="61"/>
      <c r="N17" s="61"/>
      <c r="O17" s="61"/>
      <c r="P17" s="61"/>
      <c r="Q17" s="61"/>
      <c r="R17" s="61"/>
      <c r="S17" s="61"/>
      <c r="T17" s="61"/>
    </row>
    <row r="18" spans="13:20" ht="10" hidden="1"/>
    <row r="19" spans="13:20" ht="10" hidden="1"/>
    <row r="20" spans="13:20" ht="10" hidden="1"/>
    <row r="21" spans="13:20" ht="10" hidden="1"/>
    <row r="22" spans="13:20" ht="10" hidden="1"/>
    <row r="23" spans="13:20" ht="10" hidden="1"/>
    <row r="24" spans="13:20" ht="10" hidden="1"/>
    <row r="25" spans="13:20" ht="10" hidden="1"/>
    <row r="26" spans="13:20" ht="10" hidden="1"/>
    <row r="27" spans="13:20" ht="10" hidden="1"/>
    <row r="28" spans="13:20" ht="1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Jovanoski, Slavko</cp:lastModifiedBy>
  <dcterms:created xsi:type="dcterms:W3CDTF">2017-09-22T02:00:05Z</dcterms:created>
  <dcterms:modified xsi:type="dcterms:W3CDTF">2019-05-06T20:00:32Z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