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NSWACT2019-24\JGN final decision 2020-25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bba" hidden="1">{"Ownership",#N/A,FALSE,"Ownership";"Contents",#N/A,FALSE,"Contents"}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62913"/>
</workbook>
</file>

<file path=xl/calcChain.xml><?xml version="1.0" encoding="utf-8"?>
<calcChain xmlns="http://schemas.openxmlformats.org/spreadsheetml/2006/main">
  <c r="F62" i="55" l="1"/>
  <c r="G62" i="55" s="1"/>
  <c r="G66" i="55" l="1"/>
  <c r="G65" i="55"/>
  <c r="G61" i="55"/>
  <c r="Q38" i="2"/>
  <c r="R38" i="2"/>
  <c r="Q63" i="42"/>
  <c r="S38" i="2"/>
  <c r="T38" i="2"/>
  <c r="T45" i="2"/>
  <c r="P38" i="2"/>
  <c r="O63" i="42"/>
  <c r="O12" i="53"/>
  <c r="O21" i="2"/>
  <c r="O79" i="42" s="1"/>
  <c r="O90" i="42"/>
  <c r="O14" i="44" s="1"/>
  <c r="J35" i="42"/>
  <c r="K35" i="42"/>
  <c r="L35" i="42"/>
  <c r="M35" i="42"/>
  <c r="O12" i="2"/>
  <c r="N20" i="2"/>
  <c r="N29" i="2" s="1"/>
  <c r="N12" i="2"/>
  <c r="M12" i="2"/>
  <c r="L12" i="2"/>
  <c r="K12" i="2"/>
  <c r="J19" i="42"/>
  <c r="K19" i="42"/>
  <c r="P30" i="2"/>
  <c r="O13" i="42" s="1"/>
  <c r="O26" i="42" s="1"/>
  <c r="O20" i="42"/>
  <c r="Q30" i="2"/>
  <c r="P20" i="42"/>
  <c r="R30" i="2"/>
  <c r="Q13" i="42" s="1"/>
  <c r="Q26" i="42" s="1"/>
  <c r="S30" i="2"/>
  <c r="R20" i="42" s="1"/>
  <c r="T30" i="2"/>
  <c r="S13" i="42"/>
  <c r="S26" i="42" s="1"/>
  <c r="S20" i="42"/>
  <c r="J16" i="2"/>
  <c r="J21" i="42"/>
  <c r="K21" i="42"/>
  <c r="M21" i="42"/>
  <c r="N21" i="42"/>
  <c r="J23" i="42"/>
  <c r="K23" i="42"/>
  <c r="L23" i="42"/>
  <c r="M23" i="42"/>
  <c r="O35" i="42"/>
  <c r="P35" i="42"/>
  <c r="Q35" i="42"/>
  <c r="R35" i="42"/>
  <c r="S35" i="42"/>
  <c r="O78" i="42"/>
  <c r="J33" i="42"/>
  <c r="J47" i="42"/>
  <c r="K33" i="42"/>
  <c r="L33" i="42"/>
  <c r="M33" i="42"/>
  <c r="M41" i="42"/>
  <c r="J12" i="42"/>
  <c r="K12" i="42"/>
  <c r="J31" i="42"/>
  <c r="K31" i="42"/>
  <c r="L31" i="42"/>
  <c r="M31" i="42"/>
  <c r="J14" i="42"/>
  <c r="K14" i="42"/>
  <c r="M14" i="42"/>
  <c r="N14" i="42"/>
  <c r="J16" i="42"/>
  <c r="K16" i="42"/>
  <c r="L16" i="42"/>
  <c r="M16" i="42"/>
  <c r="N15" i="58"/>
  <c r="N16" i="42"/>
  <c r="O31" i="42"/>
  <c r="P31" i="42"/>
  <c r="Q31" i="42"/>
  <c r="R31" i="42"/>
  <c r="S31" i="42"/>
  <c r="N37" i="42"/>
  <c r="O33" i="42"/>
  <c r="O41" i="42"/>
  <c r="P33" i="42"/>
  <c r="Q33" i="42"/>
  <c r="Q47" i="42"/>
  <c r="R33" i="42"/>
  <c r="S33" i="42"/>
  <c r="P63" i="42"/>
  <c r="R63" i="42"/>
  <c r="F37" i="42"/>
  <c r="K56" i="58"/>
  <c r="M15" i="58"/>
  <c r="G58" i="55"/>
  <c r="G57" i="55"/>
  <c r="G56" i="55"/>
  <c r="G55" i="55"/>
  <c r="G54" i="55"/>
  <c r="G60" i="55"/>
  <c r="G59" i="55"/>
  <c r="J91" i="2" a="1"/>
  <c r="J91" i="2"/>
  <c r="K91" i="2" a="1"/>
  <c r="K91" i="2"/>
  <c r="L91" i="2" a="1"/>
  <c r="L91" i="2"/>
  <c r="M91" i="2" a="1"/>
  <c r="M91" i="2"/>
  <c r="T104" i="2"/>
  <c r="S104" i="2"/>
  <c r="R104" i="2"/>
  <c r="Q104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D16" i="16"/>
  <c r="C15" i="16"/>
  <c r="D15" i="16"/>
  <c r="C14" i="16"/>
  <c r="C13" i="16"/>
  <c r="D13" i="16"/>
  <c r="C12" i="16"/>
  <c r="C11" i="16"/>
  <c r="G70" i="4"/>
  <c r="G69" i="4"/>
  <c r="G68" i="4"/>
  <c r="G67" i="4"/>
  <c r="G75" i="4"/>
  <c r="G74" i="4"/>
  <c r="G73" i="4"/>
  <c r="G72" i="4"/>
  <c r="G65" i="4"/>
  <c r="H65" i="4"/>
  <c r="F47" i="58"/>
  <c r="F42" i="58"/>
  <c r="F43" i="58"/>
  <c r="F44" i="58"/>
  <c r="F45" i="58"/>
  <c r="F41" i="58"/>
  <c r="C79" i="4"/>
  <c r="M47" i="58"/>
  <c r="N47" i="58"/>
  <c r="O47" i="58"/>
  <c r="P47" i="58"/>
  <c r="Q47" i="58"/>
  <c r="R47" i="58"/>
  <c r="S47" i="58"/>
  <c r="C95" i="2" a="1"/>
  <c r="C98" i="2"/>
  <c r="T91" i="2" a="1"/>
  <c r="T91" i="2"/>
  <c r="S91" i="2" a="1"/>
  <c r="S91" i="2"/>
  <c r="R91" i="2" a="1"/>
  <c r="R91" i="2"/>
  <c r="Q91" i="2"/>
  <c r="Q91" i="2" a="1"/>
  <c r="P91" i="2" a="1"/>
  <c r="P91" i="2"/>
  <c r="O91" i="2" a="1"/>
  <c r="O91" i="2"/>
  <c r="N91" i="2" a="1"/>
  <c r="N91" i="2"/>
  <c r="C89" i="2"/>
  <c r="C88" i="2"/>
  <c r="C87" i="2"/>
  <c r="C86" i="2"/>
  <c r="C85" i="2"/>
  <c r="C84" i="2"/>
  <c r="W91" i="2"/>
  <c r="C95" i="2"/>
  <c r="C96" i="2"/>
  <c r="C97" i="2"/>
  <c r="F38" i="53"/>
  <c r="F19" i="42"/>
  <c r="F8" i="42"/>
  <c r="F8" i="44"/>
  <c r="F24" i="42"/>
  <c r="E24" i="42"/>
  <c r="F22" i="42"/>
  <c r="E22" i="42"/>
  <c r="F20" i="42"/>
  <c r="E20" i="42"/>
  <c r="O29" i="58"/>
  <c r="P29" i="58"/>
  <c r="Q29" i="58"/>
  <c r="R29" i="58"/>
  <c r="S29" i="58"/>
  <c r="E19" i="58"/>
  <c r="E15" i="58"/>
  <c r="D15" i="58"/>
  <c r="F15" i="58"/>
  <c r="K15" i="58"/>
  <c r="O15" i="58"/>
  <c r="P15" i="58"/>
  <c r="Q15" i="58"/>
  <c r="R15" i="58"/>
  <c r="S15" i="58"/>
  <c r="E29" i="42"/>
  <c r="F28" i="42"/>
  <c r="F29" i="42"/>
  <c r="C29" i="42"/>
  <c r="E68" i="58"/>
  <c r="E28" i="42"/>
  <c r="F35" i="42"/>
  <c r="E35" i="42"/>
  <c r="M56" i="58"/>
  <c r="N56" i="58"/>
  <c r="O56" i="58"/>
  <c r="P56" i="58"/>
  <c r="Q56" i="58"/>
  <c r="R56" i="58"/>
  <c r="S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60" i="58"/>
  <c r="R4" i="58"/>
  <c r="R60" i="58"/>
  <c r="Q4" i="58"/>
  <c r="Q60" i="58"/>
  <c r="P4" i="58"/>
  <c r="P60" i="58"/>
  <c r="O4" i="58"/>
  <c r="O60" i="58"/>
  <c r="N4" i="58"/>
  <c r="N60" i="58"/>
  <c r="M4" i="58"/>
  <c r="M60" i="58"/>
  <c r="L4" i="58"/>
  <c r="L60" i="58"/>
  <c r="K4" i="58"/>
  <c r="K60" i="58"/>
  <c r="J4" i="58"/>
  <c r="J60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N34" i="58"/>
  <c r="R34" i="58"/>
  <c r="K97" i="2"/>
  <c r="K96" i="2"/>
  <c r="K95" i="2"/>
  <c r="K98" i="2"/>
  <c r="O97" i="2"/>
  <c r="O96" i="2"/>
  <c r="O95" i="2"/>
  <c r="O98" i="2"/>
  <c r="L98" i="2"/>
  <c r="L97" i="2"/>
  <c r="L96" i="2"/>
  <c r="L95" i="2"/>
  <c r="N96" i="2"/>
  <c r="N97" i="2"/>
  <c r="N98" i="2"/>
  <c r="N95" i="2"/>
  <c r="M95" i="2"/>
  <c r="M98" i="2"/>
  <c r="M97" i="2"/>
  <c r="M96" i="2"/>
  <c r="J96" i="2"/>
  <c r="J97" i="2"/>
  <c r="J95" i="2"/>
  <c r="J98" i="2"/>
  <c r="N19" i="42"/>
  <c r="P23" i="42"/>
  <c r="P21" i="42"/>
  <c r="P19" i="42"/>
  <c r="R23" i="42"/>
  <c r="R21" i="42"/>
  <c r="R19" i="42"/>
  <c r="M19" i="42"/>
  <c r="O23" i="42"/>
  <c r="O21" i="42"/>
  <c r="O19" i="42"/>
  <c r="Q23" i="42"/>
  <c r="Q21" i="42"/>
  <c r="Q19" i="42"/>
  <c r="S23" i="42"/>
  <c r="S21" i="42"/>
  <c r="S19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J12" i="2"/>
  <c r="Q10" i="2"/>
  <c r="Q12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P12" i="2"/>
  <c r="R62" i="2"/>
  <c r="R73" i="2"/>
  <c r="R14" i="2"/>
  <c r="R10" i="2"/>
  <c r="R12" i="2"/>
  <c r="T62" i="2"/>
  <c r="T73" i="2"/>
  <c r="T14" i="2"/>
  <c r="T10" i="2"/>
  <c r="T12" i="2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10" i="42"/>
  <c r="R10" i="42"/>
  <c r="P10" i="42"/>
  <c r="N10" i="42"/>
  <c r="L10" i="42"/>
  <c r="R16" i="42"/>
  <c r="P16" i="42"/>
  <c r="J37" i="42"/>
  <c r="L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F49" i="42"/>
  <c r="C49" i="42"/>
  <c r="F46" i="42"/>
  <c r="C46" i="42"/>
  <c r="F43" i="42"/>
  <c r="C43" i="42"/>
  <c r="F40" i="42"/>
  <c r="C40" i="42"/>
  <c r="C37" i="42"/>
  <c r="F16" i="42"/>
  <c r="E16" i="42"/>
  <c r="F14" i="42"/>
  <c r="E14" i="42"/>
  <c r="F12" i="42"/>
  <c r="E12" i="42"/>
  <c r="U73" i="2"/>
  <c r="Q28" i="42"/>
  <c r="M28" i="42"/>
  <c r="S28" i="42"/>
  <c r="R28" i="42"/>
  <c r="P28" i="42"/>
  <c r="J28" i="42"/>
  <c r="O28" i="42"/>
  <c r="N28" i="42"/>
  <c r="K28" i="42"/>
  <c r="L28" i="42"/>
  <c r="E66" i="58"/>
  <c r="E49" i="42"/>
  <c r="E65" i="58"/>
  <c r="E46" i="42"/>
  <c r="E64" i="58"/>
  <c r="E43" i="42"/>
  <c r="E63" i="58"/>
  <c r="E62" i="58"/>
  <c r="E37" i="42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Q40" i="53"/>
  <c r="W40" i="53" s="1"/>
  <c r="S1" i="53" s="1"/>
  <c r="G14" i="16" s="1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2" i="55"/>
  <c r="T63" i="55"/>
  <c r="T64" i="55"/>
  <c r="K106" i="2"/>
  <c r="S106" i="2"/>
  <c r="Q106" i="2"/>
  <c r="O106" i="2"/>
  <c r="M106" i="2"/>
  <c r="C24" i="4"/>
  <c r="S9" i="54"/>
  <c r="O14" i="42"/>
  <c r="Q14" i="42"/>
  <c r="S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/>
  <c r="J67" i="42" s="1"/>
  <c r="L88" i="42"/>
  <c r="L72" i="42"/>
  <c r="L58" i="42"/>
  <c r="L61" i="42"/>
  <c r="L67" i="42" s="1"/>
  <c r="N88" i="42"/>
  <c r="N72" i="42"/>
  <c r="N58" i="42"/>
  <c r="N61" i="42"/>
  <c r="N67" i="42" s="1"/>
  <c r="P88" i="42"/>
  <c r="P72" i="42"/>
  <c r="P58" i="42"/>
  <c r="R88" i="42"/>
  <c r="R72" i="42"/>
  <c r="R58" i="42"/>
  <c r="K58" i="42"/>
  <c r="K61" i="42"/>
  <c r="K67" i="42" s="1"/>
  <c r="M58" i="42"/>
  <c r="M61" i="42"/>
  <c r="M67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O22" i="53"/>
  <c r="M22" i="53"/>
  <c r="K22" i="53"/>
  <c r="J32" i="53"/>
  <c r="L32" i="53"/>
  <c r="N32" i="53"/>
  <c r="J40" i="53"/>
  <c r="L40" i="53"/>
  <c r="N40" i="53"/>
  <c r="R40" i="53"/>
  <c r="K32" i="53"/>
  <c r="M32" i="53"/>
  <c r="Q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06" i="2"/>
  <c r="J71" i="2"/>
  <c r="J45" i="2"/>
  <c r="S71" i="2"/>
  <c r="Q71" i="2"/>
  <c r="O71" i="2"/>
  <c r="M71" i="2"/>
  <c r="K71" i="2"/>
  <c r="J68" i="42" a="1"/>
  <c r="J68" i="42"/>
  <c r="L68" i="42" a="1"/>
  <c r="L68" i="42"/>
  <c r="K68" i="42" a="1"/>
  <c r="K68" i="42"/>
  <c r="K100" i="42"/>
  <c r="K13" i="44"/>
  <c r="K101" i="42"/>
  <c r="K102" i="42"/>
  <c r="L101" i="42"/>
  <c r="L102" i="42"/>
  <c r="L100" i="42"/>
  <c r="L13" i="44"/>
  <c r="J100" i="42"/>
  <c r="J13" i="44"/>
  <c r="J101" i="42"/>
  <c r="J102" i="42"/>
  <c r="W58" i="2"/>
  <c r="W106" i="2"/>
  <c r="S45" i="2"/>
  <c r="Q45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D12" i="16"/>
  <c r="D14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S1" i="54"/>
  <c r="G10" i="16"/>
  <c r="M68" i="42" a="1"/>
  <c r="M68" i="42"/>
  <c r="N68" i="42" a="1"/>
  <c r="N68" i="42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M19" i="2"/>
  <c r="N19" i="2" s="1"/>
  <c r="M28" i="2"/>
  <c r="K17" i="2"/>
  <c r="L17" i="2"/>
  <c r="L26" i="2" s="1"/>
  <c r="L18" i="2"/>
  <c r="L27" i="2" s="1"/>
  <c r="D21" i="2"/>
  <c r="E21" i="2"/>
  <c r="D17" i="2"/>
  <c r="E17" i="2"/>
  <c r="E18" i="2"/>
  <c r="D18" i="2"/>
  <c r="E30" i="2"/>
  <c r="D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28" i="2"/>
  <c r="P26" i="2"/>
  <c r="P27" i="2"/>
  <c r="K74" i="42"/>
  <c r="P25" i="2"/>
  <c r="M16" i="44"/>
  <c r="L82" i="42"/>
  <c r="J76" i="42"/>
  <c r="N15" i="44"/>
  <c r="M91" i="42"/>
  <c r="M15" i="44"/>
  <c r="N16" i="44"/>
  <c r="N14" i="44"/>
  <c r="M14" i="44"/>
  <c r="M100" i="42"/>
  <c r="M13" i="44"/>
  <c r="M101" i="42"/>
  <c r="M102" i="42"/>
  <c r="N101" i="42"/>
  <c r="N102" i="42"/>
  <c r="N100" i="42"/>
  <c r="N13" i="44"/>
  <c r="P96" i="2"/>
  <c r="M29" i="58"/>
  <c r="J56" i="58"/>
  <c r="S97" i="2"/>
  <c r="M77" i="42"/>
  <c r="L29" i="42"/>
  <c r="S78" i="42"/>
  <c r="K80" i="42"/>
  <c r="J90" i="42"/>
  <c r="T61" i="55"/>
  <c r="N41" i="42"/>
  <c r="P77" i="42"/>
  <c r="R90" i="42"/>
  <c r="R14" i="44" s="1"/>
  <c r="M82" i="42"/>
  <c r="M78" i="42"/>
  <c r="L77" i="42"/>
  <c r="K91" i="42"/>
  <c r="O38" i="42"/>
  <c r="J29" i="42"/>
  <c r="Q79" i="42"/>
  <c r="Q91" i="42"/>
  <c r="M75" i="42"/>
  <c r="K78" i="42"/>
  <c r="J92" i="42"/>
  <c r="R47" i="42"/>
  <c r="P47" i="42"/>
  <c r="K50" i="42"/>
  <c r="R78" i="42"/>
  <c r="Q20" i="42"/>
  <c r="M17" i="2"/>
  <c r="M26" i="2" s="1"/>
  <c r="K76" i="42"/>
  <c r="L90" i="42"/>
  <c r="K82" i="42"/>
  <c r="M90" i="42"/>
  <c r="J80" i="42"/>
  <c r="M74" i="42"/>
  <c r="S50" i="42"/>
  <c r="Q50" i="42"/>
  <c r="P41" i="42"/>
  <c r="Q80" i="42"/>
  <c r="P79" i="42"/>
  <c r="K16" i="2"/>
  <c r="K25" i="2" s="1"/>
  <c r="L19" i="2"/>
  <c r="L28" i="2" s="1"/>
  <c r="J25" i="2"/>
  <c r="P13" i="42"/>
  <c r="P26" i="42" s="1"/>
  <c r="M18" i="2"/>
  <c r="N18" i="2" s="1"/>
  <c r="N21" i="2"/>
  <c r="O30" i="2"/>
  <c r="N20" i="42" s="1"/>
  <c r="P92" i="42"/>
  <c r="P16" i="44" s="1"/>
  <c r="Q92" i="42"/>
  <c r="Q16" i="44" s="1"/>
  <c r="R92" i="42"/>
  <c r="R16" i="44" s="1"/>
  <c r="O76" i="42"/>
  <c r="O80" i="42"/>
  <c r="P78" i="42"/>
  <c r="P82" i="42"/>
  <c r="Q77" i="42"/>
  <c r="Q81" i="42"/>
  <c r="R79" i="42"/>
  <c r="S77" i="42"/>
  <c r="S81" i="42"/>
  <c r="J38" i="42"/>
  <c r="J50" i="42"/>
  <c r="K44" i="42"/>
  <c r="L38" i="42"/>
  <c r="L50" i="42"/>
  <c r="M44" i="42"/>
  <c r="K29" i="42"/>
  <c r="O29" i="42"/>
  <c r="S29" i="42"/>
  <c r="N50" i="42"/>
  <c r="O44" i="42"/>
  <c r="P38" i="42"/>
  <c r="P50" i="42"/>
  <c r="Q44" i="42"/>
  <c r="R38" i="42"/>
  <c r="R50" i="42"/>
  <c r="S44" i="42"/>
  <c r="Q90" i="42"/>
  <c r="Q14" i="44" s="1"/>
  <c r="S92" i="42"/>
  <c r="S16" i="44" s="1"/>
  <c r="O75" i="42"/>
  <c r="O81" i="42"/>
  <c r="P75" i="42"/>
  <c r="P80" i="42"/>
  <c r="Q76" i="42"/>
  <c r="Q82" i="42"/>
  <c r="R76" i="42"/>
  <c r="R81" i="42"/>
  <c r="S75" i="42"/>
  <c r="S80" i="42"/>
  <c r="J41" i="42"/>
  <c r="K38" i="42"/>
  <c r="M50" i="42"/>
  <c r="M29" i="42"/>
  <c r="R29" i="42"/>
  <c r="N47" i="42"/>
  <c r="O47" i="42"/>
  <c r="P44" i="42"/>
  <c r="Q41" i="42"/>
  <c r="R41" i="42"/>
  <c r="S38" i="42"/>
  <c r="J74" i="42"/>
  <c r="M76" i="42"/>
  <c r="N76" i="42"/>
  <c r="L78" i="42"/>
  <c r="N78" i="42"/>
  <c r="J81" i="42"/>
  <c r="N82" i="42"/>
  <c r="N91" i="42"/>
  <c r="L79" i="42"/>
  <c r="L76" i="42"/>
  <c r="J91" i="42"/>
  <c r="L81" i="42"/>
  <c r="M80" i="42"/>
  <c r="J75" i="42"/>
  <c r="N92" i="42"/>
  <c r="O92" i="42"/>
  <c r="R91" i="42"/>
  <c r="R15" i="44" s="1"/>
  <c r="O77" i="42"/>
  <c r="O82" i="42"/>
  <c r="P76" i="42"/>
  <c r="P81" i="42"/>
  <c r="Q78" i="42"/>
  <c r="R77" i="42"/>
  <c r="R82" i="42"/>
  <c r="S76" i="42"/>
  <c r="S82" i="42"/>
  <c r="J44" i="42"/>
  <c r="K41" i="42"/>
  <c r="L41" i="42"/>
  <c r="M38" i="42"/>
  <c r="N29" i="42"/>
  <c r="K79" i="42"/>
  <c r="M79" i="42"/>
  <c r="K75" i="42"/>
  <c r="L75" i="42"/>
  <c r="N79" i="42"/>
  <c r="N90" i="42"/>
  <c r="N81" i="42"/>
  <c r="J79" i="42"/>
  <c r="K90" i="42"/>
  <c r="K81" i="42"/>
  <c r="L80" i="42"/>
  <c r="M92" i="42"/>
  <c r="N74" i="42"/>
  <c r="S47" i="42"/>
  <c r="R44" i="42"/>
  <c r="Q38" i="42"/>
  <c r="Q29" i="42"/>
  <c r="L47" i="42"/>
  <c r="K47" i="42"/>
  <c r="R74" i="42"/>
  <c r="S90" i="42"/>
  <c r="S14" i="44" s="1"/>
  <c r="K77" i="42"/>
  <c r="N80" i="42"/>
  <c r="K92" i="42"/>
  <c r="L91" i="42"/>
  <c r="N77" i="42"/>
  <c r="J82" i="42"/>
  <c r="J77" i="42"/>
  <c r="N75" i="42"/>
  <c r="L92" i="42"/>
  <c r="M81" i="42"/>
  <c r="J78" i="42"/>
  <c r="L74" i="42"/>
  <c r="K18" i="2"/>
  <c r="S41" i="42"/>
  <c r="O50" i="42"/>
  <c r="N44" i="42"/>
  <c r="P29" i="42"/>
  <c r="M47" i="42"/>
  <c r="L44" i="42"/>
  <c r="S79" i="42"/>
  <c r="R80" i="42"/>
  <c r="P74" i="42"/>
  <c r="O74" i="42"/>
  <c r="N38" i="42"/>
  <c r="R96" i="2"/>
  <c r="R98" i="2"/>
  <c r="R97" i="2"/>
  <c r="R75" i="42"/>
  <c r="Q96" i="2"/>
  <c r="Q97" i="2"/>
  <c r="Q74" i="42"/>
  <c r="Q22" i="53"/>
  <c r="P91" i="42"/>
  <c r="P32" i="53"/>
  <c r="S98" i="2"/>
  <c r="R22" i="53"/>
  <c r="P40" i="53"/>
  <c r="P45" i="2"/>
  <c r="W45" i="2"/>
  <c r="R32" i="53"/>
  <c r="R95" i="2"/>
  <c r="S22" i="53"/>
  <c r="J47" i="58"/>
  <c r="Q98" i="2"/>
  <c r="S95" i="2"/>
  <c r="Q95" i="2"/>
  <c r="P61" i="42"/>
  <c r="P67" i="42" s="1"/>
  <c r="S96" i="2"/>
  <c r="T95" i="2"/>
  <c r="O32" i="53"/>
  <c r="K47" i="58"/>
  <c r="K29" i="58"/>
  <c r="J15" i="58"/>
  <c r="J29" i="58"/>
  <c r="W29" i="58"/>
  <c r="S74" i="42"/>
  <c r="S91" i="42"/>
  <c r="S15" i="44" s="1"/>
  <c r="O91" i="42"/>
  <c r="O15" i="44" s="1"/>
  <c r="S32" i="53"/>
  <c r="W56" i="58"/>
  <c r="Q75" i="42"/>
  <c r="N29" i="58"/>
  <c r="N23" i="42"/>
  <c r="L15" i="58"/>
  <c r="L14" i="42"/>
  <c r="L29" i="58"/>
  <c r="L21" i="42"/>
  <c r="L56" i="58"/>
  <c r="T96" i="2"/>
  <c r="P95" i="2"/>
  <c r="O61" i="42"/>
  <c r="O67" i="42" s="1"/>
  <c r="T97" i="2"/>
  <c r="P97" i="2"/>
  <c r="W71" i="2"/>
  <c r="T98" i="2"/>
  <c r="P98" i="2"/>
  <c r="R45" i="2"/>
  <c r="S63" i="42"/>
  <c r="W22" i="53"/>
  <c r="Q61" i="42"/>
  <c r="Q67" i="42" s="1"/>
  <c r="R94" i="42"/>
  <c r="N30" i="2"/>
  <c r="M20" i="42" s="1"/>
  <c r="M21" i="2"/>
  <c r="L21" i="2" s="1"/>
  <c r="S61" i="42"/>
  <c r="S67" i="42" s="1"/>
  <c r="W32" i="53"/>
  <c r="S1" i="58"/>
  <c r="G12" i="16"/>
  <c r="R61" i="42"/>
  <c r="R67" i="42" s="1"/>
  <c r="L19" i="42"/>
  <c r="L47" i="58"/>
  <c r="T1" i="2"/>
  <c r="G13" i="16"/>
  <c r="L12" i="42"/>
  <c r="M13" i="42" l="1"/>
  <c r="M26" i="42" s="1"/>
  <c r="L94" i="42"/>
  <c r="K94" i="42"/>
  <c r="L52" i="42"/>
  <c r="P90" i="42"/>
  <c r="P14" i="44" s="1"/>
  <c r="M30" i="2"/>
  <c r="L20" i="42" s="1"/>
  <c r="N13" i="42"/>
  <c r="N26" i="42" s="1"/>
  <c r="S52" i="42"/>
  <c r="S54" i="42" s="1"/>
  <c r="M84" i="42"/>
  <c r="N28" i="2"/>
  <c r="O19" i="2"/>
  <c r="O28" i="2" s="1"/>
  <c r="Q84" i="42"/>
  <c r="M52" i="42"/>
  <c r="R13" i="42"/>
  <c r="R26" i="42" s="1"/>
  <c r="N84" i="42"/>
  <c r="S84" i="42"/>
  <c r="O52" i="42"/>
  <c r="O54" i="42" s="1"/>
  <c r="N94" i="42"/>
  <c r="K19" i="2"/>
  <c r="K28" i="2" s="1"/>
  <c r="J17" i="2"/>
  <c r="J26" i="2" s="1"/>
  <c r="K26" i="2"/>
  <c r="P94" i="42"/>
  <c r="J18" i="2"/>
  <c r="J27" i="2" s="1"/>
  <c r="R84" i="42"/>
  <c r="Q52" i="42"/>
  <c r="Q54" i="42" s="1"/>
  <c r="J52" i="42"/>
  <c r="J54" i="42" s="1"/>
  <c r="J94" i="42"/>
  <c r="O20" i="2"/>
  <c r="O29" i="2" s="1"/>
  <c r="O94" i="42"/>
  <c r="K27" i="2"/>
  <c r="N17" i="2"/>
  <c r="N26" i="2" s="1"/>
  <c r="L16" i="2"/>
  <c r="M20" i="2"/>
  <c r="T1" i="55"/>
  <c r="G11" i="16" s="1"/>
  <c r="S1" i="16" s="1"/>
  <c r="P15" i="44"/>
  <c r="M54" i="42"/>
  <c r="L13" i="42"/>
  <c r="L26" i="42" s="1"/>
  <c r="S94" i="42"/>
  <c r="O84" i="42"/>
  <c r="L54" i="42"/>
  <c r="L84" i="42"/>
  <c r="J84" i="42"/>
  <c r="K52" i="42"/>
  <c r="K54" i="42" s="1"/>
  <c r="P52" i="42"/>
  <c r="P54" i="42" s="1"/>
  <c r="K84" i="42"/>
  <c r="Q94" i="42"/>
  <c r="P84" i="42"/>
  <c r="M94" i="42"/>
  <c r="K21" i="2"/>
  <c r="L30" i="2"/>
  <c r="N27" i="2"/>
  <c r="O18" i="2"/>
  <c r="O27" i="2" s="1"/>
  <c r="O17" i="2"/>
  <c r="O26" i="2" s="1"/>
  <c r="R52" i="42"/>
  <c r="R54" i="42" s="1"/>
  <c r="O16" i="44"/>
  <c r="Q15" i="44"/>
  <c r="M27" i="2"/>
  <c r="O68" i="42" a="1"/>
  <c r="O68" i="42" s="1"/>
  <c r="R68" i="42" a="1"/>
  <c r="R68" i="42" s="1"/>
  <c r="S68" i="42" a="1"/>
  <c r="S68" i="42" s="1"/>
  <c r="P68" i="42" a="1"/>
  <c r="P68" i="42" s="1"/>
  <c r="Q68" i="42" a="1"/>
  <c r="Q68" i="42" s="1"/>
  <c r="J19" i="2" l="1"/>
  <c r="J28" i="2" s="1"/>
  <c r="V1" i="54"/>
  <c r="V1" i="44"/>
  <c r="V1" i="42"/>
  <c r="V1" i="4"/>
  <c r="W1" i="55"/>
  <c r="M29" i="2"/>
  <c r="L20" i="2"/>
  <c r="M16" i="2"/>
  <c r="L25" i="2"/>
  <c r="V1" i="58"/>
  <c r="W1" i="2"/>
  <c r="V1" i="53"/>
  <c r="K13" i="42"/>
  <c r="K26" i="42" s="1"/>
  <c r="K20" i="42"/>
  <c r="J21" i="2"/>
  <c r="J30" i="2" s="1"/>
  <c r="K30" i="2"/>
  <c r="M25" i="2" l="1"/>
  <c r="N16" i="2"/>
  <c r="L29" i="2"/>
  <c r="K20" i="2"/>
  <c r="J20" i="42"/>
  <c r="J13" i="42"/>
  <c r="J26" i="42" s="1"/>
  <c r="J20" i="2" l="1"/>
  <c r="J29" i="2" s="1"/>
  <c r="K29" i="2"/>
  <c r="O16" i="2"/>
  <c r="N25" i="2"/>
  <c r="Q17" i="42" l="1"/>
  <c r="P17" i="42"/>
  <c r="R15" i="42"/>
  <c r="M22" i="42"/>
  <c r="P24" i="42"/>
  <c r="N17" i="42"/>
  <c r="N15" i="42"/>
  <c r="O15" i="42"/>
  <c r="S17" i="42"/>
  <c r="J24" i="42"/>
  <c r="S24" i="42"/>
  <c r="Q22" i="42"/>
  <c r="N22" i="42"/>
  <c r="M24" i="42"/>
  <c r="O22" i="42"/>
  <c r="L17" i="42"/>
  <c r="S15" i="42"/>
  <c r="K24" i="42"/>
  <c r="Q24" i="42"/>
  <c r="L22" i="42"/>
  <c r="R22" i="42"/>
  <c r="M15" i="42"/>
  <c r="J22" i="42"/>
  <c r="L24" i="42"/>
  <c r="O25" i="2"/>
  <c r="P15" i="42"/>
  <c r="M17" i="42"/>
  <c r="J17" i="42"/>
  <c r="N24" i="42"/>
  <c r="L15" i="42"/>
  <c r="K15" i="42"/>
  <c r="O17" i="42"/>
  <c r="P22" i="42"/>
  <c r="O24" i="42"/>
  <c r="R24" i="42"/>
  <c r="S22" i="42"/>
  <c r="K17" i="42"/>
  <c r="K22" i="42"/>
  <c r="R17" i="42"/>
  <c r="Q15" i="42"/>
  <c r="J15" i="42"/>
  <c r="N35" i="42" l="1"/>
  <c r="N31" i="42"/>
  <c r="N33" i="42" s="1"/>
  <c r="N52" i="42" s="1"/>
  <c r="N54" i="42" l="1"/>
  <c r="Q101" i="42"/>
  <c r="Q102" i="42" s="1"/>
  <c r="S101" i="42"/>
  <c r="S102" i="42" s="1"/>
  <c r="R101" i="42" l="1"/>
  <c r="R102" i="42" s="1"/>
  <c r="P100" i="42"/>
  <c r="P13" i="44" s="1"/>
  <c r="S100" i="42"/>
  <c r="S13" i="44" s="1"/>
  <c r="R100" i="42"/>
  <c r="R13" i="44" s="1"/>
  <c r="Q100" i="42"/>
  <c r="Q13" i="44" s="1"/>
  <c r="O101" i="42"/>
  <c r="O102" i="42" s="1"/>
  <c r="P101" i="42"/>
  <c r="P102" i="42" s="1"/>
  <c r="O100" i="42"/>
  <c r="O13" i="44" s="1"/>
</calcChain>
</file>

<file path=xl/sharedStrings.xml><?xml version="1.0" encoding="utf-8"?>
<sst xmlns="http://schemas.openxmlformats.org/spreadsheetml/2006/main" count="708" uniqueCount="216">
  <si>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</si>
  <si>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</si>
  <si>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</si>
  <si>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</si>
  <si>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</si>
  <si>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</si>
  <si>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</si>
  <si>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</si>
  <si>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</si>
  <si>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</si>
  <si>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</si>
  <si>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</si>
  <si>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</si>
  <si>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</si>
  <si>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</si>
  <si>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</si>
  <si>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</si>
  <si>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</si>
  <si>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</si>
  <si>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</si>
  <si>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</si>
  <si>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</si>
  <si>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</si>
  <si>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</si>
  <si>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</si>
  <si>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</si>
  <si>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</si>
  <si>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</si>
  <si>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</si>
  <si>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</si>
  <si>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</si>
  <si>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</si>
  <si>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</si>
  <si>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</si>
  <si>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</si>
  <si>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</si>
  <si>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</si>
  <si>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</si>
  <si>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</si>
  <si>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</si>
  <si>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</si>
  <si>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</si>
  <si>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</si>
  <si>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</si>
  <si>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</si>
  <si>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</si>
  <si>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</si>
  <si>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</si>
  <si>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</si>
  <si>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</si>
  <si>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</si>
  <si>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</si>
  <si>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</si>
  <si>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</si>
  <si>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</si>
  <si>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</si>
  <si>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</si>
  <si>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</si>
  <si>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</si>
  <si>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</si>
  <si>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</si>
  <si>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</si>
  <si>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</si>
  <si>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</si>
  <si>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</si>
  <si>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</si>
  <si>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</si>
  <si>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</si>
  <si>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</si>
  <si>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</si>
  <si>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</si>
  <si>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</si>
  <si>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</si>
  <si>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</si>
  <si>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</si>
  <si>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</si>
  <si>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</si>
  <si>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</si>
  <si>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</si>
  <si>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</si>
  <si>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</si>
  <si>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</si>
  <si>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</si>
  <si>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</si>
  <si>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</si>
  <si>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</si>
  <si>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</si>
  <si>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</si>
  <si>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</si>
  <si>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</si>
  <si>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</si>
  <si>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</si>
  <si>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</si>
  <si>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</si>
  <si>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</si>
  <si>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</si>
  <si>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</si>
  <si>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</si>
  <si>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</si>
  <si>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</si>
  <si>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</si>
  <si>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</si>
  <si>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</si>
  <si>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</si>
  <si>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</si>
  <si>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</si>
  <si>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</si>
  <si>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</si>
  <si>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</si>
  <si>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</si>
  <si>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</si>
  <si>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</si>
  <si>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</si>
  <si>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</si>
  <si>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</si>
  <si>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</si>
  <si>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</si>
  <si>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</si>
  <si>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</si>
  <si>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</si>
  <si>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</si>
  <si>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</si>
  <si>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</si>
  <si>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</si>
  <si>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</si>
  <si>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</si>
  <si>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</si>
  <si>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</si>
  <si>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</si>
  <si>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</si>
  <si>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</si>
  <si>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</si>
  <si>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</si>
  <si>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</si>
  <si>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</si>
  <si>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</si>
  <si>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</si>
  <si>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</si>
  <si>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</si>
  <si>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</si>
  <si>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</si>
  <si>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</si>
  <si>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</si>
  <si>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</si>
  <si>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</si>
  <si>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</si>
  <si>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</si>
  <si>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</si>
  <si>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</si>
  <si>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</si>
  <si>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</si>
  <si>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</si>
  <si>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</si>
  <si>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</si>
  <si>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</si>
  <si>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</si>
  <si>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</si>
  <si>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</si>
  <si>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</si>
  <si>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</si>
  <si>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</si>
  <si>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</si>
  <si>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</si>
  <si>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</si>
  <si>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</si>
  <si>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</si>
  <si>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</si>
  <si>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</si>
  <si>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</si>
  <si>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</si>
  <si>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</si>
  <si>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</si>
  <si>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</si>
  <si>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</si>
  <si>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Output weights</t>
  </si>
  <si>
    <t>SFA CD</t>
  </si>
  <si>
    <t>LSE CD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</si>
  <si>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</si>
  <si>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</si>
  <si>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</si>
  <si>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</si>
  <si>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</si>
  <si>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</si>
  <si>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</si>
  <si>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</si>
  <si>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</si>
  <si>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</si>
  <si>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</si>
  <si>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</si>
  <si>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Output | Models_final</t>
  </si>
  <si>
    <t>Output | Models_base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</si>
  <si>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</si>
  <si>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</si>
  <si>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</si>
  <si>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</si>
  <si>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</si>
  <si>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</si>
  <si>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JGN</t>
  </si>
  <si>
    <t>Unaccounted for gas</t>
  </si>
  <si>
    <t>Government levies</t>
  </si>
  <si>
    <t>Carbon costs</t>
  </si>
  <si>
    <t>UAG</t>
  </si>
  <si>
    <t>Mains Length (km)</t>
  </si>
  <si>
    <t>Expensing of corporate overheads</t>
  </si>
  <si>
    <t>Pigging and inspection costs</t>
  </si>
  <si>
    <t>Total UAG (tariff and demand market)</t>
  </si>
  <si>
    <t>Total Government levies (Mains tax and licence fees)</t>
  </si>
  <si>
    <t>Government levies (mains tax &amp; IPART fees)</t>
  </si>
  <si>
    <t>Pipeline fees</t>
  </si>
  <si>
    <t>final</t>
  </si>
  <si>
    <t>WPI - BIS</t>
  </si>
  <si>
    <t>WPI - Average</t>
  </si>
  <si>
    <t>Input | Rate of change</t>
  </si>
  <si>
    <t>Calc | Opex Forecast</t>
  </si>
  <si>
    <t>https://www.rba.gov.au/publications/smp/2020/may/forecasts.html</t>
  </si>
  <si>
    <t>RBA statement of monetary policy inflation forecast,  trimmed mean, May 2020,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</si>
</sst>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  <numFmt numFmtId="208" formatCode="[$-C09]dd/mmm/yy;@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7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7" fontId="1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3" fillId="0" borderId="0"/>
    <xf numFmtId="178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4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5" fontId="20" fillId="4" borderId="0" applyNumberFormat="0" applyFont="0" applyBorder="0" applyAlignment="0">
      <alignment horizontal="right"/>
    </xf>
    <xf numFmtId="16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5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80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2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5" fontId="20" fillId="36" borderId="0" applyFont="0" applyBorder="0" applyAlignment="0">
      <alignment horizontal="right"/>
      <protection locked="0"/>
    </xf>
    <xf numFmtId="165" fontId="20" fillId="36" borderId="0" applyFont="0" applyBorder="0" applyAlignment="0">
      <alignment horizontal="right"/>
      <protection locked="0"/>
    </xf>
    <xf numFmtId="183" fontId="20" fillId="6" borderId="0" applyFont="0" applyBorder="0">
      <alignment horizontal="right"/>
      <protection locked="0"/>
    </xf>
    <xf numFmtId="183" fontId="20" fillId="6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4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5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6" fontId="20" fillId="0" borderId="0" applyFill="0" applyBorder="0"/>
    <xf numFmtId="186" fontId="20" fillId="0" borderId="0" applyFill="0" applyBorder="0"/>
    <xf numFmtId="186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2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7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8" fontId="20" fillId="0" borderId="0"/>
    <xf numFmtId="188" fontId="20" fillId="0" borderId="0"/>
    <xf numFmtId="188" fontId="20" fillId="0" borderId="0"/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191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4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2" fontId="20" fillId="0" borderId="7" applyBorder="0" applyProtection="0">
      <alignment horizontal="right"/>
    </xf>
    <xf numFmtId="192" fontId="20" fillId="0" borderId="7" applyBorder="0" applyProtection="0">
      <alignment horizontal="right"/>
    </xf>
    <xf numFmtId="192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4" fillId="42" borderId="0"/>
    <xf numFmtId="202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0" fontId="90" fillId="50" borderId="29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208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7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3" fontId="13" fillId="0" borderId="0" xfId="5" applyNumberFormat="1" applyFont="1" applyFill="1" applyBorder="1" applyAlignment="1" applyProtection="1">
      <alignment horizontal="center" vertical="center"/>
    </xf>
    <xf numFmtId="174" fontId="10" fillId="0" borderId="0" xfId="5" applyNumberFormat="1" applyFont="1" applyFill="1" applyBorder="1" applyAlignment="1" applyProtection="1">
      <alignment horizontal="center" vertical="center"/>
    </xf>
    <xf numFmtId="174" fontId="18" fillId="0" borderId="0" xfId="5" applyNumberFormat="1" applyFont="1" applyFill="1" applyBorder="1" applyAlignment="1" applyProtection="1">
      <alignment horizontal="center" vertical="center"/>
    </xf>
    <xf numFmtId="175" fontId="4" fillId="0" borderId="0" xfId="0" applyNumberFormat="1" applyFont="1"/>
    <xf numFmtId="177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3" fontId="4" fillId="41" borderId="3" xfId="0" applyNumberFormat="1" applyFont="1" applyFill="1" applyBorder="1" applyAlignment="1" applyProtection="1">
      <alignment horizontal="center"/>
      <protection locked="0"/>
    </xf>
    <xf numFmtId="197" fontId="4" fillId="0" borderId="0" xfId="0" applyNumberFormat="1" applyFont="1" applyAlignment="1" applyProtection="1">
      <alignment horizontal="left"/>
    </xf>
    <xf numFmtId="195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7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6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8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8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6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5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1" fontId="4" fillId="0" borderId="0" xfId="0" applyNumberFormat="1" applyFont="1" applyAlignment="1" applyProtection="1">
      <alignment horizontal="center"/>
    </xf>
    <xf numFmtId="201" fontId="6" fillId="0" borderId="0" xfId="0" applyNumberFormat="1" applyFont="1" applyAlignment="1" applyProtection="1">
      <alignment horizontal="center"/>
    </xf>
    <xf numFmtId="199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7" fontId="10" fillId="0" borderId="3" xfId="0" applyNumberFormat="1" applyFont="1" applyBorder="1" applyAlignment="1" applyProtection="1">
      <alignment horizontal="center"/>
    </xf>
    <xf numFmtId="167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7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2" fontId="13" fillId="0" borderId="0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Protection="1"/>
    <xf numFmtId="168" fontId="4" fillId="0" borderId="0" xfId="0" applyNumberFormat="1" applyFont="1" applyAlignment="1" applyProtection="1">
      <alignment horizontal="left"/>
    </xf>
    <xf numFmtId="194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6" fontId="5" fillId="41" borderId="3" xfId="2" applyNumberFormat="1" applyFont="1" applyFill="1" applyBorder="1" applyAlignment="1" applyProtection="1">
      <alignment horizontal="center"/>
      <protection locked="0"/>
    </xf>
    <xf numFmtId="200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3" fontId="6" fillId="0" borderId="0" xfId="0" applyNumberFormat="1" applyFont="1" applyAlignment="1" applyProtection="1">
      <alignment horizontal="center"/>
    </xf>
    <xf numFmtId="204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5" fontId="72" fillId="39" borderId="4" xfId="0" applyNumberFormat="1" applyFont="1" applyFill="1" applyBorder="1" applyAlignment="1" applyProtection="1">
      <alignment horizontal="center" wrapText="1"/>
    </xf>
    <xf numFmtId="205" fontId="89" fillId="38" borderId="2" xfId="0" applyNumberFormat="1" applyFont="1" applyFill="1" applyBorder="1" applyAlignment="1" applyProtection="1">
      <alignment horizontal="center"/>
    </xf>
    <xf numFmtId="205" fontId="72" fillId="38" borderId="2" xfId="0" applyNumberFormat="1" applyFont="1" applyFill="1" applyBorder="1" applyAlignment="1" applyProtection="1">
      <alignment horizontal="left"/>
    </xf>
    <xf numFmtId="205" fontId="6" fillId="0" borderId="7" xfId="0" applyNumberFormat="1" applyFont="1" applyBorder="1" applyAlignment="1" applyProtection="1">
      <alignment horizontal="center"/>
    </xf>
    <xf numFmtId="205" fontId="4" fillId="0" borderId="0" xfId="0" applyNumberFormat="1" applyFont="1" applyAlignment="1">
      <alignment horizontal="left" indent="1"/>
    </xf>
    <xf numFmtId="205" fontId="5" fillId="0" borderId="0" xfId="0" applyNumberFormat="1" applyFont="1" applyAlignment="1" applyProtection="1">
      <alignment horizontal="center"/>
    </xf>
    <xf numFmtId="205" fontId="5" fillId="41" borderId="22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5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6" fontId="4" fillId="0" borderId="0" xfId="2" applyNumberFormat="1" applyFont="1" applyFill="1" applyBorder="1" applyAlignment="1" applyProtection="1">
      <alignment horizontal="center"/>
      <protection locked="0"/>
    </xf>
    <xf numFmtId="205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5" fontId="16" fillId="0" borderId="0" xfId="0" applyNumberFormat="1" applyFont="1" applyAlignment="1" applyProtection="1">
      <alignment horizontal="center"/>
    </xf>
    <xf numFmtId="201" fontId="4" fillId="0" borderId="0" xfId="0" applyNumberFormat="1" applyFont="1" applyBorder="1" applyAlignment="1" applyProtection="1">
      <alignment horizontal="center"/>
    </xf>
    <xf numFmtId="201" fontId="6" fillId="0" borderId="0" xfId="0" applyNumberFormat="1" applyFont="1" applyBorder="1" applyAlignment="1" applyProtection="1">
      <alignment horizontal="center"/>
    </xf>
    <xf numFmtId="198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5" fontId="5" fillId="0" borderId="7" xfId="0" applyNumberFormat="1" applyFont="1" applyBorder="1" applyAlignment="1" applyProtection="1">
      <alignment horizontal="center"/>
    </xf>
    <xf numFmtId="206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5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5" fontId="4" fillId="0" borderId="0" xfId="0" applyNumberFormat="1" applyFont="1" applyProtection="1">
      <protection locked="0"/>
    </xf>
    <xf numFmtId="195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5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2" fontId="4" fillId="0" borderId="0" xfId="2" applyNumberFormat="1" applyFont="1" applyAlignment="1" applyProtection="1">
      <alignment horizontal="center"/>
      <protection locked="0"/>
    </xf>
    <xf numFmtId="174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5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2" fontId="4" fillId="0" borderId="0" xfId="2" applyNumberFormat="1" applyFont="1" applyFill="1" applyBorder="1" applyAlignment="1" applyProtection="1">
      <alignment horizontal="center"/>
      <protection locked="0"/>
    </xf>
    <xf numFmtId="205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5" fontId="17" fillId="8" borderId="9" xfId="0" applyNumberFormat="1" applyFont="1" applyFill="1" applyBorder="1" applyAlignment="1" applyProtection="1">
      <alignment horizontal="center"/>
      <protection locked="0"/>
    </xf>
    <xf numFmtId="207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5" fontId="13" fillId="8" borderId="9" xfId="0" applyNumberFormat="1" applyFont="1" applyFill="1" applyBorder="1" applyAlignment="1" applyProtection="1">
      <alignment horizontal="center"/>
      <protection locked="0"/>
    </xf>
    <xf numFmtId="194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5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49" fontId="4" fillId="41" borderId="3" xfId="0" applyNumberFormat="1" applyFont="1" applyFill="1" applyBorder="1" applyAlignment="1" applyProtection="1">
      <alignment horizontal="left" indent="1"/>
    </xf>
    <xf numFmtId="0" fontId="12" fillId="0" borderId="0" xfId="3"/>
    <xf numFmtId="168" fontId="18" fillId="0" borderId="0" xfId="0" applyNumberFormat="1" applyFont="1" applyProtection="1"/>
    <xf numFmtId="0" fontId="72" fillId="38" borderId="2" xfId="0" applyNumberFormat="1" applyFont="1" applyFill="1" applyBorder="1" applyAlignment="1" applyProtection="1">
      <alignment horizontal="center"/>
    </xf>
  </cellXfs>
  <cellStyles count="27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71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5 2 2" xfId="276"/>
    <cellStyle name="Currency 6" xfId="272"/>
    <cellStyle name="D4_B8B1_005004B79812_.wvu.PrintTitlest" xfId="95"/>
    <cellStyle name="Date" xfId="96"/>
    <cellStyle name="Date 2" xfId="97"/>
    <cellStyle name="dms_1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 2" xfId="274"/>
    <cellStyle name="Normal 11" xfId="264"/>
    <cellStyle name="Normal 11 3" xfId="269"/>
    <cellStyle name="Normal 12" xfId="268"/>
    <cellStyle name="Normal 13" xfId="137"/>
    <cellStyle name="Normal 13 2" xfId="7"/>
    <cellStyle name="Normal 13_29(d) - Gas extensions -tariffs" xfId="138"/>
    <cellStyle name="Normal 14" xfId="266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 2" xfId="275"/>
    <cellStyle name="Percent 6" xfId="270"/>
    <cellStyle name="Percent 7" xfId="179"/>
    <cellStyle name="Percent 8" xfId="273"/>
    <cellStyle name="Percent 9" xfId="267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BE5F1"/>
      <color rgb="FFDAEEF3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20/may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>
      <selection activeCell="C8" sqref="C8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212</v>
      </c>
      <c r="D10" s="7" t="s">
        <v>191</v>
      </c>
    </row>
    <row r="11" spans="1:47">
      <c r="C11" s="19" t="s">
        <v>60</v>
      </c>
      <c r="D11" s="7" t="s">
        <v>51</v>
      </c>
    </row>
    <row r="12" spans="1:47">
      <c r="C12" s="19" t="s">
        <v>213</v>
      </c>
      <c r="D12" s="7" t="s">
        <v>192</v>
      </c>
    </row>
    <row r="13" spans="1:47">
      <c r="C13" s="19" t="s">
        <v>189</v>
      </c>
      <c r="D13" s="7" t="s">
        <v>193</v>
      </c>
    </row>
    <row r="14" spans="1:47">
      <c r="C14" s="19" t="s">
        <v>190</v>
      </c>
      <c r="D14" s="7" t="s">
        <v>194</v>
      </c>
    </row>
    <row r="15" spans="1:47">
      <c r="C15" s="19" t="s">
        <v>53</v>
      </c>
      <c r="D15" s="7" t="s">
        <v>59</v>
      </c>
    </row>
    <row r="16" spans="1:47">
      <c r="C16" s="19" t="s">
        <v>25</v>
      </c>
      <c r="D16" s="7" t="s">
        <v>52</v>
      </c>
    </row>
    <row r="17" spans="1:47" ht="12.75">
      <c r="C17" s="10"/>
      <c r="D17" s="7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t="12.75" hidden="1">
      <c r="C32" s="10"/>
      <c r="D32" s="7"/>
    </row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"/>
    <hyperlink ref="C13" location="'Output|Models_final'!A1" display="Output | Models_final"/>
    <hyperlink ref="C15" location="'Lookup|Tables'!A1" display="Lookup | Tables"/>
    <hyperlink ref="C16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  <hyperlink ref="C14" location="'Output|Models_base'!A1" display="Output | Models_base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>
      <selection activeCell="G16" sqref="G16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197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69</v>
      </c>
      <c r="E8" s="29"/>
      <c r="F8" s="29"/>
      <c r="G8" s="52" t="s">
        <v>209</v>
      </c>
      <c r="H8" s="29"/>
      <c r="I8" s="29"/>
      <c r="S8" s="131" t="str">
        <f>IF(COUNTBLANK($G8),"Check","Ok")</f>
        <v>Ok</v>
      </c>
    </row>
    <row r="9" spans="1:47">
      <c r="C9" s="29" t="s">
        <v>122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152</v>
      </c>
      <c r="D10" s="30" t="s">
        <v>68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153</v>
      </c>
      <c r="D12" s="30" t="s">
        <v>68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184</v>
      </c>
      <c r="D15" s="30" t="s">
        <v>69</v>
      </c>
      <c r="E15" s="29"/>
      <c r="F15" s="29"/>
      <c r="G15" s="155" t="s">
        <v>187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4" priority="13" operator="equal">
      <formula>"Check"</formula>
    </cfRule>
    <cfRule type="cellIs" dxfId="193" priority="14" operator="equal">
      <formula>"Ok"</formula>
    </cfRule>
  </conditionalFormatting>
  <conditionalFormatting sqref="V1">
    <cfRule type="cellIs" dxfId="192" priority="3" operator="equal">
      <formula>"Check"</formula>
    </cfRule>
    <cfRule type="cellIs" dxfId="191" priority="4" operator="equal">
      <formula>"Ok"</formula>
    </cfRule>
  </conditionalFormatting>
  <conditionalFormatting sqref="S7:S15">
    <cfRule type="cellIs" dxfId="190" priority="5" operator="equal">
      <formula>"Check"</formula>
    </cfRule>
    <cfRule type="cellIs" dxfId="189" priority="6" operator="equal">
      <formula>"Ok"</formula>
    </cfRule>
  </conditionalFormatting>
  <conditionalFormatting sqref="S1">
    <cfRule type="cellIs" dxfId="188" priority="1" operator="equal">
      <formula>"Check"</formula>
    </cfRule>
    <cfRule type="cellIs" dxfId="187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A46" workbookViewId="0">
      <selection activeCell="K67" sqref="K67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136</v>
      </c>
      <c r="F6" s="62" t="s">
        <v>97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1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9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9"/>
      <c r="I60" s="29"/>
      <c r="J60" s="29"/>
      <c r="N60" s="221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9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F58*1.015</f>
        <v>116.52199999999999</v>
      </c>
      <c r="G62" s="117">
        <f t="shared" si="1"/>
        <v>1.4999999999999902E-2</v>
      </c>
      <c r="H62" s="189" t="s">
        <v>215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/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/>
      <c r="H64" s="221" t="s">
        <v>214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/>
      <c r="G65" s="117" t="str">
        <f t="shared" si="1"/>
        <v/>
      </c>
      <c r="H65" s="189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/>
      <c r="G66" s="117" t="str">
        <f t="shared" si="1"/>
        <v/>
      </c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/>
      <c r="G67" s="117" t="str">
        <f t="shared" si="1"/>
        <v/>
      </c>
      <c r="H67" s="189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/>
      <c r="G68" s="117" t="str">
        <f t="shared" si="1"/>
        <v/>
      </c>
      <c r="H68" s="189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9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9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9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9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9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9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9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9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9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9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9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9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9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9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9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9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186" priority="11" operator="equal">
      <formula>"Check"</formula>
    </cfRule>
    <cfRule type="cellIs" dxfId="185" priority="12" operator="equal">
      <formula>"Ok"</formula>
    </cfRule>
  </conditionalFormatting>
  <conditionalFormatting sqref="W1">
    <cfRule type="cellIs" dxfId="184" priority="7" operator="equal">
      <formula>"Check"</formula>
    </cfRule>
    <cfRule type="cellIs" dxfId="183" priority="8" operator="equal">
      <formula>"Ok"</formula>
    </cfRule>
  </conditionalFormatting>
  <conditionalFormatting sqref="T1">
    <cfRule type="cellIs" dxfId="182" priority="5" operator="equal">
      <formula>"Check"</formula>
    </cfRule>
    <cfRule type="cellIs" dxfId="181" priority="6" operator="equal">
      <formula>"Ok"</formula>
    </cfRule>
  </conditionalFormatting>
  <conditionalFormatting sqref="X51:X57">
    <cfRule type="cellIs" dxfId="180" priority="3" operator="equal">
      <formula>"Check"</formula>
    </cfRule>
    <cfRule type="cellIs" dxfId="179" priority="4" operator="equal">
      <formula>"Ok"</formula>
    </cfRule>
  </conditionalFormatting>
  <conditionalFormatting sqref="X58:X62 T9:T84">
    <cfRule type="cellIs" dxfId="178" priority="1" operator="equal">
      <formula>"Check"</formula>
    </cfRule>
    <cfRule type="cellIs" dxfId="177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  <hyperlink ref="H64" r:id="rId1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43" zoomScale="115" zoomScaleNormal="115" workbookViewId="0">
      <selection activeCell="M51" sqref="M51:M53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8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122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2" t="s">
        <v>15</v>
      </c>
      <c r="F13" s="172">
        <v>42156</v>
      </c>
      <c r="G13" s="32"/>
      <c r="H13" s="32"/>
      <c r="I13" s="30"/>
      <c r="J13" s="164">
        <v>158.51431942421496</v>
      </c>
      <c r="K13" s="164">
        <v>159.45710590706076</v>
      </c>
      <c r="L13" s="164">
        <v>160.38503677857003</v>
      </c>
      <c r="M13" s="164">
        <v>165.00679150373597</v>
      </c>
      <c r="N13" s="164">
        <v>164.2651730813059</v>
      </c>
      <c r="O13" s="152"/>
      <c r="P13" s="152"/>
      <c r="Q13" s="152"/>
      <c r="R13" s="152"/>
      <c r="S13" s="152"/>
      <c r="T13" s="29" t="s">
        <v>171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158.51431942421496</v>
      </c>
      <c r="K15" s="129">
        <f t="shared" ref="K15:S15" si="1">K13</f>
        <v>159.45710590706076</v>
      </c>
      <c r="L15" s="129">
        <f t="shared" si="1"/>
        <v>160.38503677857003</v>
      </c>
      <c r="M15" s="129">
        <f t="shared" si="1"/>
        <v>165.00679150373597</v>
      </c>
      <c r="N15" s="129">
        <f t="shared" si="1"/>
        <v>164.2651730813059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1.4695948944647161</v>
      </c>
      <c r="K19" s="164">
        <v>1.503324216307915</v>
      </c>
      <c r="L19" s="164">
        <v>1.5283847677390856</v>
      </c>
      <c r="M19" s="164">
        <v>1.5428877478567389</v>
      </c>
      <c r="N19" s="164">
        <v>1.5417554707035432</v>
      </c>
      <c r="O19" s="152"/>
      <c r="P19" s="152"/>
      <c r="Q19" s="152"/>
      <c r="R19" s="152"/>
      <c r="S19" s="152"/>
      <c r="T19" s="29" t="s">
        <v>178</v>
      </c>
      <c r="U19" s="29"/>
      <c r="V19" s="29"/>
      <c r="W19" s="29"/>
    </row>
    <row r="20" spans="1:23">
      <c r="A20" s="29"/>
      <c r="B20" s="29"/>
      <c r="C20" s="61" t="s">
        <v>199</v>
      </c>
      <c r="D20" s="30" t="s">
        <v>69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>
        <v>3.9754264763358762</v>
      </c>
      <c r="K20" s="164">
        <v>3.9754264763358766</v>
      </c>
      <c r="L20" s="164">
        <v>3.9754264763358766</v>
      </c>
      <c r="M20" s="164">
        <v>3.9754264763358762</v>
      </c>
      <c r="N20" s="164">
        <v>3.9754264763358766</v>
      </c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 t="s">
        <v>198</v>
      </c>
      <c r="D21" s="30" t="s">
        <v>69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>
        <v>15.946759054749808</v>
      </c>
      <c r="K21" s="164">
        <v>16.015464241554149</v>
      </c>
      <c r="L21" s="164">
        <v>16.001670360438972</v>
      </c>
      <c r="M21" s="164">
        <v>15.991528400863945</v>
      </c>
      <c r="N21" s="164">
        <v>16.039422542755357</v>
      </c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 t="s">
        <v>200</v>
      </c>
      <c r="D22" s="30" t="s">
        <v>69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>
        <v>4.2189462423664115E-2</v>
      </c>
      <c r="K22" s="164">
        <v>4.2189462423664115E-2</v>
      </c>
      <c r="L22" s="164">
        <v>4.2189462423664115E-2</v>
      </c>
      <c r="M22" s="164">
        <v>4.2189462423664115E-2</v>
      </c>
      <c r="N22" s="164">
        <v>4.2189462423664115E-2</v>
      </c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160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21.433969887974065</v>
      </c>
      <c r="K29" s="129">
        <f t="shared" ref="K29:S29" si="4">SUM(K19:K27)</f>
        <v>21.536404396621606</v>
      </c>
      <c r="L29" s="129">
        <f t="shared" si="4"/>
        <v>21.547671066937596</v>
      </c>
      <c r="M29" s="129">
        <f t="shared" si="4"/>
        <v>21.552032087480224</v>
      </c>
      <c r="N29" s="129">
        <f t="shared" si="4"/>
        <v>21.598793952218443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6" t="str">
        <f>$E$56</f>
        <v>$millions</v>
      </c>
      <c r="F37" s="217" t="s">
        <v>100</v>
      </c>
      <c r="G37" s="32"/>
      <c r="H37" s="32"/>
      <c r="I37" s="30"/>
      <c r="J37" s="164">
        <v>163.39350554771516</v>
      </c>
      <c r="K37" s="164">
        <v>175.57445041668794</v>
      </c>
      <c r="L37" s="164">
        <v>173.85577091175011</v>
      </c>
      <c r="M37" s="164"/>
      <c r="N37" s="164"/>
      <c r="O37" s="152"/>
      <c r="P37" s="152"/>
      <c r="Q37" s="152"/>
      <c r="R37" s="152"/>
      <c r="S37" s="152"/>
      <c r="T37" s="29" t="s">
        <v>172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183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179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>
        <v>1.6329849999999999</v>
      </c>
      <c r="K41" s="164">
        <v>5.1256000000000003E-2</v>
      </c>
      <c r="L41" s="164">
        <v>-1.4224035400000001</v>
      </c>
      <c r="M41" s="164"/>
      <c r="N41" s="164"/>
      <c r="O41" s="152"/>
      <c r="P41" s="152"/>
      <c r="Q41" s="152"/>
      <c r="R41" s="152"/>
      <c r="S41" s="152"/>
      <c r="T41" s="29" t="s">
        <v>182</v>
      </c>
      <c r="U41" s="29"/>
      <c r="V41" s="29"/>
      <c r="W41" s="29"/>
    </row>
    <row r="42" spans="1:23">
      <c r="A42" s="29"/>
      <c r="B42" s="29"/>
      <c r="C42" s="61"/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180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161.76052054771517</v>
      </c>
      <c r="K47" s="129">
        <f t="shared" ref="K47:S47" si="7">K37-SUM(K41:K45)</f>
        <v>175.52319441668794</v>
      </c>
      <c r="L47" s="129">
        <f t="shared" si="7"/>
        <v>175.27817445175012</v>
      </c>
      <c r="M47" s="129">
        <f t="shared" si="7"/>
        <v>0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>
        <v>0</v>
      </c>
      <c r="K51" s="164">
        <v>0</v>
      </c>
      <c r="L51" s="164">
        <v>0</v>
      </c>
      <c r="M51" s="164"/>
      <c r="N51" s="164"/>
      <c r="O51" s="152"/>
      <c r="P51" s="152"/>
      <c r="Q51" s="152"/>
      <c r="R51" s="152"/>
      <c r="S51" s="152"/>
      <c r="T51" s="29" t="s">
        <v>178</v>
      </c>
      <c r="U51" s="29"/>
      <c r="V51" s="29"/>
      <c r="W51" s="29"/>
    </row>
    <row r="52" spans="1:23">
      <c r="A52" s="29"/>
      <c r="B52" s="29"/>
      <c r="C52" s="61" t="s">
        <v>201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>
        <v>21.564195279999996</v>
      </c>
      <c r="K52" s="164">
        <v>20.399644500000004</v>
      </c>
      <c r="L52" s="164">
        <v>21.301402330000005</v>
      </c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 t="s">
        <v>207</v>
      </c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>
        <v>5.5728545700000014</v>
      </c>
      <c r="K53" s="164">
        <v>4.8202977599999981</v>
      </c>
      <c r="L53" s="164">
        <v>4.3946968699999998</v>
      </c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 t="s">
        <v>208</v>
      </c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>
        <v>6.6484000000000001E-2</v>
      </c>
      <c r="K54" s="164">
        <v>8.3071999999999993E-2</v>
      </c>
      <c r="L54" s="164">
        <v>6.6603999999999997E-2</v>
      </c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160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7">
        <f>SUM(J51:J54)</f>
        <v>27.203533849999996</v>
      </c>
      <c r="K56" s="187">
        <f t="shared" ref="K56:S56" si="9">SUM(K51:K54)</f>
        <v>25.303014260000005</v>
      </c>
      <c r="L56" s="187">
        <f t="shared" si="9"/>
        <v>25.762703200000008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203</v>
      </c>
      <c r="D62" s="30" t="s">
        <v>34</v>
      </c>
      <c r="E62" s="30" t="str">
        <f>$E$56</f>
        <v>$millions</v>
      </c>
      <c r="F62" s="172">
        <v>43983</v>
      </c>
      <c r="G62" s="32"/>
      <c r="H62" s="32"/>
      <c r="I62" s="32"/>
      <c r="J62" s="164"/>
      <c r="K62" s="164"/>
      <c r="L62" s="164"/>
      <c r="M62" s="164"/>
      <c r="N62" s="164">
        <v>16.668309697106295</v>
      </c>
      <c r="O62" s="164"/>
      <c r="P62" s="164"/>
      <c r="Q62" s="164"/>
      <c r="R62" s="164"/>
      <c r="S62" s="164"/>
      <c r="T62" s="29" t="s">
        <v>196</v>
      </c>
      <c r="U62" s="142"/>
      <c r="V62" s="142"/>
      <c r="W62" s="29"/>
    </row>
    <row r="63" spans="1:23">
      <c r="A63" s="29"/>
      <c r="B63" s="29"/>
      <c r="C63" s="61" t="s">
        <v>114</v>
      </c>
      <c r="D63" s="30" t="s">
        <v>34</v>
      </c>
      <c r="E63" s="30" t="str">
        <f t="shared" ref="E63:E68" si="11">$E$56</f>
        <v>$millions</v>
      </c>
      <c r="F63" s="172">
        <v>43983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115</v>
      </c>
      <c r="D64" s="30" t="s">
        <v>34</v>
      </c>
      <c r="E64" s="30" t="str">
        <f t="shared" si="11"/>
        <v>$millions</v>
      </c>
      <c r="F64" s="172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116</v>
      </c>
      <c r="D65" s="30" t="s">
        <v>34</v>
      </c>
      <c r="E65" s="30" t="str">
        <f t="shared" si="11"/>
        <v>$millions</v>
      </c>
      <c r="F65" s="172">
        <v>43983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117</v>
      </c>
      <c r="D66" s="30" t="s">
        <v>34</v>
      </c>
      <c r="E66" s="30" t="str">
        <f t="shared" si="11"/>
        <v>$millions</v>
      </c>
      <c r="F66" s="172">
        <v>43983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181</v>
      </c>
      <c r="D68" s="30" t="s">
        <v>34</v>
      </c>
      <c r="E68" s="30" t="str">
        <f t="shared" si="11"/>
        <v>$millions</v>
      </c>
      <c r="F68" s="172">
        <v>43983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>
        <v>0</v>
      </c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6" priority="31" operator="equal">
      <formula>"Check"</formula>
    </cfRule>
    <cfRule type="cellIs" dxfId="175" priority="32" operator="equal">
      <formula>"Ok"</formula>
    </cfRule>
  </conditionalFormatting>
  <conditionalFormatting sqref="W56">
    <cfRule type="cellIs" dxfId="174" priority="29" operator="equal">
      <formula>"Check"</formula>
    </cfRule>
    <cfRule type="cellIs" dxfId="173" priority="30" operator="equal">
      <formula>"Ok"</formula>
    </cfRule>
  </conditionalFormatting>
  <conditionalFormatting sqref="W15">
    <cfRule type="cellIs" dxfId="172" priority="27" operator="equal">
      <formula>"Check"</formula>
    </cfRule>
    <cfRule type="cellIs" dxfId="171" priority="28" operator="equal">
      <formula>"Ok"</formula>
    </cfRule>
  </conditionalFormatting>
  <conditionalFormatting sqref="V1">
    <cfRule type="cellIs" dxfId="170" priority="25" operator="equal">
      <formula>"Check"</formula>
    </cfRule>
    <cfRule type="cellIs" dxfId="169" priority="26" operator="equal">
      <formula>"Ok"</formula>
    </cfRule>
  </conditionalFormatting>
  <conditionalFormatting sqref="S1">
    <cfRule type="cellIs" dxfId="168" priority="23" operator="equal">
      <formula>"Check"</formula>
    </cfRule>
    <cfRule type="cellIs" dxfId="167" priority="24" operator="equal">
      <formula>"Ok"</formula>
    </cfRule>
  </conditionalFormatting>
  <conditionalFormatting sqref="J15:S15">
    <cfRule type="cellIs" dxfId="166" priority="22" operator="equal">
      <formula>0</formula>
    </cfRule>
  </conditionalFormatting>
  <conditionalFormatting sqref="J56:S56">
    <cfRule type="cellIs" dxfId="165" priority="21" operator="equal">
      <formula>0</formula>
    </cfRule>
  </conditionalFormatting>
  <conditionalFormatting sqref="W48:W50">
    <cfRule type="cellIs" dxfId="164" priority="19" operator="equal">
      <formula>"Check"</formula>
    </cfRule>
    <cfRule type="cellIs" dxfId="163" priority="20" operator="equal">
      <formula>"Ok"</formula>
    </cfRule>
  </conditionalFormatting>
  <conditionalFormatting sqref="N37:S37 J41:S45 J51:S54 J33:S33">
    <cfRule type="expression" dxfId="162" priority="17">
      <formula>J$34=J$4</formula>
    </cfRule>
  </conditionalFormatting>
  <conditionalFormatting sqref="J13:S13 J19:S27">
    <cfRule type="expression" dxfId="161" priority="16">
      <formula>J$10=J$4</formula>
    </cfRule>
  </conditionalFormatting>
  <conditionalFormatting sqref="J37:N37">
    <cfRule type="expression" dxfId="160" priority="13">
      <formula>J$10=J$4</formula>
    </cfRule>
  </conditionalFormatting>
  <conditionalFormatting sqref="W47">
    <cfRule type="cellIs" dxfId="159" priority="11" operator="equal">
      <formula>"Check"</formula>
    </cfRule>
    <cfRule type="cellIs" dxfId="158" priority="12" operator="equal">
      <formula>"Ok"</formula>
    </cfRule>
  </conditionalFormatting>
  <conditionalFormatting sqref="J47:S47">
    <cfRule type="cellIs" dxfId="157" priority="9" operator="equal">
      <formula>0</formula>
    </cfRule>
  </conditionalFormatting>
  <conditionalFormatting sqref="J62:S66 J68:S68 J70:S70">
    <cfRule type="expression" dxfId="156" priority="8">
      <formula>J$60=J$4</formula>
    </cfRule>
  </conditionalFormatting>
  <conditionalFormatting sqref="W29">
    <cfRule type="cellIs" dxfId="155" priority="4" operator="equal">
      <formula>"Check"</formula>
    </cfRule>
    <cfRule type="cellIs" dxfId="154" priority="5" operator="equal">
      <formula>"Ok"</formula>
    </cfRule>
  </conditionalFormatting>
  <conditionalFormatting sqref="J29:S29">
    <cfRule type="cellIs" dxfId="153" priority="3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topLeftCell="D1" workbookViewId="0">
      <selection activeCell="O12" sqref="O12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122</v>
      </c>
      <c r="K3" s="223"/>
      <c r="L3" s="223"/>
      <c r="M3" s="223"/>
      <c r="N3" s="183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1.4999999999999902E-2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1.0839255813953488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1.0729465930018418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1.0525925925925927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1.0311681415929204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1.0149999999999999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0.92257256140471333</v>
      </c>
      <c r="K21" s="22">
        <f t="shared" ref="K21" si="14">IF(AND($C21&gt;K$14,ISNONTEXT($C21)),L21/(1+L$12),IF(AND($C21=K$14,K$14=K$4),1,IF(AND($C21&lt;K$14,K$14=K$4),J21*(1+K$12),0)))</f>
        <v>0.93201283877722663</v>
      </c>
      <c r="L21" s="22">
        <f t="shared" ref="L21" si="15">IF(AND($C21&gt;L$14,ISNONTEXT($C21)),M21/(1+M$12),IF(AND($C21=L$14,L$14=L$4),1,IF(AND($C21&lt;L$14,L$14=L$4),K21*(1+L$12),0)))</f>
        <v>0.95003518648838847</v>
      </c>
      <c r="M21" s="22">
        <f t="shared" ref="M21" si="16">IF(AND($C21&gt;M$14,ISNONTEXT($C21)),N21/(1+N$12),IF(AND($C21=M$14,M$14=M$4),1,IF(AND($C21&lt;M$14,M$14=M$4),L21*(1+M$12),0)))</f>
        <v>0.96977394826728003</v>
      </c>
      <c r="N21" s="22">
        <f t="shared" ref="N21" si="17">IF(AND($C21&gt;N$14,ISNONTEXT($C21)),O21/(1+O$12),IF(AND($C21=N$14,N$14=N$4),1,IF(AND($C21&lt;N$14,N$14=N$4),M21*(1+N$12),0)))</f>
        <v>0.98522167487684742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0.92946610106162908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0.93897691697946872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0.95713392918625417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0.97702018065082863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0.99258333397093046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1.0920831796819239</v>
      </c>
      <c r="K30" s="22">
        <f t="shared" si="27"/>
        <v>1.0784221156975964</v>
      </c>
      <c r="L30" s="22">
        <f t="shared" si="27"/>
        <v>1.0627208645929549</v>
      </c>
      <c r="M30" s="22">
        <f t="shared" si="27"/>
        <v>1.0418252960828787</v>
      </c>
      <c r="N30" s="22">
        <f t="shared" si="27"/>
        <v>1.0230521314756222</v>
      </c>
      <c r="O30" s="22">
        <f t="shared" si="27"/>
        <v>1.0074720839804943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121</v>
      </c>
      <c r="D36" s="30" t="s">
        <v>101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60">
        <v>4.7047262065533779E-3</v>
      </c>
      <c r="Q36" s="60">
        <v>5.3093103529915364E-3</v>
      </c>
      <c r="R36" s="60">
        <v>6.3978015575363312E-3</v>
      </c>
      <c r="S36" s="60">
        <v>4.4343055576139268E-3</v>
      </c>
      <c r="T36" s="60">
        <v>6.3066161329745629E-3</v>
      </c>
    </row>
    <row r="37" spans="3:23" ht="11.25" customHeight="1" outlineLevel="1">
      <c r="C37" s="61" t="s">
        <v>210</v>
      </c>
      <c r="D37" s="30" t="s">
        <v>101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1.1636817811586431E-2</v>
      </c>
      <c r="Q37" s="168">
        <v>1.139964973849307E-2</v>
      </c>
      <c r="R37" s="168">
        <v>1.332876616472637E-2</v>
      </c>
      <c r="S37" s="168">
        <v>1.5098788378535878E-2</v>
      </c>
      <c r="T37" s="168">
        <v>1.4392008818038406E-2</v>
      </c>
    </row>
    <row r="38" spans="3:23" ht="11.25" customHeight="1" outlineLevel="1">
      <c r="C38" s="61" t="s">
        <v>211</v>
      </c>
      <c r="D38" s="30" t="s">
        <v>101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8.1707720090699043E-3</v>
      </c>
      <c r="Q38" s="60">
        <f t="shared" ref="Q38:T38" si="30">AVERAGE(Q36:Q37)</f>
        <v>8.3544800457423032E-3</v>
      </c>
      <c r="R38" s="60">
        <f t="shared" si="30"/>
        <v>9.8632838611313507E-3</v>
      </c>
      <c r="S38" s="60">
        <f t="shared" si="30"/>
        <v>9.7665469680749024E-3</v>
      </c>
      <c r="T38" s="60">
        <f t="shared" si="30"/>
        <v>1.0349312475506484E-2</v>
      </c>
    </row>
    <row r="39" spans="3:23" ht="11.25" customHeight="1" outlineLevel="1">
      <c r="C39" s="61"/>
      <c r="D39" s="30" t="s">
        <v>101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101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101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/>
      <c r="Q49" s="60"/>
      <c r="R49" s="60"/>
      <c r="S49" s="60"/>
      <c r="T49" s="60"/>
    </row>
    <row r="50" spans="1:50" ht="11.25" customHeight="1" outlineLevel="1">
      <c r="C50" s="148" t="str">
        <f t="shared" si="33"/>
        <v>WPI - BIS</v>
      </c>
      <c r="D50" s="30" t="s">
        <v>101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3"/>
        <v>WPI - Average</v>
      </c>
      <c r="D51" s="30" t="s">
        <v>101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3"/>
        <v>0</v>
      </c>
      <c r="D52" s="30" t="s">
        <v>101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33"/>
        <v>0</v>
      </c>
      <c r="D53" s="30" t="s">
        <v>101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3"/>
        <v>0</v>
      </c>
      <c r="D54" s="30" t="s">
        <v>101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3"/>
        <v>0</v>
      </c>
      <c r="D55" s="30" t="s">
        <v>101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3"/>
        <v>CPI</v>
      </c>
      <c r="D56" s="30" t="s">
        <v>101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6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173</v>
      </c>
      <c r="D64" s="30" t="s">
        <v>101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1442943.1741871431</v>
      </c>
      <c r="P64" s="197">
        <v>1464160.5890059231</v>
      </c>
      <c r="Q64" s="197">
        <v>1483981.3494937771</v>
      </c>
      <c r="R64" s="197">
        <v>1503588.5818862943</v>
      </c>
      <c r="S64" s="197">
        <v>1523173.0743422012</v>
      </c>
      <c r="T64" s="197">
        <v>1543486.6467018325</v>
      </c>
    </row>
    <row r="65" spans="3:23" outlineLevel="1">
      <c r="C65" s="61" t="s">
        <v>202</v>
      </c>
      <c r="D65" s="30" t="s">
        <v>101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25612.442903725896</v>
      </c>
      <c r="P65" s="197">
        <v>25967.158270968659</v>
      </c>
      <c r="Q65" s="197">
        <v>26299.106307940394</v>
      </c>
      <c r="R65" s="197">
        <v>26625.434297611584</v>
      </c>
      <c r="S65" s="197">
        <v>26950.704870883026</v>
      </c>
      <c r="T65" s="197">
        <v>27281.823988164091</v>
      </c>
    </row>
    <row r="66" spans="3:23" outlineLevel="1">
      <c r="C66" s="61"/>
      <c r="D66" s="30" t="s">
        <v>101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/>
      <c r="P66" s="197"/>
      <c r="Q66" s="197"/>
      <c r="R66" s="197"/>
      <c r="S66" s="197"/>
      <c r="T66" s="197"/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/>
      <c r="P67" s="197"/>
      <c r="Q67" s="197"/>
      <c r="R67" s="197"/>
      <c r="S67" s="197"/>
      <c r="T67" s="197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1.4597202778716678E-2</v>
      </c>
      <c r="Q75" s="117">
        <f t="shared" si="40"/>
        <v>1.3446475472314035E-2</v>
      </c>
      <c r="R75" s="117">
        <f t="shared" si="40"/>
        <v>1.3126061888842244E-2</v>
      </c>
      <c r="S75" s="117">
        <f t="shared" si="40"/>
        <v>1.2941069036488173E-2</v>
      </c>
      <c r="T75" s="117">
        <f t="shared" si="40"/>
        <v>1.3248205746910102E-2</v>
      </c>
    </row>
    <row r="76" spans="3:23" outlineLevel="1">
      <c r="C76" s="148" t="str">
        <f t="shared" ref="C76:C80" si="41">C65</f>
        <v>Mains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1.3754311831291943E-2</v>
      </c>
      <c r="Q76" s="117">
        <f t="shared" si="42"/>
        <v>1.27023617605726E-2</v>
      </c>
      <c r="R76" s="117">
        <f t="shared" si="42"/>
        <v>1.2331977624254975E-2</v>
      </c>
      <c r="S76" s="117">
        <f t="shared" si="42"/>
        <v>1.2142516232785283E-2</v>
      </c>
      <c r="T76" s="117">
        <f t="shared" si="42"/>
        <v>1.2211240699610215E-2</v>
      </c>
    </row>
    <row r="77" spans="3:23" outlineLevel="1">
      <c r="C77" s="148">
        <f t="shared" si="41"/>
        <v>0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 t="str">
        <f t="shared" si="43"/>
        <v/>
      </c>
      <c r="Q77" s="117" t="str">
        <f t="shared" si="43"/>
        <v/>
      </c>
      <c r="R77" s="117" t="str">
        <f t="shared" si="43"/>
        <v/>
      </c>
      <c r="S77" s="117" t="str">
        <f t="shared" si="43"/>
        <v/>
      </c>
      <c r="T77" s="117" t="str">
        <f t="shared" si="43"/>
        <v/>
      </c>
    </row>
    <row r="78" spans="3:23" outlineLevel="1">
      <c r="C78" s="148">
        <f t="shared" si="41"/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 t="str">
        <f t="shared" si="44"/>
        <v/>
      </c>
      <c r="Q78" s="117" t="str">
        <f t="shared" si="44"/>
        <v/>
      </c>
      <c r="R78" s="117" t="str">
        <f t="shared" si="44"/>
        <v/>
      </c>
      <c r="S78" s="117" t="str">
        <f t="shared" si="44"/>
        <v/>
      </c>
      <c r="T78" s="117" t="str">
        <f t="shared" si="44"/>
        <v/>
      </c>
    </row>
    <row r="79" spans="3:23" outlineLevel="1">
      <c r="C79" s="148">
        <f t="shared" si="41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174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175</v>
      </c>
      <c r="K82" s="212" t="s">
        <v>176</v>
      </c>
      <c r="L82" s="212"/>
      <c r="M82" s="212"/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19">
        <v>0.36</v>
      </c>
      <c r="K84" s="219">
        <v>0.62890000000000001</v>
      </c>
      <c r="L84" s="219"/>
      <c r="M84" s="219"/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47">C65</f>
        <v>Mains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19">
        <v>0.64</v>
      </c>
      <c r="K85" s="219">
        <v>0.37109999999999999</v>
      </c>
      <c r="L85" s="219"/>
      <c r="M85" s="219"/>
      <c r="N85" s="194"/>
      <c r="O85" s="194"/>
      <c r="P85" s="194"/>
      <c r="Q85" s="194"/>
      <c r="R85" s="194"/>
      <c r="S85" s="194"/>
      <c r="T85" s="194"/>
    </row>
    <row r="86" spans="3:23" outlineLevel="1">
      <c r="C86" s="148">
        <f t="shared" si="47"/>
        <v>0</v>
      </c>
      <c r="D86" s="30" t="s">
        <v>101</v>
      </c>
      <c r="E86" s="30" t="s">
        <v>18</v>
      </c>
      <c r="F86" s="30" t="s">
        <v>36</v>
      </c>
      <c r="G86" s="32"/>
      <c r="H86" s="32"/>
      <c r="J86" s="219"/>
      <c r="K86" s="219"/>
      <c r="L86" s="219"/>
      <c r="M86" s="219"/>
      <c r="N86" s="194"/>
      <c r="O86" s="194"/>
      <c r="P86" s="194"/>
      <c r="Q86" s="194"/>
      <c r="R86" s="194"/>
      <c r="S86" s="194"/>
      <c r="T86" s="194"/>
    </row>
    <row r="87" spans="3:23" outlineLevel="1">
      <c r="C87" s="148">
        <f t="shared" si="47"/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220"/>
      <c r="K87" s="220"/>
      <c r="L87" s="220"/>
      <c r="M87" s="219"/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177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98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1.405775257236485E-2</v>
      </c>
      <c r="Q95" s="117">
        <f t="shared" si="49"/>
        <v>1.2970242696799517E-2</v>
      </c>
      <c r="R95" s="117">
        <f t="shared" si="49"/>
        <v>1.2617847959506392E-2</v>
      </c>
      <c r="S95" s="117">
        <f t="shared" si="49"/>
        <v>1.2429995242118323E-2</v>
      </c>
      <c r="T95" s="117">
        <f>IF(T$93=T$4,SUMPRODUCT(T$75:T$80,$J$84:$J$89),"")</f>
        <v>1.2584548116638174E-2</v>
      </c>
      <c r="U95" s="24"/>
      <c r="W95" s="132"/>
    </row>
    <row r="96" spans="3:23" outlineLevel="1">
      <c r="C96" s="148" t="str">
        <v>LSE CD</v>
      </c>
      <c r="D96" s="30" t="s">
        <v>98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1.4284405948127358E-2</v>
      </c>
      <c r="Q96" s="117">
        <f t="shared" si="50"/>
        <v>1.3170334873886788E-2</v>
      </c>
      <c r="R96" s="117">
        <f t="shared" si="50"/>
        <v>1.2831377218253909E-2</v>
      </c>
      <c r="S96" s="117">
        <f t="shared" si="50"/>
        <v>1.2644726091034031E-2</v>
      </c>
      <c r="T96" s="117">
        <f>IF(T$93=T$4,SUMPRODUCT(T$75:T$80,$K$84:$K$89),"")</f>
        <v>1.2863388017857115E-2</v>
      </c>
      <c r="U96" s="24"/>
      <c r="W96" s="132"/>
    </row>
    <row r="97" spans="1:50" outlineLevel="1">
      <c r="C97" s="148">
        <v>0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0</v>
      </c>
      <c r="Q97" s="117">
        <f t="shared" si="51"/>
        <v>0</v>
      </c>
      <c r="R97" s="117">
        <f t="shared" si="51"/>
        <v>0</v>
      </c>
      <c r="S97" s="117">
        <f t="shared" si="51"/>
        <v>0</v>
      </c>
      <c r="T97" s="117">
        <f>IF(T$93=T$4,SUMPRODUCT(T$75:T$80,$L$84:$L$89),"")</f>
        <v>0</v>
      </c>
      <c r="U97" s="24"/>
      <c r="W97" s="132"/>
    </row>
    <row r="98" spans="1:50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IF(J$93=J$4,SUMPRODUCT(J$75:J$80,$M$84:$M$89),"")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IF(T$93=T$4,SUMPRODUCT(T$75:T$80,$M$84:$M$89),"")</f>
        <v>0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78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3">IF(YEAR(J$4)&gt;=FPFirstYear,IF(YEAR(J$4)&lt;=FPLastYear,J$4,""),"")</f>
        <v/>
      </c>
      <c r="K102" s="163" t="str">
        <f t="shared" si="53"/>
        <v/>
      </c>
      <c r="L102" s="163" t="str">
        <f t="shared" si="53"/>
        <v/>
      </c>
      <c r="M102" s="163" t="str">
        <f t="shared" si="53"/>
        <v/>
      </c>
      <c r="N102" s="163" t="str">
        <f t="shared" si="53"/>
        <v/>
      </c>
      <c r="O102" s="163" t="str">
        <f t="shared" si="53"/>
        <v/>
      </c>
      <c r="P102" s="163">
        <f t="shared" si="53"/>
        <v>44348</v>
      </c>
      <c r="Q102" s="163">
        <f t="shared" si="53"/>
        <v>44713</v>
      </c>
      <c r="R102" s="163">
        <f t="shared" si="53"/>
        <v>45078</v>
      </c>
      <c r="S102" s="163">
        <f t="shared" si="53"/>
        <v>45444</v>
      </c>
      <c r="T102" s="163">
        <f t="shared" si="53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101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170">
        <v>7.3499999999999998E-3</v>
      </c>
      <c r="Q104" s="170">
        <f>$P104</f>
        <v>7.3499999999999998E-3</v>
      </c>
      <c r="R104" s="170">
        <f t="shared" ref="R104:T104" si="54">$P104</f>
        <v>7.3499999999999998E-3</v>
      </c>
      <c r="S104" s="170">
        <f t="shared" si="54"/>
        <v>7.3499999999999998E-3</v>
      </c>
      <c r="T104" s="170">
        <f t="shared" si="54"/>
        <v>7.3499999999999998E-3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98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/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2" priority="112" operator="equal">
      <formula>"Check"</formula>
    </cfRule>
    <cfRule type="cellIs" dxfId="151" priority="113" operator="equal">
      <formula>"Ok"</formula>
    </cfRule>
  </conditionalFormatting>
  <conditionalFormatting sqref="T1">
    <cfRule type="cellIs" dxfId="150" priority="76" operator="equal">
      <formula>"Check"</formula>
    </cfRule>
    <cfRule type="cellIs" dxfId="149" priority="77" operator="equal">
      <formula>"Ok"</formula>
    </cfRule>
  </conditionalFormatting>
  <conditionalFormatting sqref="W58">
    <cfRule type="cellIs" dxfId="148" priority="64" operator="equal">
      <formula>"Check"</formula>
    </cfRule>
    <cfRule type="cellIs" dxfId="147" priority="65" operator="equal">
      <formula>"Ok"</formula>
    </cfRule>
  </conditionalFormatting>
  <conditionalFormatting sqref="J58:T58">
    <cfRule type="cellIs" dxfId="146" priority="56" operator="equal">
      <formula>"Check"</formula>
    </cfRule>
    <cfRule type="cellIs" dxfId="145" priority="57" operator="equal">
      <formula>"Ok"</formula>
    </cfRule>
  </conditionalFormatting>
  <conditionalFormatting sqref="J34:T34">
    <cfRule type="expression" dxfId="144" priority="47">
      <formula>J$34=J$4</formula>
    </cfRule>
  </conditionalFormatting>
  <conditionalFormatting sqref="J36:O36 J37:T43">
    <cfRule type="expression" dxfId="143" priority="45">
      <formula>J$34=J$4</formula>
    </cfRule>
  </conditionalFormatting>
  <conditionalFormatting sqref="J49:T56">
    <cfRule type="expression" dxfId="142" priority="44">
      <formula>J$47=J$4</formula>
    </cfRule>
  </conditionalFormatting>
  <conditionalFormatting sqref="W106">
    <cfRule type="cellIs" dxfId="141" priority="38" operator="equal">
      <formula>"Check"</formula>
    </cfRule>
    <cfRule type="cellIs" dxfId="140" priority="39" operator="equal">
      <formula>"Ok"</formula>
    </cfRule>
  </conditionalFormatting>
  <conditionalFormatting sqref="J106:T106">
    <cfRule type="cellIs" dxfId="139" priority="36" operator="equal">
      <formula>"Check"</formula>
    </cfRule>
    <cfRule type="cellIs" dxfId="138" priority="37" operator="equal">
      <formula>"Ok"</formula>
    </cfRule>
  </conditionalFormatting>
  <conditionalFormatting sqref="W45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J45:T45">
    <cfRule type="cellIs" dxfId="135" priority="32" operator="equal">
      <formula>"Check"</formula>
    </cfRule>
    <cfRule type="cellIs" dxfId="134" priority="33" operator="equal">
      <formula>"Ok"</formula>
    </cfRule>
  </conditionalFormatting>
  <conditionalFormatting sqref="W71">
    <cfRule type="cellIs" dxfId="133" priority="30" operator="equal">
      <formula>"Check"</formula>
    </cfRule>
    <cfRule type="cellIs" dxfId="132" priority="31" operator="equal">
      <formula>"Ok"</formula>
    </cfRule>
  </conditionalFormatting>
  <conditionalFormatting sqref="J71:T71">
    <cfRule type="cellIs" dxfId="131" priority="28" operator="equal">
      <formula>"Check"</formula>
    </cfRule>
    <cfRule type="cellIs" dxfId="130" priority="29" operator="equal">
      <formula>"Ok"</formula>
    </cfRule>
  </conditionalFormatting>
  <conditionalFormatting sqref="J62:T62">
    <cfRule type="expression" dxfId="129" priority="22">
      <formula>J$62=J$4</formula>
    </cfRule>
  </conditionalFormatting>
  <conditionalFormatting sqref="J66:T69 J64:N65">
    <cfRule type="expression" dxfId="128" priority="20">
      <formula>J$62=J$4</formula>
    </cfRule>
  </conditionalFormatting>
  <conditionalFormatting sqref="J47:T47">
    <cfRule type="expression" dxfId="127" priority="17">
      <formula>J$34=J$4</formula>
    </cfRule>
  </conditionalFormatting>
  <conditionalFormatting sqref="J73:T73">
    <cfRule type="expression" dxfId="126" priority="16">
      <formula>J$34=J$4</formula>
    </cfRule>
  </conditionalFormatting>
  <conditionalFormatting sqref="J102:T102">
    <cfRule type="expression" dxfId="125" priority="15">
      <formula>J$34=J$4</formula>
    </cfRule>
  </conditionalFormatting>
  <conditionalFormatting sqref="J25:T30">
    <cfRule type="cellIs" dxfId="124" priority="13" operator="equal">
      <formula>0</formula>
    </cfRule>
  </conditionalFormatting>
  <conditionalFormatting sqref="J16:T21">
    <cfRule type="cellIs" dxfId="123" priority="12" operator="equal">
      <formula>0</formula>
    </cfRule>
  </conditionalFormatting>
  <conditionalFormatting sqref="W91:W98">
    <cfRule type="cellIs" dxfId="122" priority="8" operator="equal">
      <formula>"Check"</formula>
    </cfRule>
    <cfRule type="cellIs" dxfId="121" priority="9" operator="equal">
      <formula>"Ok"</formula>
    </cfRule>
  </conditionalFormatting>
  <conditionalFormatting sqref="K88:M89">
    <cfRule type="expression" dxfId="120" priority="7">
      <formula>K$82=K$4</formula>
    </cfRule>
  </conditionalFormatting>
  <conditionalFormatting sqref="J94:T94 J91:T92">
    <cfRule type="cellIs" dxfId="119" priority="5" operator="equal">
      <formula>"Check"</formula>
    </cfRule>
    <cfRule type="cellIs" dxfId="118" priority="6" operator="equal">
      <formula>"Ok"</formula>
    </cfRule>
  </conditionalFormatting>
  <conditionalFormatting sqref="J93:T93">
    <cfRule type="expression" dxfId="117" priority="4">
      <formula>J$93=J$4</formula>
    </cfRule>
  </conditionalFormatting>
  <conditionalFormatting sqref="J104:T104">
    <cfRule type="expression" dxfId="116" priority="117">
      <formula>J$102=J$4</formula>
    </cfRule>
  </conditionalFormatting>
  <conditionalFormatting sqref="K84:M87">
    <cfRule type="expression" dxfId="115" priority="3">
      <formula>K$82=K$4</formula>
    </cfRule>
  </conditionalFormatting>
  <conditionalFormatting sqref="P36:T36">
    <cfRule type="expression" dxfId="114" priority="2">
      <formula>P$34=P$4</formula>
    </cfRule>
  </conditionalFormatting>
  <conditionalFormatting sqref="O64:T65">
    <cfRule type="expression" dxfId="113" priority="1">
      <formula>O$62=O$4</formula>
    </cfRule>
  </conditionalFormatting>
  <dataValidations disablePrompts="1" count="3">
    <dataValidation type="list" allowBlank="1" showInputMessage="1" showErrorMessage="1" sqref="F107 F72 F99">
      <formula1>#REF!</formula1>
    </dataValidation>
    <dataValidation type="list" allowBlank="1" showInputMessage="1" showErrorMessage="1" sqref="F83">
      <formula1>#REF!</formula1>
    </dataValidation>
    <dataValidation type="list" allowBlank="1" showInputMessage="1" showErrorMessage="1" sqref="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topLeftCell="D19" workbookViewId="0">
      <selection activeCell="O38" sqref="O38:S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122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 t="s">
        <v>203</v>
      </c>
      <c r="D12" s="30" t="s">
        <v>69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f>-'Input|Reported opex'!N62/2</f>
        <v>-8.3341548485531476</v>
      </c>
      <c r="P12" s="171">
        <v>0</v>
      </c>
      <c r="Q12" s="171">
        <v>0</v>
      </c>
      <c r="R12" s="171">
        <v>0</v>
      </c>
      <c r="S12" s="171">
        <v>0</v>
      </c>
      <c r="T12" s="222"/>
    </row>
    <row r="13" spans="1:47" outlineLevel="1">
      <c r="C13" s="61" t="s">
        <v>204</v>
      </c>
      <c r="D13" s="30" t="s">
        <v>69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171">
        <v>0</v>
      </c>
      <c r="P13" s="171">
        <v>0</v>
      </c>
      <c r="Q13" s="171">
        <v>3.3185833824886912</v>
      </c>
      <c r="R13" s="171">
        <v>1.2966127926114697</v>
      </c>
      <c r="S13" s="171">
        <v>3.0850658945914109</v>
      </c>
    </row>
    <row r="14" spans="1:47" outlineLevel="1">
      <c r="C14" s="61"/>
      <c r="D14" s="30" t="s">
        <v>69</v>
      </c>
      <c r="E14" s="150" t="s">
        <v>15</v>
      </c>
      <c r="F14" s="172">
        <v>43983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69</v>
      </c>
      <c r="E15" s="150" t="s">
        <v>15</v>
      </c>
      <c r="F15" s="172">
        <v>43983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69</v>
      </c>
      <c r="E16" s="150" t="s">
        <v>15</v>
      </c>
      <c r="F16" s="172">
        <v>43983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69</v>
      </c>
      <c r="E17" s="150" t="s">
        <v>15</v>
      </c>
      <c r="F17" s="172">
        <v>43983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69</v>
      </c>
      <c r="E18" s="150" t="s">
        <v>15</v>
      </c>
      <c r="F18" s="172">
        <v>43983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69</v>
      </c>
      <c r="E19" s="150" t="s">
        <v>15</v>
      </c>
      <c r="F19" s="172">
        <v>43983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69</v>
      </c>
      <c r="E20" s="150" t="s">
        <v>15</v>
      </c>
      <c r="F20" s="172">
        <v>43983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 t="s">
        <v>205</v>
      </c>
      <c r="D28" s="30" t="s">
        <v>69</v>
      </c>
      <c r="E28" s="150" t="s">
        <v>15</v>
      </c>
      <c r="F28" s="172">
        <v>43983</v>
      </c>
      <c r="G28" s="32"/>
      <c r="H28" s="32"/>
      <c r="J28" s="152"/>
      <c r="K28" s="152"/>
      <c r="L28" s="152"/>
      <c r="M28" s="152"/>
      <c r="N28" s="171"/>
      <c r="O28" s="171">
        <v>28.737769054654745</v>
      </c>
      <c r="P28" s="171">
        <v>27.261317183497141</v>
      </c>
      <c r="Q28" s="171">
        <v>29.026242639536935</v>
      </c>
      <c r="R28" s="171">
        <v>29.504944403910812</v>
      </c>
      <c r="S28" s="171">
        <v>29.090921362154045</v>
      </c>
    </row>
    <row r="29" spans="1:47" outlineLevel="1">
      <c r="C29" s="61" t="s">
        <v>206</v>
      </c>
      <c r="D29" s="30" t="s">
        <v>69</v>
      </c>
      <c r="E29" s="150" t="s">
        <v>15</v>
      </c>
      <c r="F29" s="172">
        <v>43983</v>
      </c>
      <c r="G29" s="32"/>
      <c r="H29" s="32"/>
      <c r="J29" s="152"/>
      <c r="K29" s="152"/>
      <c r="L29" s="152"/>
      <c r="M29" s="152"/>
      <c r="N29" s="171"/>
      <c r="O29" s="171">
        <v>4.6951952355560111</v>
      </c>
      <c r="P29" s="171">
        <v>4.6951952355560111</v>
      </c>
      <c r="Q29" s="171">
        <v>4.6951952355560111</v>
      </c>
      <c r="R29" s="171">
        <v>4.6951952355560111</v>
      </c>
      <c r="S29" s="171">
        <v>4.6951952355560111</v>
      </c>
    </row>
    <row r="30" spans="1:47" outlineLevel="1">
      <c r="C30" s="61"/>
      <c r="D30" s="30" t="s">
        <v>69</v>
      </c>
      <c r="E30" s="150" t="s">
        <v>15</v>
      </c>
      <c r="F30" s="172">
        <v>43983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1">
        <f>DATE(PPLastYear,MONTH('Input|General'!$G$9),1)</f>
        <v>43983</v>
      </c>
      <c r="G38" s="32"/>
      <c r="H38" s="32"/>
      <c r="J38" s="171"/>
      <c r="K38" s="171"/>
      <c r="L38" s="171"/>
      <c r="M38" s="171"/>
      <c r="N38" s="171"/>
      <c r="O38" s="171">
        <v>1.576037376939472</v>
      </c>
      <c r="P38" s="171">
        <v>1.5974189019033656</v>
      </c>
      <c r="Q38" s="171">
        <v>1.6126484000386565</v>
      </c>
      <c r="R38" s="171">
        <v>1.615341095207266</v>
      </c>
      <c r="S38" s="171">
        <v>1.6108808694343471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disablePrompts="1"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'Lookup|Tables'!$C$67:$C$75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>
      <selection activeCell="T102" sqref="T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122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163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175.27817445175012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163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182.60923599506103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164</v>
      </c>
      <c r="D14" s="108" t="s">
        <v>92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160.38503677857003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164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173.84544423732589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165</v>
      </c>
      <c r="D16" s="108" t="s">
        <v>92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164.2651730813059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165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178.0512232351621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166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25.762703200000008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166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26.840235889235334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167</v>
      </c>
      <c r="D21" s="108" t="s">
        <v>92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21.547671066937596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167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23.356071888946069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168</v>
      </c>
      <c r="D23" s="108" t="s">
        <v>92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21.598793952218443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168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23.411485292096721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139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182.60923599506103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161</v>
      </c>
      <c r="D28" s="108" t="s">
        <v>92</v>
      </c>
      <c r="E28" s="110" t="str">
        <f>'Input|Reported opex'!E68</f>
        <v>$millions</v>
      </c>
      <c r="F28" s="161">
        <f>'Input|Reported opex'!F68</f>
        <v>43983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159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4.2057789978362052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186.81501499289723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169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-26.895649292385986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Expensing of corporate overheads</v>
      </c>
      <c r="D37" s="108" t="s">
        <v>92</v>
      </c>
      <c r="E37" s="110" t="str">
        <f>'Input|Reported opex'!E62</f>
        <v>$millions</v>
      </c>
      <c r="F37" s="161">
        <f>'Input|Reported opex'!F65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16.668309697106295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Expensing of corporate overheads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16.668309697106295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92</v>
      </c>
      <c r="E40" s="30" t="str">
        <f>'Input|Reported opex'!$E$63</f>
        <v>$millions</v>
      </c>
      <c r="F40" s="161">
        <f>'Input|Reported opex'!$F$63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43983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170</v>
      </c>
      <c r="D54" s="112" t="s">
        <v>98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176.58767539761755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change'!$J$82:$M$82),1)),0)</f>
        <v>1.4171079260246104E-2</v>
      </c>
      <c r="P61" s="117">
        <f ca="1">IF(P58=P4,AVERAGE(OFFSET('Input|Rate of change'!Q95,0,0,COUNTA('Input|Rate of change'!$J$82:$M$82),1)),0)</f>
        <v>1.3070288785343153E-2</v>
      </c>
      <c r="Q61" s="117">
        <f ca="1">IF(Q58=Q4,AVERAGE(OFFSET('Input|Rate of change'!R95,0,0,COUNTA('Input|Rate of change'!$J$82:$M$82),1)),0)</f>
        <v>1.2724612588880151E-2</v>
      </c>
      <c r="R61" s="117">
        <f ca="1">IF(R58=R4,AVERAGE(OFFSET('Input|Rate of change'!S95,0,0,COUNTA('Input|Rate of change'!$J$82:$M$82),1)),0)</f>
        <v>1.2537360666576177E-2</v>
      </c>
      <c r="S61" s="117">
        <f ca="1">IF(S58=S4,AVERAGE(OFFSET('Input|Rate of change'!T95,0,0,COUNTA('Input|Rate of change'!$J$82:$M$82),1)),0)</f>
        <v>1.2723968067247644E-2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4.8779508894147327E-3</v>
      </c>
      <c r="P63" s="117">
        <f>SUMPRODUCT('Input|Rate of change'!Q36:Q43,'Input|Rate of change'!Q49:Q56)</f>
        <v>4.9876245873081548E-3</v>
      </c>
      <c r="Q63" s="117">
        <f>SUMPRODUCT('Input|Rate of change'!R36:R43,'Input|Rate of change'!R49:R56)</f>
        <v>5.8883804650954165E-3</v>
      </c>
      <c r="R63" s="117">
        <f>SUMPRODUCT('Input|Rate of change'!S36:S43,'Input|Rate of change'!S49:S56)</f>
        <v>5.8306285399407163E-3</v>
      </c>
      <c r="S63" s="117">
        <f>SUMPRODUCT('Input|Rate of change'!T36:T43,'Input|Rate of change'!T49:T56)</f>
        <v>6.1785395478773705E-3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7.3499999999999998E-3</v>
      </c>
      <c r="P65" s="117">
        <f>'Input|Rate of change'!Q104</f>
        <v>7.3499999999999998E-3</v>
      </c>
      <c r="Q65" s="117">
        <f>'Input|Rate of change'!R104</f>
        <v>7.3499999999999998E-3</v>
      </c>
      <c r="R65" s="117">
        <f>'Input|Rate of change'!S104</f>
        <v>7.3499999999999998E-3</v>
      </c>
      <c r="S65" s="117">
        <f>'Input|Rate of change'!T104</f>
        <v>7.3499999999999998E-3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140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1.1627637531901547E-2</v>
      </c>
      <c r="P67" s="143">
        <f t="shared" ca="1" si="6"/>
        <v>1.06398982588225E-2</v>
      </c>
      <c r="Q67" s="143">
        <f t="shared" ca="1" si="6"/>
        <v>1.120056419912574E-2</v>
      </c>
      <c r="R67" s="143">
        <f t="shared" ca="1" si="6"/>
        <v>1.0955547888674033E-2</v>
      </c>
      <c r="S67" s="143">
        <f t="shared" ca="1" si="6"/>
        <v>1.1491611899845156E-2</v>
      </c>
    </row>
    <row r="68" spans="1:47" outlineLevel="1">
      <c r="C68" s="124" t="s">
        <v>141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1.1627637531901547E-2</v>
      </c>
      <c r="P68" s="117">
        <f t="array" aca="1" ref="P68" ca="1">IF(P$58=P$4,PRODUCT(1+$J67:P67)-1,"")</f>
        <v>2.2391252671053907E-2</v>
      </c>
      <c r="Q68" s="117">
        <f t="array" aca="1" ref="Q68" ca="1">IF(Q$58=Q$4,PRODUCT(1+$J67:Q67)-1,"")</f>
        <v>3.3842611533220657E-2</v>
      </c>
      <c r="R68" s="117">
        <f t="array" aca="1" ref="R68" ca="1">IF(R$58=R$4,PRODUCT(1+$J67:R67)-1,"")</f>
        <v>4.5168923773224678E-2</v>
      </c>
      <c r="S68" s="117">
        <f t="array" aca="1" ref="S68" ca="1">IF(S$58=S$4,PRODUCT(1+$J67:S67)-1,"")</f>
        <v>5.71795994150055E-2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Expensing of corporate overheads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-8.3341548485531476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 t="str">
        <f>'Input|Step changes'!C13</f>
        <v>Pigging and inspection costs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3.3185833824886912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1.2966127926114697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3.0850658945914109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-8.3341548485531476</v>
      </c>
      <c r="P84" s="177">
        <f t="shared" si="9"/>
        <v>0</v>
      </c>
      <c r="Q84" s="177">
        <f t="shared" si="9"/>
        <v>3.3185833824886912</v>
      </c>
      <c r="R84" s="177">
        <f t="shared" si="9"/>
        <v>1.2966127926114697</v>
      </c>
      <c r="S84" s="177">
        <f t="shared" si="9"/>
        <v>3.0850658945914109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119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Total UAG (tariff and demand market)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28.737769054654745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27.261317183497141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29.026242639536935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29.504944403910812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29.090921362154045</v>
      </c>
    </row>
    <row r="91" spans="1:47" outlineLevel="1">
      <c r="C91" s="121" t="str">
        <f>'Input|Step changes'!C29</f>
        <v>Total Government levies (Mains tax and licence fees)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120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33.432964290210755</v>
      </c>
      <c r="P94" s="128">
        <f t="shared" si="12"/>
        <v>31.956512419053151</v>
      </c>
      <c r="Q94" s="128">
        <f t="shared" si="12"/>
        <v>33.721437875092946</v>
      </c>
      <c r="R94" s="128">
        <f t="shared" si="12"/>
        <v>34.200139639466826</v>
      </c>
      <c r="S94" s="128">
        <f t="shared" si="12"/>
        <v>33.786116597710055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137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170.30681803118898</v>
      </c>
      <c r="P100" s="151">
        <f t="shared" ca="1" si="14"/>
        <v>180.54169465603965</v>
      </c>
      <c r="Q100" s="151">
        <f t="shared" ca="1" si="14"/>
        <v>185.88244688014228</v>
      </c>
      <c r="R100" s="151">
        <f t="shared" ca="1" si="14"/>
        <v>185.86056343955497</v>
      </c>
      <c r="S100" s="151">
        <f t="shared" ca="1" si="14"/>
        <v>189.76995383307175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203.73978232139973</v>
      </c>
      <c r="P101" s="151">
        <f t="shared" ca="1" si="15"/>
        <v>212.49820707509281</v>
      </c>
      <c r="Q101" s="151">
        <f t="shared" ca="1" si="15"/>
        <v>219.60388475523524</v>
      </c>
      <c r="R101" s="151">
        <f t="shared" ca="1" si="15"/>
        <v>220.06070307902178</v>
      </c>
      <c r="S101" s="151">
        <f t="shared" ca="1" si="15"/>
        <v>223.5560704307818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205.3158196983392</v>
      </c>
      <c r="P102" s="151">
        <f ca="1">IF(YEAR(P$4)&gt;=FPFirstYear,IF(YEAR(P$4)&lt;=FPLastYear,P101+'Input|Step changes'!P38,""),"")</f>
        <v>214.09562597699616</v>
      </c>
      <c r="Q102" s="151">
        <f ca="1">IF(YEAR(Q$4)&gt;=FPFirstYear,IF(YEAR(Q$4)&lt;=FPLastYear,Q101+'Input|Step changes'!Q38,""),"")</f>
        <v>221.21653315527391</v>
      </c>
      <c r="R102" s="151">
        <f ca="1">IF(YEAR(R$4)&gt;=FPFirstYear,IF(YEAR(R$4)&lt;=FPLastYear,R101+'Input|Step changes'!R38,""),"")</f>
        <v>221.67604417422905</v>
      </c>
      <c r="S102" s="151">
        <f ca="1">IF(YEAR(S$4)&gt;=FPFirstYear,IF(YEAR(S$4)&lt;=FPLastYear,S101+'Input|Step changes'!S38,""),"")</f>
        <v>225.16695130021614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topLeftCell="E1" workbookViewId="0">
      <selection activeCell="O17" sqref="O17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Models_final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122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170.30681803118898</v>
      </c>
      <c r="P13" s="181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180.54169465603965</v>
      </c>
      <c r="Q13" s="181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185.88244688014228</v>
      </c>
      <c r="R13" s="181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185.86056343955497</v>
      </c>
      <c r="S13" s="181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189.76995383307172</v>
      </c>
      <c r="T13" s="111"/>
      <c r="U13" s="152"/>
    </row>
    <row r="14" spans="1:26">
      <c r="C14" s="111" t="str">
        <f>'Input|Step changes'!C28</f>
        <v>Total UAG (tariff and demand market)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28.737769054654745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27.261317183497141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29.026242639536935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29.504944403910812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29.090921362154045</v>
      </c>
      <c r="T14" s="111"/>
      <c r="U14" s="152"/>
    </row>
    <row r="15" spans="1:26">
      <c r="C15" s="111" t="str">
        <f>'Input|Step changes'!C29</f>
        <v>Total Government levies (Mains tax and licence fees)</v>
      </c>
      <c r="D15" s="34" t="s">
        <v>104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disablePrompts="1"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8"/>
  <sheetViews>
    <sheetView showGridLines="0" topLeftCell="A16" workbookViewId="0">
      <selection activeCell="G25" sqref="G2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Index!$C$15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125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126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127</v>
      </c>
      <c r="D28" s="16" t="s">
        <v>69</v>
      </c>
      <c r="E28" s="16"/>
      <c r="F28" s="16"/>
      <c r="G28" s="154">
        <v>36617</v>
      </c>
    </row>
    <row r="29" spans="1:47">
      <c r="C29" s="15" t="s">
        <v>128</v>
      </c>
      <c r="D29" s="16" t="s">
        <v>69</v>
      </c>
      <c r="E29" s="16"/>
      <c r="F29" s="16"/>
      <c r="G29" s="154">
        <v>36647</v>
      </c>
    </row>
    <row r="30" spans="1:47">
      <c r="C30" s="15" t="s">
        <v>129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130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131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132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133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134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135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158</v>
      </c>
      <c r="H40" s="14" t="s">
        <v>156</v>
      </c>
      <c r="I40" s="14" t="s">
        <v>157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/>
    <row r="62" spans="1:47" customFormat="1" ht="12.75">
      <c r="A62" s="43"/>
      <c r="B62" s="51" t="s">
        <v>154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155</v>
      </c>
      <c r="H64" s="14" t="s">
        <v>122</v>
      </c>
    </row>
    <row r="65" spans="1:47">
      <c r="C65" s="15" t="s">
        <v>195</v>
      </c>
      <c r="D65" s="16" t="s">
        <v>98</v>
      </c>
      <c r="E65" s="21"/>
      <c r="F65" s="14"/>
      <c r="G65" s="184" t="str">
        <f>IF(MONTH('Input|General'!$G$9)=12,PPFirstYear-1,PPFirstYear-2&amp;"–"&amp;RIGHT(PPFirstYear-1,2))</f>
        <v>2014–15</v>
      </c>
      <c r="H65" s="186">
        <f>DATE(PPFirstYear-1,MONTH('Input|General'!$G$9),1)</f>
        <v>42156</v>
      </c>
    </row>
    <row r="66" spans="1:47">
      <c r="C66" s="15" t="s">
        <v>142</v>
      </c>
      <c r="D66" s="16" t="s">
        <v>98</v>
      </c>
      <c r="E66" s="16"/>
      <c r="F66" s="16"/>
      <c r="G66" s="184" t="str">
        <f>IF(MONTH('Input|General'!$G$9)=12,PPFirstYear,PPFirstYear-1&amp;"–"&amp;RIGHT(PPFirstYear,2))</f>
        <v>2015–16</v>
      </c>
      <c r="H66" s="186">
        <f>DATE(PPFirstYear,MONTH('Input|General'!$G$9),1)</f>
        <v>42522</v>
      </c>
    </row>
    <row r="67" spans="1:47">
      <c r="C67" s="15" t="s">
        <v>143</v>
      </c>
      <c r="D67" s="16" t="s">
        <v>98</v>
      </c>
      <c r="E67" s="16"/>
      <c r="F67" s="16"/>
      <c r="G67" s="184" t="str">
        <f>IF(MONTH('Input|General'!$G$9)=12,PPFirstYear+1,PPFirstYear&amp;"–"&amp;RIGHT(PPFirstYear+1,2))</f>
        <v>2016–17</v>
      </c>
      <c r="H67" s="186">
        <f>IF(PPLastYear-PPFirstYear&lt;1,"",DATE(PPFirstYear+1,MONTH('Input|General'!$G$9),1))</f>
        <v>42887</v>
      </c>
    </row>
    <row r="68" spans="1:47">
      <c r="C68" s="15" t="s">
        <v>144</v>
      </c>
      <c r="D68" s="16" t="s">
        <v>98</v>
      </c>
      <c r="E68" s="16"/>
      <c r="F68" s="16"/>
      <c r="G68" s="184" t="str">
        <f>IF(MONTH('Input|General'!$G$9)=12,PPFirstYear+2,PPFirstYear+1&amp;"–"&amp;RIGHT(PPFirstYear+2,2))</f>
        <v>2017–18</v>
      </c>
      <c r="H68" s="186">
        <f>IF(PPLastYear-PPFirstYear&lt;2,"",DATE(PPFirstYear+2,MONTH('Input|General'!$G$9),1))</f>
        <v>43252</v>
      </c>
    </row>
    <row r="69" spans="1:47">
      <c r="C69" s="15" t="s">
        <v>145</v>
      </c>
      <c r="D69" s="16" t="s">
        <v>98</v>
      </c>
      <c r="E69" s="16"/>
      <c r="F69" s="16"/>
      <c r="G69" s="184" t="str">
        <f>IF(MONTH('Input|General'!$G$9)=12,PPFirstYear+3,PPFirstYear+2&amp;"–"&amp;RIGHT(PPFirstYear+3,2))</f>
        <v>2018–19</v>
      </c>
      <c r="H69" s="186">
        <f>IF(PPLastYear-PPFirstYear&lt;3,"",DATE(PPFirstYear+3,MONTH('Input|General'!$G$9),1))</f>
        <v>43617</v>
      </c>
    </row>
    <row r="70" spans="1:47">
      <c r="C70" s="15" t="s">
        <v>146</v>
      </c>
      <c r="D70" s="16" t="s">
        <v>98</v>
      </c>
      <c r="E70" s="16"/>
      <c r="F70" s="16"/>
      <c r="G70" s="184" t="str">
        <f>IF(MONTH('Input|General'!$G$9)=12,PPFirstYear+4,PPFirstYear+3&amp;"–"&amp;RIGHT(PPFirstYear+4,2))</f>
        <v>2019–20</v>
      </c>
      <c r="H70" s="186">
        <f>IF(PPLastYear-PPFirstYear&lt;4,"",DATE(PPFirstYear+4,MONTH('Input|General'!$G$9),1))</f>
        <v>43983</v>
      </c>
    </row>
    <row r="71" spans="1:47">
      <c r="C71" s="15" t="s">
        <v>147</v>
      </c>
      <c r="D71" s="16" t="s">
        <v>98</v>
      </c>
      <c r="E71" s="16"/>
      <c r="F71" s="16"/>
      <c r="G71" s="185" t="str">
        <f>IF(MONTH('Input|General'!$G$9)=12,FPFirstYear,FPFirstYear-1&amp;"–"&amp;RIGHT(FPFirstYear,2))</f>
        <v>2020–21</v>
      </c>
      <c r="H71" s="186">
        <f>DATE(FPFirstYear,MONTH('Input|General'!$G$9),1)</f>
        <v>44348</v>
      </c>
      <c r="T71" s="17"/>
    </row>
    <row r="72" spans="1:47">
      <c r="C72" s="15" t="s">
        <v>148</v>
      </c>
      <c r="D72" s="16" t="s">
        <v>98</v>
      </c>
      <c r="E72" s="16"/>
      <c r="F72" s="16"/>
      <c r="G72" s="185" t="str">
        <f>IF(MONTH('Input|General'!$G$9)=12,FPFirstYear+1,FPFirstYear&amp;"–"&amp;RIGHT(FPFirstYear+1,2))</f>
        <v>2021–22</v>
      </c>
      <c r="H72" s="186">
        <f>IF(FPLastYear-FPFirstYear&lt;1,"",DATE(FPFirstYear+1,MONTH('Input|General'!$G$9),1))</f>
        <v>44713</v>
      </c>
      <c r="T72" s="17"/>
    </row>
    <row r="73" spans="1:47">
      <c r="C73" s="15" t="s">
        <v>149</v>
      </c>
      <c r="D73" s="16" t="s">
        <v>98</v>
      </c>
      <c r="E73" s="16"/>
      <c r="F73" s="16"/>
      <c r="G73" s="185" t="str">
        <f>IF(MONTH('Input|General'!$G$9)=12,FPFirstYear+2,FPFirstYear+1&amp;"–"&amp;RIGHT(FPFirstYear+2,2))</f>
        <v>2022–23</v>
      </c>
      <c r="H73" s="186">
        <f>IF(FPLastYear-FPFirstYear&lt;2,"",DATE(FPFirstYear+2,MONTH('Input|General'!$G$9),1))</f>
        <v>45078</v>
      </c>
      <c r="T73" s="17"/>
    </row>
    <row r="74" spans="1:47">
      <c r="C74" s="15" t="s">
        <v>150</v>
      </c>
      <c r="D74" s="16" t="s">
        <v>98</v>
      </c>
      <c r="E74" s="16"/>
      <c r="F74" s="16"/>
      <c r="G74" s="185" t="str">
        <f>IF(MONTH('Input|General'!$G$9)=12,FPFirstYear+3,FPFirstYear+2&amp;"–"&amp;RIGHT(FPFirstYear+3,2))</f>
        <v>2023–24</v>
      </c>
      <c r="H74" s="186">
        <f>IF(FPLastYear-FPFirstYear&lt;3,"",DATE(FPFirstYear+3,MONTH('Input|General'!$G$9),1))</f>
        <v>45444</v>
      </c>
      <c r="T74" s="17"/>
    </row>
    <row r="75" spans="1:47">
      <c r="C75" s="15" t="s">
        <v>151</v>
      </c>
      <c r="D75" s="16" t="s">
        <v>98</v>
      </c>
      <c r="E75" s="16"/>
      <c r="F75" s="16"/>
      <c r="G75" s="185" t="str">
        <f>IF(MONTH('Input|General'!$G$9)=12,FPFirstYear+4,FPFirstYear+3&amp;"–"&amp;RIGHT(FPFirstYear+4,2))</f>
        <v>2024–25</v>
      </c>
      <c r="H75" s="186">
        <f>IF(FPLastYear-FPFirstYear&lt;4,"",DATE(FPFirstYear+4,MONTH('Input|General'!$G$9),1))</f>
        <v>45809</v>
      </c>
      <c r="T75" s="17"/>
    </row>
    <row r="76" spans="1:47">
      <c r="C76" s="15"/>
      <c r="D76" s="16"/>
      <c r="E76" s="16"/>
      <c r="F76" s="16"/>
      <c r="G76" s="213"/>
      <c r="H76" s="214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155</v>
      </c>
      <c r="H79" s="215"/>
    </row>
    <row r="80" spans="1:47">
      <c r="C80" s="15" t="s">
        <v>185</v>
      </c>
      <c r="D80" s="16" t="s">
        <v>69</v>
      </c>
      <c r="E80" s="16"/>
      <c r="F80" s="16"/>
      <c r="G80" s="184" t="s">
        <v>107</v>
      </c>
      <c r="H80" s="214"/>
    </row>
    <row r="81" spans="1:47">
      <c r="C81" s="15" t="s">
        <v>186</v>
      </c>
      <c r="D81" s="16" t="s">
        <v>69</v>
      </c>
      <c r="E81" s="16"/>
      <c r="F81" s="16"/>
      <c r="G81" s="185" t="s">
        <v>187</v>
      </c>
      <c r="H81" s="214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A24" sqref="A24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Index!$C$16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Models_final</v>
      </c>
      <c r="D16" s="34" t="str">
        <f t="shared" si="0"/>
        <v>Output | Models_final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6AAF62-A97A-4637-ACCB-C2439AE3AD3D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2020-05-18T00:03:29Z</dcterms:created>
  <dcterms:modified xsi:type="dcterms:W3CDTF">2020-06-02T07:58:22Z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