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775" tabRatio="920"/>
  </bookViews>
  <sheets>
    <sheet name="Contents" sheetId="41" r:id="rId1"/>
    <sheet name="Summary tables" sheetId="33" r:id="rId2"/>
    <sheet name="Summary tables-short" sheetId="50" r:id="rId3"/>
    <sheet name="base OPEX" sheetId="32" r:id="rId4"/>
    <sheet name="base OPEX-short" sheetId="52" r:id="rId5"/>
    <sheet name="Subtransmission - Select firm" sheetId="30" r:id="rId6"/>
    <sheet name="Subtransmission Calcs" sheetId="15" r:id="rId7"/>
    <sheet name="Licence conditions" sheetId="45" r:id="rId8"/>
    <sheet name="Overhead" sheetId="48" r:id="rId9"/>
    <sheet name="Underground" sheetId="49" r:id="rId10"/>
    <sheet name="ERG Cyclones" sheetId="34" r:id="rId11"/>
    <sheet name="Levies" sheetId="40" r:id="rId12"/>
    <sheet name="Termites" sheetId="38" r:id="rId13"/>
    <sheet name="CPI-master" sheetId="3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IT2"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1" hidden="1">[1]PCOR00!#REF!</definedName>
    <definedName name="_BQ4.1" hidden="1">[1]PCOR00!#REF!</definedName>
    <definedName name="_BQ4.5" localSheetId="11" hidden="1">#REF!</definedName>
    <definedName name="_BQ4.5" hidden="1">#REF!</definedName>
    <definedName name="_BQ4.6" localSheetId="11" hidden="1">#REF!</definedName>
    <definedName name="_BQ4.6" hidden="1">#REF!</definedName>
    <definedName name="_IT1"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11"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11"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11"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11"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11"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11"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11" hidden="1">'[17]AMI P &amp; L'!#REF!</definedName>
    <definedName name="BEx00KZHZBHP3TDV1YMX4B19B95O" hidden="1">'[17]AMI P &amp; L'!#REF!</definedName>
    <definedName name="BEx00WOACHDXJ6I70WQ2OGP79902" localSheetId="11"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11"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11"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11"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11"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11"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11"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11"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11" hidden="1">'[17]AMI P &amp; L'!#REF!</definedName>
    <definedName name="BEx1LRUSJW4JG54X07QWD9R27WV9" hidden="1">'[17]AMI P &amp; L'!#REF!</definedName>
    <definedName name="BEx1M1WBK5T0LP1AK2JYV6W87ID6" hidden="1">'[16]Reco Sheet for Fcast'!$F$10:$G$10</definedName>
    <definedName name="BEx1M2CEKIG7U2M98E8QT7PXKFJI" localSheetId="11" hidden="1">#REF!</definedName>
    <definedName name="BEx1M2CEKIG7U2M98E8QT7PXKFJI" hidden="1">#REF!</definedName>
    <definedName name="BEx1M51HHDYGIT8PON7U8ICL2S95" hidden="1">'[16]Reco Sheet for Fcast'!$F$10:$G$10</definedName>
    <definedName name="BEx1M9DVXW1QKW4BT3H733BJ74CE" localSheetId="11" hidden="1">#REF!</definedName>
    <definedName name="BEx1M9DVXW1QKW4BT3H733BJ74CE" hidden="1">#REF!</definedName>
    <definedName name="BEx1MJVIWNE5X8L7TRVWT9WWEUBJ" localSheetId="11" hidden="1">#REF!</definedName>
    <definedName name="BEx1MJVIWNE5X8L7TRVWT9WWEUBJ" hidden="1">#REF!</definedName>
    <definedName name="BEx1MMFAHNWB5B2QUWBELI39PCEY" hidden="1">'[18]Bud Mth'!$C$15:$D$29</definedName>
    <definedName name="BEx1MTRKKVCHOZ0YGID6HZ49LJTO" localSheetId="11" hidden="1">'[17]AMI P &amp; L'!#REF!</definedName>
    <definedName name="BEx1MTRKKVCHOZ0YGID6HZ49LJTO" hidden="1">'[17]AMI P &amp; L'!#REF!</definedName>
    <definedName name="BEx1N0CYK8OCCI654CPSXGPO2B4B" localSheetId="11"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11"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11"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11"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11"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11" hidden="1">'[19]Capital orders'!#REF!</definedName>
    <definedName name="BEx1S3BSDAKCI9LVFYLTM3MJY3BE" hidden="1">'[19]Capital orders'!#REF!</definedName>
    <definedName name="BEx1S5VFNKIXHTTCWSV60UC50EZ8" hidden="1">'[16]Reco Sheet for Fcast'!$I$7:$J$7</definedName>
    <definedName name="BEx1SEKAWOQJB87D3XQKKK1S7Q7X" localSheetId="11"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11" hidden="1">'[19]Capital orders'!#REF!</definedName>
    <definedName name="BEx1STULPAG4G6PQYHP3DRYTPCHJ" hidden="1">'[19]Capital orders'!#REF!</definedName>
    <definedName name="BEx1SVNCHNANBJIDIQVB8AFK4HAN" localSheetId="11" hidden="1">'[17]AMI P &amp; L'!#REF!</definedName>
    <definedName name="BEx1SVNCHNANBJIDIQVB8AFK4HAN" hidden="1">'[17]AMI P &amp; L'!#REF!</definedName>
    <definedName name="BEx1TJ0WLS9O7KNSGIPWTYHDYI1D" localSheetId="11" hidden="1">'[17]AMI P &amp; L'!#REF!</definedName>
    <definedName name="BEx1TJ0WLS9O7KNSGIPWTYHDYI1D" hidden="1">'[17]AMI P &amp; L'!#REF!</definedName>
    <definedName name="BEx1TYR9YIVMD6E36LEX70E5H1UT" localSheetId="11"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11" hidden="1">'[19]Capital orders'!#REF!</definedName>
    <definedName name="BEx1UOOOMCXM376QJ65W95MJ4RT3" hidden="1">'[19]Capital orders'!#REF!</definedName>
    <definedName name="BEx1UUDIQPZ23XQ79GUL0RAWRSCK" hidden="1">'[16]Reco Sheet for Fcast'!$I$7:$J$7</definedName>
    <definedName name="BEx1V50N55N07Q5LD91VS9QF1WB6" localSheetId="11"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11"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11"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11"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11"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11"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11"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11"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11"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11" hidden="1">'[17]AMI P &amp; L'!#REF!</definedName>
    <definedName name="BEx3FX7EJL47JSLSWP3EOC265WAE" hidden="1">'[17]AMI P &amp; L'!#REF!</definedName>
    <definedName name="BEx3FZG91H1CY5ASLHP4YHKREYG9" localSheetId="11"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11" hidden="1">'[17]AMI P &amp; L'!#REF!</definedName>
    <definedName name="BEx3GEVV18SEQDI1JGY7EN6D1GT1" hidden="1">'[17]AMI P &amp; L'!#REF!</definedName>
    <definedName name="BEx3GKFH64MKQX61S7DYTZ15JCPY" hidden="1">'[16]Reco Sheet for Fcast'!$G$2</definedName>
    <definedName name="BEx3GMJ1Y6UU02DLRL0QXCEKDA6C" localSheetId="11"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11" hidden="1">'[17]AMI P &amp; L'!#REF!</definedName>
    <definedName name="BEx3H5UX2GZFZZT657YR76RHW5I6" hidden="1">'[17]AMI P &amp; L'!#REF!</definedName>
    <definedName name="BEx3HA1YAMCT0GK89031ZWXQ3VK3" localSheetId="11" hidden="1">#REF!</definedName>
    <definedName name="BEx3HA1YAMCT0GK89031ZWXQ3VK3" hidden="1">#REF!</definedName>
    <definedName name="BEx3HJ1MIYFNI7Y25LLE6AGZ52U2" localSheetId="11" hidden="1">'[19]Capital orders'!#REF!</definedName>
    <definedName name="BEx3HJ1MIYFNI7Y25LLE6AGZ52U2" hidden="1">'[19]Capital orders'!#REF!</definedName>
    <definedName name="BEx3HMN4HBR0MZ546XIBTOE5PHAT" localSheetId="11" hidden="1">'[19]Capital orders'!#REF!</definedName>
    <definedName name="BEx3HMN4HBR0MZ546XIBTOE5PHAT" hidden="1">'[19]Capital orders'!#REF!</definedName>
    <definedName name="BEx3HMSEFOP6DBM4R97XA6B7NFG6" hidden="1">'[16]Reco Sheet for Fcast'!$F$8:$G$8</definedName>
    <definedName name="BEx3HOQN57QKFWCTSFFBV19FE17U" localSheetId="11"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11" hidden="1">'[17]AMI P &amp; L'!#REF!</definedName>
    <definedName name="BEx3IYAH2DEBFWO8F94H4MXE3RLY" hidden="1">'[17]AMI P &amp; L'!#REF!</definedName>
    <definedName name="BEx3IZXXSYEW50379N2EAFWO8DZV" localSheetId="11"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11"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11" hidden="1">#REF!</definedName>
    <definedName name="BEx3KHFTUPUPZJH4ER0RQ5CMQ7ZC" hidden="1">#REF!</definedName>
    <definedName name="BEx3KIXQYOGMPK4WJJAVBRX4NR28" localSheetId="11"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11"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11"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11"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11" hidden="1">#REF!</definedName>
    <definedName name="BEx3MSAX474ABZKYQ7WBYQI19FN1" hidden="1">#REF!</definedName>
    <definedName name="BEx3N9JDP50MA4MMRXI6DO38SIEQ" localSheetId="11" hidden="1">#REF!</definedName>
    <definedName name="BEx3N9JDP50MA4MMRXI6DO38SIEQ" hidden="1">#REF!</definedName>
    <definedName name="BEx3NBS83TP04EO9LQWM9XWO1JEV" localSheetId="11"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11" hidden="1">#REF!</definedName>
    <definedName name="BEx3O37KIVMTEXDNBMSQLK0KFCF6" hidden="1">#REF!</definedName>
    <definedName name="BEx3O85IKWARA6NCJOLRBRJFMEWW" localSheetId="11"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11"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11"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11"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11"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11"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11" hidden="1">#REF!</definedName>
    <definedName name="BEx3T2FG1ZY4WZBQSPCTC91YU2YJ" hidden="1">#REF!</definedName>
    <definedName name="BEx3T6H1GANMM2I05ZEVPCP6MRU2" localSheetId="11" hidden="1">'[19]Capital orders'!#REF!</definedName>
    <definedName name="BEx3T6H1GANMM2I05ZEVPCP6MRU2" hidden="1">'[19]Capital orders'!#REF!</definedName>
    <definedName name="BEx3T6MJ1QDJ929WMUDVZ0O3UW0Y" hidden="1">'[16]Reco Sheet for Fcast'!$K$2</definedName>
    <definedName name="BEx3TL0EBCEEUJ1A7EWNJRIN2795" localSheetId="11"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11" hidden="1">'[19]Capital orders'!#REF!</definedName>
    <definedName name="BEx3UM0THK7XHBY53ADQX650TQR3" hidden="1">'[19]Capital orders'!#REF!</definedName>
    <definedName name="BEx3UO4CSA2W3UIZSAB83N5MOYUI" localSheetId="11"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11" hidden="1">#REF!</definedName>
    <definedName name="BEx589O00VWB2CRMRCLO3I5IX5HO" hidden="1">#REF!</definedName>
    <definedName name="BEx58O780PQ05NF0Z1SKKRB3N099" hidden="1">'[16]Reco Sheet for Fcast'!$F$7:$G$7</definedName>
    <definedName name="BEx58XHO7ZULLF2EUD7YIS0MGQJ5" localSheetId="11" hidden="1">'[17]AMI P &amp; L'!#REF!</definedName>
    <definedName name="BEx58XHO7ZULLF2EUD7YIS0MGQJ5" hidden="1">'[17]AMI P &amp; L'!#REF!</definedName>
    <definedName name="BEx58ZW0HAIGIPEX9CVA1PQQTR6X" hidden="1">'[16]Reco Sheet for Fcast'!$I$7:$J$7</definedName>
    <definedName name="BEx59AZ7IMWYQU6DW5MVTLDMFU8X" localSheetId="11"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11"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11" hidden="1">'[17]AMI P &amp; L'!#REF!</definedName>
    <definedName name="BEx5CFYQ0F1Z6P8SCVJ0I3UPVFE4" hidden="1">'[17]AMI P &amp; L'!#REF!</definedName>
    <definedName name="BEx5CKWQHHP966IXELUOVK2L3J48" localSheetId="11"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11"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11"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11"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11"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11"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11" hidden="1">'[19]Capital orders'!#REF!</definedName>
    <definedName name="BEx5GAVIL220VIPAKH02UYIUB7EU" hidden="1">'[19]Capital orders'!#REF!</definedName>
    <definedName name="BEx5GID9MVBUPFFT9M8K8B5MO9NV" hidden="1">'[16]Reco Sheet for Fcast'!$F$15:$G$16</definedName>
    <definedName name="BEx5GLD6CMDEYT8QI3HVPGEES2A5" localSheetId="11"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11" hidden="1">'[19]Capital orders'!#REF!</definedName>
    <definedName name="BEx5HZV4KY20K2E2E581QT80KGFL" hidden="1">'[19]Capital orders'!#REF!</definedName>
    <definedName name="BEx5I244LQHZTF3XI66J8705R9XX" localSheetId="11" hidden="1">'[17]AMI P &amp; L'!#REF!</definedName>
    <definedName name="BEx5I244LQHZTF3XI66J8705R9XX" hidden="1">'[17]AMI P &amp; L'!#REF!</definedName>
    <definedName name="BEx5I8PBP4LIXDGID5BP0THLO0AQ" localSheetId="11"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11"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11" hidden="1">'[17]AMI P &amp; L'!#REF!</definedName>
    <definedName name="BEx5JHCZJ8G6OOOW6EF3GABXKH6F" hidden="1">'[17]AMI P &amp; L'!#REF!</definedName>
    <definedName name="BEx5JJB6W446THXQCRUKD3I7RKLP" hidden="1">'[16]Reco Sheet for Fcast'!$F$8:$G$8</definedName>
    <definedName name="BEx5JNCT8Z7XSSPD5EMNAJELCU2V" localSheetId="11"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11"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11" hidden="1">'[17]AMI P &amp; L'!#REF!</definedName>
    <definedName name="BEx5LSJ1LPUAX3ENSPECWPG4J7D1" hidden="1">'[17]AMI P &amp; L'!#REF!</definedName>
    <definedName name="BEx5LTKQ8RQWJE4BC88OP928893U" localSheetId="11" hidden="1">'[17]AMI P &amp; L'!#REF!</definedName>
    <definedName name="BEx5LTKQ8RQWJE4BC88OP928893U" hidden="1">'[17]AMI P &amp; L'!#REF!</definedName>
    <definedName name="BEx5MB9BR71LZDG7XXQ2EO58JC5F" hidden="1">'[16]Reco Sheet for Fcast'!$H$2:$I$2</definedName>
    <definedName name="BEx5MLQZM68YQSKARVWTTPINFQ2C" localSheetId="11" hidden="1">'[17]AMI P &amp; L'!#REF!</definedName>
    <definedName name="BEx5MLQZM68YQSKARVWTTPINFQ2C" hidden="1">'[17]AMI P &amp; L'!#REF!</definedName>
    <definedName name="BEx5MVHOG4GCI4HKTOTP194VMNRA" localSheetId="11"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11"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11"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11" hidden="1">#REF!</definedName>
    <definedName name="BEx74SQ5R0VH9X24PI4DADFFLZ9N" hidden="1">#REF!</definedName>
    <definedName name="BEx74W6BJ8ENO3J25WNM5H5APKA3" localSheetId="11"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11"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11" hidden="1">#REF!</definedName>
    <definedName name="BEx76SNOC6R18OVRQYBQ0JGPW2Z7" hidden="1">#REF!</definedName>
    <definedName name="BEx771SMWJDAFC6Y4FKDDGEFBQ4W" localSheetId="11"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11"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11"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11" hidden="1">'[17]AMI P &amp; L'!#REF!</definedName>
    <definedName name="BEx79YJJLBELICW9F9FRYSCQ101L" hidden="1">'[17]AMI P &amp; L'!#REF!</definedName>
    <definedName name="BEx79YUC7B0V77FSBGIRCY1BR4VK" hidden="1">'[16]Reco Sheet for Fcast'!$F$6:$G$6</definedName>
    <definedName name="BEx7A06T3RC2891FUX05G3QPRAUE" localSheetId="11" hidden="1">'[17]AMI P &amp; L'!#REF!</definedName>
    <definedName name="BEx7A06T3RC2891FUX05G3QPRAUE" hidden="1">'[17]AMI P &amp; L'!#REF!</definedName>
    <definedName name="BEx7A4ZGTC3XLZR6M7XK0UX2T49X" localSheetId="11"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11" hidden="1">'[17]AMI P &amp; L'!#REF!</definedName>
    <definedName name="BEx7ASD1I654MEDCO6GGWA95PXSC" hidden="1">'[17]AMI P &amp; L'!#REF!</definedName>
    <definedName name="BEx7AVCX9S5RJP3NSZ4QM4E6ERDT" localSheetId="11"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11"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11" hidden="1">'[17]AMI P &amp; L'!#REF!</definedName>
    <definedName name="BEx7E2QT2U8THYOKBPXONB1B47WH" hidden="1">'[17]AMI P &amp; L'!#REF!</definedName>
    <definedName name="BEx7E5QP7W6UKO74F5Y0VJ741HS5" hidden="1">'[16]Reco Sheet for Fcast'!$I$11:$J$11</definedName>
    <definedName name="BEx7E66XF797M3VAMVIZK8WXZGRE" localSheetId="11"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11"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11"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11"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11"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11"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11"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11" hidden="1">'[17]AMI P &amp; L'!#REF!</definedName>
    <definedName name="BEx91QH5JRZKQP1GPN2SQMR3CKAG" hidden="1">'[17]AMI P &amp; L'!#REF!</definedName>
    <definedName name="BEx91ROALDNHO7FI4X8L61RH4UJE" localSheetId="11"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11"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11" hidden="1">#REF!</definedName>
    <definedName name="BEx92VOMR5U4BPW19GODTNNQPLQS" hidden="1">#REF!</definedName>
    <definedName name="BEx92YOIWN6IEUE1U85XCO40QLR1" localSheetId="11"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11"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11" hidden="1">'[17]AMI P &amp; L'!#REF!</definedName>
    <definedName name="BEx94CKXG92OMURH41SNU6IOHK4J" hidden="1">'[17]AMI P &amp; L'!#REF!</definedName>
    <definedName name="BEx94GXG30CIVB6ZQN3X3IK6BZXQ" localSheetId="11" hidden="1">'[17]AMI P &amp; L'!#REF!</definedName>
    <definedName name="BEx94GXG30CIVB6ZQN3X3IK6BZXQ" hidden="1">'[17]AMI P &amp; L'!#REF!</definedName>
    <definedName name="BEx94HZ5LURYM9ST744ALV6ZCKYP" localSheetId="11" hidden="1">'[17]AMI P &amp; L'!#REF!</definedName>
    <definedName name="BEx94HZ5LURYM9ST744ALV6ZCKYP" hidden="1">'[17]AMI P &amp; L'!#REF!</definedName>
    <definedName name="BEx94IQ75E90YUMWJ9N591LR7DQQ" localSheetId="11" hidden="1">'[17]AMI P &amp; L'!#REF!</definedName>
    <definedName name="BEx94IQ75E90YUMWJ9N591LR7DQQ" hidden="1">'[17]AMI P &amp; L'!#REF!</definedName>
    <definedName name="BEx94N7W5T3U7UOE97D6OVIBUCXS" hidden="1">'[16]Reco Sheet for Fcast'!$I$6:$J$6</definedName>
    <definedName name="BEx94XK7HTOCAI9XPVFSIIW2YKUT" localSheetId="11" hidden="1">#REF!</definedName>
    <definedName name="BEx94XK7HTOCAI9XPVFSIIW2YKUT" hidden="1">#REF!</definedName>
    <definedName name="BEx955NIAWX5OLAHMTV6QFUZPR30" localSheetId="11"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11" hidden="1">'[19]Capital orders'!#REF!</definedName>
    <definedName name="BEx96DPEANYPFX7M8LZ2UWJN17P5" hidden="1">'[19]Capital orders'!#REF!</definedName>
    <definedName name="BEx96JP7X7K0JLFXG5H49RXRME5R" localSheetId="11"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11" hidden="1">'[17]AMI P &amp; L'!#REF!</definedName>
    <definedName name="BEx97NPQBACJVD9K1YXI08RTW9E2" hidden="1">'[17]AMI P &amp; L'!#REF!</definedName>
    <definedName name="BEx97O0DV0K9YPP91QBJAT6MS3RD" localSheetId="11"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11" hidden="1">#REF!</definedName>
    <definedName name="BEx98KZ7LNKCVOT9D2LOYY4QBVY3" hidden="1">#REF!</definedName>
    <definedName name="BEx98VGU9QUYP1365CXZRT20O3L4" localSheetId="11"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11"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11"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11" hidden="1">'[19]Capital orders'!#REF!</definedName>
    <definedName name="BEx9HLP8FC22WFQ6C2PNR5A9187F" hidden="1">'[19]Capital orders'!#REF!</definedName>
    <definedName name="BEx9HZ1G1J0CB5PC45ZW4S9Q4EFY" localSheetId="11"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11"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11" hidden="1">'[17]AMI P &amp; L'!#REF!</definedName>
    <definedName name="BEx9J6CH5E7YZPER7HXEIOIKGPCA" hidden="1">'[17]AMI P &amp; L'!#REF!</definedName>
    <definedName name="BEx9JJTZKVUJAVPTRE0RAVTEH41G" hidden="1">'[16]Reco Sheet for Fcast'!$I$11:$J$11</definedName>
    <definedName name="BEx9JLBYK239B3F841C7YG1GT7ST" localSheetId="11" hidden="1">'[17]AMI P &amp; L'!#REF!</definedName>
    <definedName name="BEx9JLBYK239B3F841C7YG1GT7ST" hidden="1">'[17]AMI P &amp; L'!#REF!</definedName>
    <definedName name="BEx9KLW9GH3AS7L6X2QVYRX4MP47" localSheetId="11"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11" hidden="1">'[17]AMI P &amp; L'!#REF!</definedName>
    <definedName name="BExAX410NB4F2XOB84OR2197H8M5" hidden="1">'[17]AMI P &amp; L'!#REF!</definedName>
    <definedName name="BExAX8TNG8LQ5Q4904SAYQIPGBSV" hidden="1">'[16]Reco Sheet for Fcast'!$I$7:$J$7</definedName>
    <definedName name="BExAXH2FJ8S1SX2XRI17ZABSFERB" localSheetId="11" hidden="1">#REF!</definedName>
    <definedName name="BExAXH2FJ8S1SX2XRI17ZABSFERB" hidden="1">#REF!</definedName>
    <definedName name="BExAY0EAT2LXR5MFGM0DLIB45PLO" hidden="1">'[16]Reco Sheet for Fcast'!$F$6:$G$6</definedName>
    <definedName name="BExAYDA8H0HQ51AQDS0QEQS4IUSJ" localSheetId="11"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11"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11" hidden="1">#REF!</definedName>
    <definedName name="BExB1713OG4CGOEQ7O0FXSI2FQWZ" hidden="1">#REF!</definedName>
    <definedName name="BExB1FKNY2UO4W5FUGFHJOA2WFGG" localSheetId="11" hidden="1">'[17]AMI P &amp; L'!#REF!</definedName>
    <definedName name="BExB1FKNY2UO4W5FUGFHJOA2WFGG"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11"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11" hidden="1">'[17]AMI P &amp; L'!#REF!</definedName>
    <definedName name="BExB2Q0VJ0MU2URO3JOVUAVHEI3V" hidden="1">'[17]AMI P &amp; L'!#REF!</definedName>
    <definedName name="BExB2TBPD6APUT2TO3BGE6IU9G7C" hidden="1">'[18]Bud Mth'!$I$11:$J$11</definedName>
    <definedName name="BExB2TRVKQUUYWEZA4GM0V7NE7IX" localSheetId="11" hidden="1">'[19]Capital orders'!#REF!</definedName>
    <definedName name="BExB2TRVKQUUYWEZA4GM0V7NE7IX" hidden="1">'[19]Capital orders'!#REF!</definedName>
    <definedName name="BExB30IP1DNKNQ6PZ5ERUGR5MK4Z" hidden="1">'[16]Reco Sheet for Fcast'!$I$11:$J$11</definedName>
    <definedName name="BExB42VLHX3FLYCON9QDRE70MBLO" localSheetId="11" hidden="1">#REF!</definedName>
    <definedName name="BExB42VLHX3FLYCON9QDRE70MBLO" hidden="1">#REF!</definedName>
    <definedName name="BExB442RX0T3L6HUL6X5T21CENW6" localSheetId="11"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11"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11"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11"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11" hidden="1">'[17]AMI P &amp; L'!#REF!</definedName>
    <definedName name="BExB8U5N0D85YR8APKN3PPKG0FWP" hidden="1">'[17]AMI P &amp; L'!#REF!</definedName>
    <definedName name="BExB8WJYEQ55LDAYQH0NXEDCQOVD" localSheetId="11" hidden="1">#REF!</definedName>
    <definedName name="BExB8WJYEQ55LDAYQH0NXEDCQOVD" hidden="1">#REF!</definedName>
    <definedName name="BExB9AXUUDDTRDLVSC7REODDIYJ2" localSheetId="11" hidden="1">#REF!</definedName>
    <definedName name="BExB9AXUUDDTRDLVSC7REODDIYJ2" hidden="1">#REF!</definedName>
    <definedName name="BExB9DHI5I2TJ2LXYPM98EE81L27" hidden="1">'[16]Reco Sheet for Fcast'!$I$9:$J$9</definedName>
    <definedName name="BExB9Q2MZZHBGW8QQKVEYIMJBPIE" localSheetId="11" hidden="1">'[17]AMI P &amp; L'!#REF!</definedName>
    <definedName name="BExB9Q2MZZHBGW8QQKVEYIMJBPIE" hidden="1">'[17]AMI P &amp; L'!#REF!</definedName>
    <definedName name="BExB9R4HYJ83UNLFWKDKDJ31E2DS" localSheetId="11"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11"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11"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11" hidden="1">'[19]Capital orders'!#REF!</definedName>
    <definedName name="BExBD77362J9OENRUETJ6CVQYGZ1" hidden="1">'[19]Capital orders'!#REF!</definedName>
    <definedName name="BExBDBZQLTX3OGFYGULQFK5WEZU5" hidden="1">'[16]Reco Sheet for Fcast'!$F$7:$G$7</definedName>
    <definedName name="BExBDJS9TUEU8Z84IV59E5V4T8K6" localSheetId="11"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11"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11"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11" hidden="1">#REF!</definedName>
    <definedName name="BExCS4E9E7CKF2RTM6INK6MAILOV" hidden="1">#REF!</definedName>
    <definedName name="BExCS7ZPMHFJ4UJDAL8CQOLSZ13B" localSheetId="11"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11" hidden="1">'[17]AMI P &amp; L'!#REF!</definedName>
    <definedName name="BExCSSDG3TM6TPKS19E9QYJEELZ6" hidden="1">'[17]AMI P &amp; L'!#REF!</definedName>
    <definedName name="BExCSZV7U67UWXL2HKJNM5W1E4OO" hidden="1">'[16]Reco Sheet for Fcast'!$I$7:$J$7</definedName>
    <definedName name="BExCT4NSDT61OCH04Y2QIFIOP75H" localSheetId="11"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11"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11"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11"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11" hidden="1">#REF!</definedName>
    <definedName name="BExCXK3M8NPWOZZALA6L6RUCBB2J" hidden="1">#REF!</definedName>
    <definedName name="BExCXKZZ6U10NBCECNUV9U56FB6V" localSheetId="11"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11" hidden="1">'[17]AMI P &amp; L'!#REF!</definedName>
    <definedName name="BExCYUK0I3UEXZNFDW71G6Z6D8XR" hidden="1">'[17]AMI P &amp; L'!#REF!</definedName>
    <definedName name="BExCZ4QTDJA3L8AGID0HLSLRVP6A" localSheetId="11"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11"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11"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11"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11"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11" hidden="1">'[17]AMI P &amp; L'!#REF!</definedName>
    <definedName name="BExD4H5GQWXBS6LUL3TSP36DVO38" hidden="1">'[17]AMI P &amp; L'!#REF!</definedName>
    <definedName name="BExD4IHX75GVFK6I80F7IR7955K1" hidden="1">'[18]Bud Mth'!$F$15</definedName>
    <definedName name="BExD4JJSS3QDBLABCJCHD45SRNPI" localSheetId="11" hidden="1">'[17]AMI P &amp; L'!#REF!</definedName>
    <definedName name="BExD4JJSS3QDBLABCJCHD45SRNPI" hidden="1">'[17]AMI P &amp; L'!#REF!</definedName>
    <definedName name="BExD4R1I0MKF033I5LPUYIMTZ6E8" localSheetId="11"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11" hidden="1">'[17]AMI P &amp; L'!#REF!</definedName>
    <definedName name="BExD623C9LRX18BE0W2V6SZLQUXX" hidden="1">'[17]AMI P &amp; L'!#REF!</definedName>
    <definedName name="BExD6CQA7UMJBXV7AIFAIHUF2ICX" hidden="1">'[16]Reco Sheet for Fcast'!$F$9:$G$9</definedName>
    <definedName name="BExD6DS52K2CC3509UN77XBR0868" localSheetId="11" hidden="1">'[17]AMI P &amp; L'!#REF!</definedName>
    <definedName name="BExD6DS52K2CC3509UN77XBR0868" hidden="1">'[17]AMI P &amp; L'!#REF!</definedName>
    <definedName name="BExD6FKVK8WJWNYPVENR7Q8Q30PK" hidden="1">'[16]Reco Sheet for Fcast'!$F$9:$G$9</definedName>
    <definedName name="BExD6GMP0LK8WKVWMIT1NNH8CHLF" localSheetId="11"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11"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11"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11"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11"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11"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11"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11"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11"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11" hidden="1">'[17]AMI P &amp; L'!#REF!</definedName>
    <definedName name="BExERSANFNM1O7T65PC5MJ301YET" hidden="1">'[17]AMI P &amp; L'!#REF!</definedName>
    <definedName name="BExERWCEBKQRYWRQLYJ4UCMMKTHG" localSheetId="11"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11"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11"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11" hidden="1">'[17]AMI P &amp; L'!#REF!</definedName>
    <definedName name="BExEX9HWY2G6928ZVVVQF77QCM2C" hidden="1">'[17]AMI P &amp; L'!#REF!</definedName>
    <definedName name="BExEXBQWAYKMVBRJRHB8PFCSYFVN" hidden="1">'[16]Reco Sheet for Fcast'!$I$10:$J$10</definedName>
    <definedName name="BExEXRBZ0DI9E2UFLLKYWGN66B61" localSheetId="11" hidden="1">'[17]AMI P &amp; L'!#REF!</definedName>
    <definedName name="BExEXRBZ0DI9E2UFLLKYWGN66B61" hidden="1">'[17]AMI P &amp; L'!#REF!</definedName>
    <definedName name="BExEYLG9FL9V1JPPNZ3FUDNSEJ4V" hidden="1">'[16]Reco Sheet for Fcast'!$I$10:$J$10</definedName>
    <definedName name="BExEYMSPJ8NAM530KGLCIZKRIZQ2" localSheetId="11"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11"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11"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11"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11"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11" hidden="1">#REF!</definedName>
    <definedName name="BExF3QD5AXW8T6FZ8O1C78NHR5C3" hidden="1">#REF!</definedName>
    <definedName name="BExF3QT8J6RIF1L3R700MBSKIOKW" hidden="1">'[16]Reco Sheet for Fcast'!$F$11:$G$11</definedName>
    <definedName name="BExF41WFMNZ2YQ1KBKOBZWROKVHO" localSheetId="11" hidden="1">#REF!</definedName>
    <definedName name="BExF41WFMNZ2YQ1KBKOBZWROKVHO" hidden="1">#REF!</definedName>
    <definedName name="BExF42SSBVPMLK2UB3B7FPEIY9TU" localSheetId="11"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11"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11" hidden="1">#REF!</definedName>
    <definedName name="BExF5CCUNN10ODYNRYLTJ6DOSQA7" hidden="1">#REF!</definedName>
    <definedName name="BExF5HR2GFV7O8LKG9SJ4BY78LYA" hidden="1">'[16]Reco Sheet for Fcast'!$I$8:$J$8</definedName>
    <definedName name="BExF5ZFO2A29GHWR5ES64Z9OS16J" localSheetId="11"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11" hidden="1">'[17]AMI P &amp; L'!#REF!</definedName>
    <definedName name="BExF67O951CF8UJF3KBDNR0E83C1" hidden="1">'[17]AMI P &amp; L'!#REF!</definedName>
    <definedName name="BExF690Y20C503FDB3JYBPHX2VD1" localSheetId="11"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11"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11" hidden="1">'[17]AMI P &amp; L'!#REF!</definedName>
    <definedName name="BExF7K88K7ASGV6RAOAGH52G04VR" hidden="1">'[17]AMI P &amp; L'!#REF!</definedName>
    <definedName name="BExF7N83YDEVXDEZQFACS9ZVES27" localSheetId="11"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11"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11" hidden="1">'[19]Capital orders'!#REF!</definedName>
    <definedName name="BExGM7DV048A50I5ERW750F4VS9C" hidden="1">'[19]Capital orders'!#REF!</definedName>
    <definedName name="BExGMCXCWEC9XNUOEMZ61TMI6CUO" hidden="1">'[16]Reco Sheet for Fcast'!$G$2</definedName>
    <definedName name="BExGMJDGIH0MEPC2TUSFUCY2ROTB" localSheetId="11"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11" hidden="1">'[17]AMI P &amp; L'!#REF!</definedName>
    <definedName name="BExGNDSIMTHOCXXG6QOGR6DA8SGG" hidden="1">'[17]AMI P &amp; L'!#REF!</definedName>
    <definedName name="BExGNN2YQ9BDAZXT2GLCSAPXKIM7" localSheetId="11"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11" hidden="1">'[17]AMI P &amp; L'!#REF!</definedName>
    <definedName name="BExGNZO44DEG8CGIDYSEGDUQ531R" hidden="1">'[17]AMI P &amp; L'!#REF!</definedName>
    <definedName name="BExGO2O0V6UYDY26AX8OSN72F77N" hidden="1">'[16]Reco Sheet for Fcast'!$F$11:$G$11</definedName>
    <definedName name="BExGO2YUBOVLYHY1QSIHRE1KLAFV" localSheetId="11"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11"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11"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11" hidden="1">'[17]AMI P &amp; L'!#REF!</definedName>
    <definedName name="BExGQX0H4EZMXBJTKJJE4ICJWN5O" hidden="1">'[17]AMI P &amp; L'!#REF!</definedName>
    <definedName name="BExGR2ENVVMIJQENKY6QPV34HDYB" localSheetId="11"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11" hidden="1">#REF!</definedName>
    <definedName name="BExGR902JCXO7ZLKL3VYXM9XRW3A" hidden="1">#REF!</definedName>
    <definedName name="BExGR9ATP2LVT7B9OCPSLJ11H9SX" hidden="1">'[16]Reco Sheet for Fcast'!$F$8:$G$8</definedName>
    <definedName name="BExGRA1VE5SDFH8FM4H8YLA70J65" localSheetId="11"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11"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11" hidden="1">#REF!</definedName>
    <definedName name="BExGSARJTLL2AE6NAMXZ7IGZI2M1" hidden="1">#REF!</definedName>
    <definedName name="BExGSCEUCQQVDEEKWJ677QTGUVTE" hidden="1">'[16]Reco Sheet for Fcast'!$I$6:$J$6</definedName>
    <definedName name="BExGSQY65LH1PCKKM5WHDW83F35O" localSheetId="11" hidden="1">'[17]AMI P &amp; L'!#REF!</definedName>
    <definedName name="BExGSQY65LH1PCKKM5WHDW83F35O" hidden="1">'[17]AMI P &amp; L'!#REF!</definedName>
    <definedName name="BExGSYW1GKISF0PMUAK3XJK9PEW9" hidden="1">'[16]Reco Sheet for Fcast'!$F$11:$G$11</definedName>
    <definedName name="BExGT0DZJB6LSF6L693UUB9EY1VQ" localSheetId="11"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11"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11" hidden="1">'[17]AMI P &amp; L'!#REF!</definedName>
    <definedName name="BExGUDDZXFFQHAF4UZF8ZB1HO7H6" hidden="1">'[17]AMI P &amp; L'!#REF!</definedName>
    <definedName name="BExGUIBXBRHGM97ZX6GBA4ZDQ79C" hidden="1">'[16]Reco Sheet for Fcast'!$F$9:$G$9</definedName>
    <definedName name="BExGUM8D91UNPCOO4TKP9FGX85TF" localSheetId="11"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11"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11" hidden="1">'[17]AMI P &amp; L'!#REF!</definedName>
    <definedName name="BExGWEO0JDG84NYLEAV5NSOAGMJZ" hidden="1">'[17]AMI P &amp; L'!#REF!</definedName>
    <definedName name="BExGWLEOC70Z8QAJTPT2PDHTNM4L" hidden="1">'[16]Reco Sheet for Fcast'!$F$7:$G$7</definedName>
    <definedName name="BExGWNCXLCRTLBVMTXYJ5PHQI6SS" localSheetId="11" hidden="1">'[17]AMI P &amp; L'!#REF!</definedName>
    <definedName name="BExGWNCXLCRTLBVMTXYJ5PHQI6SS" hidden="1">'[17]AMI P &amp; L'!#REF!</definedName>
    <definedName name="BExGX6U988MCFIGDA1282F92U9AA" hidden="1">'[16]Reco Sheet for Fcast'!$F$11:$G$11</definedName>
    <definedName name="BExGX7FTB1CKAT5HUW6H531FIY6I" localSheetId="11"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11"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11" hidden="1">'[17]AMI P &amp; L'!#REF!</definedName>
    <definedName name="BExH02ZD6VAY1KQLAQYBBI6WWIZB" hidden="1">'[17]AMI P &amp; L'!#REF!</definedName>
    <definedName name="BExH08Z6LQCGGSGSAILMHX4X7JMD" hidden="1">'[16]Reco Sheet for Fcast'!$I$6:$J$6</definedName>
    <definedName name="BExH09VINWGY7QSDNGT9BDVKS3JQ" localSheetId="11"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11" hidden="1">'[17]AMI P &amp; L'!#REF!</definedName>
    <definedName name="BExH0WNJAKTJRCKMTX8O4KNMIIJM" hidden="1">'[17]AMI P &amp; L'!#REF!</definedName>
    <definedName name="BExH12Y4WX542WI3ZEM15AK4UM9J" hidden="1">'[16]Reco Sheet for Fcast'!$F$7:$G$7</definedName>
    <definedName name="BExH1FDTQXR9QQ31WDB7OPXU7MPT" localSheetId="11" hidden="1">'[17]AMI P &amp; L'!#REF!</definedName>
    <definedName name="BExH1FDTQXR9QQ31WDB7OPXU7MPT" hidden="1">'[17]AMI P &amp; L'!#REF!</definedName>
    <definedName name="BExH1FOMEUIJNIDJAUY0ZQFBJSY9" hidden="1">'[16]Reco Sheet for Fcast'!$I$6:$J$6</definedName>
    <definedName name="BExH1IDQM8I99T9BKP4XNASNIKR8" localSheetId="11"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11" hidden="1">'[17]AMI P &amp; L'!#REF!</definedName>
    <definedName name="BExH2ZA0SZ4SSITL50NA8LZ3OEX6" hidden="1">'[17]AMI P &amp; L'!#REF!</definedName>
    <definedName name="BExH31Z3JNVJPESWKXHILGXZHP2M" hidden="1">'[16]Reco Sheet for Fcast'!$F$6:$G$6</definedName>
    <definedName name="BExH37TLURRTF1YO0TUV9JOJ0C78" localSheetId="11"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11" hidden="1">'[17]AMI P &amp; L'!#REF!</definedName>
    <definedName name="BExIG5JDFDNKGLHGNDY7U8KIF9NT" hidden="1">'[17]AMI P &amp; L'!#REF!</definedName>
    <definedName name="BExIGJBO8R13LV7CZ7C1YCP974NN" hidden="1">'[16]Reco Sheet for Fcast'!$F$10:$G$10</definedName>
    <definedName name="BExIGWT86FPOEYTI8GXCGU5Y3KGK" localSheetId="11"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11" hidden="1">'[17]AMI P &amp; L'!#REF!</definedName>
    <definedName name="BExIJFGZJ5ED9D6KAY4PGQYLELAX" hidden="1">'[17]AMI P &amp; L'!#REF!</definedName>
    <definedName name="BExIJM2EOJY1E8YQ1ZS3GHTIQQRM" localSheetId="11" hidden="1">'[19]Capital orders'!#REF!</definedName>
    <definedName name="BExIJM2EOJY1E8YQ1ZS3GHTIQQRM" hidden="1">'[19]Capital orders'!#REF!</definedName>
    <definedName name="BExIJQ3XPPSZ585U2ER0RSSC71PK" localSheetId="11"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11"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11" hidden="1">'[17]AMI P &amp; L'!#REF!</definedName>
    <definedName name="BExINLX401ZKEGWU168DS4JUM2J6" hidden="1">'[17]AMI P &amp; L'!#REF!</definedName>
    <definedName name="BExINMYYJO1FTV1CZF6O5XCFAMQX" localSheetId="11"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11"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11"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11"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11"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11" hidden="1">#REF!</definedName>
    <definedName name="BExIT7RP2B89RX2C5P1P5H2DY1CI" hidden="1">#REF!</definedName>
    <definedName name="BExITBNYANV2S8KD56GOGCKW393R" hidden="1">'[16]Reco Sheet for Fcast'!$F$9:$G$9</definedName>
    <definedName name="BExIU6ZCS275CPHR7BIJ2SCIXCP7" localSheetId="11"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11"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11"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11" hidden="1">'[19]Capital orders'!#REF!</definedName>
    <definedName name="BExIVOH8Z5N2NCDXBL9INQNLC76M" hidden="1">'[19]Capital orders'!#REF!</definedName>
    <definedName name="BExIVQVKLMGSRYT1LFZH0KUIA4OR" hidden="1">'[16]Reco Sheet for Fcast'!$I$11:$J$11</definedName>
    <definedName name="BExIVYTFI35KNR2XSA6N8OJYUTUR" localSheetId="11"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11"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11"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11"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11" hidden="1">#REF!</definedName>
    <definedName name="BExIZS2X10QUS4CITNIUIELXAFAJ" hidden="1">#REF!</definedName>
    <definedName name="BExIZY2PUZ0OF9YKK1B13IW0VS6G" hidden="1">'[16]Reco Sheet for Fcast'!$F$15</definedName>
    <definedName name="BExJ08KBRR2XMWW3VZMPSQKXHZUH" localSheetId="11"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11"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11"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11" hidden="1">#REF!</definedName>
    <definedName name="BExKGTJTGZ5J6MUJ1UXP14KX6XN1" hidden="1">#REF!</definedName>
    <definedName name="BExKGV77YH9YXIQTRKK2331QGYKF" hidden="1">'[16]Reco Sheet for Fcast'!$F$8:$G$8</definedName>
    <definedName name="BExKGXLJQX4WJ1YCKHSMCPSSKX21" localSheetId="11"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11"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11" hidden="1">#REF!</definedName>
    <definedName name="BExKHWNRIZ5D7KKG5MQK7WNAIKUJ" hidden="1">#REF!</definedName>
    <definedName name="BExKI4076KXCDE5KXL79KT36OKLO" localSheetId="11"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11"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11"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11"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11"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11"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11"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11" hidden="1">#REF!</definedName>
    <definedName name="BExKPBJJN98NVSALRMK9B8P0823D" hidden="1">#REF!</definedName>
    <definedName name="BExKPEZP0QTKOTLIMMIFSVTHQEEK" hidden="1">'[16]Reco Sheet for Fcast'!$F$8:$G$8</definedName>
    <definedName name="BExKPLQJX0HJ8OTXBXH9IC9J2V0W" localSheetId="11"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11" hidden="1">'[17]AMI P &amp; L'!#REF!</definedName>
    <definedName name="BExKQJGAAWNM3NT19E9I0CQDBTU0" hidden="1">'[17]AMI P &amp; L'!#REF!</definedName>
    <definedName name="BExKQM5GJ1ZN5REKFE7YVBQ0KXWF" hidden="1">'[16]Reco Sheet for Fcast'!$F$8:$G$8</definedName>
    <definedName name="BExKQPLDXXZOE89AAUX3S6BSJMIK" localSheetId="11"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11"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11"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11" hidden="1">'[19]Capital orders'!#REF!</definedName>
    <definedName name="BExKTZIWB189ZS2J613U4KZO1QG6" hidden="1">'[19]Capital orders'!#REF!</definedName>
    <definedName name="BExKU3FBLHQBIUTN6XEZW5GC9OG1" hidden="1">'[16]Reco Sheet for Fcast'!$F$7:$G$7</definedName>
    <definedName name="BExKU6PVEJJWP8VRA5YJY2K0HNEG" localSheetId="11" hidden="1">#REF!</definedName>
    <definedName name="BExKU6PVEJJWP8VRA5YJY2K0HNEG" hidden="1">#REF!</definedName>
    <definedName name="BExKU82I99FEUIZLODXJDOJC96CQ" hidden="1">'[16]Reco Sheet for Fcast'!$F$10:$G$10</definedName>
    <definedName name="BExKUD0FMBF362EUFCQISBRY7WZ0" localSheetId="11"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11"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11" hidden="1">#REF!</definedName>
    <definedName name="BExKWG8MR20O13C3YSUIHBD2BWQ2" hidden="1">#REF!</definedName>
    <definedName name="BExM9NUG3Q31X01AI9ZJCZIX25CS" hidden="1">'[16]Reco Sheet for Fcast'!$F$10:$G$10</definedName>
    <definedName name="BExM9OG182RP30MY23PG49LVPZ1C" localSheetId="11" hidden="1">'[17]AMI P &amp; L'!#REF!</definedName>
    <definedName name="BExM9OG182RP30MY23PG49LVPZ1C" hidden="1">'[17]AMI P &amp; L'!#REF!</definedName>
    <definedName name="BExMA64MW1S18NH8DCKPCCEI5KCB" hidden="1">'[16]Reco Sheet for Fcast'!$F$9:$G$9</definedName>
    <definedName name="BExMALEWFUEM8Y686IT03ECURUBR" localSheetId="11"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11"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11" hidden="1">'[17]AMI P &amp; L'!#REF!</definedName>
    <definedName name="BExMCA96YR10V72G2R0SCIKPZLIZ" hidden="1">'[17]AMI P &amp; L'!#REF!</definedName>
    <definedName name="BExMCB5JU5I2VQDUBS4O42BTEVKI" hidden="1">'[16]Reco Sheet for Fcast'!$H$2:$I$2</definedName>
    <definedName name="BExMCFSQFSEMPY5IXDIRKZDASDBR" localSheetId="11" hidden="1">'[17]AMI P &amp; L'!#REF!</definedName>
    <definedName name="BExMCFSQFSEMPY5IXDIRKZDASDBR" hidden="1">'[17]AMI P &amp; L'!#REF!</definedName>
    <definedName name="BExMCI726Y7CQ98CFILJNB189OL7" localSheetId="11"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11"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11" hidden="1">#REF!</definedName>
    <definedName name="BExMDB9N9PYO86JHHFQP7ONO2P9B" hidden="1">#REF!</definedName>
    <definedName name="BExMDFWS9BJGE5SKB9YDJZR8AV48" hidden="1">'[16]Reco Sheet for Fcast'!$E$1</definedName>
    <definedName name="BExMDGD1KQP7NNR78X2ZX4FCBQ1S" localSheetId="11" hidden="1">'[17]AMI P &amp; L'!#REF!</definedName>
    <definedName name="BExMDGD1KQP7NNR78X2ZX4FCBQ1S" hidden="1">'[17]AMI P &amp; L'!#REF!</definedName>
    <definedName name="BExMDIRDK0DI8P86HB7WPH8QWLSQ" hidden="1">'[16]Reco Sheet for Fcast'!$I$11:$J$11</definedName>
    <definedName name="BExMDJT3GXQN5F3BE6X3BGLJRVP6" localSheetId="11"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11"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11"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11" hidden="1">#REF!</definedName>
    <definedName name="BExMHFBDKU7SL1XYKYR6CGEO8CEL" hidden="1">#REF!</definedName>
    <definedName name="BExMHOWPB34KPZ76M2KIX2C9R2VB" localSheetId="11" hidden="1">'[17]AMI P &amp; L'!#REF!</definedName>
    <definedName name="BExMHOWPB34KPZ76M2KIX2C9R2VB" hidden="1">'[17]AMI P &amp; L'!#REF!</definedName>
    <definedName name="BExMHSSYC6KVHA3QDTSYPN92TWMI" hidden="1">'[16]Reco Sheet for Fcast'!$F$6:$G$6</definedName>
    <definedName name="BExMI3AJ9477KDL4T9DHET4LJJTW" localSheetId="11"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11" hidden="1">'[17]AMI P &amp; L'!#REF!</definedName>
    <definedName name="BExMIBOOZU40JS3F89OMPSRCE9MM" hidden="1">'[17]AMI P &amp; L'!#REF!</definedName>
    <definedName name="BExMIETWI175OVTQ66FIIUOEG2VO" localSheetId="11"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11"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11" hidden="1">'[17]AMI P &amp; L'!#REF!</definedName>
    <definedName name="BExMKUN3WPECJR2XRID2R7GZRGNX" hidden="1">'[17]AMI P &amp; L'!#REF!</definedName>
    <definedName name="BExMKZ535P011X4TNV16GCOH4H21" localSheetId="11"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11" hidden="1">'[19]Capital orders'!#REF!</definedName>
    <definedName name="BExMLKF1HGC9W2MK37E42OJJP44E" hidden="1">'[19]Capital orders'!#REF!</definedName>
    <definedName name="BExMLO5Z61RE85X8HHX2G4IU3AZW" hidden="1">'[16]Reco Sheet for Fcast'!$I$7:$J$7</definedName>
    <definedName name="BExMLVI7UORSHM9FMO8S2EI0TMTS" localSheetId="11" hidden="1">'[17]AMI P &amp; L'!#REF!</definedName>
    <definedName name="BExMLVI7UORSHM9FMO8S2EI0TMTS" hidden="1">'[17]AMI P &amp; L'!#REF!</definedName>
    <definedName name="BExMM5UCOT2HSSN0ZIPZW55GSOVO" localSheetId="11"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11"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11"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11"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11"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11" hidden="1">'[17]AMI P &amp; L'!#REF!</definedName>
    <definedName name="BExMQ71WHW50GVX45JU951AGPLFQ" hidden="1">'[17]AMI P &amp; L'!#REF!</definedName>
    <definedName name="BExMQFLC51WC0ZQ3ISX3C0WWY8ON" localSheetId="11"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11" hidden="1">'[19]Capital orders'!#REF!</definedName>
    <definedName name="BExO6A7G3T6F15S63S1OQ24SFQJH" hidden="1">'[19]Capital orders'!#REF!</definedName>
    <definedName name="BExO6LLHCYTF7CIVHKAO0NMET14Q" hidden="1">'[16]Reco Sheet for Fcast'!$I$6:$J$6</definedName>
    <definedName name="BExO764GVLC6R6LREFVX7QYWT3RE" localSheetId="11"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11" hidden="1">#REF!</definedName>
    <definedName name="BExO89ZCBQDFNQMXBL81B6NYT5U3" hidden="1">#REF!</definedName>
    <definedName name="BExO89ZIOXN0HOKHY24F7HDZ87UT" hidden="1">'[16]Reco Sheet for Fcast'!$F$11:$G$11</definedName>
    <definedName name="BExO8A4S3VKZ6N6VX4CXOWCPKHWC" localSheetId="11"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11"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11"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11"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11" hidden="1">'[17]AMI P &amp; L'!#REF!</definedName>
    <definedName name="BExOBP0FKQ4SVR59FB48UNLKCOR6" hidden="1">'[17]AMI P &amp; L'!#REF!</definedName>
    <definedName name="BExOBYAVUCQ0IGM0Y6A75QHP0Q1A" hidden="1">'[16]Reco Sheet for Fcast'!$F$9:$G$9</definedName>
    <definedName name="BExOC1G3P4Z633NKFJLRITBBHVCY" localSheetId="11"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11" hidden="1">#REF!</definedName>
    <definedName name="BExOERR3JZBGPM0JUHNGZKIHF51J" hidden="1">#REF!</definedName>
    <definedName name="BExOEV1S6JJVO5PP4BZ20SNGZR7D" hidden="1">'[16]Reco Sheet for Fcast'!$I$7:$J$7</definedName>
    <definedName name="BExOF8J5ENHOI8E3NE2IDX8Q1PAA" localSheetId="11" hidden="1">'[19]Capital orders'!#REF!</definedName>
    <definedName name="BExOF8J5ENHOI8E3NE2IDX8Q1PAA" hidden="1">'[19]Capital orders'!#REF!</definedName>
    <definedName name="BExOFEDNCYI2TPTMQ8SJN3AW4YMF" hidden="1">'[16]Reco Sheet for Fcast'!$F$9:$G$9</definedName>
    <definedName name="BExOFVLXVD6RVHSQO8KZOOACSV24" localSheetId="11" hidden="1">'[17]AMI P &amp; L'!#REF!</definedName>
    <definedName name="BExOFVLXVD6RVHSQO8KZOOACSV24" hidden="1">'[17]AMI P &amp; L'!#REF!</definedName>
    <definedName name="BExOFVWR29JOZ66F7LOP8BWQPXPI" localSheetId="11"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11"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11"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11" hidden="1">'[17]AMI P &amp; L'!#REF!</definedName>
    <definedName name="BExOJXEUJJ9SYRJXKYYV2NCCDT2R" hidden="1">'[17]AMI P &amp; L'!#REF!</definedName>
    <definedName name="BExOK0EQYM9JUMAGWOUN7QDH7VMZ" localSheetId="11" hidden="1">'[17]AMI P &amp; L'!#REF!</definedName>
    <definedName name="BExOK0EQYM9JUMAGWOUN7QDH7VMZ" hidden="1">'[17]AMI P &amp; L'!#REF!</definedName>
    <definedName name="BExOK10DPUX7E7X0CT199QVBODEW" localSheetId="11" hidden="1">#REF!</definedName>
    <definedName name="BExOK10DPUX7E7X0CT199QVBODEW" hidden="1">#REF!</definedName>
    <definedName name="BExOK4WM9O7QNG6O57FOASI5QSN1" hidden="1">'[16]Reco Sheet for Fcast'!$F$8:$G$8</definedName>
    <definedName name="BExOK8SVNS9DXWU2QWBNB1YVNR7L" localSheetId="11"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11" hidden="1">'[17]AMI P &amp; L'!#REF!</definedName>
    <definedName name="BExOLICXFHJLILCJVFMJE5MGGWKR" hidden="1">'[17]AMI P &amp; L'!#REF!</definedName>
    <definedName name="BExOLMUQP54SNJ4377CSQ2W2VRVE" localSheetId="11"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11"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11"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11"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11" hidden="1">#REF!</definedName>
    <definedName name="BExQ1SJXKHE45NHA4Y912ZWK0BVS" hidden="1">#REF!</definedName>
    <definedName name="BExQ1V922YTT0W39UMN4F4HNC5AS" localSheetId="11"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11" hidden="1">'[17]AMI P &amp; L'!#REF!</definedName>
    <definedName name="BExQ2M841F5Z1BQYR8DG5FKK0LIU" hidden="1">'[17]AMI P &amp; L'!#REF!</definedName>
    <definedName name="BExQ300G8I8TK45A0MVHV15422EU" localSheetId="11" hidden="1">'[17]AMI P &amp; L'!#REF!</definedName>
    <definedName name="BExQ300G8I8TK45A0MVHV15422EU" hidden="1">'[17]AMI P &amp; L'!#REF!</definedName>
    <definedName name="BExQ38JVNZHQEVM20T8PEG1GP01R" localSheetId="11" hidden="1">#REF!</definedName>
    <definedName name="BExQ38JVNZHQEVM20T8PEG1GP01R" hidden="1">#REF!</definedName>
    <definedName name="BExQ39R28MXSG2SEV956F0KZ20AN" localSheetId="11" hidden="1">'[17]AMI P &amp; L'!#REF!</definedName>
    <definedName name="BExQ39R28MXSG2SEV956F0KZ20AN" hidden="1">'[17]AMI P &amp; L'!#REF!</definedName>
    <definedName name="BExQ3D1P3M5Z3HLMEZ17E0BLEE4U" localSheetId="11"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11"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11" hidden="1">#REF!</definedName>
    <definedName name="BExQ5ITIC66SDM614FOSP325TOY5" hidden="1">#REF!</definedName>
    <definedName name="BExQ5KX3Z668H1KUCKZ9J24HUQ1F" hidden="1">'[16]Reco Sheet for Fcast'!$F$7:$G$7</definedName>
    <definedName name="BExQ5SPLEYLGXSVLD9HO5BKQXKIP" localSheetId="11"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11"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11"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11" hidden="1">'[17]AMI P &amp; L'!#REF!</definedName>
    <definedName name="BExQ7MY3U2Z1IZ71U5LJUD00VVB4" hidden="1">'[17]AMI P &amp; L'!#REF!</definedName>
    <definedName name="BExQ7XL2Q1GVUFL1F9KK0K0EXMWG" localSheetId="11"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11" hidden="1">'[19]Capital orders'!#REF!</definedName>
    <definedName name="BExQ89PYX7QKH887T258CNA7DPDG" hidden="1">'[19]Capital orders'!#REF!</definedName>
    <definedName name="BExQ8A0RPE3IMIFIZLUE7KD2N21W" localSheetId="11" hidden="1">'[17]AMI P &amp; L'!#REF!</definedName>
    <definedName name="BExQ8A0RPE3IMIFIZLUE7KD2N21W" hidden="1">'[17]AMI P &amp; L'!#REF!</definedName>
    <definedName name="BExQ8ABK6H1ADV2R2OYT8NFFYG2N" hidden="1">'[16]Reco Sheet for Fcast'!$H$2:$I$2</definedName>
    <definedName name="BExQ8B2GTATY2SYZWYQKTTDGONE4" localSheetId="11"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11"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11" hidden="1">'[17]AMI P &amp; L'!#REF!</definedName>
    <definedName name="BExQ9M4E2ACZOWWWP1JJIQO8AHUM" hidden="1">'[17]AMI P &amp; L'!#REF!</definedName>
    <definedName name="BExQ9UTANMJCK7LJ4OQMD6F2Q01L" hidden="1">'[16]Reco Sheet for Fcast'!$H$2:$I$2</definedName>
    <definedName name="BExQ9ZLYHWABXAA9NJDW8ZS0UQ9P" localSheetId="11" hidden="1">'[17]AMI P &amp; L'!#REF!</definedName>
    <definedName name="BExQ9ZLYHWABXAA9NJDW8ZS0UQ9P" hidden="1">'[17]AMI P &amp; L'!#REF!</definedName>
    <definedName name="BExQA324HSCK40ENJUT9CS9EC71B" localSheetId="11"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11"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11" hidden="1">#REF!</definedName>
    <definedName name="BExQD3ZVGTFSCD9MSWY8NN45FLM3" hidden="1">#REF!</definedName>
    <definedName name="BExQD571YWOXKR2SX85K5MKQ0AO2" hidden="1">'[16]Reco Sheet for Fcast'!$F$7:$G$7</definedName>
    <definedName name="BExQD7AKUWKH58PNJCJZNN1COR9E" localSheetId="11" hidden="1">#REF!</definedName>
    <definedName name="BExQD7AKUWKH58PNJCJZNN1COR9E" hidden="1">#REF!</definedName>
    <definedName name="BExQDB6VCHN8PNX8EA6JNIEQ2JC2" hidden="1">'[16]Reco Sheet for Fcast'!$G$2</definedName>
    <definedName name="BExQDE1B6U2Q9B73KBENABP71YM1" localSheetId="11" hidden="1">'[17]AMI P &amp; L'!#REF!</definedName>
    <definedName name="BExQDE1B6U2Q9B73KBENABP71YM1" hidden="1">'[17]AMI P &amp; L'!#REF!</definedName>
    <definedName name="BExQDGQCN7ZW41QDUHOBJUGQAX40" hidden="1">'[16]Reco Sheet for Fcast'!$I$8:$J$8</definedName>
    <definedName name="BExQE32AI2WOKFCB98XJZ6D7SAOF" localSheetId="11" hidden="1">'[19]Capital orders'!#REF!</definedName>
    <definedName name="BExQE32AI2WOKFCB98XJZ6D7SAOF" hidden="1">'[19]Capital orders'!#REF!</definedName>
    <definedName name="BExQEK54SZATP11ZZ75GH6P9GFQ3" localSheetId="11" hidden="1">'[19]Capital orders'!#REF!</definedName>
    <definedName name="BExQEK54SZATP11ZZ75GH6P9GFQ3" hidden="1">'[19]Capital orders'!#REF!</definedName>
    <definedName name="BExQEMUA4HEFM4OVO8M8MA8PIAW1" localSheetId="11"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11"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11"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11"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11"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11"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11" hidden="1">#REF!</definedName>
    <definedName name="BExQJIBC34O4SDXEWBX0XXJ9F93B" hidden="1">#REF!</definedName>
    <definedName name="BExQJJYSDX8B0J1QGF2HL071KKA3" hidden="1">'[16]Reco Sheet for Fcast'!$F$7:$G$7</definedName>
    <definedName name="BExQJL0FR3OWBYI6TVYE6R6KPU28" localSheetId="11"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11"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11" hidden="1">'[19]Capital orders'!#REF!</definedName>
    <definedName name="BExS4DSSYMU66HS480YWZC1VZML6" hidden="1">'[19]Capital orders'!#REF!</definedName>
    <definedName name="BExS4JN3Y6SVBKILQK0R9HS45Y52" hidden="1">'[16]Reco Sheet for Fcast'!$F$8:$G$8</definedName>
    <definedName name="BExS4LQMUTP91FH4M5NM9Y7L6XN6" localSheetId="11"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11" hidden="1">#REF!</definedName>
    <definedName name="BExS5TCGLYOBBY10G49VWHGM40DJ" hidden="1">#REF!</definedName>
    <definedName name="BExS6GKQ96EHVLYWNJDWXZXUZW90" hidden="1">'[16]Reco Sheet for Fcast'!$F$8:$G$8</definedName>
    <definedName name="BExS6ITKSZFRR01YD5B0F676SYN7" localSheetId="11"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11"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11"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11"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11" hidden="1">'[17]AMI P &amp; L'!#REF!</definedName>
    <definedName name="BExSAY9CA9TFXQ9M9FBJRGJO9T9E" hidden="1">'[17]AMI P &amp; L'!#REF!</definedName>
    <definedName name="BExSB4JYKQ3MINI7RAYK5M8BLJDC" hidden="1">'[16]Reco Sheet for Fcast'!$I$10:$J$10</definedName>
    <definedName name="BExSB85FV73BJGCHMB5WBRYZT69Z" localSheetId="11" hidden="1">'[19]Capital orders'!#REF!</definedName>
    <definedName name="BExSB85FV73BJGCHMB5WBRYZT69Z" hidden="1">'[19]Capital orders'!#REF!</definedName>
    <definedName name="BExSBD8TZE1B5CZK6VNCCA977BCZ" localSheetId="11" hidden="1">#REF!</definedName>
    <definedName name="BExSBD8TZE1B5CZK6VNCCA977BCZ" hidden="1">#REF!</definedName>
    <definedName name="BExSBMOS41ZRLWYLOU29V6Y7YORR" localSheetId="11"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11" hidden="1">#REF!</definedName>
    <definedName name="BExSG60TZAT2SKO046IKGMD8SGUE" hidden="1">#REF!</definedName>
    <definedName name="BExSG90Q4ZUU2IPGDYOM169NJV9S" hidden="1">'[16]Reco Sheet for Fcast'!$I$9:$J$9</definedName>
    <definedName name="BExSG9X3DU845PNXYJGGLBQY2UHG" localSheetId="11"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11"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11"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11" hidden="1">'[17]AMI P &amp; L'!#REF!</definedName>
    <definedName name="BExTUY9WNSJ91GV8CP0SKJTEIV82" hidden="1">'[17]AMI P &amp; L'!#REF!</definedName>
    <definedName name="BExTV67VIM8PV6KO253M4DUBJQLC" hidden="1">'[16]Reco Sheet for Fcast'!$F$15</definedName>
    <definedName name="BExTVELZCF2YA5L6F23BYZZR6WHF" localSheetId="11" hidden="1">'[17]AMI P &amp; L'!#REF!</definedName>
    <definedName name="BExTVELZCF2YA5L6F23BYZZR6WHF" hidden="1">'[17]AMI P &amp; L'!#REF!</definedName>
    <definedName name="BExTVGPIQZ99YFXUC8OONUX5BD42" hidden="1">'[16]Reco Sheet for Fcast'!$F$11:$G$11</definedName>
    <definedName name="BExTVS8U0EZLJRZ2MIUYGE8U301G" localSheetId="11"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11" hidden="1">#REF!</definedName>
    <definedName name="BExTX11TGMK4J1I8SCX5QV40L2NX" hidden="1">#REF!</definedName>
    <definedName name="BExTX1NDJMYRERGKCYTBGJXXUSGU" localSheetId="11" hidden="1">#REF!</definedName>
    <definedName name="BExTX1NDJMYRERGKCYTBGJXXUSGU" hidden="1">#REF!</definedName>
    <definedName name="BExTX476KI0RNB71XI5TYMANSGBG" hidden="1">'[16]Reco Sheet for Fcast'!$F$10:$G$10</definedName>
    <definedName name="BExTX8UBV7014XRKCDCLI03YH4RN" localSheetId="11" hidden="1">'[19]Capital orders'!#REF!</definedName>
    <definedName name="BExTX8UBV7014XRKCDCLI03YH4RN" hidden="1">'[19]Capital orders'!#REF!</definedName>
    <definedName name="BExTXJ6HBAIXMMWKZTJNFDYVZCAY" localSheetId="11" hidden="1">'[17]AMI P &amp; L'!#REF!</definedName>
    <definedName name="BExTXJ6HBAIXMMWKZTJNFDYVZCAY" hidden="1">'[17]AMI P &amp; L'!#REF!</definedName>
    <definedName name="BExTXT812NQT8GAEGH738U29BI0D" localSheetId="11" hidden="1">'[17]AMI P &amp; L'!#REF!</definedName>
    <definedName name="BExTXT812NQT8GAEGH738U29BI0D" hidden="1">'[17]AMI P &amp; L'!#REF!</definedName>
    <definedName name="BExTXWIP2TFPTQ76NHFOB72NICRZ" hidden="1">'[16]Reco Sheet for Fcast'!$H$2:$I$2</definedName>
    <definedName name="BExTY5T62H651VC86QM4X7E28JVA" localSheetId="11"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11" hidden="1">'[17]AMI P &amp; L'!#REF!</definedName>
    <definedName name="BExTZO2596CBZKPI7YNA1QQNPAIJ" hidden="1">'[17]AMI P &amp; L'!#REF!</definedName>
    <definedName name="BExTZRI5JZ4A251Y611W94RCOSWH" localSheetId="11" hidden="1">#REF!</definedName>
    <definedName name="BExTZRI5JZ4A251Y611W94RCOSWH" hidden="1">#REF!</definedName>
    <definedName name="BExTZY8TDV4U7FQL7O10G6VKWKPJ" hidden="1">'[16]Reco Sheet for Fcast'!$F$10:$G$10</definedName>
    <definedName name="BExU02QNT4LT7H9JPUC4FXTLVGZT" localSheetId="11"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11" hidden="1">#REF!</definedName>
    <definedName name="BExU0GTRJDB0T7KEE27AHPJ1VG21" hidden="1">#REF!</definedName>
    <definedName name="BExU0HKTO8WJDQDWRTUK5TETM3HS" hidden="1">'[16]Reco Sheet for Fcast'!$F$15</definedName>
    <definedName name="BExU0MO3IK2BK6Z03N91DRPAM4ZL" localSheetId="11" hidden="1">'[19]Capital orders'!#REF!</definedName>
    <definedName name="BExU0MO3IK2BK6Z03N91DRPAM4ZL" hidden="1">'[19]Capital orders'!#REF!</definedName>
    <definedName name="BExU0MTJQPE041ZN7H8UKGV6MZT7" hidden="1">'[16]Reco Sheet for Fcast'!$F$10:$G$10</definedName>
    <definedName name="BExU0XWRUGFUSOVL9IX14W0517FO" localSheetId="11"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11" hidden="1">'[17]AMI P &amp; L'!#REF!</definedName>
    <definedName name="BExU1IL9AOHFO85BZB6S60DK3N8H" hidden="1">'[17]AMI P &amp; L'!#REF!</definedName>
    <definedName name="BExU1NOPS09CLFZL1O31RAF9BQNQ" localSheetId="11"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11"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11"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11"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11"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11"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11"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11" hidden="1">'[19]Capital orders'!#REF!</definedName>
    <definedName name="BExUBWBBDMQYIMES51STJPTYF2KB" hidden="1">'[19]Capital orders'!#REF!</definedName>
    <definedName name="BExUC623BDYEODBN0N4DO6PJQ7NU" localSheetId="11"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11"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11"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11"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11"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11"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11" hidden="1">'[19]Capital orders'!#REF!</definedName>
    <definedName name="BExVVJAKR0OH8T15R52V6Z4K8OAI" hidden="1">'[19]Capital orders'!#REF!</definedName>
    <definedName name="BExVVPFO2J7FMSRPD36909HN4BZJ" localSheetId="11" hidden="1">'[17]AMI P &amp; L'!#REF!</definedName>
    <definedName name="BExVVPFO2J7FMSRPD36909HN4BZJ" hidden="1">'[17]AMI P &amp; L'!#REF!</definedName>
    <definedName name="BExVVQ19AQ3VCARJOC38SF7OYE9Y" hidden="1">'[16]Reco Sheet for Fcast'!$I$11:$J$11</definedName>
    <definedName name="BExVVQ19TAECID45CS4HXT1RD3AQ" localSheetId="11"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11"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11"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11" hidden="1">'[17]AMI P &amp; L'!#REF!</definedName>
    <definedName name="BExVXLX2BZ5EF2X6R41BTKRJR1NM" hidden="1">'[17]AMI P &amp; L'!#REF!</definedName>
    <definedName name="BExVY11V7U1SAY4QKYE0PBSPD7LW" hidden="1">'[16]Reco Sheet for Fcast'!$F$7:$G$7</definedName>
    <definedName name="BExVY1SV37DL5YU59HS4IG3VBCP4" localSheetId="11"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11"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11"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11"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11"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11"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11" hidden="1">'[17]AMI P &amp; L'!#REF!</definedName>
    <definedName name="BExW66LVVZK656PQY1257QMHP2AY" hidden="1">'[17]AMI P &amp; L'!#REF!</definedName>
    <definedName name="BExW6AY8KWN3C31NX1MZHXBFTSK7" localSheetId="11"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11" hidden="1">#REF!</definedName>
    <definedName name="BExW7H7MHCUHD1MA5VUKYPO21U2I" hidden="1">#REF!</definedName>
    <definedName name="BExW7O3S5FIOKIM535S9J7PKA52A" localSheetId="11"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11"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11"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11"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11" hidden="1">#REF!</definedName>
    <definedName name="BExXNF4F0489IITD5JLD8XFY5JNZ" hidden="1">#REF!</definedName>
    <definedName name="BExXNPM24UN2PGVL9D1TUBFRIKR4" hidden="1">'[16]Reco Sheet for Fcast'!$F$7:$G$7</definedName>
    <definedName name="BExXNWYB165VO9MHARCL5WLCHWS0" localSheetId="11" hidden="1">'[17]AMI P &amp; L'!#REF!</definedName>
    <definedName name="BExXNWYB165VO9MHARCL5WLCHWS0" hidden="1">'[17]AMI P &amp; L'!#REF!</definedName>
    <definedName name="BExXO278QHQN8JDK5425EJ615ECC" hidden="1">'[16]Reco Sheet for Fcast'!$F$7:$G$7</definedName>
    <definedName name="BExXO8N5ROLIUVFKV9AVT4EASFRY" localSheetId="11"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11"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11"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11"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11"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11" hidden="1">#REF!</definedName>
    <definedName name="BExXRLKJ6CS4AJYAEHD0WH96AEBA" hidden="1">#REF!</definedName>
    <definedName name="BExXRO4A6VUH1F4XV8N1BRJ4896W" localSheetId="11"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11"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11" hidden="1">'[19]Capital orders'!#REF!</definedName>
    <definedName name="BExXTA9CMTC19FSCX4UIQBV2C7R9" hidden="1">'[19]Capital orders'!#REF!</definedName>
    <definedName name="BExXTHLRNL82GN7KZY3TOLO508N7" hidden="1">'[16]Reco Sheet for Fcast'!$F$8:$G$8</definedName>
    <definedName name="BExXTIY89DH3YOJMAQ0Q8WTGODVQ" localSheetId="11"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11" hidden="1">'[17]AMI P &amp; L'!#REF!</definedName>
    <definedName name="BExXU8VLZA7WLPZ3RAQZGNERUD26" hidden="1">'[17]AMI P &amp; L'!#REF!</definedName>
    <definedName name="BExXUB9RSLSCNN5ETLXY72DAPZZM" hidden="1">'[16]Reco Sheet for Fcast'!$I$10:$J$10</definedName>
    <definedName name="BExXUEV8QPATH32AX9XYWBHUVOO8" localSheetId="11" hidden="1">#REF!</definedName>
    <definedName name="BExXUEV8QPATH32AX9XYWBHUVOO8" hidden="1">#REF!</definedName>
    <definedName name="BExXUFRM82XQIN2T8KGLDQL1IBQW" hidden="1">'[16]Reco Sheet for Fcast'!$G$2</definedName>
    <definedName name="BExXUFX23FE72H6IM4JSHIQV4VNK" localSheetId="11" hidden="1">#REF!</definedName>
    <definedName name="BExXUFX23FE72H6IM4JSHIQV4VNK" hidden="1">#REF!</definedName>
    <definedName name="BExXUM27VX063JGHF9FYOOLNOP4V" localSheetId="11"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11"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11"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11"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11"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11" hidden="1">'[17]AMI P &amp; L'!#REF!</definedName>
    <definedName name="BExXXZQNZY6IZI45DJXJK0MQZWA7" hidden="1">'[17]AMI P &amp; L'!#REF!</definedName>
    <definedName name="BExXY5QFG6QP94SFT3935OBM8Y4K" hidden="1">'[16]Reco Sheet for Fcast'!$I$7:$J$7</definedName>
    <definedName name="BExXY7TYEBFXRYUYIFHTN65RJ8EW" localSheetId="11" hidden="1">'[17]AMI P &amp; L'!#REF!</definedName>
    <definedName name="BExXY7TYEBFXRYUYIFHTN65RJ8EW" hidden="1">'[17]AMI P &amp; L'!#REF!</definedName>
    <definedName name="BExXYCBSIHFUY3BDHNBY5TMPFMGL" localSheetId="11"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11"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11" hidden="1">'[17]AMI P &amp; L'!#REF!</definedName>
    <definedName name="BExXZOVPCEP495TQSON6PSRQ8XCY" hidden="1">'[17]AMI P &amp; L'!#REF!</definedName>
    <definedName name="BExXZS0XCQNYYY1DP75R3PCXFSRH" localSheetId="11" hidden="1">#REF!</definedName>
    <definedName name="BExXZS0XCQNYYY1DP75R3PCXFSRH" hidden="1">#REF!</definedName>
    <definedName name="BExXZXKH7NBARQQAZM69Z57IH1MM" hidden="1">'[16]Reco Sheet for Fcast'!$F$6:$G$6</definedName>
    <definedName name="BExY06EUGA7EW4VVDQKIUQW4P39O" localSheetId="11" hidden="1">#REF!</definedName>
    <definedName name="BExY06EUGA7EW4VVDQKIUQW4P39O" hidden="1">#REF!</definedName>
    <definedName name="BExY07WSDH5QEVM7BJXJK2ZRAI1O" localSheetId="11" hidden="1">'[17]AMI P &amp; L'!#REF!</definedName>
    <definedName name="BExY07WSDH5QEVM7BJXJK2ZRAI1O" hidden="1">'[17]AMI P &amp; L'!#REF!</definedName>
    <definedName name="BExY0BI99V6MXLHXBCSPUL0OPF3M" localSheetId="11"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11"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11"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11" hidden="1">'[17]AMI P &amp; L'!#REF!</definedName>
    <definedName name="BExY3HOSK7YI364K15OX70AVR6F1" hidden="1">'[17]AMI P &amp; L'!#REF!</definedName>
    <definedName name="BExY3T89AUR83SOAZZ3OMDEJDQ39" hidden="1">'[16]Reco Sheet for Fcast'!$F$10:$G$10</definedName>
    <definedName name="BExY45O3XSWT6MQU6R33GI3YUAUM" localSheetId="11"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11"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11" hidden="1">#REF!</definedName>
    <definedName name="BExZJWDUEYTV7TBR6HSM97T24VTT" hidden="1">#REF!</definedName>
    <definedName name="BExZK34NR4BAD7HJAP7SQ926UQP3" hidden="1">'[16]Reco Sheet for Fcast'!$F$11:$G$11</definedName>
    <definedName name="BExZK3FGPHH5H771U7D5XY7XBS6E" localSheetId="11" hidden="1">'[17]AMI P &amp; L'!#REF!</definedName>
    <definedName name="BExZK3FGPHH5H771U7D5XY7XBS6E" hidden="1">'[17]AMI P &amp; L'!#REF!</definedName>
    <definedName name="BExZKHYORG3O8C772XPFHM1N8T80" localSheetId="11"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11"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11"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11" hidden="1">#REF!</definedName>
    <definedName name="BExZO8TVZX68PZ4ENQ8QOILK16OS" hidden="1">#REF!</definedName>
    <definedName name="BExZOAH4GDULQO35ZGF099VIFGNC" localSheetId="11"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11"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11" hidden="1">'[19]Capital orders'!#REF!</definedName>
    <definedName name="BExZQBLMR2P2GZNI8IW6QBSS5ZV9" hidden="1">'[19]Capital orders'!#REF!</definedName>
    <definedName name="BExZQIHTGHK7OOI2Y2PN3JYBY82I" localSheetId="11" hidden="1">'[17]AMI P &amp; L'!#REF!</definedName>
    <definedName name="BExZQIHTGHK7OOI2Y2PN3JYBY82I" hidden="1">'[17]AMI P &amp; L'!#REF!</definedName>
    <definedName name="BExZQJJMGU5MHQOILGXGJPAQI5XI" localSheetId="11" hidden="1">'[17]AMI P &amp; L'!#REF!</definedName>
    <definedName name="BExZQJJMGU5MHQOILGXGJPAQI5XI" hidden="1">'[17]AMI P &amp; L'!#REF!</definedName>
    <definedName name="BExZQP3CUHU0IRXBVRJLP1KYRDVE" localSheetId="11" hidden="1">#REF!</definedName>
    <definedName name="BExZQP3CUHU0IRXBVRJLP1KYRDVE" hidden="1">#REF!</definedName>
    <definedName name="BExZQRHGZ7WP7RQ2CX0H6W1CIP9U" localSheetId="11" hidden="1">#REF!</definedName>
    <definedName name="BExZQRHGZ7WP7RQ2CX0H6W1CIP9U" hidden="1">#REF!</definedName>
    <definedName name="BExZQWFMANQLA8Z37ZECN1VLXVSB" localSheetId="11" hidden="1">#REF!</definedName>
    <definedName name="BExZQWFMANQLA8Z37ZECN1VLXVSB" hidden="1">#REF!</definedName>
    <definedName name="BExZQXBYEBN28QUH1KOVW6KKA5UM" hidden="1">'[16]Reco Sheet for Fcast'!$F$15</definedName>
    <definedName name="BExZQZKT146WEN8FTVZ7Y5TSB8L5" localSheetId="11"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11" hidden="1">'[17]AMI P &amp; L'!#REF!</definedName>
    <definedName name="BExZRP1X6UVLN1UOLHH5VF4STP1O" hidden="1">'[17]AMI P &amp; L'!#REF!</definedName>
    <definedName name="BExZRQ930U6OCYNV00CH5I0Q4LPE" hidden="1">'[16]Reco Sheet for Fcast'!$I$8:$J$8</definedName>
    <definedName name="BExZRW8W514W8OZ72YBONYJ64GXF" localSheetId="11" hidden="1">'[17]AMI P &amp; L'!#REF!</definedName>
    <definedName name="BExZRW8W514W8OZ72YBONYJ64GXF" hidden="1">'[17]AMI P &amp; L'!#REF!</definedName>
    <definedName name="BExZRWJP2BUVFJPO8U8ATQEP0LZU" hidden="1">'[16]Reco Sheet for Fcast'!$F$15</definedName>
    <definedName name="BExZRZUBL5A1WH7YZJXBZG8HPWC7" localSheetId="11"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11" hidden="1">#REF!</definedName>
    <definedName name="BExZT394ULBLT8EUHBM7KV741HQI" hidden="1">#REF!</definedName>
    <definedName name="BExZTAQV2QVSZY5Y3VCCWUBSBW9P" localSheetId="11"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11"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11"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11"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11"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11"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11"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11" hidden="1">#REF!</definedName>
    <definedName name="BExZZ8VO1HB3783L61XHP87HBCBE" hidden="1">#REF!</definedName>
    <definedName name="BExZZCHAVHW8C2H649KRGVQ0WVRT" hidden="1">'[16]Reco Sheet for Fcast'!$I$9:$J$9</definedName>
    <definedName name="BExZZTK54OTLF2YB68BHGOS27GEN" localSheetId="11" hidden="1">'[17]AMI P &amp; L'!#REF!</definedName>
    <definedName name="BExZZTK54OTLF2YB68BHGOS27GEN" hidden="1">'[17]AMI P &amp; L'!#REF!</definedName>
    <definedName name="BExZZXB3JQQG4SIZS4MRU6NNW7HI" hidden="1">'[16]Reco Sheet for Fcast'!$F$7:$G$7</definedName>
    <definedName name="BExZZZEMIIFKMLLV4DJKX5TB9R5V" localSheetId="11"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11"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11"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'[22]Business &amp; other details'!$C$34</definedName>
    <definedName name="d" localSheetId="11"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OFFSET([23]DbData!$A$5,0,0,COUNTA([23]DbData!$A$5:$A$65536),COUNTA([23]DbData!$5:$5))</definedName>
    <definedName name="Date_Range">[2]Data1!$A$2:$A$10,[2]Data1!$A$11:$A$286</definedName>
    <definedName name="Dauys"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11"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'[24]AER only'!$M$12:$M$42</definedName>
    <definedName name="dms_ABN_List">'[24]AER only'!$D$12:$D$42</definedName>
    <definedName name="dms_Addr1_List">'[24]AER only'!$R$12:$R$42</definedName>
    <definedName name="dms_Addr2_List">'[24]AER only'!$S$12:$S$42</definedName>
    <definedName name="dms_CFinalYear_List">'[24]AER only'!$H$66:$H$75</definedName>
    <definedName name="dms_ContactEmail_List">'[24]AER only'!$AD$12:$AD$42</definedName>
    <definedName name="dms_ContactName1_List">'[24]AER only'!$AB$12:$AB$42</definedName>
    <definedName name="dms_ContactPh1_List">'[24]AER only'!$AC$12:$AC$42</definedName>
    <definedName name="dms_CRCP_FinalYear_Num">'[25]Business &amp; other details'!$D$62</definedName>
    <definedName name="dms_CRCP_index">'[24]AER only'!$H$79:$H$88</definedName>
    <definedName name="dms_CRCP_years">'[24]AER only'!$F$79:$F$88</definedName>
    <definedName name="dms_CRCP_yR">'[26]AER only'!$F$87</definedName>
    <definedName name="dms_CRCP_yS">'[26]AER only'!$F$86</definedName>
    <definedName name="dms_CRCP_yT">'[26]AER only'!$F$85</definedName>
    <definedName name="dms_CRCP_yU">'[26]AER only'!$F$84</definedName>
    <definedName name="dms_CRCP_yV">'[26]AER only'!$F$83</definedName>
    <definedName name="dms_CRCP_yW">'[26]AER only'!$F$82</definedName>
    <definedName name="dms_CRCP_yX">'[26]AER only'!$F$81</definedName>
    <definedName name="dms_CRCP_yY">'[26]AER only'!$F$80</definedName>
    <definedName name="dms_CRCP_yZ">'[24]AER only'!$F$79</definedName>
    <definedName name="dms_CRCPlength_List">'[24]AER only'!$K$12:$K$42</definedName>
    <definedName name="dms_CRCPlength_Num">'[24]Business &amp; other details'!$C$77</definedName>
    <definedName name="dms_CRCPlength_Num_List">'[24]AER only'!$G$66:$G$75</definedName>
    <definedName name="dms_CRY_ListC">'[24]AER only'!$K$66:$K$80</definedName>
    <definedName name="dms_CRY_ListF">'[24]AER only'!$J$66:$J$80</definedName>
    <definedName name="dms_DataQuality_List">'[24]AER only'!$B$82:$B$86</definedName>
    <definedName name="dms_DeterminationRef_List">'[24]AER only'!$N$12:$N$42</definedName>
    <definedName name="dms_FinalYear_List">'[24]AER only'!$F$66:$F$75</definedName>
    <definedName name="dms_FormControl_List">'[24]AER only'!$H$12:$H$42</definedName>
    <definedName name="dms_FRCP_FinalYear_Num">'[25]Business &amp; other details'!$D$59</definedName>
    <definedName name="dms_FRCP_y1">'[26]AER only'!$D$79</definedName>
    <definedName name="dms_FRCP_y2">'[24]AER only'!$D$80</definedName>
    <definedName name="dms_FRCP_y3">'[24]AER only'!$D$81</definedName>
    <definedName name="dms_FRCP_y4">'[24]AER only'!$D$82</definedName>
    <definedName name="dms_FRCP_y5">'[24]AER only'!$D$83</definedName>
    <definedName name="dms_FRCP_y6">'[24]AER only'!$D$84</definedName>
    <definedName name="dms_FRCP_y7">'[26]AER only'!$D$85</definedName>
    <definedName name="dms_FRCP_y8">'[26]AER only'!$D$86</definedName>
    <definedName name="dms_FRCP_y9">'[26]AER only'!$D$87</definedName>
    <definedName name="dms_FRCPlength_List">'[24]AER only'!$L$12:$L$42</definedName>
    <definedName name="dms_FRCPlength_Num">'[24]Business &amp; other details'!$C$74</definedName>
    <definedName name="dms_FRCPlength_Num_List">'[24]AER only'!$E$66:$E$75</definedName>
    <definedName name="dms_JurisdictionList">'[24]AER only'!$E$12:$E$42</definedName>
    <definedName name="dms_Model">'[22]Business &amp; other details'!$C$47</definedName>
    <definedName name="dms_Model_List">'[22]AER only'!$B$48:$B$55</definedName>
    <definedName name="dms_MultiYear_Flag">'[24]Business &amp; other details'!$C$67</definedName>
    <definedName name="dms_PAddr1_List">'[24]AER only'!$W$12:$W$42</definedName>
    <definedName name="dms_PAddr2_List">'[24]AER only'!$X$12:$X$42</definedName>
    <definedName name="dms_PostCode_List">'[24]AER only'!$V$12:$V$42</definedName>
    <definedName name="dms_PPostCode_List">'[24]AER only'!$AA$12:$AA$42</definedName>
    <definedName name="dms_PState_List">'[24]AER only'!$Z$12:$Z$42</definedName>
    <definedName name="dms_PSuburb_List">'[24]AER only'!$Y$12:$Y$42</definedName>
    <definedName name="dms_RPT_List">'[24]AER only'!$I$12:$I$42</definedName>
    <definedName name="dms_RPTMonth_List">'[24]AER only'!$J$12:$J$42</definedName>
    <definedName name="dms_RYE">'[25]Business &amp; other details'!$D$45</definedName>
    <definedName name="dms_RYE_Formula_Result">'[24]AER only'!$E$48:$E$55</definedName>
    <definedName name="dms_Sector_List">'[24]AER only'!$F$12:$F$42</definedName>
    <definedName name="dms_Segment_List">'[24]AER only'!$G$12:$G$42</definedName>
    <definedName name="dms_SingleYear_FinalYear_Result">'[26]Business &amp; other details'!$C$73</definedName>
    <definedName name="dms_SingleYear_Model">'[24]Business &amp; other details'!$C$69:$C$71</definedName>
    <definedName name="dms_SourceList">'[24]AER only'!$B$66:$B$79</definedName>
    <definedName name="dms_State_List">'[24]AER only'!$U$12:$U$42</definedName>
    <definedName name="dms_Suburb_List">'[24]AER only'!$T$12:$T$42</definedName>
    <definedName name="dms_TradingName">'[27]Business &amp; other details'!$C$14</definedName>
    <definedName name="dms_TradingName_List">'[28]AER only'!$B$12:$B$42</definedName>
    <definedName name="dms_TradingNameFull_List">'[28]AER only'!$C$12:$C$42</definedName>
    <definedName name="dms_Worksheet_List">'[22]AER only'!$C$48:$C$55</definedName>
    <definedName name="e" localSheetId="11"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11"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11"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1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11"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11"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11"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11"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11"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11" hidden="1">{#N/A,#N/A,FALSE,"pcf";#N/A,#N/A,FALSE,"pcr"}</definedName>
    <definedName name="FF" hidden="1">{#N/A,#N/A,FALSE,"pcf";#N/A,#N/A,FALSE,"pcr"}</definedName>
    <definedName name="foo" localSheetId="1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'[26]Business &amp; other details'!$G$35</definedName>
    <definedName name="gbes" localSheetId="11"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11"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11" hidden="1">{#N/A,#N/A,FALSE,"pcf";#N/A,#N/A,FALSE,"pcr"}</definedName>
    <definedName name="GFGFH" hidden="1">{#N/A,#N/A,FALSE,"pcf";#N/A,#N/A,FALSE,"pcr"}</definedName>
    <definedName name="grrrr" localSheetId="11"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11" hidden="1">{#N/A,#N/A,FALSE,"pcf";#N/A,#N/A,FALSE,"pcr"}</definedName>
    <definedName name="hj" hidden="1">{#N/A,#N/A,FALSE,"pcf";#N/A,#N/A,FALSE,"pcr"}</definedName>
    <definedName name="III" localSheetId="11"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11"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11"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11"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11" hidden="1">{#N/A,#N/A,FALSE,"pcf";#N/A,#N/A,FALSE,"pcr"}</definedName>
    <definedName name="kmhjyuk" hidden="1">{#N/A,#N/A,FALSE,"pcf";#N/A,#N/A,FALSE,"pcr"}</definedName>
    <definedName name="kmim" localSheetId="11"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11"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'[29]Estimate of regional breakdown'!$K$6</definedName>
    <definedName name="nhdtyjdf" localSheetId="11" hidden="1">{#N/A,#N/A,FALSE,"pcf";#N/A,#N/A,FALSE,"pcr"}</definedName>
    <definedName name="nhdtyjdf" hidden="1">{#N/A,#N/A,FALSE,"pcf";#N/A,#N/A,FALSE,"pcr"}</definedName>
    <definedName name="Nominal_to_Real">'[30]Input|Rate of change'!$C$25:$C$30</definedName>
    <definedName name="NSWloss">'[31]Dx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'[30]Lookup|Tables'!$G$14</definedName>
    <definedName name="PPP" localSheetId="11"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11"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'[31]Dx losses'!$D$33</definedName>
    <definedName name="QQ"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11"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11" hidden="1">{#N/A,#N/A,FALSE,"pcf";#N/A,#N/A,FALSE,"pcr"}</definedName>
    <definedName name="RRRR" hidden="1">{#N/A,#N/A,FALSE,"pcf";#N/A,#N/A,FALSE,"pcr"}</definedName>
    <definedName name="rtgbr" localSheetId="11"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'[31]Dx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11" hidden="1">{#N/A,#N/A,FALSE,"pcf";#N/A,#N/A,FALSE,"pcr"}</definedName>
    <definedName name="sdfasdf" hidden="1">{#N/A,#N/A,FALSE,"pcf";#N/A,#N/A,FALSE,"pcr"}</definedName>
    <definedName name="sertyuw"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11"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11"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11"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11"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11"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11"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11"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11"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'[31]Dx losses'!$F$33</definedName>
    <definedName name="tiimt" localSheetId="11" hidden="1">{#N/A,#N/A,FALSE,"pcf";#N/A,#N/A,FALSE,"pcr"}</definedName>
    <definedName name="tiimt" hidden="1">{#N/A,#N/A,FALSE,"pcf";#N/A,#N/A,FALSE,"pcr"}</definedName>
    <definedName name="tikt"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[32]Contents!$B$1</definedName>
    <definedName name="tiumut" localSheetId="11" hidden="1">{#N/A,#N/A,FALSE,"SUM QTR 3";#N/A,#N/A,FALSE,"Detail QTR 3 (w_o ly)"}</definedName>
    <definedName name="tiumut" hidden="1">{#N/A,#N/A,FALSE,"SUM QTR 3";#N/A,#N/A,FALSE,"Detail QTR 3 (w_o ly)"}</definedName>
    <definedName name="ujm" localSheetId="11"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11"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'[31]Dx losses'!$G$33</definedName>
    <definedName name="w" localSheetId="11" hidden="1">{#N/A,#N/A,FALSE,"pcf";#N/A,#N/A,FALSE,"pcr"}</definedName>
    <definedName name="w" hidden="1">{#N/A,#N/A,FALSE,"pcf";#N/A,#N/A,FALSE,"pcr"}</definedName>
    <definedName name="w4yy"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1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11" hidden="1">{#N/A,#N/A,FALSE,"pcf";#N/A,#N/A,FALSE,"pcr"}</definedName>
    <definedName name="wrn.S_R._.tables." hidden="1">{#N/A,#N/A,FALSE,"pcf";#N/A,#N/A,FALSE,"pcr"}</definedName>
    <definedName name="wrn.S_RQTR3." localSheetId="11" hidden="1">{#N/A,#N/A,FALSE,"SUM QTR 3";#N/A,#N/A,FALSE,"Detail QTR 3 (w_o ly)"}</definedName>
    <definedName name="wrn.S_RQTR3." hidden="1">{#N/A,#N/A,FALSE,"SUM QTR 3";#N/A,#N/A,FALSE,"Detail QTR 3 (w_o ly)"}</definedName>
    <definedName name="yht" localSheetId="11" hidden="1">{#N/A,#N/A,FALSE,"SUM QTR 3";#N/A,#N/A,FALSE,"Detail QTR 3 (w_o ly)"}</definedName>
    <definedName name="yht" hidden="1">{#N/A,#N/A,FALSE,"SUM QTR 3";#N/A,#N/A,FALSE,"Detail QTR 3 (w_o ly)"}</definedName>
  </definedNames>
  <calcPr calcId="162913"/>
  <fileRecoveryPr autoRecover="0"/>
</workbook>
</file>

<file path=xl/calcChain.xml><?xml version="1.0" encoding="utf-8"?>
<calcChain xmlns="http://schemas.openxmlformats.org/spreadsheetml/2006/main">
  <c r="I28" i="50" l="1"/>
  <c r="I27" i="50"/>
  <c r="I26" i="50"/>
  <c r="I25" i="50"/>
  <c r="I23" i="50"/>
  <c r="O17" i="50"/>
  <c r="N17" i="50"/>
  <c r="O16" i="50"/>
  <c r="N16" i="50"/>
  <c r="O15" i="50"/>
  <c r="O14" i="50"/>
  <c r="N14" i="50"/>
  <c r="O13" i="50"/>
  <c r="N13" i="50"/>
  <c r="O12" i="50"/>
  <c r="N12" i="50"/>
  <c r="O11" i="50"/>
  <c r="N11" i="50"/>
  <c r="O10" i="50"/>
  <c r="N10" i="50"/>
  <c r="G10" i="50"/>
  <c r="O9" i="50"/>
  <c r="N9" i="50"/>
  <c r="O8" i="50"/>
  <c r="N8" i="50"/>
  <c r="O7" i="50"/>
  <c r="N7" i="50"/>
  <c r="O6" i="50"/>
  <c r="N6" i="50"/>
  <c r="O5" i="50"/>
  <c r="U79" i="52"/>
  <c r="V31" i="50"/>
  <c r="V30" i="50"/>
  <c r="V26" i="50"/>
  <c r="V24" i="50"/>
  <c r="V23" i="50"/>
  <c r="W79" i="52"/>
  <c r="V79" i="52"/>
  <c r="T79" i="52"/>
  <c r="S79" i="52"/>
  <c r="R79" i="52"/>
  <c r="Q79" i="52"/>
  <c r="P79" i="52"/>
  <c r="O79" i="52"/>
  <c r="N79" i="52"/>
  <c r="M79" i="52"/>
  <c r="L79" i="52"/>
  <c r="K79" i="52"/>
  <c r="J79" i="52"/>
  <c r="W78" i="52"/>
  <c r="V78" i="52"/>
  <c r="U78" i="52"/>
  <c r="T78" i="52"/>
  <c r="S78" i="52"/>
  <c r="R78" i="52"/>
  <c r="Q78" i="52"/>
  <c r="P78" i="52"/>
  <c r="O78" i="52"/>
  <c r="N78" i="52"/>
  <c r="M78" i="52"/>
  <c r="L78" i="52"/>
  <c r="K78" i="52"/>
  <c r="J78" i="52"/>
  <c r="W77" i="52"/>
  <c r="V77" i="52"/>
  <c r="U77" i="52"/>
  <c r="T77" i="52"/>
  <c r="S77" i="52"/>
  <c r="R77" i="52"/>
  <c r="Q77" i="52"/>
  <c r="P77" i="52"/>
  <c r="O77" i="52"/>
  <c r="N77" i="52"/>
  <c r="M77" i="52"/>
  <c r="L77" i="52"/>
  <c r="K77" i="52"/>
  <c r="J77" i="52"/>
  <c r="W76" i="52"/>
  <c r="V76" i="52"/>
  <c r="U76" i="52"/>
  <c r="T76" i="52"/>
  <c r="S76" i="52"/>
  <c r="R76" i="52"/>
  <c r="Q76" i="52"/>
  <c r="P76" i="52"/>
  <c r="O76" i="52"/>
  <c r="N76" i="52"/>
  <c r="M76" i="52"/>
  <c r="L76" i="52"/>
  <c r="K76" i="52"/>
  <c r="J76" i="52"/>
  <c r="W75" i="52"/>
  <c r="V75" i="52"/>
  <c r="U75" i="52"/>
  <c r="T75" i="52"/>
  <c r="S75" i="52"/>
  <c r="R75" i="52"/>
  <c r="Q75" i="52"/>
  <c r="P75" i="52"/>
  <c r="O75" i="52"/>
  <c r="N75" i="52"/>
  <c r="M75" i="52"/>
  <c r="L75" i="52"/>
  <c r="K75" i="52"/>
  <c r="J75" i="52"/>
  <c r="W74" i="52"/>
  <c r="V74" i="52"/>
  <c r="U74" i="52"/>
  <c r="T74" i="52"/>
  <c r="S74" i="52"/>
  <c r="R74" i="52"/>
  <c r="Q74" i="52"/>
  <c r="P74" i="52"/>
  <c r="O74" i="52"/>
  <c r="N74" i="52"/>
  <c r="M74" i="52"/>
  <c r="L74" i="52"/>
  <c r="K74" i="52"/>
  <c r="J74" i="52"/>
  <c r="W73" i="52"/>
  <c r="V73" i="52"/>
  <c r="U73" i="52"/>
  <c r="T73" i="52"/>
  <c r="S73" i="52"/>
  <c r="R73" i="52"/>
  <c r="Q73" i="52"/>
  <c r="P73" i="52"/>
  <c r="O73" i="52"/>
  <c r="N73" i="52"/>
  <c r="M73" i="52"/>
  <c r="L73" i="52"/>
  <c r="K73" i="52"/>
  <c r="J73" i="52"/>
  <c r="W72" i="52"/>
  <c r="V72" i="52"/>
  <c r="U72" i="52"/>
  <c r="T72" i="52"/>
  <c r="S72" i="52"/>
  <c r="R72" i="52"/>
  <c r="Q72" i="52"/>
  <c r="P72" i="52"/>
  <c r="O72" i="52"/>
  <c r="N72" i="52"/>
  <c r="M72" i="52"/>
  <c r="L72" i="52"/>
  <c r="K72" i="52"/>
  <c r="J72" i="52"/>
  <c r="W71" i="52"/>
  <c r="V71" i="52"/>
  <c r="U71" i="52"/>
  <c r="T71" i="52"/>
  <c r="S71" i="52"/>
  <c r="R71" i="52"/>
  <c r="Q71" i="52"/>
  <c r="P71" i="52"/>
  <c r="O71" i="52"/>
  <c r="N71" i="52"/>
  <c r="M71" i="52"/>
  <c r="L71" i="52"/>
  <c r="K71" i="52"/>
  <c r="J71" i="52"/>
  <c r="W70" i="52"/>
  <c r="V70" i="52"/>
  <c r="U70" i="52"/>
  <c r="T70" i="52"/>
  <c r="S70" i="52"/>
  <c r="R70" i="52"/>
  <c r="Q70" i="52"/>
  <c r="P70" i="52"/>
  <c r="O70" i="52"/>
  <c r="N70" i="52"/>
  <c r="M70" i="52"/>
  <c r="L70" i="52"/>
  <c r="K70" i="52"/>
  <c r="J70" i="52"/>
  <c r="W69" i="52"/>
  <c r="V69" i="52"/>
  <c r="U69" i="52"/>
  <c r="T69" i="52"/>
  <c r="S69" i="52"/>
  <c r="R69" i="52"/>
  <c r="Q69" i="52"/>
  <c r="P69" i="52"/>
  <c r="O69" i="52"/>
  <c r="N69" i="52"/>
  <c r="M69" i="52"/>
  <c r="L69" i="52"/>
  <c r="K69" i="52"/>
  <c r="J69" i="52"/>
  <c r="W68" i="52"/>
  <c r="V68" i="52"/>
  <c r="U68" i="52"/>
  <c r="T68" i="52"/>
  <c r="S68" i="52"/>
  <c r="R68" i="52"/>
  <c r="Q68" i="52"/>
  <c r="P68" i="52"/>
  <c r="O68" i="52"/>
  <c r="N68" i="52"/>
  <c r="M68" i="52"/>
  <c r="L68" i="52"/>
  <c r="K68" i="52"/>
  <c r="J68" i="52"/>
  <c r="W67" i="52"/>
  <c r="V67" i="52"/>
  <c r="U67" i="52"/>
  <c r="T67" i="52"/>
  <c r="S67" i="52"/>
  <c r="R67" i="52"/>
  <c r="Q67" i="52"/>
  <c r="P67" i="52"/>
  <c r="O67" i="52"/>
  <c r="N67" i="52"/>
  <c r="M67" i="52"/>
  <c r="L67" i="52"/>
  <c r="K67" i="52"/>
  <c r="J67" i="52"/>
  <c r="W47" i="52"/>
  <c r="V47" i="52"/>
  <c r="U47" i="52"/>
  <c r="T47" i="52"/>
  <c r="S47" i="52"/>
  <c r="R47" i="52"/>
  <c r="Q47" i="52"/>
  <c r="P47" i="52"/>
  <c r="O47" i="52"/>
  <c r="N47" i="52"/>
  <c r="M47" i="52"/>
  <c r="L47" i="52"/>
  <c r="K47" i="52"/>
  <c r="J47" i="52"/>
  <c r="I47" i="52"/>
  <c r="W46" i="52"/>
  <c r="V46" i="52"/>
  <c r="U46" i="52"/>
  <c r="T46" i="52"/>
  <c r="S46" i="52"/>
  <c r="R46" i="52"/>
  <c r="Q46" i="52"/>
  <c r="P46" i="52"/>
  <c r="O46" i="52"/>
  <c r="N46" i="52"/>
  <c r="M46" i="52"/>
  <c r="L46" i="52"/>
  <c r="K46" i="52"/>
  <c r="J46" i="52"/>
  <c r="I46" i="52"/>
  <c r="W42" i="52"/>
  <c r="V42" i="52"/>
  <c r="U42" i="52"/>
  <c r="T42" i="52"/>
  <c r="S42" i="52"/>
  <c r="S61" i="52" s="1"/>
  <c r="R42" i="52"/>
  <c r="Q42" i="52"/>
  <c r="P42" i="52"/>
  <c r="O42" i="52"/>
  <c r="O61" i="52" s="1"/>
  <c r="N42" i="52"/>
  <c r="M42" i="52"/>
  <c r="L42" i="52"/>
  <c r="K42" i="52"/>
  <c r="K61" i="52" s="1"/>
  <c r="J42" i="52"/>
  <c r="W41" i="52"/>
  <c r="V41" i="52"/>
  <c r="U41" i="52"/>
  <c r="U60" i="52" s="1"/>
  <c r="T41" i="52"/>
  <c r="S41" i="52"/>
  <c r="R41" i="52"/>
  <c r="Q41" i="52"/>
  <c r="Q60" i="52" s="1"/>
  <c r="P41" i="52"/>
  <c r="O41" i="52"/>
  <c r="N41" i="52"/>
  <c r="M41" i="52"/>
  <c r="M60" i="52" s="1"/>
  <c r="L41" i="52"/>
  <c r="K41" i="52"/>
  <c r="J41" i="52"/>
  <c r="W40" i="52"/>
  <c r="V40" i="52"/>
  <c r="U40" i="52"/>
  <c r="T40" i="52"/>
  <c r="S40" i="52"/>
  <c r="S59" i="52" s="1"/>
  <c r="R40" i="52"/>
  <c r="Q40" i="52"/>
  <c r="P40" i="52"/>
  <c r="O40" i="52"/>
  <c r="O59" i="52" s="1"/>
  <c r="N40" i="52"/>
  <c r="M40" i="52"/>
  <c r="L40" i="52"/>
  <c r="K40" i="52"/>
  <c r="J40" i="52"/>
  <c r="W39" i="52"/>
  <c r="V39" i="52"/>
  <c r="V58" i="52" s="1"/>
  <c r="U39" i="52"/>
  <c r="U58" i="52" s="1"/>
  <c r="T39" i="52"/>
  <c r="S39" i="52"/>
  <c r="R39" i="52"/>
  <c r="R58" i="52" s="1"/>
  <c r="Q39" i="52"/>
  <c r="Q58" i="52" s="1"/>
  <c r="P39" i="52"/>
  <c r="O39" i="52"/>
  <c r="N39" i="52"/>
  <c r="N58" i="52" s="1"/>
  <c r="M39" i="52"/>
  <c r="M58" i="52" s="1"/>
  <c r="L39" i="52"/>
  <c r="K39" i="52"/>
  <c r="J39" i="52"/>
  <c r="J58" i="52" s="1"/>
  <c r="W38" i="52"/>
  <c r="W57" i="52" s="1"/>
  <c r="V38" i="52"/>
  <c r="U38" i="52"/>
  <c r="T38" i="52"/>
  <c r="S38" i="52"/>
  <c r="S57" i="52" s="1"/>
  <c r="R38" i="52"/>
  <c r="Q38" i="52"/>
  <c r="P38" i="52"/>
  <c r="O38" i="52"/>
  <c r="O57" i="52" s="1"/>
  <c r="N38" i="52"/>
  <c r="M38" i="52"/>
  <c r="L38" i="52"/>
  <c r="K38" i="52"/>
  <c r="K57" i="52" s="1"/>
  <c r="J38" i="52"/>
  <c r="W37" i="52"/>
  <c r="V37" i="52"/>
  <c r="U37" i="52"/>
  <c r="U56" i="52" s="1"/>
  <c r="T37" i="52"/>
  <c r="S37" i="52"/>
  <c r="R37" i="52"/>
  <c r="Q37" i="52"/>
  <c r="P37" i="52"/>
  <c r="O37" i="52"/>
  <c r="N37" i="52"/>
  <c r="M37" i="52"/>
  <c r="L37" i="52"/>
  <c r="K37" i="52"/>
  <c r="J37" i="52"/>
  <c r="W36" i="52"/>
  <c r="W55" i="52" s="1"/>
  <c r="V36" i="52"/>
  <c r="U36" i="52"/>
  <c r="T36" i="52"/>
  <c r="S36" i="52"/>
  <c r="S55" i="52" s="1"/>
  <c r="R36" i="52"/>
  <c r="Q36" i="52"/>
  <c r="P36" i="52"/>
  <c r="O36" i="52"/>
  <c r="O55" i="52" s="1"/>
  <c r="N36" i="52"/>
  <c r="M36" i="52"/>
  <c r="L36" i="52"/>
  <c r="K36" i="52"/>
  <c r="K55" i="52" s="1"/>
  <c r="J36" i="52"/>
  <c r="W35" i="52"/>
  <c r="V35" i="52"/>
  <c r="V54" i="52" s="1"/>
  <c r="U35" i="52"/>
  <c r="U54" i="52" s="1"/>
  <c r="T35" i="52"/>
  <c r="S35" i="52"/>
  <c r="R35" i="52"/>
  <c r="R54" i="52" s="1"/>
  <c r="Q35" i="52"/>
  <c r="Q54" i="52" s="1"/>
  <c r="P35" i="52"/>
  <c r="O35" i="52"/>
  <c r="N35" i="52"/>
  <c r="N54" i="52" s="1"/>
  <c r="M35" i="52"/>
  <c r="M54" i="52" s="1"/>
  <c r="L35" i="52"/>
  <c r="K35" i="52"/>
  <c r="J35" i="52"/>
  <c r="J54" i="52" s="1"/>
  <c r="W34" i="52"/>
  <c r="W53" i="52" s="1"/>
  <c r="V34" i="52"/>
  <c r="U34" i="52"/>
  <c r="T34" i="52"/>
  <c r="S34" i="52"/>
  <c r="S53" i="52" s="1"/>
  <c r="R34" i="52"/>
  <c r="Q34" i="52"/>
  <c r="P34" i="52"/>
  <c r="O34" i="52"/>
  <c r="O53" i="52" s="1"/>
  <c r="N34" i="52"/>
  <c r="M34" i="52"/>
  <c r="L34" i="52"/>
  <c r="K34" i="52"/>
  <c r="K53" i="52" s="1"/>
  <c r="J34" i="52"/>
  <c r="W33" i="52"/>
  <c r="V33" i="52"/>
  <c r="V52" i="52" s="1"/>
  <c r="U33" i="52"/>
  <c r="U52" i="52" s="1"/>
  <c r="T33" i="52"/>
  <c r="S33" i="52"/>
  <c r="R33" i="52"/>
  <c r="R52" i="52" s="1"/>
  <c r="Q33" i="52"/>
  <c r="Q52" i="52" s="1"/>
  <c r="P33" i="52"/>
  <c r="O33" i="52"/>
  <c r="N33" i="52"/>
  <c r="N52" i="52" s="1"/>
  <c r="M33" i="52"/>
  <c r="M52" i="52" s="1"/>
  <c r="L33" i="52"/>
  <c r="K33" i="52"/>
  <c r="J33" i="52"/>
  <c r="J52" i="52" s="1"/>
  <c r="W32" i="52"/>
  <c r="W51" i="52" s="1"/>
  <c r="V32" i="52"/>
  <c r="U32" i="52"/>
  <c r="T32" i="52"/>
  <c r="S32" i="52"/>
  <c r="S51" i="52" s="1"/>
  <c r="R32" i="52"/>
  <c r="Q32" i="52"/>
  <c r="P32" i="52"/>
  <c r="O32" i="52"/>
  <c r="O51" i="52" s="1"/>
  <c r="N32" i="52"/>
  <c r="M32" i="52"/>
  <c r="L32" i="52"/>
  <c r="K32" i="52"/>
  <c r="K51" i="52" s="1"/>
  <c r="J32" i="52"/>
  <c r="W31" i="52"/>
  <c r="V31" i="52"/>
  <c r="V50" i="52" s="1"/>
  <c r="U31" i="52"/>
  <c r="U50" i="52" s="1"/>
  <c r="T31" i="52"/>
  <c r="S31" i="52"/>
  <c r="R31" i="52"/>
  <c r="R50" i="52" s="1"/>
  <c r="Q31" i="52"/>
  <c r="Q50" i="52" s="1"/>
  <c r="P31" i="52"/>
  <c r="O31" i="52"/>
  <c r="N31" i="52"/>
  <c r="N50" i="52" s="1"/>
  <c r="M31" i="52"/>
  <c r="M50" i="52" s="1"/>
  <c r="L31" i="52"/>
  <c r="K31" i="52"/>
  <c r="J31" i="52"/>
  <c r="J50" i="52" s="1"/>
  <c r="W30" i="52"/>
  <c r="W49" i="52" s="1"/>
  <c r="V30" i="52"/>
  <c r="U30" i="52"/>
  <c r="T30" i="52"/>
  <c r="S30" i="52"/>
  <c r="S49" i="52" s="1"/>
  <c r="R30" i="52"/>
  <c r="Q30" i="52"/>
  <c r="P30" i="52"/>
  <c r="O30" i="52"/>
  <c r="O49" i="52" s="1"/>
  <c r="N30" i="52"/>
  <c r="M30" i="52"/>
  <c r="L30" i="52"/>
  <c r="K30" i="52"/>
  <c r="K49" i="52" s="1"/>
  <c r="J30" i="52"/>
  <c r="E25" i="52"/>
  <c r="N41" i="50"/>
  <c r="V34" i="50"/>
  <c r="V33" i="50"/>
  <c r="V32" i="50"/>
  <c r="V29" i="50"/>
  <c r="V28" i="50"/>
  <c r="V27" i="50"/>
  <c r="V25" i="50"/>
  <c r="V22" i="50"/>
  <c r="N22" i="50"/>
  <c r="K22" i="50"/>
  <c r="W61" i="52" l="1"/>
  <c r="L49" i="52"/>
  <c r="L51" i="52"/>
  <c r="L53" i="52"/>
  <c r="L55" i="52"/>
  <c r="J56" i="52"/>
  <c r="R56" i="52"/>
  <c r="L57" i="52"/>
  <c r="T57" i="52"/>
  <c r="L59" i="52"/>
  <c r="T59" i="52"/>
  <c r="J60" i="52"/>
  <c r="N60" i="52"/>
  <c r="R60" i="52"/>
  <c r="V60" i="52"/>
  <c r="L61" i="52"/>
  <c r="T61" i="52"/>
  <c r="M49" i="52"/>
  <c r="Q49" i="52"/>
  <c r="U49" i="52"/>
  <c r="K50" i="52"/>
  <c r="O50" i="52"/>
  <c r="S50" i="52"/>
  <c r="W50" i="52"/>
  <c r="M51" i="52"/>
  <c r="Q51" i="52"/>
  <c r="U51" i="52"/>
  <c r="K52" i="52"/>
  <c r="O52" i="52"/>
  <c r="S52" i="52"/>
  <c r="W52" i="52"/>
  <c r="M53" i="52"/>
  <c r="Q53" i="52"/>
  <c r="U53" i="52"/>
  <c r="K54" i="52"/>
  <c r="O54" i="52"/>
  <c r="S54" i="52"/>
  <c r="W54" i="52"/>
  <c r="M55" i="52"/>
  <c r="Q55" i="52"/>
  <c r="U55" i="52"/>
  <c r="K56" i="52"/>
  <c r="O56" i="52"/>
  <c r="S56" i="52"/>
  <c r="W56" i="52"/>
  <c r="M57" i="52"/>
  <c r="Q57" i="52"/>
  <c r="U57" i="52"/>
  <c r="K58" i="52"/>
  <c r="O58" i="52"/>
  <c r="S58" i="52"/>
  <c r="W58" i="52"/>
  <c r="M59" i="52"/>
  <c r="Q59" i="52"/>
  <c r="U59" i="52"/>
  <c r="K60" i="52"/>
  <c r="O60" i="52"/>
  <c r="S60" i="52"/>
  <c r="W60" i="52"/>
  <c r="M61" i="52"/>
  <c r="Q61" i="52"/>
  <c r="U61" i="52"/>
  <c r="T49" i="52"/>
  <c r="T51" i="52"/>
  <c r="T53" i="52"/>
  <c r="T55" i="52"/>
  <c r="N56" i="52"/>
  <c r="V56" i="52"/>
  <c r="P57" i="52"/>
  <c r="J49" i="52"/>
  <c r="N49" i="52"/>
  <c r="R49" i="52"/>
  <c r="V49" i="52"/>
  <c r="L50" i="52"/>
  <c r="T50" i="52"/>
  <c r="J51" i="52"/>
  <c r="N51" i="52"/>
  <c r="R51" i="52"/>
  <c r="V51" i="52"/>
  <c r="L52" i="52"/>
  <c r="T52" i="52"/>
  <c r="J53" i="52"/>
  <c r="N53" i="52"/>
  <c r="R53" i="52"/>
  <c r="V53" i="52"/>
  <c r="L54" i="52"/>
  <c r="T54" i="52"/>
  <c r="J55" i="52"/>
  <c r="N55" i="52"/>
  <c r="R55" i="52"/>
  <c r="V55" i="52"/>
  <c r="L56" i="52"/>
  <c r="P56" i="52"/>
  <c r="T56" i="52"/>
  <c r="J57" i="52"/>
  <c r="N57" i="52"/>
  <c r="R57" i="52"/>
  <c r="V57" i="52"/>
  <c r="L58" i="52"/>
  <c r="T58" i="52"/>
  <c r="J59" i="52"/>
  <c r="N59" i="52"/>
  <c r="R59" i="52"/>
  <c r="V59" i="52"/>
  <c r="L60" i="52"/>
  <c r="T60" i="52"/>
  <c r="J61" i="52"/>
  <c r="N61" i="52"/>
  <c r="R61" i="52"/>
  <c r="V61" i="52"/>
  <c r="X78" i="52"/>
  <c r="X69" i="52"/>
  <c r="X73" i="52"/>
  <c r="E73" i="52" s="1"/>
  <c r="U28" i="50" s="1"/>
  <c r="B56" i="52"/>
  <c r="X67" i="52"/>
  <c r="E67" i="52" s="1"/>
  <c r="U22" i="50" s="1"/>
  <c r="X71" i="52"/>
  <c r="X72" i="52"/>
  <c r="X76" i="52"/>
  <c r="E76" i="52" s="1"/>
  <c r="U31" i="50" s="1"/>
  <c r="X79" i="52"/>
  <c r="E79" i="52" s="1"/>
  <c r="U34" i="50" s="1"/>
  <c r="B50" i="52"/>
  <c r="E71" i="52"/>
  <c r="U26" i="50" s="1"/>
  <c r="E78" i="52"/>
  <c r="U33" i="50" s="1"/>
  <c r="E69" i="52"/>
  <c r="U24" i="50" s="1"/>
  <c r="E72" i="52"/>
  <c r="U27" i="50" s="1"/>
  <c r="B60" i="52"/>
  <c r="B58" i="52"/>
  <c r="B61" i="52"/>
  <c r="B59" i="52"/>
  <c r="B57" i="52"/>
  <c r="B55" i="52"/>
  <c r="B53" i="52"/>
  <c r="B51" i="52"/>
  <c r="B49" i="52"/>
  <c r="B52" i="52"/>
  <c r="B54" i="52"/>
  <c r="X34" i="52"/>
  <c r="P53" i="52"/>
  <c r="P50" i="52"/>
  <c r="X31" i="52"/>
  <c r="P49" i="52"/>
  <c r="X30" i="52"/>
  <c r="X37" i="52"/>
  <c r="P51" i="52"/>
  <c r="X32" i="52"/>
  <c r="P61" i="52"/>
  <c r="X42" i="52"/>
  <c r="P52" i="52"/>
  <c r="X33" i="52"/>
  <c r="P54" i="52"/>
  <c r="X35" i="52"/>
  <c r="P58" i="52"/>
  <c r="X39" i="52"/>
  <c r="P60" i="52"/>
  <c r="X41" i="52"/>
  <c r="X38" i="52"/>
  <c r="X36" i="52"/>
  <c r="P55" i="52"/>
  <c r="X40" i="52"/>
  <c r="P59" i="52"/>
  <c r="X70" i="52"/>
  <c r="E70" i="52" s="1"/>
  <c r="U25" i="50" s="1"/>
  <c r="X68" i="52"/>
  <c r="E68" i="52" s="1"/>
  <c r="U23" i="50" s="1"/>
  <c r="X75" i="52"/>
  <c r="E75" i="52" s="1"/>
  <c r="U30" i="50" s="1"/>
  <c r="X77" i="52"/>
  <c r="E77" i="52" s="1"/>
  <c r="U32" i="50" s="1"/>
  <c r="M56" i="52"/>
  <c r="Q56" i="52"/>
  <c r="K59" i="52"/>
  <c r="W59" i="52"/>
  <c r="X74" i="52"/>
  <c r="E74" i="52" s="1"/>
  <c r="U29" i="50" s="1"/>
  <c r="X52" i="52" l="1"/>
  <c r="E52" i="52" s="1"/>
  <c r="X49" i="52"/>
  <c r="E49" i="52" s="1"/>
  <c r="F49" i="52" s="1"/>
  <c r="X61" i="52"/>
  <c r="E61" i="52" s="1"/>
  <c r="F61" i="52" s="1"/>
  <c r="X57" i="52"/>
  <c r="E57" i="52" s="1"/>
  <c r="F57" i="52" s="1"/>
  <c r="X58" i="52"/>
  <c r="E58" i="52" s="1"/>
  <c r="F58" i="52" s="1"/>
  <c r="X56" i="52"/>
  <c r="E56" i="52" s="1"/>
  <c r="F56" i="52" s="1"/>
  <c r="C29" i="50" s="1"/>
  <c r="X55" i="52"/>
  <c r="E55" i="52" s="1"/>
  <c r="F55" i="52" s="1"/>
  <c r="X54" i="52"/>
  <c r="E54" i="52" s="1"/>
  <c r="F54" i="52" s="1"/>
  <c r="X50" i="52"/>
  <c r="E50" i="52" s="1"/>
  <c r="F50" i="52" s="1"/>
  <c r="X51" i="52"/>
  <c r="E51" i="52" s="1"/>
  <c r="F51" i="52" s="1"/>
  <c r="X60" i="52"/>
  <c r="E60" i="52" s="1"/>
  <c r="F60" i="52" s="1"/>
  <c r="X53" i="52"/>
  <c r="E53" i="52" s="1"/>
  <c r="F53" i="52" s="1"/>
  <c r="X59" i="52"/>
  <c r="E59" i="52" s="1"/>
  <c r="F59" i="52" s="1"/>
  <c r="K37" i="50"/>
  <c r="F37" i="50"/>
  <c r="I37" i="50"/>
  <c r="F52" i="52"/>
  <c r="C23" i="50" l="1"/>
  <c r="O23" i="50" s="1"/>
  <c r="C31" i="50"/>
  <c r="C24" i="50"/>
  <c r="C34" i="50"/>
  <c r="C28" i="50"/>
  <c r="I42" i="50"/>
  <c r="I45" i="50"/>
  <c r="I44" i="50"/>
  <c r="I47" i="50"/>
  <c r="I46" i="50"/>
  <c r="C30" i="50"/>
  <c r="K41" i="50"/>
  <c r="C33" i="50"/>
  <c r="C22" i="50"/>
  <c r="I6" i="50"/>
  <c r="C26" i="50"/>
  <c r="C27" i="50"/>
  <c r="C32" i="50"/>
  <c r="C25" i="50"/>
  <c r="N29" i="50"/>
  <c r="J29" i="50"/>
  <c r="O29" i="50"/>
  <c r="N23" i="50" l="1"/>
  <c r="J23" i="50"/>
  <c r="O31" i="50"/>
  <c r="J31" i="50"/>
  <c r="N31" i="50"/>
  <c r="J30" i="50"/>
  <c r="N30" i="50"/>
  <c r="O30" i="50"/>
  <c r="I11" i="50"/>
  <c r="I8" i="50"/>
  <c r="J27" i="50"/>
  <c r="G27" i="50"/>
  <c r="O27" i="50"/>
  <c r="N27" i="50"/>
  <c r="E22" i="50"/>
  <c r="J22" i="50"/>
  <c r="O22" i="50"/>
  <c r="N33" i="50"/>
  <c r="O33" i="50"/>
  <c r="J33" i="50"/>
  <c r="J28" i="50"/>
  <c r="N28" i="50"/>
  <c r="O28" i="50"/>
  <c r="I9" i="50"/>
  <c r="N25" i="50"/>
  <c r="J25" i="50"/>
  <c r="O25" i="50"/>
  <c r="I10" i="50"/>
  <c r="J32" i="50"/>
  <c r="O32" i="50"/>
  <c r="O26" i="50"/>
  <c r="J26" i="50"/>
  <c r="N26" i="50"/>
  <c r="J34" i="50"/>
  <c r="O34" i="50"/>
  <c r="N34" i="50"/>
  <c r="J24" i="50"/>
  <c r="O24" i="50"/>
  <c r="N24" i="50"/>
  <c r="G37" i="50" l="1"/>
  <c r="G46" i="50" s="1"/>
  <c r="J37" i="50"/>
  <c r="J49" i="50" s="1"/>
  <c r="Q22" i="50"/>
  <c r="E37" i="50"/>
  <c r="E41" i="50" s="1"/>
  <c r="O37" i="50"/>
  <c r="O43" i="50" s="1"/>
  <c r="O46" i="50" l="1"/>
  <c r="O51" i="50"/>
  <c r="J47" i="50"/>
  <c r="J41" i="50"/>
  <c r="O41" i="50"/>
  <c r="O53" i="50"/>
  <c r="J53" i="50"/>
  <c r="J51" i="50"/>
  <c r="J52" i="50"/>
  <c r="O45" i="50"/>
  <c r="J44" i="50"/>
  <c r="J43" i="50"/>
  <c r="Q41" i="50"/>
  <c r="O50" i="50"/>
  <c r="O48" i="50"/>
  <c r="O42" i="50"/>
  <c r="O49" i="50"/>
  <c r="O44" i="50"/>
  <c r="O47" i="50"/>
  <c r="J46" i="50"/>
  <c r="Q37" i="50"/>
  <c r="O52" i="50"/>
  <c r="J50" i="50"/>
  <c r="J48" i="50"/>
  <c r="J42" i="50"/>
  <c r="J45" i="50"/>
  <c r="W66" i="32" l="1"/>
  <c r="W67" i="32"/>
  <c r="W68" i="32"/>
  <c r="W69" i="32"/>
  <c r="W70" i="32"/>
  <c r="W71" i="32"/>
  <c r="W72" i="32"/>
  <c r="W73" i="32"/>
  <c r="W74" i="32"/>
  <c r="W75" i="32"/>
  <c r="W76" i="32"/>
  <c r="W77" i="32"/>
  <c r="W78" i="32"/>
  <c r="M66" i="32"/>
  <c r="N66" i="32"/>
  <c r="O66" i="32"/>
  <c r="P66" i="32"/>
  <c r="Q66" i="32"/>
  <c r="R66" i="32"/>
  <c r="S66" i="32"/>
  <c r="T66" i="32"/>
  <c r="U66" i="32"/>
  <c r="V66" i="32"/>
  <c r="M67" i="32"/>
  <c r="N67" i="32"/>
  <c r="O67" i="32"/>
  <c r="P67" i="32"/>
  <c r="Q67" i="32"/>
  <c r="R67" i="32"/>
  <c r="S67" i="32"/>
  <c r="T67" i="32"/>
  <c r="U67" i="32"/>
  <c r="V67" i="32"/>
  <c r="M68" i="32"/>
  <c r="N68" i="32"/>
  <c r="O68" i="32"/>
  <c r="P68" i="32"/>
  <c r="Q68" i="32"/>
  <c r="R68" i="32"/>
  <c r="S68" i="32"/>
  <c r="T68" i="32"/>
  <c r="U68" i="32"/>
  <c r="V68" i="32"/>
  <c r="M69" i="32"/>
  <c r="N69" i="32"/>
  <c r="O69" i="32"/>
  <c r="P69" i="32"/>
  <c r="Q69" i="32"/>
  <c r="R69" i="32"/>
  <c r="S69" i="32"/>
  <c r="T69" i="32"/>
  <c r="U69" i="32"/>
  <c r="V69" i="32"/>
  <c r="M70" i="32"/>
  <c r="N70" i="32"/>
  <c r="O70" i="32"/>
  <c r="P70" i="32"/>
  <c r="Q70" i="32"/>
  <c r="R70" i="32"/>
  <c r="S70" i="32"/>
  <c r="T70" i="32"/>
  <c r="U70" i="32"/>
  <c r="V70" i="32"/>
  <c r="M71" i="32"/>
  <c r="N71" i="32"/>
  <c r="O71" i="32"/>
  <c r="P71" i="32"/>
  <c r="Q71" i="32"/>
  <c r="R71" i="32"/>
  <c r="S71" i="32"/>
  <c r="T71" i="32"/>
  <c r="U71" i="32"/>
  <c r="V71" i="32"/>
  <c r="M72" i="32"/>
  <c r="N72" i="32"/>
  <c r="O72" i="32"/>
  <c r="P72" i="32"/>
  <c r="Q72" i="32"/>
  <c r="R72" i="32"/>
  <c r="S72" i="32"/>
  <c r="T72" i="32"/>
  <c r="U72" i="32"/>
  <c r="V72" i="32"/>
  <c r="M73" i="32"/>
  <c r="N73" i="32"/>
  <c r="O73" i="32"/>
  <c r="P73" i="32"/>
  <c r="Q73" i="32"/>
  <c r="R73" i="32"/>
  <c r="S73" i="32"/>
  <c r="T73" i="32"/>
  <c r="U73" i="32"/>
  <c r="V73" i="32"/>
  <c r="M74" i="32"/>
  <c r="N74" i="32"/>
  <c r="O74" i="32"/>
  <c r="P74" i="32"/>
  <c r="Q74" i="32"/>
  <c r="R74" i="32"/>
  <c r="S74" i="32"/>
  <c r="T74" i="32"/>
  <c r="U74" i="32"/>
  <c r="V74" i="32"/>
  <c r="M75" i="32"/>
  <c r="N75" i="32"/>
  <c r="O75" i="32"/>
  <c r="P75" i="32"/>
  <c r="Q75" i="32"/>
  <c r="R75" i="32"/>
  <c r="S75" i="32"/>
  <c r="T75" i="32"/>
  <c r="U75" i="32"/>
  <c r="V75" i="32"/>
  <c r="M76" i="32"/>
  <c r="N76" i="32"/>
  <c r="O76" i="32"/>
  <c r="P76" i="32"/>
  <c r="Q76" i="32"/>
  <c r="R76" i="32"/>
  <c r="S76" i="32"/>
  <c r="T76" i="32"/>
  <c r="U76" i="32"/>
  <c r="V76" i="32"/>
  <c r="M77" i="32"/>
  <c r="N77" i="32"/>
  <c r="O77" i="32"/>
  <c r="P77" i="32"/>
  <c r="Q77" i="32"/>
  <c r="R77" i="32"/>
  <c r="S77" i="32"/>
  <c r="T77" i="32"/>
  <c r="U77" i="32"/>
  <c r="V77" i="32"/>
  <c r="M78" i="32"/>
  <c r="N78" i="32"/>
  <c r="O78" i="32"/>
  <c r="P78" i="32"/>
  <c r="Q78" i="32"/>
  <c r="R78" i="32"/>
  <c r="S78" i="32"/>
  <c r="T78" i="32"/>
  <c r="U78" i="32"/>
  <c r="V78" i="32"/>
  <c r="K66" i="32"/>
  <c r="L66" i="32"/>
  <c r="K67" i="32"/>
  <c r="L67" i="32"/>
  <c r="K68" i="32"/>
  <c r="L68" i="32"/>
  <c r="K69" i="32"/>
  <c r="L69" i="32"/>
  <c r="K70" i="32"/>
  <c r="L70" i="32"/>
  <c r="K71" i="32"/>
  <c r="L71" i="32"/>
  <c r="K72" i="32"/>
  <c r="L72" i="32"/>
  <c r="K73" i="32"/>
  <c r="L73" i="32"/>
  <c r="K74" i="32"/>
  <c r="L74" i="32"/>
  <c r="K75" i="32"/>
  <c r="L75" i="32"/>
  <c r="K76" i="32"/>
  <c r="L76" i="32"/>
  <c r="K77" i="32"/>
  <c r="L77" i="32"/>
  <c r="K78" i="32"/>
  <c r="L78" i="32"/>
  <c r="J67" i="32"/>
  <c r="J68" i="32"/>
  <c r="J69" i="32"/>
  <c r="J70" i="32"/>
  <c r="J71" i="32"/>
  <c r="J72" i="32"/>
  <c r="J73" i="32"/>
  <c r="J74" i="32"/>
  <c r="J75" i="32"/>
  <c r="J76" i="32"/>
  <c r="J77" i="32"/>
  <c r="J78" i="32"/>
  <c r="J66" i="32"/>
  <c r="W46" i="32" l="1"/>
  <c r="W47" i="32"/>
  <c r="L3" i="40" l="1"/>
  <c r="G17" i="48" l="1"/>
  <c r="G18" i="48"/>
  <c r="G19" i="48"/>
  <c r="G20" i="48"/>
  <c r="G21" i="48"/>
  <c r="G22" i="48"/>
  <c r="G23" i="48"/>
  <c r="G24" i="48"/>
  <c r="G25" i="48"/>
  <c r="G26" i="48"/>
  <c r="G27" i="48"/>
  <c r="G28" i="48"/>
  <c r="G29" i="48"/>
  <c r="H11" i="34" l="1"/>
  <c r="G11" i="34"/>
  <c r="F11" i="34"/>
  <c r="E11" i="34"/>
  <c r="D11" i="34"/>
  <c r="C11" i="34"/>
  <c r="B11" i="34"/>
  <c r="C4" i="36" l="1"/>
  <c r="D4" i="36"/>
  <c r="E4" i="36"/>
  <c r="F4" i="36"/>
  <c r="G4" i="36"/>
  <c r="H4" i="36"/>
  <c r="I4" i="36"/>
  <c r="J4" i="36"/>
  <c r="K4" i="36"/>
  <c r="L4" i="36"/>
  <c r="M4" i="36"/>
  <c r="N4" i="36"/>
  <c r="O4" i="36"/>
  <c r="P4" i="36"/>
  <c r="B4" i="36"/>
  <c r="C3" i="36"/>
  <c r="D3" i="36"/>
  <c r="E3" i="36"/>
  <c r="F3" i="36"/>
  <c r="G3" i="36"/>
  <c r="H3" i="36"/>
  <c r="I3" i="36"/>
  <c r="J3" i="36"/>
  <c r="K3" i="36"/>
  <c r="L3" i="36"/>
  <c r="M3" i="36"/>
  <c r="N3" i="36"/>
  <c r="O3" i="36"/>
  <c r="P3" i="36"/>
  <c r="B3" i="36"/>
  <c r="C2" i="36"/>
  <c r="D2" i="36"/>
  <c r="E2" i="36"/>
  <c r="F2" i="36"/>
  <c r="G2" i="36"/>
  <c r="H2" i="36"/>
  <c r="I2" i="36"/>
  <c r="J2" i="36"/>
  <c r="K2" i="36"/>
  <c r="L2" i="36"/>
  <c r="M2" i="36"/>
  <c r="N2" i="36"/>
  <c r="O2" i="36"/>
  <c r="B2" i="36"/>
  <c r="V46" i="32" l="1"/>
  <c r="N9" i="36"/>
  <c r="U47" i="32" s="1"/>
  <c r="O9" i="36"/>
  <c r="V47" i="32" s="1"/>
  <c r="P9" i="36"/>
  <c r="P8" i="36"/>
  <c r="O8" i="36"/>
  <c r="N8" i="36"/>
  <c r="U46" i="32" s="1"/>
  <c r="E75" i="36"/>
  <c r="E76" i="36"/>
  <c r="D75" i="36"/>
  <c r="D76" i="36"/>
  <c r="E71" i="36" l="1"/>
  <c r="E72" i="36"/>
  <c r="E73" i="36"/>
  <c r="E74" i="36"/>
  <c r="E70" i="36"/>
  <c r="E69" i="36"/>
  <c r="E68" i="36"/>
  <c r="D74" i="36"/>
  <c r="D73" i="36"/>
  <c r="D72" i="36"/>
  <c r="D71" i="36"/>
  <c r="D70" i="36"/>
  <c r="D69" i="36"/>
  <c r="D68" i="36"/>
  <c r="I47" i="32" l="1"/>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l="1"/>
  <c r="E27" i="49"/>
  <c r="E26" i="49"/>
  <c r="E25" i="49"/>
  <c r="E23" i="49"/>
  <c r="E22" i="49"/>
  <c r="E21" i="49"/>
  <c r="E19" i="49"/>
  <c r="E18" i="49"/>
  <c r="E17" i="49"/>
  <c r="E28" i="48"/>
  <c r="E27" i="48"/>
  <c r="E26" i="48"/>
  <c r="E24" i="48"/>
  <c r="E23" i="48"/>
  <c r="E22" i="48"/>
  <c r="E20" i="48"/>
  <c r="E19" i="48"/>
  <c r="E18" i="48"/>
  <c r="C18" i="49" l="1"/>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C17" i="49"/>
  <c r="Q5" i="15" s="1"/>
  <c r="E14" i="30" s="1"/>
  <c r="C26" i="48"/>
  <c r="H14" i="15" s="1"/>
  <c r="B23" i="30" s="1"/>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N14" i="48"/>
  <c r="D29" i="48" s="1"/>
  <c r="I17" i="15" s="1"/>
  <c r="E21" i="48"/>
  <c r="N6" i="48"/>
  <c r="D21" i="48" s="1"/>
  <c r="I9" i="15" s="1"/>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24" i="49"/>
  <c r="G22" i="49"/>
  <c r="G23" i="49"/>
  <c r="G19" i="49"/>
  <c r="G27" i="49"/>
  <c r="G29" i="49"/>
  <c r="G25" i="49"/>
  <c r="G17" i="49"/>
  <c r="O76" i="33" l="1"/>
  <c r="P78" i="33"/>
  <c r="O78" i="33"/>
  <c r="B10" i="30" l="1"/>
  <c r="E10"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59" i="33" l="1"/>
  <c r="P64" i="33"/>
  <c r="P63" i="33"/>
  <c r="P62" i="33"/>
  <c r="P61" i="33"/>
  <c r="O63" i="33"/>
  <c r="O62" i="33"/>
  <c r="N64" i="33"/>
  <c r="N63" i="33"/>
  <c r="N62" i="33"/>
  <c r="N61" i="33"/>
  <c r="L64" i="33"/>
  <c r="L63" i="33"/>
  <c r="L62" i="33"/>
  <c r="L61" i="33"/>
  <c r="J62" i="33"/>
  <c r="I62" i="33"/>
  <c r="K63" i="33"/>
  <c r="J63" i="33"/>
  <c r="I63" i="33"/>
  <c r="H63" i="33"/>
  <c r="N59" i="33"/>
  <c r="L59" i="33"/>
  <c r="L58" i="33"/>
  <c r="E58" i="33"/>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F63" i="33"/>
  <c r="K64" i="33"/>
  <c r="Q64" i="33" s="1"/>
  <c r="M58" i="33"/>
  <c r="F62" i="33"/>
  <c r="K61" i="33"/>
  <c r="Q61" i="33" s="1"/>
  <c r="Q65" i="33"/>
  <c r="Q66" i="33"/>
  <c r="Q67" i="33"/>
  <c r="Q68" i="33"/>
  <c r="Q69" i="33"/>
  <c r="F90" i="33"/>
  <c r="Q70" i="33"/>
  <c r="Q58" i="33"/>
  <c r="Q59" i="33"/>
  <c r="Q62" i="33"/>
  <c r="F78" i="33"/>
  <c r="Q60" i="33"/>
  <c r="R58" i="33"/>
  <c r="Q63" i="33"/>
  <c r="E25" i="32" l="1"/>
  <c r="I46" i="32"/>
  <c r="X69" i="32" l="1"/>
  <c r="E69" i="32" s="1"/>
  <c r="X67" i="32"/>
  <c r="E67" i="32" s="1"/>
  <c r="X77" i="32"/>
  <c r="E77" i="32" s="1"/>
  <c r="X73" i="32"/>
  <c r="E73" i="32" s="1"/>
  <c r="X68" i="32"/>
  <c r="E68" i="32" s="1"/>
  <c r="X66" i="32"/>
  <c r="E66" i="32" s="1"/>
  <c r="X72" i="32"/>
  <c r="E72" i="32" s="1"/>
  <c r="X70" i="32"/>
  <c r="E70" i="32" s="1"/>
  <c r="X76" i="32"/>
  <c r="E76" i="32" s="1"/>
  <c r="X74" i="32"/>
  <c r="E74" i="32" s="1"/>
  <c r="X71" i="32"/>
  <c r="E71" i="32" s="1"/>
  <c r="X75" i="32"/>
  <c r="E75" i="32" s="1"/>
  <c r="X78" i="32"/>
  <c r="E78" i="32" s="1"/>
  <c r="C17" i="15" l="1"/>
  <c r="B2" i="30" s="1"/>
  <c r="G2" i="30" s="1"/>
  <c r="C7" i="15"/>
  <c r="B6" i="30" s="1"/>
  <c r="G6" i="30" s="1"/>
  <c r="C8" i="15"/>
  <c r="C14" i="15"/>
  <c r="B4" i="30" s="1"/>
  <c r="C9" i="15"/>
  <c r="C12" i="15"/>
  <c r="C15" i="15"/>
  <c r="B5" i="30" s="1"/>
  <c r="G5" i="30" s="1"/>
  <c r="C10" i="15"/>
  <c r="C11" i="15"/>
  <c r="C16" i="15"/>
  <c r="C13" i="15"/>
  <c r="B3" i="30" s="1"/>
  <c r="G3" i="30" s="1"/>
  <c r="C5" i="15"/>
  <c r="C6" i="15"/>
  <c r="S70" i="33" l="1"/>
  <c r="S69" i="33"/>
  <c r="S68" i="33"/>
  <c r="S67" i="33"/>
  <c r="S66" i="33"/>
  <c r="S65" i="33"/>
  <c r="S64" i="33"/>
  <c r="S63" i="33"/>
  <c r="S62" i="33"/>
  <c r="S61" i="33"/>
  <c r="S60" i="33"/>
  <c r="S59" i="33"/>
  <c r="S58" i="33"/>
  <c r="I25" i="33" l="1"/>
  <c r="I26" i="33"/>
  <c r="I27" i="33"/>
  <c r="I28" i="33"/>
  <c r="T58" i="33" l="1"/>
  <c r="T65" i="33" l="1"/>
  <c r="T66" i="33"/>
  <c r="T67" i="33"/>
  <c r="T68" i="33"/>
  <c r="T69" i="33"/>
  <c r="T70" i="33"/>
  <c r="T64" i="33"/>
  <c r="T63" i="33"/>
  <c r="T62" i="33"/>
  <c r="T61" i="33"/>
  <c r="T60" i="33"/>
  <c r="T59" i="33"/>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L9" i="36" l="1"/>
  <c r="L4" i="40" l="1"/>
  <c r="S47" i="32"/>
  <c r="K5" i="30" s="1"/>
  <c r="I8" i="36"/>
  <c r="E9" i="36"/>
  <c r="L47" i="32" s="1"/>
  <c r="M9" i="36"/>
  <c r="J8" i="36"/>
  <c r="D9" i="36"/>
  <c r="K47" i="32" s="1"/>
  <c r="L8" i="36"/>
  <c r="K8" i="36"/>
  <c r="H9" i="36"/>
  <c r="M8" i="36"/>
  <c r="I9" i="36"/>
  <c r="F8" i="36"/>
  <c r="G8" i="36"/>
  <c r="K9" i="36"/>
  <c r="H8" i="36"/>
  <c r="J9" i="36"/>
  <c r="E8" i="36"/>
  <c r="L46" i="32" s="1"/>
  <c r="G9" i="36"/>
  <c r="D8" i="36"/>
  <c r="K46" i="32" s="1"/>
  <c r="F9" i="36"/>
  <c r="C9" i="36"/>
  <c r="J47" i="32" s="1"/>
  <c r="C8" i="36"/>
  <c r="C5" i="30" l="1"/>
  <c r="D5" i="30"/>
  <c r="E5" i="30"/>
  <c r="F5" i="30"/>
  <c r="F6" i="30"/>
  <c r="L35" i="40"/>
  <c r="L30" i="40"/>
  <c r="L25" i="40"/>
  <c r="L31" i="40"/>
  <c r="N46" i="32"/>
  <c r="M9" i="38"/>
  <c r="M8" i="38"/>
  <c r="H4" i="40"/>
  <c r="O47" i="32"/>
  <c r="J3" i="40"/>
  <c r="Q46" i="32"/>
  <c r="F4" i="40"/>
  <c r="M47" i="32"/>
  <c r="J4" i="40"/>
  <c r="Q47" i="32"/>
  <c r="F3" i="40"/>
  <c r="M46" i="32"/>
  <c r="K3" i="40"/>
  <c r="R46" i="32"/>
  <c r="T47" i="32"/>
  <c r="H3" i="40"/>
  <c r="O46" i="32"/>
  <c r="I4" i="40"/>
  <c r="P47" i="32"/>
  <c r="S46" i="32"/>
  <c r="K4" i="30" s="1"/>
  <c r="C3" i="40"/>
  <c r="J46" i="32"/>
  <c r="G4" i="40"/>
  <c r="N47" i="32"/>
  <c r="K4" i="40"/>
  <c r="R47" i="32"/>
  <c r="T46" i="32"/>
  <c r="I3" i="40"/>
  <c r="P46" i="32"/>
  <c r="D4" i="40"/>
  <c r="G3" i="40"/>
  <c r="L19" i="38"/>
  <c r="C4" i="40"/>
  <c r="E4" i="40"/>
  <c r="E3" i="40"/>
  <c r="D3" i="40"/>
  <c r="C14" i="34" a="1"/>
  <c r="L18" i="38"/>
  <c r="L9" i="34"/>
  <c r="B14" i="34"/>
  <c r="B18" i="34"/>
  <c r="B19" i="34"/>
  <c r="B20" i="34"/>
  <c r="B21" i="34"/>
  <c r="F4" i="30" l="1"/>
  <c r="E4" i="30"/>
  <c r="H27" i="40"/>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9" i="38"/>
  <c r="N8" i="38"/>
  <c r="O9" i="38"/>
  <c r="O8" i="38"/>
  <c r="C15" i="34"/>
  <c r="C18" i="34"/>
  <c r="C24" i="34"/>
  <c r="C14" i="34"/>
  <c r="C19" i="34"/>
  <c r="C20" i="34"/>
  <c r="C21" i="34"/>
  <c r="C16" i="34"/>
  <c r="D16" i="34" s="1"/>
  <c r="C17" i="34"/>
  <c r="D17" i="34" s="1"/>
  <c r="C22" i="34"/>
  <c r="C23" i="34"/>
  <c r="M10" i="38"/>
  <c r="M13" i="38" s="1"/>
  <c r="O28" i="40" l="1"/>
  <c r="N10" i="33" s="1"/>
  <c r="O27" i="40"/>
  <c r="N9" i="33" s="1"/>
  <c r="O29" i="40"/>
  <c r="N11" i="33" s="1"/>
  <c r="O26" i="40"/>
  <c r="N8" i="33" s="1"/>
  <c r="O25" i="40"/>
  <c r="O24" i="40"/>
  <c r="N6" i="33" s="1"/>
  <c r="O32" i="40"/>
  <c r="N14" i="33" s="1"/>
  <c r="O35" i="40"/>
  <c r="N17" i="33" s="1"/>
  <c r="O30" i="40"/>
  <c r="N12" i="33" s="1"/>
  <c r="N7" i="33"/>
  <c r="O33" i="40"/>
  <c r="O34" i="40"/>
  <c r="N16" i="33" s="1"/>
  <c r="O31" i="40"/>
  <c r="N13" i="33" s="1"/>
  <c r="O10" i="38"/>
  <c r="O13" i="38" s="1"/>
  <c r="N10" i="38"/>
  <c r="N13" i="38" s="1"/>
  <c r="D20" i="34"/>
  <c r="D18" i="34"/>
  <c r="D15" i="34"/>
  <c r="D14" i="34"/>
  <c r="D19" i="34"/>
  <c r="D21" i="34"/>
  <c r="N17" i="38" a="1"/>
  <c r="N15" i="33" l="1"/>
  <c r="N15" i="50"/>
  <c r="N32" i="50" s="1"/>
  <c r="N16" i="38" a="1"/>
  <c r="N16" i="38" s="1"/>
  <c r="N15" i="38" a="1"/>
  <c r="O15" i="38" s="1"/>
  <c r="N17" i="38"/>
  <c r="O17" i="38"/>
  <c r="N37" i="50" l="1"/>
  <c r="N51" i="50" s="1"/>
  <c r="O16" i="38"/>
  <c r="N15" i="38"/>
  <c r="U23" i="33"/>
  <c r="U27" i="33"/>
  <c r="U31" i="33"/>
  <c r="U26" i="33"/>
  <c r="U30" i="33"/>
  <c r="U34" i="33"/>
  <c r="U24" i="33"/>
  <c r="U28" i="33"/>
  <c r="U32" i="33"/>
  <c r="U25" i="33"/>
  <c r="U29" i="33"/>
  <c r="U33" i="33"/>
  <c r="N48" i="50" l="1"/>
  <c r="N44" i="50"/>
  <c r="N42" i="50"/>
  <c r="N47" i="50"/>
  <c r="N45" i="50"/>
  <c r="N43" i="50"/>
  <c r="N50" i="50"/>
  <c r="N46" i="50"/>
  <c r="N53" i="50"/>
  <c r="N49" i="50"/>
  <c r="N52" i="50"/>
  <c r="E8" i="38"/>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U9" i="15"/>
  <c r="U16" i="15"/>
  <c r="U12" i="15"/>
  <c r="U13" i="15"/>
  <c r="U8" i="15"/>
  <c r="T14" i="15"/>
  <c r="L13" i="15" l="1"/>
  <c r="L14" i="15"/>
  <c r="L12" i="15"/>
  <c r="L7" i="15"/>
  <c r="L9" i="15"/>
  <c r="L10" i="15"/>
  <c r="L16" i="15"/>
  <c r="L5" i="15"/>
  <c r="L15" i="15"/>
  <c r="L6" i="15"/>
  <c r="L8" i="15"/>
  <c r="L11" i="15"/>
  <c r="K5" i="15"/>
  <c r="U17" i="15"/>
  <c r="AE17" i="15"/>
  <c r="T9" i="15"/>
  <c r="T5" i="15"/>
  <c r="T7" i="15"/>
  <c r="T8" i="15"/>
  <c r="T6" i="15"/>
  <c r="T16" i="15"/>
  <c r="T15" i="15"/>
  <c r="T13" i="15"/>
  <c r="D3" i="30" s="1"/>
  <c r="T10" i="15"/>
  <c r="T12" i="15"/>
  <c r="AE6" i="15"/>
  <c r="AE16" i="15"/>
  <c r="AE14" i="15"/>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3"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N27" i="30" l="1"/>
  <c r="K22" i="33"/>
  <c r="D7" i="30" l="1"/>
  <c r="D9" i="30" s="1"/>
  <c r="C9" i="30"/>
  <c r="I2" i="30" l="1"/>
  <c r="I7" i="30"/>
  <c r="I6" i="30"/>
  <c r="I5" i="30"/>
  <c r="I4" i="30"/>
  <c r="I3" i="30"/>
  <c r="E9" i="30"/>
  <c r="I16" i="30" l="1"/>
  <c r="I23" i="30"/>
  <c r="I20" i="30"/>
  <c r="I15" i="30"/>
  <c r="I14" i="30"/>
  <c r="I19" i="30" l="1"/>
  <c r="I26" i="30"/>
  <c r="I24" i="30"/>
  <c r="I21" i="30"/>
  <c r="I17" i="30"/>
  <c r="I18" i="30"/>
  <c r="I25" i="30"/>
  <c r="I22" i="30"/>
  <c r="I27" i="30" l="1"/>
  <c r="N41" i="33" l="1"/>
  <c r="C25" i="30" l="1"/>
  <c r="C26" i="30" l="1"/>
  <c r="C21" i="30"/>
  <c r="C24" i="30"/>
  <c r="C15" i="30"/>
  <c r="C23" i="30"/>
  <c r="C17" i="30"/>
  <c r="C18" i="30"/>
  <c r="C20" i="30"/>
  <c r="C19" i="30"/>
  <c r="C16" i="30"/>
  <c r="C22" i="30"/>
  <c r="C14" i="30"/>
  <c r="C27" i="30" l="1"/>
  <c r="F14" i="30" l="1"/>
  <c r="O14" i="30" s="1"/>
  <c r="L5" i="50" s="1"/>
  <c r="F22" i="30"/>
  <c r="O22" i="30" s="1"/>
  <c r="L13" i="50" s="1"/>
  <c r="F15" i="30"/>
  <c r="O15" i="30" s="1"/>
  <c r="L6" i="50" s="1"/>
  <c r="F23" i="30"/>
  <c r="O23" i="30" s="1"/>
  <c r="L14" i="50" s="1"/>
  <c r="F20" i="30"/>
  <c r="O20" i="30" s="1"/>
  <c r="L11" i="50" s="1"/>
  <c r="F17" i="30"/>
  <c r="O17" i="30" s="1"/>
  <c r="L8" i="50" s="1"/>
  <c r="F18" i="30"/>
  <c r="O18" i="30" s="1"/>
  <c r="L9" i="50" s="1"/>
  <c r="F26" i="30"/>
  <c r="O26" i="30" s="1"/>
  <c r="L17" i="50" s="1"/>
  <c r="F21" i="30"/>
  <c r="O21" i="30" s="1"/>
  <c r="L12" i="50" s="1"/>
  <c r="F25" i="30"/>
  <c r="O25" i="30" s="1"/>
  <c r="L16" i="50" s="1"/>
  <c r="F19" i="30"/>
  <c r="O19" i="30" s="1"/>
  <c r="L10" i="50" s="1"/>
  <c r="F16" i="30"/>
  <c r="O16" i="30" s="1"/>
  <c r="L7" i="50" s="1"/>
  <c r="F24" i="30"/>
  <c r="O24" i="30" s="1"/>
  <c r="L15" i="50" s="1"/>
  <c r="L32" i="50" l="1"/>
  <c r="R15" i="50"/>
  <c r="D32" i="50" s="1"/>
  <c r="P15" i="50"/>
  <c r="S15" i="50"/>
  <c r="L24" i="50"/>
  <c r="R7" i="50"/>
  <c r="D24" i="50" s="1"/>
  <c r="P7" i="50"/>
  <c r="S7" i="50"/>
  <c r="R17" i="50"/>
  <c r="D34" i="50" s="1"/>
  <c r="L34" i="50"/>
  <c r="P17" i="50"/>
  <c r="S17" i="50"/>
  <c r="S14" i="50"/>
  <c r="P14" i="50"/>
  <c r="L31" i="50"/>
  <c r="R14" i="50"/>
  <c r="D31" i="50" s="1"/>
  <c r="L27" i="50"/>
  <c r="P10" i="50"/>
  <c r="S10" i="50"/>
  <c r="R10" i="50"/>
  <c r="D27" i="50" s="1"/>
  <c r="L26" i="50"/>
  <c r="R9" i="50"/>
  <c r="D26" i="50" s="1"/>
  <c r="S9" i="50"/>
  <c r="P9" i="50"/>
  <c r="L23" i="50"/>
  <c r="S6" i="50"/>
  <c r="P6" i="50"/>
  <c r="R6" i="50"/>
  <c r="D23" i="50" s="1"/>
  <c r="L33" i="50"/>
  <c r="R16" i="50"/>
  <c r="D33" i="50" s="1"/>
  <c r="S16" i="50"/>
  <c r="P16" i="50"/>
  <c r="L25" i="50"/>
  <c r="R8" i="50"/>
  <c r="D25" i="50" s="1"/>
  <c r="P8" i="50"/>
  <c r="S8" i="50"/>
  <c r="P13" i="50"/>
  <c r="R13" i="50"/>
  <c r="D30" i="50" s="1"/>
  <c r="L30" i="50"/>
  <c r="S13" i="50"/>
  <c r="L29" i="50"/>
  <c r="S12" i="50"/>
  <c r="R12" i="50"/>
  <c r="D29" i="50" s="1"/>
  <c r="P12" i="50"/>
  <c r="L28" i="50"/>
  <c r="R11" i="50"/>
  <c r="D28" i="50" s="1"/>
  <c r="S11" i="50"/>
  <c r="P11" i="50"/>
  <c r="L22" i="50"/>
  <c r="S5" i="50"/>
  <c r="R5" i="50"/>
  <c r="D22" i="50" s="1"/>
  <c r="P5" i="50"/>
  <c r="P26" i="30"/>
  <c r="P19" i="30"/>
  <c r="P15" i="30"/>
  <c r="P25" i="30"/>
  <c r="P17" i="30"/>
  <c r="P22" i="30"/>
  <c r="P16" i="30"/>
  <c r="P23" i="30"/>
  <c r="P18" i="30"/>
  <c r="P24" i="30"/>
  <c r="P21" i="30"/>
  <c r="P20" i="30"/>
  <c r="P14" i="30"/>
  <c r="L8" i="33"/>
  <c r="L7" i="33"/>
  <c r="L6" i="33"/>
  <c r="L17" i="33"/>
  <c r="L15" i="33"/>
  <c r="L14" i="33"/>
  <c r="L16" i="33"/>
  <c r="L13" i="33"/>
  <c r="L9" i="33"/>
  <c r="L11" i="33"/>
  <c r="L10" i="33"/>
  <c r="L12" i="33"/>
  <c r="L5" i="33"/>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S16" i="33" l="1"/>
  <c r="S14" i="33"/>
  <c r="S15" i="33"/>
  <c r="S7" i="33"/>
  <c r="S5" i="33"/>
  <c r="S12" i="33"/>
  <c r="S13" i="33"/>
  <c r="S17" i="33"/>
  <c r="P30" i="50"/>
  <c r="S30" i="50"/>
  <c r="R30" i="50"/>
  <c r="S31" i="50"/>
  <c r="R31" i="50"/>
  <c r="P31" i="50"/>
  <c r="R34" i="50"/>
  <c r="S34" i="50"/>
  <c r="P34" i="50"/>
  <c r="S22" i="50"/>
  <c r="L37" i="50"/>
  <c r="P22" i="50"/>
  <c r="R22" i="50"/>
  <c r="P28" i="50"/>
  <c r="R28" i="50"/>
  <c r="S28" i="50"/>
  <c r="P29" i="50"/>
  <c r="S29" i="50"/>
  <c r="R29" i="50"/>
  <c r="R25" i="50"/>
  <c r="P25" i="50"/>
  <c r="S25" i="50"/>
  <c r="P33" i="50"/>
  <c r="S33" i="50"/>
  <c r="R33" i="50"/>
  <c r="P23" i="50"/>
  <c r="R23" i="50"/>
  <c r="S23" i="50"/>
  <c r="S26" i="50"/>
  <c r="P26" i="50"/>
  <c r="R26" i="50"/>
  <c r="S27" i="50"/>
  <c r="R27" i="50"/>
  <c r="P27" i="50"/>
  <c r="P24" i="50"/>
  <c r="S24" i="50"/>
  <c r="R24" i="50"/>
  <c r="S32" i="50"/>
  <c r="R32" i="50"/>
  <c r="P32" i="50"/>
  <c r="P5" i="33"/>
  <c r="P12" i="33"/>
  <c r="P13" i="33"/>
  <c r="P17" i="33"/>
  <c r="P16" i="33"/>
  <c r="P14" i="33"/>
  <c r="P7" i="33"/>
  <c r="P15"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J27" i="30"/>
  <c r="K27" i="30" s="1"/>
  <c r="L50" i="50" l="1"/>
  <c r="R38" i="50"/>
  <c r="P37" i="50"/>
  <c r="S38" i="50"/>
  <c r="L51" i="50"/>
  <c r="L43" i="50"/>
  <c r="L46" i="50"/>
  <c r="L45" i="50"/>
  <c r="L42" i="50"/>
  <c r="L52" i="50"/>
  <c r="L44" i="50"/>
  <c r="L48" i="50"/>
  <c r="L47" i="50"/>
  <c r="L41" i="50"/>
  <c r="S37" i="50"/>
  <c r="L49" i="50"/>
  <c r="R37" i="50"/>
  <c r="T44" i="50" s="1"/>
  <c r="L53" i="50"/>
  <c r="D27" i="30"/>
  <c r="O27" i="30"/>
  <c r="P27" i="30" s="1"/>
  <c r="G27" i="30"/>
  <c r="R16" i="33"/>
  <c r="R12" i="33"/>
  <c r="R13" i="33"/>
  <c r="R5" i="33"/>
  <c r="R7" i="33"/>
  <c r="R15" i="33"/>
  <c r="R14" i="33"/>
  <c r="R17" i="33"/>
  <c r="T47" i="50" l="1"/>
  <c r="U45" i="50"/>
  <c r="U42" i="50"/>
  <c r="U43" i="50"/>
  <c r="U44" i="50"/>
  <c r="U49" i="50"/>
  <c r="U47" i="50"/>
  <c r="U46" i="50"/>
  <c r="T46" i="50"/>
  <c r="U53" i="50"/>
  <c r="S53" i="50"/>
  <c r="P53" i="50"/>
  <c r="R53" i="50"/>
  <c r="S41" i="50"/>
  <c r="R41" i="50"/>
  <c r="P41" i="50"/>
  <c r="T41" i="50"/>
  <c r="T43" i="50"/>
  <c r="U41" i="50"/>
  <c r="P47" i="50"/>
  <c r="S47" i="50"/>
  <c r="R47" i="50"/>
  <c r="S42" i="50"/>
  <c r="R42" i="50"/>
  <c r="P42" i="50"/>
  <c r="R51" i="50"/>
  <c r="S51" i="50"/>
  <c r="P51" i="50"/>
  <c r="P50" i="50"/>
  <c r="S50" i="50"/>
  <c r="R50" i="50"/>
  <c r="P52" i="50"/>
  <c r="S52" i="50"/>
  <c r="R52" i="50"/>
  <c r="S43" i="50"/>
  <c r="P43" i="50"/>
  <c r="R43" i="50"/>
  <c r="U51" i="50"/>
  <c r="T51" i="50"/>
  <c r="T50" i="50"/>
  <c r="U52" i="50"/>
  <c r="T49" i="50"/>
  <c r="T48" i="50"/>
  <c r="T52" i="50"/>
  <c r="T45" i="50"/>
  <c r="P49" i="50"/>
  <c r="R49" i="50"/>
  <c r="S49" i="50"/>
  <c r="P48" i="50"/>
  <c r="S48" i="50"/>
  <c r="R48" i="50"/>
  <c r="R45" i="50"/>
  <c r="S45" i="50"/>
  <c r="P45" i="50"/>
  <c r="U50" i="50"/>
  <c r="U48" i="50"/>
  <c r="T42" i="50"/>
  <c r="T37" i="50"/>
  <c r="T53" i="50"/>
  <c r="R44" i="50"/>
  <c r="S44" i="50"/>
  <c r="P44" i="50"/>
  <c r="S46" i="50"/>
  <c r="P46" i="50"/>
  <c r="R46" i="50"/>
  <c r="H90" i="33"/>
  <c r="H87" i="33"/>
  <c r="H82" i="33"/>
  <c r="H84" i="33"/>
  <c r="H83" i="33"/>
  <c r="H85" i="33"/>
  <c r="H80" i="33"/>
  <c r="H89" i="33"/>
  <c r="H81" i="33"/>
  <c r="H86" i="33"/>
  <c r="H88" i="33"/>
  <c r="J90" i="33" l="1"/>
  <c r="J88" i="33"/>
  <c r="J87" i="33"/>
  <c r="J89" i="33"/>
  <c r="J80" i="33"/>
  <c r="J85" i="33"/>
  <c r="J86" i="33"/>
  <c r="H79" i="33"/>
  <c r="J81" i="33" l="1"/>
  <c r="J82" i="33"/>
  <c r="J83" i="33"/>
  <c r="J84" i="33"/>
  <c r="J79" i="33"/>
  <c r="S30" i="32" l="1"/>
  <c r="S49" i="32" s="1"/>
  <c r="K34" i="32"/>
  <c r="K53" i="32" s="1"/>
  <c r="O36" i="32"/>
  <c r="O55" i="32" s="1"/>
  <c r="S38" i="32"/>
  <c r="S57" i="32" s="1"/>
  <c r="W40" i="32"/>
  <c r="W59" i="32" s="1"/>
  <c r="O32" i="32"/>
  <c r="O51" i="32" s="1"/>
  <c r="P32" i="32"/>
  <c r="P51" i="32" s="1"/>
  <c r="N35" i="32"/>
  <c r="N54" i="32" s="1"/>
  <c r="R37" i="32"/>
  <c r="R56" i="32" s="1"/>
  <c r="V39" i="32"/>
  <c r="V58" i="32" s="1"/>
  <c r="L42" i="32"/>
  <c r="L61" i="32" s="1"/>
  <c r="T30" i="32"/>
  <c r="T49" i="32" s="1"/>
  <c r="P30" i="32"/>
  <c r="P49" i="32" s="1"/>
  <c r="K32" i="32"/>
  <c r="K51" i="32" s="1"/>
  <c r="O34" i="32"/>
  <c r="O53" i="32" s="1"/>
  <c r="S36" i="32"/>
  <c r="S55" i="32" s="1"/>
  <c r="W38" i="32"/>
  <c r="W57" i="32" s="1"/>
  <c r="M41" i="32"/>
  <c r="M60" i="32" s="1"/>
  <c r="U31" i="32"/>
  <c r="U50" i="32" s="1"/>
  <c r="N31" i="32"/>
  <c r="N50" i="32" s="1"/>
  <c r="N33" i="32"/>
  <c r="N52" i="32" s="1"/>
  <c r="R35" i="32"/>
  <c r="R54" i="32" s="1"/>
  <c r="V37" i="32"/>
  <c r="V56" i="32" s="1"/>
  <c r="L40" i="32"/>
  <c r="L59" i="32" s="1"/>
  <c r="P42" i="32"/>
  <c r="P61" i="32" s="1"/>
  <c r="U32" i="32"/>
  <c r="U51" i="32" s="1"/>
  <c r="W33" i="32"/>
  <c r="W52" i="32" s="1"/>
  <c r="K35" i="32"/>
  <c r="K54" i="32" s="1"/>
  <c r="M36" i="32"/>
  <c r="M55" i="32" s="1"/>
  <c r="O37" i="32"/>
  <c r="O56" i="32" s="1"/>
  <c r="Q38" i="32"/>
  <c r="Q57" i="32" s="1"/>
  <c r="S39" i="32"/>
  <c r="S58" i="32" s="1"/>
  <c r="U40" i="32"/>
  <c r="U59" i="32" s="1"/>
  <c r="W41" i="32"/>
  <c r="W60" i="32" s="1"/>
  <c r="J30" i="32"/>
  <c r="L31" i="32"/>
  <c r="L50" i="32" s="1"/>
  <c r="N32" i="32"/>
  <c r="N51" i="32" s="1"/>
  <c r="P33" i="32"/>
  <c r="P52" i="32" s="1"/>
  <c r="R34" i="32"/>
  <c r="R53" i="32" s="1"/>
  <c r="T35" i="32"/>
  <c r="T54" i="32" s="1"/>
  <c r="V36" i="32"/>
  <c r="V55" i="32" s="1"/>
  <c r="J38" i="32"/>
  <c r="L39" i="32"/>
  <c r="L58" i="32" s="1"/>
  <c r="N40" i="32"/>
  <c r="N59" i="32" s="1"/>
  <c r="P41" i="32"/>
  <c r="P60" i="32" s="1"/>
  <c r="R42" i="32"/>
  <c r="R61" i="32" s="1"/>
  <c r="J31" i="32"/>
  <c r="S34" i="32"/>
  <c r="S53" i="32" s="1"/>
  <c r="W36" i="32"/>
  <c r="W55" i="32" s="1"/>
  <c r="M39" i="32"/>
  <c r="M58" i="32" s="1"/>
  <c r="Q41" i="32"/>
  <c r="Q60" i="32" s="1"/>
  <c r="O30" i="32"/>
  <c r="O49" i="32" s="1"/>
  <c r="J33" i="32"/>
  <c r="V35" i="32"/>
  <c r="V54" i="32" s="1"/>
  <c r="L38" i="32"/>
  <c r="L57" i="32" s="1"/>
  <c r="P40" i="32"/>
  <c r="P59" i="32" s="1"/>
  <c r="T42" i="32"/>
  <c r="T61" i="32" s="1"/>
  <c r="Q31" i="32"/>
  <c r="Q50" i="32" s="1"/>
  <c r="U30" i="32"/>
  <c r="U49" i="32" s="1"/>
  <c r="S32" i="32"/>
  <c r="S51" i="32" s="1"/>
  <c r="W34" i="32"/>
  <c r="W53" i="32" s="1"/>
  <c r="M37" i="32"/>
  <c r="M56" i="32" s="1"/>
  <c r="Q39" i="32"/>
  <c r="Q58" i="32" s="1"/>
  <c r="U41" i="32"/>
  <c r="U60" i="32" s="1"/>
  <c r="L30" i="32"/>
  <c r="L49" i="32" s="1"/>
  <c r="S31" i="32"/>
  <c r="S50" i="32" s="1"/>
  <c r="V33" i="32"/>
  <c r="V52" i="32" s="1"/>
  <c r="L36" i="32"/>
  <c r="L55" i="32" s="1"/>
  <c r="P38" i="32"/>
  <c r="P57" i="32" s="1"/>
  <c r="T40" i="32"/>
  <c r="T59" i="32" s="1"/>
  <c r="W31" i="32"/>
  <c r="W50" i="32" s="1"/>
  <c r="K33" i="32"/>
  <c r="K52" i="32" s="1"/>
  <c r="M34" i="32"/>
  <c r="M53" i="32" s="1"/>
  <c r="O35" i="32"/>
  <c r="O54" i="32" s="1"/>
  <c r="Q36" i="32"/>
  <c r="Q55" i="32" s="1"/>
  <c r="S37" i="32"/>
  <c r="S56" i="32" s="1"/>
  <c r="U38" i="32"/>
  <c r="U57" i="32" s="1"/>
  <c r="W39" i="32"/>
  <c r="W58" i="32" s="1"/>
  <c r="K41" i="32"/>
  <c r="K60" i="32" s="1"/>
  <c r="M42" i="32"/>
  <c r="M61" i="32" s="1"/>
  <c r="N30" i="32"/>
  <c r="N49" i="32" s="1"/>
  <c r="P31" i="32"/>
  <c r="P50" i="32" s="1"/>
  <c r="R32" i="32"/>
  <c r="R51" i="32" s="1"/>
  <c r="T33" i="32"/>
  <c r="T52" i="32" s="1"/>
  <c r="V34" i="32"/>
  <c r="V53" i="32" s="1"/>
  <c r="J36" i="32"/>
  <c r="L37" i="32"/>
  <c r="L56" i="32" s="1"/>
  <c r="N38" i="32"/>
  <c r="N57" i="32" s="1"/>
  <c r="P39" i="32"/>
  <c r="P58" i="32" s="1"/>
  <c r="R40" i="32"/>
  <c r="R59" i="32" s="1"/>
  <c r="T41" i="32"/>
  <c r="T60" i="32" s="1"/>
  <c r="V42" i="32"/>
  <c r="V61" i="32" s="1"/>
  <c r="O31" i="32"/>
  <c r="O50" i="32" s="1"/>
  <c r="M35" i="32"/>
  <c r="M54" i="32" s="1"/>
  <c r="Q37" i="32"/>
  <c r="Q56" i="32" s="1"/>
  <c r="U39" i="32"/>
  <c r="U58" i="32" s="1"/>
  <c r="K42" i="32"/>
  <c r="K61" i="32" s="1"/>
  <c r="K31" i="32"/>
  <c r="K50" i="32" s="1"/>
  <c r="R33" i="32"/>
  <c r="R52" i="32" s="1"/>
  <c r="P36" i="32"/>
  <c r="P55" i="32" s="1"/>
  <c r="T38" i="32"/>
  <c r="T57" i="32" s="1"/>
  <c r="J41" i="32"/>
  <c r="M30" i="32"/>
  <c r="M49" i="32" s="1"/>
  <c r="T34" i="32"/>
  <c r="T53" i="32" s="1"/>
  <c r="M31" i="32"/>
  <c r="M50" i="32" s="1"/>
  <c r="M33" i="32"/>
  <c r="M52" i="32" s="1"/>
  <c r="Q35" i="32"/>
  <c r="Q54" i="32" s="1"/>
  <c r="U37" i="32"/>
  <c r="U56" i="32" s="1"/>
  <c r="K40" i="32"/>
  <c r="K59" i="32" s="1"/>
  <c r="O42" i="32"/>
  <c r="O61" i="32" s="1"/>
  <c r="Q30" i="32"/>
  <c r="Q49" i="32" s="1"/>
  <c r="L32" i="32"/>
  <c r="L51" i="32" s="1"/>
  <c r="P34" i="32"/>
  <c r="P53" i="32" s="1"/>
  <c r="T36" i="32"/>
  <c r="T55" i="32" s="1"/>
  <c r="J39" i="32"/>
  <c r="N41" i="32"/>
  <c r="N60" i="32" s="1"/>
  <c r="M32" i="32"/>
  <c r="M51" i="32" s="1"/>
  <c r="O33" i="32"/>
  <c r="O52" i="32" s="1"/>
  <c r="Q34" i="32"/>
  <c r="Q53" i="32" s="1"/>
  <c r="S35" i="32"/>
  <c r="S54" i="32" s="1"/>
  <c r="U36" i="32"/>
  <c r="U55" i="32" s="1"/>
  <c r="W37" i="32"/>
  <c r="W56" i="32" s="1"/>
  <c r="K39" i="32"/>
  <c r="K58" i="32" s="1"/>
  <c r="M40" i="32"/>
  <c r="M59" i="32" s="1"/>
  <c r="O41" i="32"/>
  <c r="O60" i="32" s="1"/>
  <c r="Q42" i="32"/>
  <c r="Q61" i="32" s="1"/>
  <c r="R30" i="32"/>
  <c r="R49" i="32" s="1"/>
  <c r="T31" i="32"/>
  <c r="T50" i="32" s="1"/>
  <c r="V32" i="32"/>
  <c r="V51" i="32" s="1"/>
  <c r="J34" i="32"/>
  <c r="L35" i="32"/>
  <c r="L54" i="32" s="1"/>
  <c r="N36" i="32"/>
  <c r="N55" i="32" s="1"/>
  <c r="P37" i="32"/>
  <c r="P56" i="32" s="1"/>
  <c r="R38" i="32"/>
  <c r="R57" i="32" s="1"/>
  <c r="T39" i="32"/>
  <c r="T58" i="32" s="1"/>
  <c r="V40" i="32"/>
  <c r="V59" i="32" s="1"/>
  <c r="J42" i="32"/>
  <c r="V30" i="33"/>
  <c r="V28" i="33"/>
  <c r="V31" i="33"/>
  <c r="V23" i="33"/>
  <c r="V26" i="33"/>
  <c r="V25" i="33"/>
  <c r="V22" i="33"/>
  <c r="V33" i="33"/>
  <c r="V34" i="33"/>
  <c r="V27" i="33"/>
  <c r="V29" i="33"/>
  <c r="V24" i="33"/>
  <c r="V32" i="33"/>
  <c r="B49" i="32"/>
  <c r="B52" i="32"/>
  <c r="B58" i="32"/>
  <c r="B57" i="32"/>
  <c r="B60" i="32"/>
  <c r="B50" i="32"/>
  <c r="B51" i="32"/>
  <c r="B59" i="32"/>
  <c r="B54" i="32"/>
  <c r="B53" i="32"/>
  <c r="B55" i="32"/>
  <c r="B56" i="32"/>
  <c r="B61" i="32"/>
  <c r="W32" i="32"/>
  <c r="W51" i="32" s="1"/>
  <c r="U35" i="32"/>
  <c r="U54" i="32" s="1"/>
  <c r="K38" i="32"/>
  <c r="K57" i="32" s="1"/>
  <c r="O40" i="32"/>
  <c r="O59" i="32" s="1"/>
  <c r="S42" i="32"/>
  <c r="S61" i="32" s="1"/>
  <c r="V31" i="32"/>
  <c r="V50" i="32" s="1"/>
  <c r="L34" i="32"/>
  <c r="L53" i="32" s="1"/>
  <c r="J37" i="32"/>
  <c r="N39" i="32"/>
  <c r="N58" i="32" s="1"/>
  <c r="R41" i="32"/>
  <c r="R60" i="32" s="1"/>
  <c r="Q33" i="32"/>
  <c r="Q52" i="32" s="1"/>
  <c r="K30" i="32"/>
  <c r="K49" i="32" s="1"/>
  <c r="R31" i="32"/>
  <c r="R50" i="32" s="1"/>
  <c r="U33" i="32"/>
  <c r="U52" i="32" s="1"/>
  <c r="K36" i="32"/>
  <c r="K55" i="32" s="1"/>
  <c r="O38" i="32"/>
  <c r="O57" i="32" s="1"/>
  <c r="S40" i="32"/>
  <c r="S59" i="32" s="1"/>
  <c r="W42" i="32"/>
  <c r="W61" i="32" s="1"/>
  <c r="W30" i="32"/>
  <c r="W49" i="32" s="1"/>
  <c r="T32" i="32"/>
  <c r="T51" i="32" s="1"/>
  <c r="J35" i="32"/>
  <c r="N37" i="32"/>
  <c r="N56" i="32" s="1"/>
  <c r="R39" i="32"/>
  <c r="R58" i="32" s="1"/>
  <c r="V41" i="32"/>
  <c r="V60" i="32" s="1"/>
  <c r="Q32" i="32"/>
  <c r="Q51" i="32" s="1"/>
  <c r="S33" i="32"/>
  <c r="S52" i="32" s="1"/>
  <c r="U34" i="32"/>
  <c r="U53" i="32" s="1"/>
  <c r="W35" i="32"/>
  <c r="W54" i="32" s="1"/>
  <c r="K37" i="32"/>
  <c r="K56" i="32" s="1"/>
  <c r="M38" i="32"/>
  <c r="M57" i="32" s="1"/>
  <c r="O39" i="32"/>
  <c r="O58" i="32" s="1"/>
  <c r="Q40" i="32"/>
  <c r="Q59" i="32" s="1"/>
  <c r="S41" i="32"/>
  <c r="S60" i="32" s="1"/>
  <c r="U42" i="32"/>
  <c r="U61" i="32" s="1"/>
  <c r="V30" i="32"/>
  <c r="V49" i="32" s="1"/>
  <c r="J32" i="32"/>
  <c r="L33" i="32"/>
  <c r="L52" i="32" s="1"/>
  <c r="N34" i="32"/>
  <c r="N53" i="32" s="1"/>
  <c r="P35" i="32"/>
  <c r="P54" i="32" s="1"/>
  <c r="R36" i="32"/>
  <c r="R55" i="32" s="1"/>
  <c r="T37" i="32"/>
  <c r="T56" i="32" s="1"/>
  <c r="V38" i="32"/>
  <c r="V57" i="32" s="1"/>
  <c r="J40" i="32"/>
  <c r="L41" i="32"/>
  <c r="L60" i="32" s="1"/>
  <c r="N42" i="32"/>
  <c r="N61" i="32" s="1"/>
  <c r="X32" i="32" l="1"/>
  <c r="J51" i="32"/>
  <c r="X51" i="32" s="1"/>
  <c r="E51" i="32" s="1"/>
  <c r="B7" i="15" s="1"/>
  <c r="X40" i="32"/>
  <c r="J59" i="32"/>
  <c r="X59" i="32" s="1"/>
  <c r="E59" i="32" s="1"/>
  <c r="X37" i="32"/>
  <c r="J56" i="32"/>
  <c r="X56" i="32" s="1"/>
  <c r="E56" i="32" s="1"/>
  <c r="X34" i="32"/>
  <c r="J53" i="32"/>
  <c r="X53" i="32" s="1"/>
  <c r="E53" i="32" s="1"/>
  <c r="B9" i="15" s="1"/>
  <c r="X41" i="32"/>
  <c r="J60" i="32"/>
  <c r="X60" i="32" s="1"/>
  <c r="E60" i="32" s="1"/>
  <c r="X36" i="32"/>
  <c r="J55" i="32"/>
  <c r="X55" i="32" s="1"/>
  <c r="E55" i="32" s="1"/>
  <c r="X38" i="32"/>
  <c r="J57" i="32"/>
  <c r="X57" i="32" s="1"/>
  <c r="E57" i="32" s="1"/>
  <c r="B13" i="15" s="1"/>
  <c r="X42" i="32"/>
  <c r="J61" i="32"/>
  <c r="X61" i="32" s="1"/>
  <c r="E61" i="32" s="1"/>
  <c r="X31" i="32"/>
  <c r="J50" i="32"/>
  <c r="X50" i="32" s="1"/>
  <c r="E50" i="32" s="1"/>
  <c r="B6" i="15" s="1"/>
  <c r="X30" i="32"/>
  <c r="J49" i="32"/>
  <c r="X49" i="32" s="1"/>
  <c r="E49" i="32" s="1"/>
  <c r="X35" i="32"/>
  <c r="J54" i="32"/>
  <c r="X54" i="32" s="1"/>
  <c r="E54" i="32" s="1"/>
  <c r="B10" i="15" s="1"/>
  <c r="X39" i="32"/>
  <c r="J58" i="32"/>
  <c r="X58" i="32" s="1"/>
  <c r="E58" i="32" s="1"/>
  <c r="B14" i="15" s="1"/>
  <c r="X33" i="32"/>
  <c r="J52" i="32"/>
  <c r="X52" i="32" s="1"/>
  <c r="E52" i="32" s="1"/>
  <c r="F37" i="33"/>
  <c r="K37" i="33"/>
  <c r="I37" i="33"/>
  <c r="F58" i="32" l="1"/>
  <c r="N87" i="33" s="1"/>
  <c r="F51" i="32"/>
  <c r="D7" i="15" s="1"/>
  <c r="F50" i="32"/>
  <c r="N79" i="33" s="1"/>
  <c r="F53" i="32"/>
  <c r="D9" i="15" s="1"/>
  <c r="I45" i="33"/>
  <c r="I47" i="33"/>
  <c r="I46" i="33"/>
  <c r="I42" i="33"/>
  <c r="I44" i="33"/>
  <c r="F57" i="32"/>
  <c r="K41" i="33"/>
  <c r="F60" i="32"/>
  <c r="B16" i="15"/>
  <c r="F56" i="32"/>
  <c r="B12" i="15"/>
  <c r="F54" i="32"/>
  <c r="F52" i="32"/>
  <c r="B8" i="15"/>
  <c r="F49" i="32"/>
  <c r="B5" i="15"/>
  <c r="F61" i="32"/>
  <c r="B17" i="15"/>
  <c r="F55" i="32"/>
  <c r="B11" i="15"/>
  <c r="F59" i="32"/>
  <c r="B15" i="15"/>
  <c r="D14" i="15" l="1"/>
  <c r="C24" i="33"/>
  <c r="C31" i="33"/>
  <c r="C23" i="33"/>
  <c r="D6" i="15"/>
  <c r="C26" i="33"/>
  <c r="N80" i="33"/>
  <c r="G80" i="33" s="1"/>
  <c r="N82" i="33"/>
  <c r="I9" i="33" s="1"/>
  <c r="N84" i="33"/>
  <c r="C28" i="33"/>
  <c r="D11" i="15"/>
  <c r="N81" i="33"/>
  <c r="C25" i="33"/>
  <c r="D8" i="15"/>
  <c r="N90" i="33"/>
  <c r="D17" i="15"/>
  <c r="C34" i="33"/>
  <c r="N83" i="33"/>
  <c r="C30" i="34"/>
  <c r="C32" i="34" s="1"/>
  <c r="C27" i="33"/>
  <c r="D10" i="15"/>
  <c r="N89" i="33"/>
  <c r="D16" i="15"/>
  <c r="C33" i="33"/>
  <c r="N88" i="33"/>
  <c r="D15" i="15"/>
  <c r="C32" i="33"/>
  <c r="G87" i="33"/>
  <c r="I87" i="33"/>
  <c r="K87" i="33"/>
  <c r="G79" i="33"/>
  <c r="I6" i="33"/>
  <c r="I79" i="33"/>
  <c r="K79" i="33"/>
  <c r="N78" i="33"/>
  <c r="G78" i="33" s="1"/>
  <c r="D5" i="15"/>
  <c r="C22" i="33"/>
  <c r="N85" i="33"/>
  <c r="C29" i="33"/>
  <c r="D12" i="15"/>
  <c r="N86" i="33"/>
  <c r="C30" i="33"/>
  <c r="D13" i="15"/>
  <c r="O26" i="33" l="1"/>
  <c r="L24" i="33"/>
  <c r="P24" i="33" s="1"/>
  <c r="L31" i="33"/>
  <c r="P31" i="33" s="1"/>
  <c r="L23" i="33"/>
  <c r="P23" i="33" s="1"/>
  <c r="N24" i="33"/>
  <c r="J24" i="33"/>
  <c r="D24" i="33"/>
  <c r="O24" i="33"/>
  <c r="J31" i="33"/>
  <c r="O23" i="33"/>
  <c r="J23" i="33"/>
  <c r="N26" i="33"/>
  <c r="O31" i="33"/>
  <c r="N23" i="33"/>
  <c r="D31" i="33"/>
  <c r="N31" i="33"/>
  <c r="L26" i="33"/>
  <c r="J26" i="33"/>
  <c r="K80" i="33"/>
  <c r="I80" i="33"/>
  <c r="I82" i="33"/>
  <c r="G82" i="33"/>
  <c r="K82" i="33"/>
  <c r="N22" i="33"/>
  <c r="O22" i="33"/>
  <c r="J22" i="33"/>
  <c r="E22" i="33"/>
  <c r="L22" i="33"/>
  <c r="D22" i="33"/>
  <c r="I8" i="33"/>
  <c r="G81" i="33"/>
  <c r="I81" i="33"/>
  <c r="K81" i="33"/>
  <c r="N32" i="33"/>
  <c r="O32" i="33"/>
  <c r="J32" i="33"/>
  <c r="L32" i="33"/>
  <c r="D32" i="33"/>
  <c r="N33" i="33"/>
  <c r="O33" i="33"/>
  <c r="J33" i="33"/>
  <c r="L33" i="33"/>
  <c r="D33" i="33"/>
  <c r="N27" i="33"/>
  <c r="J27" i="33"/>
  <c r="O27" i="33"/>
  <c r="G27" i="33"/>
  <c r="L27" i="33"/>
  <c r="N34" i="33"/>
  <c r="O34" i="33"/>
  <c r="J34" i="33"/>
  <c r="L34" i="33"/>
  <c r="D34" i="33"/>
  <c r="P9" i="33"/>
  <c r="S9" i="33"/>
  <c r="R9" i="33"/>
  <c r="D26" i="33" s="1"/>
  <c r="N30" i="33"/>
  <c r="J30" i="33"/>
  <c r="O30" i="33"/>
  <c r="L30" i="33"/>
  <c r="D30" i="33"/>
  <c r="N29" i="33"/>
  <c r="O29" i="33"/>
  <c r="J29" i="33"/>
  <c r="L29" i="33"/>
  <c r="D29" i="33"/>
  <c r="S6" i="33"/>
  <c r="R6" i="33"/>
  <c r="D23" i="33" s="1"/>
  <c r="P6" i="33"/>
  <c r="N28" i="33"/>
  <c r="O28" i="33"/>
  <c r="J28" i="33"/>
  <c r="L28" i="33"/>
  <c r="G86" i="33"/>
  <c r="I86" i="33"/>
  <c r="K86" i="33"/>
  <c r="G85" i="33"/>
  <c r="I85" i="33"/>
  <c r="K85" i="33"/>
  <c r="G88" i="33"/>
  <c r="I88" i="33"/>
  <c r="K88" i="33"/>
  <c r="G89" i="33"/>
  <c r="I89" i="33"/>
  <c r="K89" i="33"/>
  <c r="I10" i="33"/>
  <c r="G83" i="33"/>
  <c r="I83" i="33"/>
  <c r="K83" i="33"/>
  <c r="G90" i="33"/>
  <c r="I90" i="33"/>
  <c r="K90" i="33"/>
  <c r="N25" i="33"/>
  <c r="O25" i="33"/>
  <c r="J25" i="33"/>
  <c r="L25" i="33"/>
  <c r="I11" i="33"/>
  <c r="G84" i="33"/>
  <c r="I84" i="33"/>
  <c r="K84" i="33"/>
  <c r="S24" i="33" l="1"/>
  <c r="S31" i="33"/>
  <c r="R24" i="33"/>
  <c r="R23" i="33"/>
  <c r="R31" i="33"/>
  <c r="S23" i="33"/>
  <c r="S26" i="33"/>
  <c r="R26" i="33"/>
  <c r="P26" i="33"/>
  <c r="N37" i="33"/>
  <c r="N45" i="33" s="1"/>
  <c r="S25" i="33"/>
  <c r="P25" i="33"/>
  <c r="R29" i="33"/>
  <c r="R33" i="33"/>
  <c r="R32" i="33"/>
  <c r="S8" i="33"/>
  <c r="P8" i="33"/>
  <c r="R8" i="33"/>
  <c r="D25" i="33" s="1"/>
  <c r="J37" i="33"/>
  <c r="J51" i="33" s="1"/>
  <c r="R25" i="33"/>
  <c r="S30" i="33"/>
  <c r="P30" i="33"/>
  <c r="S34" i="33"/>
  <c r="P34" i="33"/>
  <c r="S27" i="33"/>
  <c r="P27" i="33"/>
  <c r="O37" i="33"/>
  <c r="O47" i="33" s="1"/>
  <c r="S11" i="33"/>
  <c r="P11" i="33"/>
  <c r="R11" i="33"/>
  <c r="D28" i="33" s="1"/>
  <c r="S28" i="33"/>
  <c r="P28" i="33"/>
  <c r="R34" i="33"/>
  <c r="R27" i="33"/>
  <c r="G37" i="33"/>
  <c r="G46" i="33" s="1"/>
  <c r="L37" i="33"/>
  <c r="L53" i="33" s="1"/>
  <c r="P53" i="33" s="1"/>
  <c r="P22" i="33"/>
  <c r="S10" i="33"/>
  <c r="P10" i="33"/>
  <c r="R10" i="33"/>
  <c r="D27" i="33" s="1"/>
  <c r="R28" i="33"/>
  <c r="S29" i="33"/>
  <c r="P29" i="33"/>
  <c r="R30" i="33"/>
  <c r="S33" i="33"/>
  <c r="P33" i="33"/>
  <c r="S32" i="33"/>
  <c r="P32" i="33"/>
  <c r="Q22" i="33"/>
  <c r="S22" i="33"/>
  <c r="R22" i="33"/>
  <c r="H78" i="33"/>
  <c r="I78" i="33" s="1"/>
  <c r="E37" i="33"/>
  <c r="N46" i="33" l="1"/>
  <c r="N51" i="33"/>
  <c r="N44" i="33"/>
  <c r="N52" i="33"/>
  <c r="N48" i="33"/>
  <c r="J49" i="33"/>
  <c r="J53" i="33"/>
  <c r="O53" i="33"/>
  <c r="O49" i="33"/>
  <c r="J47" i="33"/>
  <c r="N47" i="33"/>
  <c r="N50" i="33"/>
  <c r="N53" i="33"/>
  <c r="N43" i="33"/>
  <c r="N49" i="33"/>
  <c r="N42" i="33"/>
  <c r="J44" i="33"/>
  <c r="J46" i="33"/>
  <c r="J48" i="33"/>
  <c r="S38" i="33"/>
  <c r="R38" i="33"/>
  <c r="H91" i="33"/>
  <c r="Q37" i="33"/>
  <c r="E41" i="33"/>
  <c r="O46" i="33"/>
  <c r="O48" i="33"/>
  <c r="J41" i="33"/>
  <c r="L52" i="33"/>
  <c r="P52" i="33" s="1"/>
  <c r="L41" i="33"/>
  <c r="P41" i="33" s="1"/>
  <c r="O52" i="33"/>
  <c r="L49" i="33"/>
  <c r="P49" i="33" s="1"/>
  <c r="J50" i="33"/>
  <c r="J42" i="33"/>
  <c r="J45" i="33"/>
  <c r="J43" i="33"/>
  <c r="L44" i="33"/>
  <c r="P44" i="33" s="1"/>
  <c r="R37" i="33"/>
  <c r="L51" i="33"/>
  <c r="P51" i="33" s="1"/>
  <c r="L48" i="33"/>
  <c r="P48" i="33" s="1"/>
  <c r="O44" i="33"/>
  <c r="O41" i="33"/>
  <c r="O51" i="33"/>
  <c r="J52" i="33"/>
  <c r="S37" i="33"/>
  <c r="U48" i="33" s="1"/>
  <c r="P37" i="33"/>
  <c r="L43" i="33"/>
  <c r="P43" i="33" s="1"/>
  <c r="L45" i="33"/>
  <c r="P45" i="33" s="1"/>
  <c r="L50" i="33"/>
  <c r="P50" i="33" s="1"/>
  <c r="L42" i="33"/>
  <c r="P42" i="33" s="1"/>
  <c r="L47" i="33"/>
  <c r="P47" i="33" s="1"/>
  <c r="O45" i="33"/>
  <c r="O42" i="33"/>
  <c r="O50" i="33"/>
  <c r="O43" i="33"/>
  <c r="L46" i="33"/>
  <c r="P46" i="33" s="1"/>
  <c r="R53" i="33" l="1"/>
  <c r="S53" i="33"/>
  <c r="S44" i="33"/>
  <c r="S48" i="33"/>
  <c r="R48" i="33"/>
  <c r="S49" i="33"/>
  <c r="U41" i="33"/>
  <c r="R44" i="33"/>
  <c r="U52" i="33"/>
  <c r="T37" i="33"/>
  <c r="T45" i="33"/>
  <c r="T43" i="33"/>
  <c r="T50" i="33"/>
  <c r="T42" i="33"/>
  <c r="S50" i="33"/>
  <c r="R50" i="33"/>
  <c r="T53" i="33"/>
  <c r="R46" i="33"/>
  <c r="U53" i="33"/>
  <c r="U42" i="33"/>
  <c r="U45" i="33"/>
  <c r="U50" i="33"/>
  <c r="U43" i="33"/>
  <c r="S52" i="33"/>
  <c r="R52" i="33"/>
  <c r="S43" i="33"/>
  <c r="R43" i="33"/>
  <c r="R49" i="33"/>
  <c r="U51" i="33"/>
  <c r="S46" i="33"/>
  <c r="R47" i="33"/>
  <c r="S45" i="33"/>
  <c r="R45" i="33"/>
  <c r="U46" i="33"/>
  <c r="U47" i="33"/>
  <c r="T49" i="33"/>
  <c r="S51" i="33"/>
  <c r="U44" i="33"/>
  <c r="T51" i="33"/>
  <c r="U49" i="33"/>
  <c r="T46" i="33"/>
  <c r="T48" i="33"/>
  <c r="T44" i="33"/>
  <c r="S47" i="33"/>
  <c r="T41" i="33"/>
  <c r="T52" i="33"/>
  <c r="S42" i="33"/>
  <c r="R42" i="33"/>
  <c r="T47" i="33"/>
  <c r="S41" i="33"/>
  <c r="R41" i="33"/>
  <c r="J78" i="33"/>
  <c r="K78" i="33" s="1"/>
  <c r="Q41" i="33"/>
  <c r="R51" i="33"/>
  <c r="W45" i="33" l="1"/>
  <c r="W44" i="33" l="1"/>
  <c r="W42" i="33"/>
  <c r="W46" i="33"/>
  <c r="W50" i="33"/>
  <c r="W41" i="33"/>
  <c r="W47" i="33"/>
  <c r="W51" i="33"/>
  <c r="W48" i="33"/>
  <c r="W52" i="33"/>
  <c r="W49" i="33"/>
  <c r="W43" i="33"/>
  <c r="W53" i="33"/>
</calcChain>
</file>

<file path=xl/comments1.xml><?xml version="1.0" encoding="utf-8"?>
<comments xmlns="http://schemas.openxmlformats.org/spreadsheetml/2006/main">
  <authors>
    <author>Author</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D4" authorId="0" shapeId="0">
      <text>
        <r>
          <rPr>
            <b/>
            <sz val="9"/>
            <color indexed="81"/>
            <rFont val="Tahoma"/>
            <family val="2"/>
          </rPr>
          <t>Author:</t>
        </r>
        <r>
          <rPr>
            <sz val="9"/>
            <color indexed="81"/>
            <rFont val="Tahoma"/>
            <family val="2"/>
          </rPr>
          <t xml:space="preserve">
Removed as less than 30% of  average</t>
        </r>
      </text>
    </comment>
    <comment ref="Q14" authorId="0" shapeId="0">
      <text>
        <r>
          <rPr>
            <b/>
            <sz val="9"/>
            <color indexed="81"/>
            <rFont val="Tahoma"/>
            <family val="2"/>
          </rPr>
          <t>Author:</t>
        </r>
        <r>
          <rPr>
            <sz val="9"/>
            <color indexed="81"/>
            <rFont val="Tahoma"/>
            <family val="2"/>
          </rPr>
          <t xml:space="preserve">
Negatives were published as zeos</t>
        </r>
      </text>
    </comment>
  </commentList>
</comments>
</file>

<file path=xl/comments4.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5.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6.xml><?xml version="1.0" encoding="utf-8"?>
<comments xmlns="http://schemas.openxmlformats.org/spreadsheetml/2006/main">
  <authors>
    <author>Author</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0" shapeId="0">
      <text>
        <r>
          <rPr>
            <b/>
            <sz val="9"/>
            <color indexed="81"/>
            <rFont val="Tahoma"/>
            <family val="2"/>
          </rPr>
          <t>Author:</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0" shapeId="0">
      <text>
        <r>
          <rPr>
            <b/>
            <sz val="9"/>
            <color indexed="81"/>
            <rFont val="Tahoma"/>
            <family val="2"/>
          </rPr>
          <t>Author:</t>
        </r>
        <r>
          <rPr>
            <sz val="9"/>
            <color indexed="81"/>
            <rFont val="Tahoma"/>
            <family val="2"/>
          </rPr>
          <t xml:space="preserve">
From Category RIN</t>
        </r>
      </text>
    </comment>
    <comment ref="F14" authorId="0" shapeId="0">
      <text>
        <r>
          <rPr>
            <b/>
            <sz val="9"/>
            <color indexed="81"/>
            <rFont val="Tahoma"/>
            <family val="2"/>
          </rPr>
          <t>Author:</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<sst xmlns="http://schemas.openxmlformats.org/spreadsheetml/2006/main" count="1832" uniqueCount="344">
  <si>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</si>
  <si>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</si>
  <si>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</si>
  <si>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</si>
  <si>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</si>
  <si>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</si>
  <si>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</si>
  <si>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</si>
  <si>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</si>
  <si>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</si>
  <si>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</si>
  <si>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</si>
  <si>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</si>
  <si>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</si>
  <si>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</si>
  <si>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</si>
  <si>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</si>
  <si>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</si>
  <si>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</si>
  <si>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</si>
  <si>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</si>
  <si>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</si>
  <si>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</si>
  <si>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</si>
  <si>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</si>
  <si>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</si>
  <si>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</si>
  <si>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</si>
  <si>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</si>
  <si>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</si>
  <si>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</si>
  <si>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</si>
  <si>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</si>
  <si>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</si>
  <si>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</si>
  <si>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</si>
  <si>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</si>
  <si>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</si>
  <si>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</si>
  <si>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</si>
  <si>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</si>
  <si>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</si>
  <si>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</si>
  <si>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</si>
  <si>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</si>
  <si>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</si>
  <si>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</si>
  <si>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</si>
  <si>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</si>
  <si>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</si>
  <si>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</si>
  <si>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</si>
  <si>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</si>
  <si>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</si>
  <si>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</si>
  <si>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</si>
  <si>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</si>
  <si>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</si>
  <si>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</si>
  <si>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</si>
  <si>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</si>
  <si>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</si>
  <si>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</si>
  <si>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pick the year to base OPEX on</t>
  </si>
  <si>
    <t>5 yr average</t>
  </si>
  <si>
    <t>OPEX</t>
  </si>
  <si>
    <t>11AND</t>
  </si>
  <si>
    <t>$'000</t>
  </si>
  <si>
    <t>Efficiency Target</t>
  </si>
  <si>
    <t>Ideal efficient base OPEX</t>
  </si>
  <si>
    <t>Total customer numbers</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</si>
  <si>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</si>
  <si>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</si>
  <si>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</si>
  <si>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</si>
  <si>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</si>
  <si>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</si>
  <si>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</si>
  <si>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</si>
  <si>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</si>
  <si>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</si>
  <si>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</si>
  <si>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</si>
  <si>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</si>
  <si>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</si>
  <si>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</si>
  <si>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</si>
  <si>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</si>
  <si>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</si>
  <si>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</si>
  <si>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</si>
  <si>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</si>
  <si>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</si>
  <si>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</si>
  <si>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</si>
  <si>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</si>
  <si>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</si>
  <si>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</si>
  <si>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</si>
  <si>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</si>
  <si>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</si>
  <si>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</si>
  <si>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</si>
  <si>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</si>
  <si>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</si>
  <si>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</si>
  <si>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</si>
  <si>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</si>
  <si>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</si>
  <si>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</si>
  <si>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</si>
  <si>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</si>
  <si>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</si>
  <si>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</si>
  <si>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</si>
  <si>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</si>
  <si>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</si>
  <si>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</si>
  <si>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</si>
  <si>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</si>
  <si>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</si>
  <si>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</si>
  <si>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</si>
  <si>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</si>
  <si>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</si>
  <si>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</si>
  <si>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</si>
  <si>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</si>
  <si>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</si>
  <si>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</si>
  <si>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</si>
  <si>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</si>
  <si>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</si>
  <si>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</si>
  <si>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</si>
  <si>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</si>
  <si>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</si>
  <si>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</si>
  <si>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</si>
  <si>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</si>
  <si>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</si>
  <si>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</si>
  <si>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</si>
  <si>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</si>
  <si>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</si>
  <si>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</si>
  <si>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</si>
  <si>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</si>
  <si>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</si>
  <si>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</si>
  <si>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</si>
  <si>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</si>
  <si>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</si>
  <si>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</si>
  <si>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</si>
  <si>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</si>
  <si>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</si>
  <si>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</si>
  <si>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</si>
  <si>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</si>
  <si>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</si>
  <si>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</si>
  <si>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</si>
  <si>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</si>
  <si>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</si>
  <si>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</si>
  <si>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</si>
  <si>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</si>
  <si>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</si>
  <si>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</si>
  <si>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</si>
  <si>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</si>
  <si>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</si>
  <si>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</si>
  <si>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</si>
  <si>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</si>
  <si>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</si>
  <si>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</si>
  <si>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</si>
  <si>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</si>
  <si>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</si>
  <si>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</si>
  <si>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</si>
  <si>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</si>
  <si>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</si>
  <si>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</si>
  <si>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</si>
  <si>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</si>
  <si>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</si>
  <si>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</si>
  <si>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</si>
  <si>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</si>
  <si>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</si>
  <si>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</si>
  <si>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</si>
  <si>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</si>
  <si>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</si>
  <si>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</si>
  <si>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</si>
  <si>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</si>
  <si>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</si>
  <si>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</si>
  <si>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</si>
  <si>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</si>
  <si>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</si>
  <si>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</si>
  <si>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</si>
  <si>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</si>
  <si>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</si>
  <si>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</si>
  <si>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</si>
  <si>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</si>
  <si>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</si>
  <si>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</si>
  <si>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</si>
  <si>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</si>
  <si>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Vegetation management</t>
  </si>
  <si>
    <t>sum inclusion</t>
  </si>
  <si>
    <t>OEF estimate (%)</t>
  </si>
  <si>
    <t>reference point</t>
  </si>
  <si>
    <t>OEF adjustment (%)</t>
  </si>
  <si>
    <t>OEF estimate ($'000)</t>
  </si>
  <si>
    <t>Customers</t>
  </si>
  <si>
    <t>Report tables for individual OEFs</t>
  </si>
  <si>
    <t>IEB OPEX</t>
  </si>
  <si>
    <t>Eff OPEC exc OEFs</t>
  </si>
  <si>
    <t>U/G OEF</t>
  </si>
  <si>
    <t>O/H OEF</t>
  </si>
  <si>
    <t>Tx Cap OEF</t>
  </si>
  <si>
    <t>Efficient O/H OEF%</t>
  </si>
  <si>
    <t>Efficient U/G OEF%</t>
  </si>
  <si>
    <t>Ideal optimised OPEX</t>
  </si>
  <si>
    <t>base OPEX</t>
  </si>
  <si>
    <t>Derivation of Efficiency Targets and Ideal optimised OPEX from references sources including 
• EI benchmarking results (hidden)
• nominal EB RIN OPEX data
• real EB RIN OPEX
• Customer numbers</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</si>
  <si>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</si>
  <si>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</si>
  <si>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</si>
  <si>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</si>
  <si>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</si>
  <si>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</si>
  <si>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</si>
  <si>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</si>
  <si>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</si>
  <si>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</si>
  <si>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</si>
  <si>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</si>
  <si>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NA</t>
  </si>
  <si>
    <t>S/M</t>
  </si>
  <si>
    <t>S/M OEF estimate (%)</t>
  </si>
  <si>
    <t>S/M OEF estimate ($'000)</t>
  </si>
  <si>
    <t>S/M OEF adjustment (%)</t>
  </si>
  <si>
    <t>S/M OEF adjustment ($'000)</t>
  </si>
  <si>
    <t>Summary tables</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</si>
  <si>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</si>
  <si>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</si>
  <si>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</si>
  <si>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</si>
  <si>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</si>
  <si>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</si>
  <si>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</si>
  <si>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</si>
  <si>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</si>
  <si>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</si>
  <si>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</si>
  <si>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</si>
  <si>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</si>
  <si>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</si>
  <si>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</si>
  <si>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</si>
  <si>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</si>
  <si>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</si>
  <si>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</si>
  <si>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</si>
  <si>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</si>
  <si>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</si>
  <si>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</si>
  <si>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</si>
  <si>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</si>
  <si>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</si>
  <si>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</si>
  <si>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</si>
  <si>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</si>
  <si>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</si>
  <si>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</si>
  <si>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</si>
  <si>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</si>
  <si>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</si>
  <si>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</si>
  <si>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</si>
  <si>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</si>
  <si>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</si>
  <si>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</si>
  <si>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</si>
  <si>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</si>
  <si>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</si>
  <si>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</si>
  <si>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</si>
  <si>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</si>
  <si>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</si>
  <si>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</si>
  <si>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</si>
  <si>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</si>
  <si>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</si>
  <si>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</si>
  <si>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</si>
  <si>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</si>
  <si>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</si>
  <si>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</si>
  <si>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</si>
  <si>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Efficiency Score</t>
  </si>
  <si>
    <t>Data sources:</t>
  </si>
  <si>
    <t>Total customer numbers (#)</t>
  </si>
  <si>
    <t>Table 2: Network Services Opex ($'000, nominal)</t>
  </si>
  <si>
    <t>Table 3: Total customer number (#)</t>
  </si>
  <si>
    <t>Comparison point</t>
  </si>
  <si>
    <t>For release with the Sapere-Merz final report</t>
  </si>
  <si>
    <t>October 2019</t>
  </si>
  <si>
    <t>Ergon Energy 2020-25 draft decision</t>
  </si>
  <si>
    <t>May 2020</t>
  </si>
  <si>
    <t>Ergon Energy 2020-25 final decision</t>
  </si>
  <si>
    <t>Version history</t>
  </si>
  <si>
    <t>June 2018</t>
  </si>
  <si>
    <t>Table 1: DNSP period-average opex efficiency scores, 2006 to 2019</t>
  </si>
  <si>
    <t>2006-19 average</t>
  </si>
  <si>
    <t>Base Opex (using ABR 2020 results)</t>
  </si>
  <si>
    <r>
      <t xml:space="preserve">1. Table 1: Economic Insights, </t>
    </r>
    <r>
      <rPr>
        <i/>
        <sz val="11"/>
        <color theme="1"/>
        <rFont val="Calibri"/>
        <family val="2"/>
        <scheme val="minor"/>
      </rPr>
      <t>DNSP Economic Benchmarking Results for the Australian Energy Regulator's 2020 DNSP Annual Benchmarking Report</t>
    </r>
    <r>
      <rPr>
        <sz val="11"/>
        <color theme="1"/>
        <rFont val="Calibri"/>
        <family val="2"/>
        <scheme val="minor"/>
      </rPr>
      <t xml:space="preserve">, 13 October 2020, Table 3.5. </t>
    </r>
  </si>
  <si>
    <t xml:space="preserve">3. Table 3: Economic Insights, DNSP consolidated benchmarking data (2019).xlsx, worksheet 'Benchmarking Data', row 8 Customer Number.  This spreadsheet is contained in the 'Economic Insights AER DNSP BM Files 8Oct2020.zip' file for the 2020 DNSP ABR.  </t>
  </si>
  <si>
    <t xml:space="preserve">2. Table 2: Economic Insights, DNSP consolidated benchmarking data (2019).xlsx, worksheet 'Benchmarking Data', row 14 opex.  This spreadsheet is contained in the 'Economic Insights AER DNSP BM Files 8Oct2020.zip' file for the 2020 DNSP ABR.  </t>
  </si>
  <si>
    <t>Comparator?</t>
  </si>
  <si>
    <t>Table 1: DNSP period-average opex efficiency scores, 2012 to 2019</t>
  </si>
  <si>
    <t>2012-19 average</t>
  </si>
  <si>
    <t>number</t>
  </si>
  <si>
    <r>
      <t xml:space="preserve">1. Table 1: Economic Insights, </t>
    </r>
    <r>
      <rPr>
        <i/>
        <sz val="11"/>
        <color theme="1"/>
        <rFont val="Calibri"/>
        <family val="2"/>
        <scheme val="minor"/>
      </rPr>
      <t>DNSP Economic Benchmarking Results for the Australian Energy Regulator's 2020 DNSP Annual Benchmarking Report</t>
    </r>
    <r>
      <rPr>
        <sz val="11"/>
        <color theme="1"/>
        <rFont val="Calibri"/>
        <family val="2"/>
        <scheme val="minor"/>
      </rPr>
      <t xml:space="preserve">, 13 October 2020, Table 3.7. </t>
    </r>
  </si>
  <si>
    <t>May 2021</t>
  </si>
  <si>
    <t>September 2020</t>
  </si>
  <si>
    <t>Vic EDPR final decisions</t>
  </si>
  <si>
    <t>Vic EDPR draft decisions</t>
  </si>
  <si>
    <t/>
  </si>
  <si>
    <t>Summary tables-short</t>
  </si>
  <si>
    <t>base OPEX-short</t>
  </si>
  <si>
    <t>For 2012-19 period</t>
  </si>
  <si>
    <t>Summary tables of all OEFs and all DNSPs, including reference table for AER OEFs - 
for 2006-19 benchmarking period</t>
  </si>
  <si>
    <t>Summary tables of all OEFs and all DNSPs, including reference table for AER OEFs - 
for 2012-19 benchmarking period</t>
  </si>
  <si>
    <t>Average: four econometric models, with exclusions for monotonicity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</si>
</sst>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3" formatCode="_-* #,##0.00_-;\-* #,##0.00_-;_-* &quot;-&quot;??_-;_-@_-"/>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0.000000"/>
    <numFmt numFmtId="172" formatCode="0.0"/>
    <numFmt numFmtId="173" formatCode="0.0%"/>
    <numFmt numFmtId="174" formatCode="_-&quot;$&quot;* #,##0_-;\-&quot;$&quot;* #,##0_-;_-&quot;$&quot;* &quot;-&quot;??_-;_-@_-"/>
    <numFmt numFmtId="175" formatCode="_([$€-2]* #,##0.00_);_([$€-2]* \(#,##0.00\);_([$€-2]* &quot;-&quot;??_)"/>
    <numFmt numFmtId="176" formatCode="_-[$€-2]* #,##0.00_-;\-[$€-2]* #,##0.00_-;_-[$€-2]* &quot;-&quot;??_-"/>
    <numFmt numFmtId="177" formatCode="_(* #,##0.0_);_(* \(#,##0.0\);_(* &quot;-&quot;?_);_(@_)"/>
    <numFmt numFmtId="178" formatCode="&quot;$&quot;#,##0.00"/>
    <numFmt numFmtId="179" formatCode="0.000"/>
    <numFmt numFmtId="180" formatCode="&quot;$&quot;#,##0.0"/>
    <numFmt numFmtId="181" formatCode="&quot;$&quot;#,##0"/>
    <numFmt numFmtId="182" formatCode="mmm\-yyyy"/>
    <numFmt numFmtId="183" formatCode="[$-C09]mmm\-yyyy;@"/>
    <numFmt numFmtId="184" formatCode="_ * #,##0_ ;_ * \-#,##0_ ;_ * &quot;-&quot;_ ;_ @_ "/>
    <numFmt numFmtId="185" formatCode="_ * #,##0.00_ ;_ * \-#,##0.00_ ;_ * &quot;-&quot;??_ ;_ @_ "/>
    <numFmt numFmtId="186" formatCode="0.0000"/>
    <numFmt numFmtId="187" formatCode="#,##0.0"/>
    <numFmt numFmtId="188" formatCode="_-* #,##0.0_-;\-* #,##0.0_-;_-* &quot;-&quot;??_-;_-@_-"/>
    <numFmt numFmtId="189" formatCode="_(* #,##0.000_);_(* \(#,##0.000\);_(* &quot;-&quot;??_);_(@_)"/>
    <numFmt numFmtId="190" formatCode="_-* #,##0.0_-;\-* #,##0.0_-;_-* &quot;-&quot;?_-;_-@_-"/>
  </numFmts>
  <fonts count="32">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sz val="11"/>
      <color rgb="FF00B050"/>
      <name val="Calibri"/>
      <family val="2"/>
      <scheme val="minor"/>
    </font>
    <font>
      <i/>
      <sz val="11"/>
      <color theme="1"/>
      <name val="Calibri"/>
      <family val="2"/>
      <scheme val="minor"/>
    </font>
    <font>
      <sz val="11"/>
      <color indexed="8"/>
      <name val="Calibri"/>
      <family val="2"/>
    </font>
    <font>
      <b/>
      <sz val="11"/>
      <color indexed="8"/>
      <name val="Calibri"/>
      <family val="2"/>
    </font>
  </fonts>
  <fills count="26">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rgb="FF00B050"/>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5">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5" fontId="3" fillId="0" borderId="0"/>
    <xf numFmtId="0" fontId="3" fillId="0" borderId="0"/>
    <xf numFmtId="0" fontId="3" fillId="0" borderId="0"/>
    <xf numFmtId="0" fontId="3" fillId="0" borderId="0"/>
    <xf numFmtId="0" fontId="3" fillId="0" borderId="0"/>
    <xf numFmtId="0" fontId="9" fillId="0" borderId="0"/>
    <xf numFmtId="0" fontId="9" fillId="0" borderId="0"/>
    <xf numFmtId="175"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xf numFmtId="177" fontId="3" fillId="4" borderId="0" applyFont="0" applyBorder="0">
      <alignment horizontal="right"/>
    </xf>
    <xf numFmtId="166" fontId="3" fillId="5" borderId="0" applyFont="0" applyBorder="0" applyAlignment="0">
      <alignment horizontal="right"/>
      <protection locked="0"/>
    </xf>
    <xf numFmtId="0" fontId="14" fillId="6" borderId="11" applyNumberFormat="0" applyAlignment="0" applyProtection="0"/>
    <xf numFmtId="0" fontId="15" fillId="6" borderId="10" applyNumberFormat="0" applyAlignment="0" applyProtection="0"/>
    <xf numFmtId="0" fontId="16" fillId="7" borderId="12" applyNumberFormat="0" applyAlignment="0" applyProtection="0"/>
    <xf numFmtId="0" fontId="17" fillId="0" borderId="0" applyNumberFormat="0" applyFill="0" applyBorder="0" applyAlignment="0" applyProtection="0"/>
    <xf numFmtId="0" fontId="7" fillId="0" borderId="0" applyNumberFormat="0" applyFill="0" applyBorder="0" applyAlignment="0" applyProtection="0"/>
    <xf numFmtId="0" fontId="18" fillId="10" borderId="10" applyNumberFormat="0" applyAlignment="0" applyProtection="0"/>
    <xf numFmtId="0" fontId="19" fillId="0" borderId="13" applyNumberFormat="0" applyFill="0" applyAlignment="0" applyProtection="0"/>
    <xf numFmtId="0" fontId="1" fillId="11" borderId="0" applyNumberFormat="0" applyBorder="0" applyAlignment="0" applyProtection="0"/>
    <xf numFmtId="0" fontId="20" fillId="12" borderId="0" applyNumberFormat="0" applyBorder="0" applyAlignment="0" applyProtection="0"/>
    <xf numFmtId="0" fontId="22" fillId="0" borderId="14" applyNumberFormat="0" applyFill="0" applyAlignment="0" applyProtection="0"/>
    <xf numFmtId="0" fontId="20" fillId="13" borderId="0" applyNumberFormat="0" applyBorder="0" applyAlignment="0" applyProtection="0"/>
    <xf numFmtId="0" fontId="5" fillId="3" borderId="0" applyNumberFormat="0" applyBorder="0" applyAlignment="0" applyProtection="0"/>
    <xf numFmtId="0" fontId="1" fillId="14"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3" fillId="0" borderId="0"/>
    <xf numFmtId="0" fontId="3" fillId="0" borderId="0"/>
    <xf numFmtId="0" fontId="3" fillId="0" borderId="0"/>
    <xf numFmtId="0" fontId="24" fillId="0" borderId="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5"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7" fillId="0" borderId="19" applyNumberFormat="0" applyFill="0" applyAlignment="0" applyProtection="0"/>
    <xf numFmtId="0" fontId="3" fillId="0" borderId="0"/>
    <xf numFmtId="0" fontId="1" fillId="0" borderId="0"/>
  </cellStyleXfs>
  <cellXfs count="361">
    <xf numFmtId="0" fontId="0" fillId="0" borderId="0" xfId="0"/>
    <xf numFmtId="0" fontId="20" fillId="21" borderId="17" xfId="0" applyFont="1" applyFill="1" applyBorder="1" applyAlignment="1">
      <alignment vertical="top" wrapText="1"/>
    </xf>
    <xf numFmtId="0" fontId="20" fillId="21"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9" fontId="0" fillId="0" borderId="1" xfId="1" applyNumberFormat="1" applyFont="1" applyBorder="1"/>
    <xf numFmtId="0" fontId="0" fillId="0" borderId="0" xfId="0" applyFill="1" applyAlignment="1">
      <alignment wrapText="1"/>
    </xf>
    <xf numFmtId="1" fontId="0" fillId="0" borderId="0" xfId="0" applyNumberFormat="1" applyFill="1"/>
    <xf numFmtId="171"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2" fontId="0" fillId="0" borderId="1" xfId="0" applyNumberFormat="1" applyBorder="1"/>
    <xf numFmtId="173"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0" fontId="0" fillId="0" borderId="0" xfId="0" applyNumberFormat="1"/>
    <xf numFmtId="167" fontId="0" fillId="0" borderId="0" xfId="0" applyNumberFormat="1"/>
    <xf numFmtId="0" fontId="0" fillId="0" borderId="0" xfId="0" applyAlignment="1">
      <alignment horizontal="right"/>
    </xf>
    <xf numFmtId="17" fontId="0" fillId="0" borderId="0" xfId="0" quotePrefix="1" applyNumberFormat="1" applyAlignment="1">
      <alignment horizontal="right"/>
    </xf>
    <xf numFmtId="179" fontId="0" fillId="0" borderId="0" xfId="0" applyNumberFormat="1"/>
    <xf numFmtId="10" fontId="0" fillId="0" borderId="0" xfId="0" applyNumberFormat="1"/>
    <xf numFmtId="0" fontId="16" fillId="7" borderId="12" xfId="35"/>
    <xf numFmtId="0" fontId="17" fillId="0" borderId="0" xfId="36" applyAlignment="1">
      <alignment horizontal="left"/>
    </xf>
    <xf numFmtId="0" fontId="0" fillId="8" borderId="0" xfId="0" applyFill="1"/>
    <xf numFmtId="0" fontId="0" fillId="9" borderId="0" xfId="0" applyFill="1" applyBorder="1"/>
    <xf numFmtId="0" fontId="0" fillId="8" borderId="0" xfId="0" applyFill="1" applyAlignment="1">
      <alignment horizontal="right"/>
    </xf>
    <xf numFmtId="0" fontId="0" fillId="9" borderId="0" xfId="0" applyFill="1" applyBorder="1" applyAlignment="1">
      <alignment horizontal="right"/>
    </xf>
    <xf numFmtId="172" fontId="0" fillId="0" borderId="0" xfId="0" applyNumberFormat="1"/>
    <xf numFmtId="172" fontId="0" fillId="0" borderId="0" xfId="0" applyNumberFormat="1" applyFont="1"/>
    <xf numFmtId="9" fontId="7" fillId="0" borderId="3" xfId="4" applyNumberFormat="1"/>
    <xf numFmtId="0" fontId="7" fillId="0" borderId="3" xfId="4"/>
    <xf numFmtId="9" fontId="15" fillId="6" borderId="10" xfId="34" applyNumberFormat="1"/>
    <xf numFmtId="180" fontId="15" fillId="6" borderId="10" xfId="34" applyNumberFormat="1"/>
    <xf numFmtId="181" fontId="14" fillId="6" borderId="11" xfId="33" applyNumberFormat="1"/>
    <xf numFmtId="180" fontId="0" fillId="0" borderId="0" xfId="0" applyNumberFormat="1"/>
    <xf numFmtId="3" fontId="0" fillId="0" borderId="0" xfId="0" applyNumberFormat="1"/>
    <xf numFmtId="1" fontId="0" fillId="0" borderId="0" xfId="0" applyNumberFormat="1"/>
    <xf numFmtId="180" fontId="0" fillId="0" borderId="0" xfId="0" applyNumberFormat="1" applyAlignment="1">
      <alignment horizontal="right"/>
    </xf>
    <xf numFmtId="180" fontId="0" fillId="0" borderId="0" xfId="0" applyNumberFormat="1" applyAlignment="1">
      <alignment horizontal="left"/>
    </xf>
    <xf numFmtId="9" fontId="19" fillId="0" borderId="13" xfId="39" applyNumberFormat="1"/>
    <xf numFmtId="0" fontId="7" fillId="0" borderId="3" xfId="4" applyAlignment="1">
      <alignment wrapText="1"/>
    </xf>
    <xf numFmtId="0" fontId="7" fillId="0" borderId="3" xfId="4" applyNumberFormat="1" applyAlignment="1">
      <alignment wrapText="1"/>
    </xf>
    <xf numFmtId="0" fontId="7" fillId="0" borderId="0" xfId="37" applyNumberFormat="1"/>
    <xf numFmtId="0" fontId="2" fillId="0" borderId="0" xfId="0" applyFont="1" applyFill="1" applyBorder="1"/>
    <xf numFmtId="181" fontId="0" fillId="0" borderId="0" xfId="0" applyNumberFormat="1"/>
    <xf numFmtId="178" fontId="15" fillId="6" borderId="10" xfId="34" applyNumberFormat="1"/>
    <xf numFmtId="165" fontId="0" fillId="0" borderId="0" xfId="0" applyNumberFormat="1"/>
    <xf numFmtId="165" fontId="15" fillId="6" borderId="10" xfId="34" applyNumberFormat="1"/>
    <xf numFmtId="10" fontId="15" fillId="6" borderId="10" xfId="34" applyNumberFormat="1"/>
    <xf numFmtId="2" fontId="0" fillId="0" borderId="0" xfId="0" applyNumberFormat="1"/>
    <xf numFmtId="0" fontId="0" fillId="0" borderId="0" xfId="0"/>
    <xf numFmtId="10" fontId="0" fillId="0" borderId="0" xfId="0" applyNumberFormat="1"/>
    <xf numFmtId="9" fontId="0" fillId="0" borderId="0" xfId="2" applyFont="1"/>
    <xf numFmtId="173" fontId="0" fillId="0" borderId="0" xfId="2" applyNumberFormat="1" applyFont="1"/>
    <xf numFmtId="180" fontId="0" fillId="0" borderId="0" xfId="0" applyNumberFormat="1"/>
    <xf numFmtId="179" fontId="0" fillId="0" borderId="0" xfId="0" applyNumberFormat="1"/>
    <xf numFmtId="164"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7" fillId="0" borderId="0" xfId="36" applyNumberFormat="1"/>
    <xf numFmtId="0" fontId="0" fillId="0" borderId="0" xfId="0"/>
    <xf numFmtId="172" fontId="17" fillId="0" borderId="0" xfId="36" applyNumberFormat="1"/>
    <xf numFmtId="0" fontId="7" fillId="0" borderId="3" xfId="4" applyAlignment="1">
      <alignment horizontal="right"/>
    </xf>
    <xf numFmtId="0" fontId="0" fillId="0" borderId="0" xfId="0" applyAlignment="1">
      <alignment horizontal="right"/>
    </xf>
    <xf numFmtId="0" fontId="18" fillId="10" borderId="10" xfId="38" applyAlignment="1">
      <alignment horizontal="right"/>
    </xf>
    <xf numFmtId="0" fontId="0" fillId="0" borderId="0" xfId="0" applyFill="1"/>
    <xf numFmtId="0" fontId="0" fillId="0" borderId="0" xfId="0" applyAlignment="1">
      <alignment wrapText="1"/>
    </xf>
    <xf numFmtId="183" fontId="21" fillId="0" borderId="0" xfId="0" applyNumberFormat="1" applyFont="1" applyAlignment="1" applyProtection="1">
      <alignment horizontal="left"/>
    </xf>
    <xf numFmtId="182" fontId="0" fillId="0" borderId="0" xfId="0" applyNumberFormat="1"/>
    <xf numFmtId="172" fontId="1" fillId="11" borderId="10" xfId="40" applyNumberFormat="1" applyBorder="1"/>
    <xf numFmtId="172" fontId="1" fillId="14" borderId="10" xfId="45" applyNumberFormat="1" applyBorder="1"/>
    <xf numFmtId="0" fontId="1" fillId="11" borderId="10" xfId="40" applyBorder="1"/>
    <xf numFmtId="0" fontId="0" fillId="0" borderId="0" xfId="0"/>
    <xf numFmtId="173" fontId="0" fillId="0" borderId="0" xfId="2" applyNumberFormat="1" applyFont="1"/>
    <xf numFmtId="9" fontId="0" fillId="0" borderId="0" xfId="2" applyFont="1"/>
    <xf numFmtId="0" fontId="5" fillId="3" borderId="0" xfId="44"/>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5" borderId="0" xfId="0" applyFill="1"/>
    <xf numFmtId="3" fontId="19" fillId="0" borderId="13" xfId="39" applyNumberFormat="1"/>
    <xf numFmtId="3" fontId="0" fillId="0" borderId="15" xfId="0" applyNumberFormat="1" applyBorder="1"/>
    <xf numFmtId="10" fontId="0" fillId="0" borderId="15" xfId="2" applyNumberFormat="1" applyFont="1" applyBorder="1"/>
    <xf numFmtId="181" fontId="15" fillId="6" borderId="10" xfId="34" applyNumberFormat="1"/>
    <xf numFmtId="186"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8" fontId="20" fillId="19" borderId="10" xfId="43" applyNumberFormat="1" applyFill="1" applyBorder="1"/>
    <xf numFmtId="0" fontId="20" fillId="23" borderId="16" xfId="0" applyFont="1" applyFill="1" applyBorder="1" applyAlignment="1">
      <alignment vertical="top"/>
    </xf>
    <xf numFmtId="0" fontId="20" fillId="23" borderId="16" xfId="0" applyFont="1" applyFill="1" applyBorder="1" applyAlignment="1">
      <alignment vertical="top" wrapText="1"/>
    </xf>
    <xf numFmtId="0" fontId="20" fillId="22" borderId="17" xfId="0" applyFont="1" applyFill="1" applyBorder="1" applyAlignment="1">
      <alignment vertical="top"/>
    </xf>
    <xf numFmtId="0" fontId="20" fillId="22" borderId="17" xfId="0" applyFont="1" applyFill="1" applyBorder="1" applyAlignment="1">
      <alignment vertical="top" wrapText="1"/>
    </xf>
    <xf numFmtId="0" fontId="20" fillId="16" borderId="17" xfId="59" applyBorder="1" applyAlignment="1">
      <alignment vertical="top"/>
    </xf>
    <xf numFmtId="0" fontId="20" fillId="16" borderId="17" xfId="59" applyBorder="1" applyAlignment="1">
      <alignment vertical="top" wrapText="1"/>
    </xf>
    <xf numFmtId="0" fontId="20" fillId="12" borderId="17" xfId="41" applyBorder="1" applyAlignment="1">
      <alignment vertical="top"/>
    </xf>
    <xf numFmtId="0" fontId="20" fillId="12" borderId="17" xfId="41" applyBorder="1" applyAlignment="1">
      <alignment vertical="top" wrapText="1"/>
    </xf>
    <xf numFmtId="0" fontId="20" fillId="18" borderId="17" xfId="61" applyBorder="1" applyAlignment="1">
      <alignment vertical="top"/>
    </xf>
    <xf numFmtId="0" fontId="20" fillId="18" borderId="17" xfId="61" applyBorder="1" applyAlignment="1">
      <alignment vertical="top" wrapText="1"/>
    </xf>
    <xf numFmtId="0" fontId="20" fillId="20" borderId="17" xfId="60" applyFill="1" applyBorder="1" applyAlignment="1">
      <alignment vertical="top"/>
    </xf>
    <xf numFmtId="0" fontId="20" fillId="20" borderId="17" xfId="60" applyFill="1" applyBorder="1" applyAlignment="1">
      <alignment vertical="top" wrapText="1"/>
    </xf>
    <xf numFmtId="169" fontId="0" fillId="0" borderId="0" xfId="0" applyNumberFormat="1" applyFill="1"/>
    <xf numFmtId="174" fontId="0" fillId="0" borderId="0" xfId="0" applyNumberFormat="1" applyFill="1"/>
    <xf numFmtId="9" fontId="0" fillId="0" borderId="0" xfId="0" applyNumberFormat="1" applyFill="1"/>
    <xf numFmtId="173"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18" fillId="10" borderId="10" xfId="38" applyNumberFormat="1"/>
    <xf numFmtId="3" fontId="0" fillId="0" borderId="0" xfId="0" applyNumberFormat="1" applyBorder="1"/>
    <xf numFmtId="9" fontId="0" fillId="0" borderId="0" xfId="2" applyFont="1" applyBorder="1"/>
    <xf numFmtId="9" fontId="0" fillId="0" borderId="0" xfId="2" applyFont="1"/>
    <xf numFmtId="173"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9" fontId="8" fillId="0" borderId="0" xfId="1" applyNumberFormat="1" applyFont="1" applyBorder="1" applyAlignment="1">
      <alignment horizontal="right"/>
    </xf>
    <xf numFmtId="0" fontId="16" fillId="7" borderId="12" xfId="35"/>
    <xf numFmtId="0" fontId="0" fillId="0" borderId="0" xfId="0" applyFill="1" applyBorder="1" applyAlignment="1">
      <alignment horizontal="center" wrapText="1"/>
    </xf>
    <xf numFmtId="169" fontId="8" fillId="0" borderId="0" xfId="1" applyNumberFormat="1" applyFont="1" applyBorder="1" applyAlignment="1">
      <alignment horizontal="right"/>
    </xf>
    <xf numFmtId="0" fontId="0" fillId="0" borderId="0" xfId="0"/>
    <xf numFmtId="181" fontId="0" fillId="0" borderId="0" xfId="0" applyNumberFormat="1" applyFill="1"/>
    <xf numFmtId="10" fontId="15" fillId="6" borderId="10" xfId="2" applyNumberFormat="1" applyFont="1" applyFill="1" applyBorder="1"/>
    <xf numFmtId="0" fontId="18" fillId="10" borderId="10" xfId="38" applyNumberFormat="1"/>
    <xf numFmtId="10" fontId="16" fillId="7" borderId="12" xfId="35" applyNumberFormat="1"/>
    <xf numFmtId="3" fontId="18" fillId="10" borderId="10" xfId="38" applyNumberFormat="1"/>
    <xf numFmtId="172" fontId="0" fillId="14" borderId="10" xfId="45" applyNumberFormat="1" applyFont="1" applyBorder="1"/>
    <xf numFmtId="0" fontId="22" fillId="0" borderId="14" xfId="42" applyNumberFormat="1" applyAlignment="1">
      <alignment horizontal="left"/>
    </xf>
    <xf numFmtId="0" fontId="22" fillId="0" borderId="14" xfId="42" applyAlignment="1">
      <alignment horizontal="left" wrapText="1"/>
    </xf>
    <xf numFmtId="169" fontId="14" fillId="6" borderId="11" xfId="33" applyNumberFormat="1"/>
    <xf numFmtId="0" fontId="0" fillId="0" borderId="0" xfId="0"/>
    <xf numFmtId="0" fontId="0" fillId="0" borderId="0" xfId="0" applyAlignment="1">
      <alignment wrapText="1"/>
    </xf>
    <xf numFmtId="0" fontId="0" fillId="0" borderId="0" xfId="0" applyNumberFormat="1"/>
    <xf numFmtId="10" fontId="0" fillId="0" borderId="0" xfId="0" applyNumberFormat="1"/>
    <xf numFmtId="172" fontId="0" fillId="0" borderId="0" xfId="0" applyNumberFormat="1"/>
    <xf numFmtId="0" fontId="7" fillId="0" borderId="3" xfId="4" applyAlignment="1">
      <alignment wrapText="1"/>
    </xf>
    <xf numFmtId="181" fontId="0" fillId="0" borderId="0" xfId="0" applyNumberFormat="1"/>
    <xf numFmtId="0" fontId="0" fillId="0" borderId="0" xfId="0" applyNumberFormat="1" applyAlignment="1">
      <alignment wrapText="1"/>
    </xf>
    <xf numFmtId="0" fontId="7" fillId="0" borderId="3" xfId="4" applyAlignment="1">
      <alignment horizontal="left"/>
    </xf>
    <xf numFmtId="0" fontId="27" fillId="0" borderId="19" xfId="62" applyNumberFormat="1"/>
    <xf numFmtId="10" fontId="17" fillId="0" borderId="0" xfId="36" applyNumberFormat="1"/>
    <xf numFmtId="173" fontId="17" fillId="0" borderId="0" xfId="2" applyNumberFormat="1" applyFont="1"/>
    <xf numFmtId="169" fontId="0" fillId="0" borderId="0" xfId="1" applyNumberFormat="1" applyFont="1" applyFill="1" applyBorder="1"/>
    <xf numFmtId="1" fontId="0" fillId="0" borderId="0" xfId="0" applyNumberFormat="1" applyFill="1" applyBorder="1"/>
    <xf numFmtId="169" fontId="26" fillId="0" borderId="0" xfId="1" applyNumberFormat="1" applyFont="1" applyFill="1" applyBorder="1"/>
    <xf numFmtId="4" fontId="0" fillId="0" borderId="0" xfId="0" applyNumberFormat="1" applyFill="1" applyBorder="1"/>
    <xf numFmtId="186" fontId="19" fillId="0" borderId="13" xfId="39" applyNumberFormat="1"/>
    <xf numFmtId="165" fontId="14" fillId="6" borderId="11" xfId="33" applyNumberFormat="1"/>
    <xf numFmtId="0" fontId="0" fillId="0" borderId="0" xfId="0"/>
    <xf numFmtId="0" fontId="0" fillId="0" borderId="0" xfId="0" applyNumberFormat="1"/>
    <xf numFmtId="173" fontId="0" fillId="0" borderId="0" xfId="2" applyNumberFormat="1" applyFont="1"/>
    <xf numFmtId="0" fontId="7" fillId="0" borderId="3" xfId="4"/>
    <xf numFmtId="165" fontId="0" fillId="0" borderId="0" xfId="0" applyNumberFormat="1"/>
    <xf numFmtId="173" fontId="15" fillId="6" borderId="10" xfId="34" applyNumberFormat="1"/>
    <xf numFmtId="0" fontId="7" fillId="0" borderId="1" xfId="37" applyBorder="1" applyAlignment="1">
      <alignment wrapText="1"/>
    </xf>
    <xf numFmtId="174" fontId="14" fillId="6" borderId="11" xfId="33" applyNumberFormat="1"/>
    <xf numFmtId="0" fontId="7" fillId="0" borderId="15" xfId="37" applyBorder="1" applyAlignment="1">
      <alignment wrapText="1"/>
    </xf>
    <xf numFmtId="0" fontId="0" fillId="0" borderId="0" xfId="0"/>
    <xf numFmtId="174" fontId="15" fillId="6" borderId="10" xfId="34"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9" fontId="8" fillId="0" borderId="0" xfId="1" applyNumberFormat="1" applyFont="1" applyBorder="1" applyAlignment="1">
      <alignment horizontal="right"/>
    </xf>
    <xf numFmtId="169" fontId="0" fillId="0" borderId="6" xfId="1" applyNumberFormat="1" applyFont="1" applyBorder="1"/>
    <xf numFmtId="0" fontId="0" fillId="0" borderId="0" xfId="0" applyNumberFormat="1"/>
    <xf numFmtId="180" fontId="0" fillId="0" borderId="0" xfId="0" applyNumberFormat="1" applyAlignment="1">
      <alignment horizontal="left"/>
    </xf>
    <xf numFmtId="0" fontId="7" fillId="0" borderId="3" xfId="4" applyAlignment="1">
      <alignment wrapText="1"/>
    </xf>
    <xf numFmtId="169" fontId="0" fillId="0" borderId="0" xfId="0" applyNumberFormat="1" applyFill="1"/>
    <xf numFmtId="0" fontId="18" fillId="10" borderId="10" xfId="38"/>
    <xf numFmtId="0" fontId="0" fillId="0" borderId="0" xfId="0" applyFill="1" applyBorder="1" applyAlignment="1">
      <alignment wrapText="1"/>
    </xf>
    <xf numFmtId="181" fontId="0" fillId="0" borderId="0" xfId="0" applyNumberFormat="1" applyFill="1"/>
    <xf numFmtId="3" fontId="0" fillId="0" borderId="0" xfId="0" applyNumberFormat="1" applyFill="1"/>
    <xf numFmtId="169" fontId="0" fillId="0" borderId="0" xfId="1" applyNumberFormat="1" applyFont="1" applyFill="1" applyBorder="1"/>
    <xf numFmtId="0" fontId="0" fillId="0" borderId="0" xfId="0" applyNumberFormat="1"/>
    <xf numFmtId="10" fontId="0" fillId="0" borderId="0" xfId="0" applyNumberFormat="1"/>
    <xf numFmtId="0" fontId="17" fillId="0" borderId="0" xfId="36"/>
    <xf numFmtId="181" fontId="19" fillId="0" borderId="13" xfId="39" applyNumberFormat="1"/>
    <xf numFmtId="173" fontId="8" fillId="0" borderId="0" xfId="2" applyNumberFormat="1" applyFont="1"/>
    <xf numFmtId="181" fontId="8" fillId="0" borderId="0" xfId="0" applyNumberFormat="1" applyFont="1"/>
    <xf numFmtId="0" fontId="8" fillId="0" borderId="0" xfId="0" applyFont="1" applyAlignment="1">
      <alignment wrapText="1"/>
    </xf>
    <xf numFmtId="0" fontId="7" fillId="0" borderId="3" xfId="4" applyAlignment="1">
      <alignment wrapText="1"/>
    </xf>
    <xf numFmtId="0" fontId="22" fillId="0" borderId="14" xfId="42" applyNumberFormat="1" applyAlignment="1">
      <alignment horizontal="left"/>
    </xf>
    <xf numFmtId="0" fontId="0" fillId="0" borderId="0" xfId="0" applyNumberFormat="1"/>
    <xf numFmtId="10" fontId="0" fillId="0" borderId="0" xfId="0" applyNumberFormat="1"/>
    <xf numFmtId="0" fontId="7" fillId="0" borderId="3" xfId="4" applyNumberFormat="1" applyAlignment="1">
      <alignment wrapText="1"/>
    </xf>
    <xf numFmtId="181" fontId="0" fillId="0" borderId="0" xfId="0" applyNumberFormat="1"/>
    <xf numFmtId="10" fontId="15" fillId="6" borderId="10" xfId="34" applyNumberFormat="1"/>
    <xf numFmtId="0" fontId="0" fillId="0" borderId="0" xfId="0"/>
    <xf numFmtId="164" fontId="15" fillId="6" borderId="20" xfId="34"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8"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7" fontId="0" fillId="0" borderId="15" xfId="1" applyFont="1" applyBorder="1" applyAlignment="1"/>
    <xf numFmtId="167" fontId="0" fillId="0" borderId="15" xfId="0" applyNumberFormat="1" applyBorder="1" applyAlignment="1"/>
    <xf numFmtId="1" fontId="0" fillId="0" borderId="15" xfId="0" applyNumberFormat="1" applyBorder="1" applyAlignment="1"/>
    <xf numFmtId="0" fontId="0" fillId="0" borderId="0" xfId="0" applyAlignment="1"/>
    <xf numFmtId="186" fontId="15" fillId="6" borderId="10" xfId="34"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3" fontId="1" fillId="0" borderId="9" xfId="2" applyNumberFormat="1" applyFont="1" applyBorder="1" applyAlignment="1">
      <alignment horizontal="right"/>
    </xf>
    <xf numFmtId="180" fontId="0" fillId="0" borderId="15" xfId="0" applyNumberFormat="1" applyBorder="1"/>
    <xf numFmtId="181" fontId="0" fillId="0" borderId="15" xfId="0" applyNumberFormat="1" applyBorder="1"/>
    <xf numFmtId="0" fontId="0" fillId="0" borderId="0" xfId="0"/>
    <xf numFmtId="0" fontId="27" fillId="0" borderId="19" xfId="62" applyNumberFormat="1" applyAlignment="1">
      <alignment wrapText="1"/>
    </xf>
    <xf numFmtId="0" fontId="8" fillId="0" borderId="0" xfId="0" applyNumberFormat="1" applyFont="1"/>
    <xf numFmtId="0" fontId="0" fillId="0" borderId="0" xfId="0"/>
    <xf numFmtId="4" fontId="0" fillId="0" borderId="0" xfId="0" applyNumberFormat="1"/>
    <xf numFmtId="187" fontId="0" fillId="0" borderId="0" xfId="0" applyNumberFormat="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7" fontId="0" fillId="0" borderId="15" xfId="1" applyNumberFormat="1" applyFont="1" applyFill="1" applyBorder="1"/>
    <xf numFmtId="168" fontId="0" fillId="0" borderId="0" xfId="3" applyFont="1"/>
    <xf numFmtId="0" fontId="18" fillId="0" borderId="0" xfId="38" applyFill="1" applyBorder="1"/>
    <xf numFmtId="174" fontId="0" fillId="0" borderId="0" xfId="0" applyNumberFormat="1"/>
    <xf numFmtId="169" fontId="0" fillId="0" borderId="0" xfId="1" applyNumberFormat="1" applyFont="1" applyAlignment="1">
      <alignment wrapText="1"/>
    </xf>
    <xf numFmtId="174" fontId="8" fillId="0" borderId="0" xfId="0" applyNumberFormat="1" applyFont="1"/>
    <xf numFmtId="169" fontId="8" fillId="0" borderId="0" xfId="1" applyNumberFormat="1" applyFont="1" applyAlignment="1">
      <alignment wrapText="1"/>
    </xf>
    <xf numFmtId="167" fontId="0" fillId="0" borderId="0" xfId="1" applyNumberFormat="1" applyFont="1" applyFill="1" applyBorder="1"/>
    <xf numFmtId="0" fontId="0" fillId="0" borderId="15" xfId="0" applyFill="1" applyBorder="1"/>
    <xf numFmtId="0" fontId="0" fillId="0" borderId="0" xfId="0"/>
    <xf numFmtId="178" fontId="17" fillId="0" borderId="0" xfId="36" applyNumberFormat="1"/>
    <xf numFmtId="169" fontId="0" fillId="0" borderId="15" xfId="1" applyNumberFormat="1" applyFont="1" applyFill="1" applyBorder="1"/>
    <xf numFmtId="174" fontId="0" fillId="0" borderId="0" xfId="0" applyNumberFormat="1" applyFill="1" applyBorder="1"/>
    <xf numFmtId="0" fontId="0" fillId="0" borderId="0" xfId="0"/>
    <xf numFmtId="169" fontId="0" fillId="0" borderId="0" xfId="0" applyNumberFormat="1" applyFill="1" applyBorder="1" applyAlignment="1">
      <alignment wrapText="1"/>
    </xf>
    <xf numFmtId="174"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167" fontId="0" fillId="0" borderId="0" xfId="0" applyNumberFormat="1" applyFill="1" applyBorder="1"/>
    <xf numFmtId="173" fontId="0" fillId="0" borderId="0" xfId="2" applyNumberFormat="1" applyFont="1" applyFill="1" applyBorder="1"/>
    <xf numFmtId="174" fontId="14" fillId="6" borderId="21" xfId="33" applyNumberFormat="1" applyBorder="1"/>
    <xf numFmtId="0" fontId="7" fillId="24" borderId="22" xfId="37" applyFill="1" applyBorder="1" applyAlignment="1">
      <alignment wrapText="1"/>
    </xf>
    <xf numFmtId="174" fontId="14" fillId="24" borderId="21" xfId="33" applyNumberFormat="1" applyFill="1" applyBorder="1"/>
    <xf numFmtId="174" fontId="14" fillId="24" borderId="23" xfId="33" applyNumberFormat="1" applyFill="1" applyBorder="1"/>
    <xf numFmtId="173" fontId="4" fillId="6" borderId="10" xfId="2" applyNumberFormat="1" applyFont="1" applyFill="1" applyBorder="1"/>
    <xf numFmtId="9" fontId="4" fillId="6" borderId="10" xfId="2" applyFont="1" applyFill="1" applyBorder="1"/>
    <xf numFmtId="9" fontId="4" fillId="6" borderId="11" xfId="33" applyNumberFormat="1" applyFont="1"/>
    <xf numFmtId="170" fontId="0" fillId="0" borderId="0" xfId="3" applyNumberFormat="1" applyFont="1" applyFill="1" applyBorder="1"/>
    <xf numFmtId="167" fontId="28" fillId="0" borderId="0" xfId="1" applyNumberFormat="1" applyFont="1" applyFill="1" applyBorder="1"/>
    <xf numFmtId="169" fontId="0" fillId="0" borderId="0" xfId="1" applyNumberFormat="1" applyFont="1" applyFill="1" applyBorder="1" applyAlignment="1">
      <alignment wrapText="1"/>
    </xf>
    <xf numFmtId="1" fontId="0" fillId="0" borderId="0" xfId="0" applyNumberFormat="1" applyFill="1" applyBorder="1" applyAlignment="1">
      <alignment wrapText="1"/>
    </xf>
    <xf numFmtId="169" fontId="26" fillId="0" borderId="0" xfId="1" applyNumberFormat="1" applyFont="1" applyFill="1" applyBorder="1" applyAlignment="1">
      <alignment wrapText="1"/>
    </xf>
    <xf numFmtId="4" fontId="0" fillId="0" borderId="0" xfId="0" applyNumberFormat="1" applyFill="1" applyBorder="1" applyAlignment="1">
      <alignment wrapText="1"/>
    </xf>
    <xf numFmtId="0" fontId="0" fillId="0" borderId="0" xfId="0"/>
    <xf numFmtId="0" fontId="0" fillId="0" borderId="0" xfId="0" applyNumberFormat="1"/>
    <xf numFmtId="178" fontId="15" fillId="6" borderId="10" xfId="34" applyNumberFormat="1"/>
    <xf numFmtId="0" fontId="0" fillId="0" borderId="0" xfId="0"/>
    <xf numFmtId="165" fontId="18" fillId="10" borderId="10" xfId="38" applyNumberFormat="1"/>
    <xf numFmtId="0" fontId="0" fillId="0" borderId="0" xfId="0"/>
    <xf numFmtId="0" fontId="0" fillId="0" borderId="0" xfId="0"/>
    <xf numFmtId="169" fontId="0" fillId="0" borderId="15" xfId="1" applyNumberFormat="1" applyFont="1" applyFill="1" applyBorder="1"/>
    <xf numFmtId="0" fontId="0" fillId="0" borderId="0" xfId="0"/>
    <xf numFmtId="0" fontId="0" fillId="0" borderId="0" xfId="0"/>
    <xf numFmtId="0" fontId="8" fillId="0" borderId="0" xfId="0" applyFont="1"/>
    <xf numFmtId="180" fontId="0" fillId="0" borderId="15" xfId="0" applyNumberFormat="1" applyBorder="1" applyAlignment="1">
      <alignment horizontal="left"/>
    </xf>
    <xf numFmtId="0" fontId="0" fillId="0" borderId="0" xfId="0" applyNumberFormat="1" applyFill="1"/>
    <xf numFmtId="188" fontId="0" fillId="0" borderId="0" xfId="3" applyNumberFormat="1" applyFont="1"/>
    <xf numFmtId="179" fontId="15" fillId="6" borderId="10" xfId="34" applyNumberFormat="1"/>
    <xf numFmtId="49" fontId="0" fillId="0" borderId="0" xfId="0" applyNumberFormat="1"/>
    <xf numFmtId="0" fontId="7" fillId="0" borderId="0" xfId="4" applyFill="1" applyBorder="1"/>
    <xf numFmtId="2" fontId="8" fillId="0" borderId="0" xfId="0" applyNumberFormat="1" applyFont="1"/>
    <xf numFmtId="188" fontId="8" fillId="0" borderId="0" xfId="3" applyNumberFormat="1" applyFont="1"/>
    <xf numFmtId="0" fontId="0" fillId="0" borderId="0" xfId="0"/>
    <xf numFmtId="0" fontId="0" fillId="0" borderId="0" xfId="0"/>
    <xf numFmtId="0" fontId="19" fillId="0" borderId="13" xfId="39" applyFill="1"/>
    <xf numFmtId="0" fontId="8" fillId="0" borderId="0" xfId="0" applyFont="1" applyFill="1"/>
    <xf numFmtId="179" fontId="0" fillId="0" borderId="0" xfId="0" applyNumberFormat="1" applyFill="1"/>
    <xf numFmtId="0" fontId="17" fillId="0" borderId="0" xfId="36" applyFill="1" applyAlignment="1">
      <alignment horizontal="right"/>
    </xf>
    <xf numFmtId="4" fontId="18" fillId="10" borderId="10" xfId="38" applyNumberFormat="1"/>
    <xf numFmtId="9" fontId="19" fillId="0" borderId="13" xfId="39" applyNumberFormat="1" applyFill="1"/>
    <xf numFmtId="173" fontId="0" fillId="0" borderId="0" xfId="0" applyNumberFormat="1" applyFill="1"/>
    <xf numFmtId="173" fontId="0" fillId="0" borderId="0" xfId="2" applyNumberFormat="1" applyFont="1" applyFill="1"/>
    <xf numFmtId="10" fontId="0" fillId="0" borderId="0" xfId="0" applyNumberFormat="1" applyFill="1"/>
    <xf numFmtId="178" fontId="0" fillId="0" borderId="15" xfId="0" applyNumberFormat="1" applyFill="1" applyBorder="1"/>
    <xf numFmtId="180" fontId="0" fillId="0" borderId="15" xfId="0" applyNumberFormat="1" applyFill="1" applyBorder="1" applyAlignment="1">
      <alignment horizontal="left"/>
    </xf>
    <xf numFmtId="17" fontId="0" fillId="0" borderId="0" xfId="0" quotePrefix="1" applyNumberFormat="1" applyFont="1"/>
    <xf numFmtId="168" fontId="0" fillId="0" borderId="0" xfId="3" applyNumberFormat="1" applyFont="1"/>
    <xf numFmtId="0" fontId="0" fillId="0" borderId="0" xfId="0"/>
    <xf numFmtId="9" fontId="0" fillId="0" borderId="0" xfId="0" applyNumberFormat="1" applyAlignment="1">
      <alignment horizontal="center"/>
    </xf>
    <xf numFmtId="0" fontId="0" fillId="0" borderId="0" xfId="0" applyAlignment="1">
      <alignment horizontal="center"/>
    </xf>
    <xf numFmtId="179" fontId="0" fillId="0" borderId="0" xfId="0" applyNumberFormat="1" applyAlignment="1">
      <alignment horizontal="center"/>
    </xf>
    <xf numFmtId="43" fontId="0" fillId="0" borderId="0" xfId="0" applyNumberFormat="1"/>
    <xf numFmtId="179" fontId="0" fillId="0" borderId="0" xfId="0" applyNumberFormat="1" applyFill="1" applyAlignment="1">
      <alignment horizontal="center"/>
    </xf>
    <xf numFmtId="43" fontId="0" fillId="0" borderId="0" xfId="0" applyNumberFormat="1" applyFill="1"/>
    <xf numFmtId="190" fontId="0" fillId="0" borderId="0" xfId="0" applyNumberFormat="1"/>
    <xf numFmtId="0" fontId="0" fillId="0" borderId="0" xfId="0"/>
    <xf numFmtId="172" fontId="0" fillId="0" borderId="0" xfId="0" applyNumberFormat="1" applyFill="1"/>
    <xf numFmtId="189" fontId="1" fillId="0" borderId="0" xfId="3" applyNumberFormat="1" applyFont="1" applyFill="1"/>
    <xf numFmtId="189" fontId="0" fillId="0" borderId="0" xfId="3" applyNumberFormat="1" applyFont="1" applyFill="1"/>
    <xf numFmtId="0" fontId="22" fillId="0" borderId="14" xfId="42" applyNumberFormat="1" applyAlignment="1">
      <alignment horizontal="left"/>
    </xf>
    <xf numFmtId="0" fontId="22" fillId="0" borderId="14" xfId="42" applyAlignment="1">
      <alignment horizontal="left" wrapText="1"/>
    </xf>
    <xf numFmtId="0" fontId="0" fillId="0" borderId="0" xfId="0"/>
    <xf numFmtId="189" fontId="15" fillId="6" borderId="10" xfId="3" applyNumberFormat="1" applyFont="1" applyFill="1" applyBorder="1"/>
    <xf numFmtId="168" fontId="15" fillId="6" borderId="10" xfId="3" applyFont="1" applyFill="1" applyBorder="1"/>
    <xf numFmtId="0" fontId="31" fillId="0" borderId="0" xfId="0" applyFont="1"/>
    <xf numFmtId="0" fontId="8" fillId="0" borderId="0" xfId="0" applyFont="1" applyFill="1" applyBorder="1"/>
    <xf numFmtId="0" fontId="0" fillId="0" borderId="0" xfId="0" applyFill="1" applyBorder="1" applyAlignment="1">
      <alignment horizontal="right"/>
    </xf>
    <xf numFmtId="0" fontId="0" fillId="0" borderId="0" xfId="0" applyFill="1" applyBorder="1" applyAlignment="1">
      <alignment horizontal="right" wrapText="1"/>
    </xf>
    <xf numFmtId="179" fontId="15" fillId="0" borderId="0" xfId="34" applyNumberFormat="1" applyFill="1" applyBorder="1"/>
    <xf numFmtId="179" fontId="0" fillId="0" borderId="0" xfId="0" applyNumberFormat="1" applyFill="1" applyBorder="1"/>
    <xf numFmtId="189" fontId="0" fillId="0" borderId="0" xfId="0" applyNumberFormat="1" applyFill="1"/>
    <xf numFmtId="9" fontId="0" fillId="0" borderId="0" xfId="0" applyNumberFormat="1"/>
    <xf numFmtId="188" fontId="0" fillId="25" borderId="0" xfId="3" applyNumberFormat="1" applyFont="1" applyFill="1"/>
    <xf numFmtId="189" fontId="0" fillId="0" borderId="0" xfId="3" applyNumberFormat="1" applyFont="1"/>
    <xf numFmtId="180" fontId="0" fillId="0" borderId="15" xfId="0" applyNumberFormat="1" applyBorder="1" applyAlignment="1">
      <alignment horizontal="right"/>
    </xf>
    <xf numFmtId="180" fontId="0" fillId="0" borderId="15" xfId="0" applyNumberFormat="1" applyFill="1" applyBorder="1" applyAlignment="1">
      <alignment horizontal="right"/>
    </xf>
    <xf numFmtId="49" fontId="0" fillId="0" borderId="0" xfId="0" applyNumberFormat="1" applyFill="1"/>
    <xf numFmtId="0" fontId="0" fillId="0" borderId="0" xfId="0"/>
    <xf numFmtId="1" fontId="5" fillId="0" borderId="0" xfId="44" applyNumberFormat="1" applyFill="1"/>
    <xf numFmtId="0" fontId="30" fillId="0" borderId="0" xfId="64" applyFont="1" applyFill="1" applyBorder="1"/>
    <xf numFmtId="0" fontId="7" fillId="0" borderId="3" xfId="4" applyFill="1"/>
    <xf numFmtId="0" fontId="0" fillId="0" borderId="0" xfId="0" applyFill="1" applyBorder="1" applyAlignment="1">
      <alignment horizontal="left"/>
    </xf>
    <xf numFmtId="178" fontId="0" fillId="0" borderId="0" xfId="0" applyNumberFormat="1" applyFill="1" applyBorder="1"/>
    <xf numFmtId="0" fontId="0" fillId="0" borderId="0" xfId="0" applyNumberFormat="1" applyAlignment="1">
      <alignment horizontal="left" vertical="top" wrapText="1"/>
    </xf>
    <xf numFmtId="0" fontId="22" fillId="0" borderId="14" xfId="42" applyNumberFormat="1" applyAlignment="1">
      <alignment horizontal="left"/>
    </xf>
    <xf numFmtId="0" fontId="22" fillId="0" borderId="14" xfId="42" applyAlignment="1">
      <alignment horizontal="left" wrapText="1"/>
    </xf>
    <xf numFmtId="0" fontId="0" fillId="0" borderId="0" xfId="0"/>
  </cellXfs>
  <cellStyles count="65">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6"/>
    <cellStyle name=" 2 2" xfId="47"/>
    <cellStyle name=" Writer Import]_x000d__x000a_Display Dialog=No_x000d__x000a__x000d__x000a_[Horizontal Arrange]_x000d__x000a_Dimensions Interlocking=Yes_x000d__x000a_Sum Hierarchy=Yes_x000d__x000a_Generate" xfId="48"/>
    <cellStyle name=" Writer Import]_x000d__x000a_Display Dialog=No_x000d__x000a__x000d__x000a_[Horizontal Arrange]_x000d__x000a_Dimensions Interlocking=Yes_x000d__x000a_Sum Hierarchy=Yes_x000d__x000a_Generate 2" xfId="49"/>
    <cellStyle name=" Writer Import]_x000d__x000a_Display Dialog=No_x000d__x000a__x000d__x000a_[Horizontal Arrange]_x000d__x000a_Dimensions Interlocking=Yes_x000d__x000a_Sum Hierarchy=Yes_x000d__x000a_Generate 2 2" xfId="50"/>
    <cellStyle name=" Writer Import]_x000d__x000a_Display Dialog=No_x000d__x000a__x000d__x000a_[Horizontal Arrange]_x000d__x000a_Dimensions Interlocking=Yes_x000d__x000a_Sum Hierarchy=Yes_x000d__x000a_Generate 2 3" xfId="51"/>
    <cellStyle name=" Writer Import]_x000d__x000a_Display Dialog=No_x000d__x000a__x000d__x000a_[Horizontal Arrange]_x000d__x000a_Dimensions Interlocking=Yes_x000d__x000a_Sum Hierarchy=Yes_x000d__x000a_Generate 3" xfId="52"/>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0" builtinId="38"/>
    <cellStyle name="20% - Accent5" xfId="45" builtinId="46"/>
    <cellStyle name="Accent2" xfId="59" builtinId="33"/>
    <cellStyle name="Accent3" xfId="43" builtinId="37"/>
    <cellStyle name="Accent4" xfId="60" builtinId="41"/>
    <cellStyle name="Accent5" xfId="61" builtinId="45"/>
    <cellStyle name="Accent6" xfId="41" builtinId="49"/>
    <cellStyle name="c_HardInc " xfId="53"/>
    <cellStyle name="Calculation" xfId="34" builtinId="22"/>
    <cellStyle name="Check Cell" xfId="35" builtinId="23"/>
    <cellStyle name="Comma" xfId="3" builtinId="3"/>
    <cellStyle name="Currency" xfId="1" builtinId="4"/>
    <cellStyle name="Explanatory Text" xfId="36" builtinId="53"/>
    <cellStyle name="Heading 1" xfId="62" builtinId="16"/>
    <cellStyle name="Heading 2" xfId="42" builtinId="17"/>
    <cellStyle name="Heading 3" xfId="4" builtinId="18"/>
    <cellStyle name="Heading 4" xfId="37" builtinId="19"/>
    <cellStyle name="import_ICRC Electricity model 1-1  (1 Feb 2003) " xfId="31"/>
    <cellStyle name="Input" xfId="38" builtinId="20"/>
    <cellStyle name="Input1_ICRC Electricity model 1-1  (1 Feb 2003) " xfId="32"/>
    <cellStyle name="Linked Cell" xfId="39" builtinId="24"/>
    <cellStyle name="Millares [0]_2AV_M_M " xfId="54"/>
    <cellStyle name="Millares_2AV_M_M " xfId="55"/>
    <cellStyle name="Moneda [0]_2AV_M_M " xfId="56"/>
    <cellStyle name="Moneda_2AV_M_M " xfId="57"/>
    <cellStyle name="Neutral" xfId="44" builtinId="28"/>
    <cellStyle name="Normal" xfId="0" builtinId="0"/>
    <cellStyle name="Normal 3" xfId="64"/>
    <cellStyle name="Normal 3 2" xfId="63"/>
    <cellStyle name="Output" xfId="33" builtinId="21"/>
    <cellStyle name="Percent" xfId="2" builtinId="5"/>
    <cellStyle name="s_HardInc " xfId="58"/>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ER/EBTRIN/Base%20efficiency%20RFMs/AA_RFM%20long%20period%20-%202013%20CAM_v10_Sureview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ER/EBTRIN/Base%20efficiency%20RFMs/Final%20decision%20-%20Jemena%202021-26%20-%20OEF%20calculations%20summary%20short%20period%20-%20April%202021_WORKING_Sureviewe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ost Drivers"/>
      <sheetName val="Opex Modelling Results"/>
      <sheetName val="Efficiency Target Option"/>
      <sheetName val="Opex Forecasts"/>
      <sheetName val="Inputs"/>
      <sheetName val="Summary"/>
      <sheetName val="Benchmarking Data"/>
      <sheetName val="Consolidated RIN data"/>
      <sheetName val="OEFsv2"/>
    </sheetNames>
    <sheetDataSet>
      <sheetData sheetId="0" refreshError="1"/>
      <sheetData sheetId="1" refreshError="1"/>
      <sheetData sheetId="2" refreshError="1"/>
      <sheetData sheetId="3" refreshError="1"/>
      <sheetData sheetId="4" refreshError="1"/>
      <sheetData sheetId="5">
        <row r="3">
          <cell r="C3" t="str">
            <v>JEN</v>
          </cell>
        </row>
      </sheetData>
      <sheetData sheetId="6" refreshError="1"/>
      <sheetData sheetId="7" refreshError="1"/>
      <sheetData sheetId="8">
        <row r="14">
          <cell r="D14">
            <v>154510</v>
          </cell>
        </row>
      </sheetData>
      <sheetData sheetId="9">
        <row r="41">
          <cell r="R41">
            <v>1.9531696940156711E-2</v>
          </cell>
        </row>
        <row r="42">
          <cell r="R42">
            <v>8.3446920371172337E-3</v>
          </cell>
        </row>
        <row r="43">
          <cell r="R43">
            <v>2.0893343218931746E-2</v>
          </cell>
        </row>
        <row r="44">
          <cell r="R44">
            <v>2.7939933190595814E-2</v>
          </cell>
        </row>
        <row r="45">
          <cell r="R45">
            <v>3.488778144796649E-2</v>
          </cell>
        </row>
        <row r="46">
          <cell r="R46">
            <v>0.10989349934364875</v>
          </cell>
        </row>
        <row r="47">
          <cell r="R47">
            <v>4.1123307738103868E-2</v>
          </cell>
        </row>
        <row r="48">
          <cell r="R48">
            <v>1.868324018608892E-3</v>
          </cell>
        </row>
        <row r="49">
          <cell r="R49">
            <v>-4.6970203391606159E-4</v>
          </cell>
        </row>
        <row r="50">
          <cell r="R50">
            <v>7.0887708540146605E-3</v>
          </cell>
        </row>
        <row r="51">
          <cell r="R51">
            <v>-1.6263394750349307E-2</v>
          </cell>
        </row>
        <row r="52">
          <cell r="R52">
            <v>-9.9436283171736532E-3</v>
          </cell>
        </row>
        <row r="53">
          <cell r="R53">
            <v>-1.4683707207588275E-2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tables"/>
      <sheetName val="Efficiency Estimates"/>
      <sheetName val="base OPEX"/>
      <sheetName val="Subtransmission - Select firm"/>
      <sheetName val="Subtransmission Calcs"/>
      <sheetName val="Licence conditions"/>
      <sheetName val="Overhead"/>
      <sheetName val="Underground"/>
      <sheetName val="ERG Cyclones"/>
      <sheetName val="Levies"/>
      <sheetName val="Termites"/>
      <sheetName val="CPI-master"/>
    </sheetNames>
    <sheetDataSet>
      <sheetData sheetId="0"/>
      <sheetData sheetId="1">
        <row r="5">
          <cell r="E5">
            <v>704.7</v>
          </cell>
        </row>
      </sheetData>
      <sheetData sheetId="2"/>
      <sheetData sheetId="3"/>
      <sheetData sheetId="4"/>
      <sheetData sheetId="5"/>
      <sheetData sheetId="6"/>
      <sheetData sheetId="7"/>
      <sheetData sheetId="8"/>
      <sheetData sheetId="9"/>
      <sheetData sheetId="10"/>
      <sheetData sheetId="11"/>
      <sheetData sheetId="12">
        <row r="8">
          <cell r="A8" t="str">
            <v>Multiplication factor to convert $1 in the financial year to June 2015 $</v>
          </cell>
          <cell r="C8">
            <v>1.2828162291169452</v>
          </cell>
          <cell r="D8">
            <v>1.2413394919168592</v>
          </cell>
          <cell r="E8">
            <v>1.2065095398428733</v>
          </cell>
          <cell r="F8">
            <v>1.1634199134199132</v>
          </cell>
          <cell r="G8">
            <v>1.1399787910922587</v>
          </cell>
          <cell r="H8">
            <v>1.1093911248710009</v>
          </cell>
          <cell r="I8">
            <v>1.0771543086172346</v>
          </cell>
          <cell r="J8">
            <v>1.053921568627451</v>
          </cell>
          <cell r="K8">
            <v>1.0257633587786259</v>
          </cell>
          <cell r="L8">
            <v>1.0084427767354598</v>
          </cell>
          <cell r="M8">
            <v>0.99169741697416969</v>
          </cell>
          <cell r="N8">
            <v>0.97727272727272729</v>
          </cell>
          <cell r="O8">
            <v>0.95896520963425513</v>
          </cell>
          <cell r="P8">
            <v>0.94215600350569684</v>
          </cell>
        </row>
        <row r="9">
          <cell r="A9" t="str">
            <v>Multiplication factor to convert $1 in the calendar year to June 2015 $</v>
          </cell>
          <cell r="C9">
            <v>1.2514551804423748</v>
          </cell>
          <cell r="D9">
            <v>1.225769669327252</v>
          </cell>
          <cell r="E9">
            <v>1.1735807860262009</v>
          </cell>
          <cell r="F9">
            <v>1.1571582346609257</v>
          </cell>
          <cell r="G9">
            <v>1.1221294363256786</v>
          </cell>
          <cell r="H9">
            <v>1.0836693548387097</v>
          </cell>
          <cell r="I9">
            <v>1.0707171314741035</v>
          </cell>
          <cell r="J9">
            <v>1.0457198443579767</v>
          </cell>
          <cell r="K9">
            <v>1.0151085930122756</v>
          </cell>
          <cell r="L9">
            <v>1</v>
          </cell>
          <cell r="M9">
            <v>0.98987108655616951</v>
          </cell>
          <cell r="N9">
            <v>0.97109304426377596</v>
          </cell>
          <cell r="O9">
            <v>0.95132743362831862</v>
          </cell>
          <cell r="P9">
            <v>0.93641114982578399</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5"/>
  <sheetViews>
    <sheetView tabSelected="1" workbookViewId="0"/>
  </sheetViews>
  <sheetFormatPr defaultColWidth="9.28515625" defaultRowHeight="15"/>
  <cols>
    <col min="1" max="1" width="27.5703125" style="119" bestFit="1" customWidth="1"/>
    <col min="2" max="2" width="80.42578125" style="116" customWidth="1"/>
    <col min="3" max="4" width="9.28515625" style="119"/>
    <col min="5" max="5" width="48.5703125" style="119" customWidth="1"/>
    <col min="6" max="16384" width="9.28515625" style="119"/>
  </cols>
  <sheetData>
    <row r="1" spans="1:7" s="216" customFormat="1" ht="20.25" thickBot="1">
      <c r="A1" s="172" t="s">
        <v>255</v>
      </c>
      <c r="B1" s="243"/>
    </row>
    <row r="2" spans="1:7" s="288" customFormat="1" ht="21" thickTop="1" thickBot="1">
      <c r="A2" s="172"/>
      <c r="B2" s="243"/>
    </row>
    <row r="3" spans="1:7" s="216" customFormat="1" ht="15.75" thickTop="1">
      <c r="A3" s="244" t="s">
        <v>320</v>
      </c>
      <c r="B3" s="170"/>
    </row>
    <row r="4" spans="1:7" s="288" customFormat="1">
      <c r="A4" s="319" t="s">
        <v>321</v>
      </c>
      <c r="B4" s="170" t="s">
        <v>315</v>
      </c>
    </row>
    <row r="5" spans="1:7" s="288" customFormat="1">
      <c r="A5" s="319" t="s">
        <v>316</v>
      </c>
      <c r="B5" s="170" t="s">
        <v>317</v>
      </c>
    </row>
    <row r="6" spans="1:7" s="288" customFormat="1">
      <c r="A6" s="319" t="s">
        <v>318</v>
      </c>
      <c r="B6" s="170" t="s">
        <v>319</v>
      </c>
    </row>
    <row r="7" spans="1:7" s="288" customFormat="1">
      <c r="A7" s="319" t="s">
        <v>334</v>
      </c>
      <c r="B7" s="170" t="s">
        <v>336</v>
      </c>
    </row>
    <row r="8" spans="1:7" s="288" customFormat="1">
      <c r="A8" s="319" t="s">
        <v>333</v>
      </c>
      <c r="B8" s="170" t="s">
        <v>335</v>
      </c>
    </row>
    <row r="9" spans="1:7" ht="15.75" thickBot="1">
      <c r="A9" s="83" t="s">
        <v>185</v>
      </c>
      <c r="B9" s="84" t="s">
        <v>194</v>
      </c>
      <c r="C9" s="216"/>
      <c r="D9" s="357" t="s">
        <v>254</v>
      </c>
      <c r="E9" s="357"/>
    </row>
    <row r="10" spans="1:7">
      <c r="A10" s="118"/>
      <c r="B10" s="93"/>
      <c r="C10" s="118"/>
      <c r="D10" s="357"/>
      <c r="E10" s="357"/>
      <c r="G10" s="221"/>
    </row>
    <row r="11" spans="1:7" ht="30">
      <c r="A11" s="121" t="s">
        <v>252</v>
      </c>
      <c r="B11" s="122" t="s">
        <v>341</v>
      </c>
      <c r="C11" s="118"/>
      <c r="D11" s="357"/>
      <c r="E11" s="357"/>
      <c r="G11" s="221"/>
    </row>
    <row r="12" spans="1:7" ht="30">
      <c r="A12" s="121" t="s">
        <v>338</v>
      </c>
      <c r="B12" s="122" t="s">
        <v>342</v>
      </c>
      <c r="C12" s="118"/>
      <c r="D12" s="357"/>
      <c r="E12" s="357"/>
      <c r="G12" s="221"/>
    </row>
    <row r="13" spans="1:7" s="165" customFormat="1" ht="90">
      <c r="A13" s="123" t="s">
        <v>232</v>
      </c>
      <c r="B13" s="124" t="s">
        <v>233</v>
      </c>
      <c r="C13" s="163"/>
      <c r="D13" s="357"/>
      <c r="E13" s="357"/>
      <c r="G13" s="221"/>
    </row>
    <row r="14" spans="1:7" s="288" customFormat="1">
      <c r="A14" s="123" t="s">
        <v>339</v>
      </c>
      <c r="B14" s="124" t="s">
        <v>340</v>
      </c>
      <c r="C14" s="351"/>
      <c r="D14" s="357"/>
      <c r="E14" s="357"/>
      <c r="G14" s="351"/>
    </row>
    <row r="15" spans="1:7" ht="30">
      <c r="A15" s="125" t="s">
        <v>181</v>
      </c>
      <c r="B15" s="126" t="s">
        <v>187</v>
      </c>
      <c r="C15" s="118"/>
      <c r="D15" s="357"/>
      <c r="E15" s="357"/>
      <c r="G15" s="221"/>
    </row>
    <row r="16" spans="1:7">
      <c r="A16" s="125" t="s">
        <v>193</v>
      </c>
      <c r="B16" s="126" t="s">
        <v>186</v>
      </c>
      <c r="C16" s="118"/>
      <c r="D16" s="357"/>
      <c r="E16" s="357"/>
      <c r="G16" s="221"/>
    </row>
    <row r="17" spans="1:7" ht="30">
      <c r="A17" s="125" t="s">
        <v>79</v>
      </c>
      <c r="B17" s="126" t="s">
        <v>214</v>
      </c>
      <c r="C17" s="118"/>
      <c r="D17" s="357"/>
      <c r="E17" s="357"/>
      <c r="G17" s="221"/>
    </row>
    <row r="18" spans="1:7" s="288" customFormat="1">
      <c r="A18" s="125" t="s">
        <v>299</v>
      </c>
      <c r="B18" s="126" t="s">
        <v>301</v>
      </c>
      <c r="C18" s="290"/>
      <c r="D18" s="357"/>
      <c r="E18" s="357"/>
      <c r="G18" s="290"/>
    </row>
    <row r="19" spans="1:7" s="288" customFormat="1">
      <c r="A19" s="125" t="s">
        <v>300</v>
      </c>
      <c r="B19" s="126" t="s">
        <v>302</v>
      </c>
      <c r="C19" s="290"/>
      <c r="D19" s="357"/>
      <c r="E19" s="357"/>
      <c r="G19" s="290"/>
    </row>
    <row r="20" spans="1:7">
      <c r="A20" s="129" t="s">
        <v>182</v>
      </c>
      <c r="B20" s="130" t="s">
        <v>189</v>
      </c>
      <c r="C20" s="118"/>
      <c r="D20" s="357"/>
      <c r="E20" s="357"/>
      <c r="G20" s="221"/>
    </row>
    <row r="21" spans="1:7">
      <c r="A21" s="131" t="s">
        <v>183</v>
      </c>
      <c r="B21" s="132" t="s">
        <v>190</v>
      </c>
      <c r="C21" s="118"/>
      <c r="D21" s="357"/>
      <c r="E21" s="357"/>
      <c r="G21" s="221"/>
    </row>
    <row r="22" spans="1:7">
      <c r="A22" s="127" t="s">
        <v>245</v>
      </c>
      <c r="B22" s="128" t="s">
        <v>188</v>
      </c>
      <c r="C22" s="118"/>
      <c r="D22" s="118"/>
      <c r="E22" s="290"/>
      <c r="G22" s="221"/>
    </row>
    <row r="23" spans="1:7">
      <c r="A23" s="2" t="s">
        <v>184</v>
      </c>
      <c r="B23" s="1" t="s">
        <v>191</v>
      </c>
      <c r="C23" s="118"/>
      <c r="D23" s="118"/>
      <c r="E23" s="290"/>
      <c r="G23" s="221"/>
    </row>
    <row r="24" spans="1:7">
      <c r="A24" s="288"/>
      <c r="B24" s="288"/>
    </row>
    <row r="25" spans="1:7">
      <c r="B25" s="119"/>
    </row>
  </sheetData>
  <mergeCells count="1">
    <mergeCell ref="D9:E21"/>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zoomScale="80" zoomScaleNormal="80" workbookViewId="0">
      <pane xSplit="2" ySplit="2" topLeftCell="C3" activePane="bottomRight" state="frozen"/>
      <selection pane="topRight" activeCell="C1" sqref="C1"/>
      <selection pane="bottomLeft" activeCell="A5" sqref="A5"/>
      <selection pane="bottomRight" activeCell="I9" sqref="I9"/>
    </sheetView>
  </sheetViews>
  <sheetFormatPr defaultColWidth="9.28515625" defaultRowHeight="15"/>
  <cols>
    <col min="1" max="1" width="21.5703125" style="41" bestFit="1" customWidth="1"/>
    <col min="2" max="2" width="13.5703125" style="41" bestFit="1" customWidth="1"/>
    <col min="3" max="4" width="13.5703125" style="119"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16.28515625" style="41" customWidth="1"/>
    <col min="15" max="15" width="14.28515625" style="41" customWidth="1"/>
    <col min="16" max="16" width="17.42578125" style="41" bestFit="1" customWidth="1"/>
    <col min="17" max="17" width="11.85546875" style="119" customWidth="1"/>
    <col min="18" max="18" width="13.140625" style="165" customWidth="1"/>
    <col min="19" max="19" width="14.28515625" style="119" customWidth="1"/>
    <col min="20" max="20" width="14.28515625" style="165" customWidth="1"/>
    <col min="21" max="21" width="12.5703125" style="119" customWidth="1"/>
    <col min="22" max="22" width="12.5703125" style="41" customWidth="1"/>
    <col min="23" max="23" width="12.5703125" style="207" customWidth="1"/>
    <col min="24" max="24" width="14.28515625" style="216"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07"/>
      <c r="F1" s="207"/>
      <c r="G1" s="207"/>
      <c r="H1" s="207"/>
      <c r="I1" s="207"/>
      <c r="J1" s="207"/>
      <c r="K1" s="207"/>
      <c r="L1" s="207"/>
      <c r="M1" s="207"/>
      <c r="N1" s="207"/>
      <c r="O1" s="207"/>
      <c r="P1" s="207"/>
      <c r="Q1" s="165"/>
      <c r="R1" s="119"/>
      <c r="S1" s="165"/>
      <c r="T1" s="119"/>
      <c r="U1" s="41"/>
      <c r="V1" s="119"/>
      <c r="X1" s="287"/>
    </row>
    <row r="2" spans="1:40" ht="60.75" thickBot="1">
      <c r="E2" s="66" t="s">
        <v>73</v>
      </c>
      <c r="F2" s="66" t="s">
        <v>75</v>
      </c>
      <c r="G2" s="66" t="s">
        <v>76</v>
      </c>
      <c r="H2" s="66" t="s">
        <v>178</v>
      </c>
      <c r="I2" s="67" t="s">
        <v>79</v>
      </c>
      <c r="J2" s="66" t="s">
        <v>80</v>
      </c>
      <c r="K2" s="66" t="s">
        <v>81</v>
      </c>
      <c r="L2" s="66" t="s">
        <v>85</v>
      </c>
      <c r="M2" s="200" t="s">
        <v>216</v>
      </c>
      <c r="N2" s="66" t="s">
        <v>83</v>
      </c>
      <c r="O2" s="66" t="s">
        <v>84</v>
      </c>
      <c r="P2" s="214" t="s">
        <v>234</v>
      </c>
      <c r="Q2" s="168"/>
      <c r="R2" s="84" t="s">
        <v>293</v>
      </c>
      <c r="S2" s="214" t="s">
        <v>295</v>
      </c>
      <c r="T2" s="84"/>
      <c r="U2" s="84"/>
      <c r="V2" s="84"/>
      <c r="W2" s="200"/>
      <c r="X2" s="287"/>
    </row>
    <row r="3" spans="1:40" s="119" customFormat="1" ht="18" thickBot="1">
      <c r="A3" s="358" t="s">
        <v>221</v>
      </c>
      <c r="B3" s="358"/>
      <c r="C3" s="160"/>
      <c r="D3" s="160"/>
      <c r="E3" s="153"/>
      <c r="F3" s="153"/>
      <c r="G3" s="153"/>
      <c r="H3" s="153"/>
      <c r="I3" s="153"/>
      <c r="J3" s="153"/>
      <c r="K3" s="153"/>
      <c r="L3" s="153"/>
      <c r="M3" s="192"/>
      <c r="N3" s="153"/>
      <c r="O3" s="153"/>
      <c r="P3" s="153"/>
      <c r="Q3" s="163"/>
      <c r="S3" s="163"/>
      <c r="T3" s="153"/>
      <c r="U3" s="153"/>
      <c r="V3" s="153"/>
      <c r="W3" s="192"/>
      <c r="X3" s="287"/>
    </row>
    <row r="4" spans="1:40" ht="61.5" thickTop="1" thickBot="1">
      <c r="A4" s="84"/>
      <c r="B4" s="84" t="s">
        <v>28</v>
      </c>
      <c r="C4" s="84"/>
      <c r="D4" s="84"/>
      <c r="E4" s="84" t="s">
        <v>73</v>
      </c>
      <c r="F4" s="84" t="s">
        <v>75</v>
      </c>
      <c r="G4" s="84" t="s">
        <v>76</v>
      </c>
      <c r="H4" s="84" t="s">
        <v>178</v>
      </c>
      <c r="I4" s="67" t="s">
        <v>79</v>
      </c>
      <c r="J4" s="84" t="s">
        <v>80</v>
      </c>
      <c r="K4" s="84" t="s">
        <v>81</v>
      </c>
      <c r="L4" s="84" t="s">
        <v>85</v>
      </c>
      <c r="M4" s="200" t="s">
        <v>216</v>
      </c>
      <c r="N4" s="84" t="s">
        <v>83</v>
      </c>
      <c r="O4" s="84" t="s">
        <v>84</v>
      </c>
      <c r="P4" s="214" t="s">
        <v>234</v>
      </c>
      <c r="Q4" s="168"/>
      <c r="R4" s="200" t="s">
        <v>293</v>
      </c>
      <c r="S4" s="214" t="s">
        <v>295</v>
      </c>
      <c r="T4" s="214"/>
      <c r="U4" s="214"/>
      <c r="X4" s="287"/>
      <c r="Y4" s="165"/>
      <c r="Z4" s="165"/>
      <c r="AA4" s="165"/>
      <c r="AB4" s="165"/>
      <c r="AC4" s="165"/>
      <c r="AD4" s="165"/>
      <c r="AE4" s="165"/>
      <c r="AF4" s="165"/>
      <c r="AG4" s="165"/>
      <c r="AH4" s="165"/>
      <c r="AI4" s="165"/>
      <c r="AJ4" s="165"/>
      <c r="AK4" s="165"/>
      <c r="AL4" s="165"/>
      <c r="AM4" s="119"/>
      <c r="AN4" s="119"/>
    </row>
    <row r="5" spans="1:40">
      <c r="A5" s="69" t="s">
        <v>0</v>
      </c>
      <c r="B5" s="6" t="s">
        <v>294</v>
      </c>
      <c r="C5" s="153"/>
      <c r="D5" s="153"/>
      <c r="E5" s="291">
        <v>704.7</v>
      </c>
      <c r="F5" s="289" t="s">
        <v>298</v>
      </c>
      <c r="G5" s="120"/>
      <c r="H5" s="71" t="s">
        <v>298</v>
      </c>
      <c r="I5" s="120"/>
      <c r="J5" s="71">
        <v>5.6</v>
      </c>
      <c r="K5" s="289" t="s">
        <v>298</v>
      </c>
      <c r="L5" s="71">
        <f ca="1">'Subtransmission - Select firm'!O14/1000</f>
        <v>1376.9717214928255</v>
      </c>
      <c r="M5" s="71" t="s">
        <v>246</v>
      </c>
      <c r="N5" s="71"/>
      <c r="O5" s="71">
        <f>+Termites!F3/1000</f>
        <v>45.8446585652555</v>
      </c>
      <c r="P5" s="262">
        <f ca="1">I5+L5</f>
        <v>1376.9717214928255</v>
      </c>
      <c r="Q5" s="68"/>
      <c r="R5" s="112">
        <f t="shared" ref="R5:R17" ca="1" si="0">SUMPRODUCT(E5:O5,$E$35:$O$35)</f>
        <v>2127.5163800580813</v>
      </c>
      <c r="S5" s="112">
        <f ca="1">SUMPRODUCT(E5:O5,$E$36:$O$36)</f>
        <v>2127.5163800580813</v>
      </c>
      <c r="U5" s="219"/>
      <c r="V5" s="219"/>
      <c r="W5" s="219"/>
      <c r="X5" s="287"/>
      <c r="Y5" s="293"/>
      <c r="Z5" s="165"/>
      <c r="AA5" s="165"/>
      <c r="AB5" s="165"/>
      <c r="AC5" s="165"/>
      <c r="AD5" s="165"/>
      <c r="AE5" s="165"/>
      <c r="AF5" s="165"/>
      <c r="AG5" s="165"/>
      <c r="AH5" s="165"/>
      <c r="AI5" s="165"/>
      <c r="AJ5" s="165"/>
      <c r="AK5" s="165"/>
      <c r="AL5" s="165"/>
      <c r="AM5" s="119"/>
      <c r="AN5" s="119"/>
    </row>
    <row r="6" spans="1:40">
      <c r="A6" s="5" t="s">
        <v>1</v>
      </c>
      <c r="B6" s="6" t="s">
        <v>42</v>
      </c>
      <c r="C6" s="153"/>
      <c r="D6" s="153"/>
      <c r="E6" s="120"/>
      <c r="F6" s="120"/>
      <c r="G6" s="120"/>
      <c r="H6" s="289" t="s">
        <v>298</v>
      </c>
      <c r="I6" s="71">
        <f ca="1">$N79*I23</f>
        <v>266.82188258500935</v>
      </c>
      <c r="J6" s="71">
        <v>5.6</v>
      </c>
      <c r="K6" s="120"/>
      <c r="L6" s="71">
        <f ca="1">'Subtransmission - Select firm'!O15/1000</f>
        <v>21544.379087889618</v>
      </c>
      <c r="M6" s="71" t="s">
        <v>246</v>
      </c>
      <c r="N6" s="71">
        <f>Levies!O24</f>
        <v>29.600553960251872</v>
      </c>
      <c r="O6" s="71">
        <f>+Termites!F4/1000</f>
        <v>212.91272643593081</v>
      </c>
      <c r="P6" s="262">
        <f t="shared" ref="P6:P17" ca="1" si="1">I6+L6</f>
        <v>21811.200970474627</v>
      </c>
      <c r="Q6" s="68"/>
      <c r="R6" s="112">
        <f t="shared" ca="1" si="0"/>
        <v>22053.714250870809</v>
      </c>
      <c r="S6" s="112">
        <f t="shared" ref="S6:S17" ca="1" si="2">SUMPRODUCT(E6:O6,$E$36:$O$36)</f>
        <v>22024.113696910557</v>
      </c>
      <c r="U6" s="219"/>
      <c r="V6" s="219"/>
      <c r="W6" s="219"/>
      <c r="X6" s="293"/>
      <c r="Y6" s="293"/>
      <c r="Z6" s="165"/>
      <c r="AA6" s="165"/>
      <c r="AB6" s="165"/>
      <c r="AC6" s="165"/>
      <c r="AD6" s="165"/>
      <c r="AE6" s="165"/>
      <c r="AF6" s="165"/>
      <c r="AG6" s="165"/>
      <c r="AH6" s="165"/>
      <c r="AI6" s="165"/>
      <c r="AJ6" s="165"/>
      <c r="AK6" s="165"/>
      <c r="AL6" s="165"/>
      <c r="AM6" s="119"/>
      <c r="AN6" s="119"/>
    </row>
    <row r="7" spans="1:40">
      <c r="A7" s="5" t="s">
        <v>2</v>
      </c>
      <c r="B7" s="6" t="s">
        <v>297</v>
      </c>
      <c r="C7" s="153"/>
      <c r="D7" s="153"/>
      <c r="E7" s="120"/>
      <c r="F7" s="120"/>
      <c r="G7" s="120"/>
      <c r="H7" s="289" t="s">
        <v>298</v>
      </c>
      <c r="I7" s="120"/>
      <c r="J7" s="71">
        <v>0</v>
      </c>
      <c r="K7" s="120"/>
      <c r="L7" s="71">
        <f ca="1">'Subtransmission - Select firm'!O16/1000</f>
        <v>3067.3091510712698</v>
      </c>
      <c r="M7" s="71" t="s">
        <v>246</v>
      </c>
      <c r="N7" s="71">
        <f>Levies!O25</f>
        <v>883.35193197766557</v>
      </c>
      <c r="O7" s="71">
        <f>+Termites!F5/1000</f>
        <v>19.818569039429136</v>
      </c>
      <c r="P7" s="262">
        <f t="shared" ca="1" si="1"/>
        <v>3067.3091510712698</v>
      </c>
      <c r="Q7" s="68"/>
      <c r="R7" s="112">
        <f t="shared" ca="1" si="0"/>
        <v>3970.4796520883647</v>
      </c>
      <c r="S7" s="112">
        <f t="shared" ca="1" si="2"/>
        <v>3087.1277201106991</v>
      </c>
      <c r="U7" s="219"/>
      <c r="V7" s="219"/>
      <c r="W7" s="219"/>
      <c r="X7" s="293"/>
      <c r="Y7" s="293"/>
      <c r="Z7" s="165"/>
      <c r="AA7" s="165"/>
      <c r="AB7" s="165"/>
      <c r="AC7" s="165"/>
      <c r="AD7" s="165"/>
      <c r="AE7" s="165"/>
      <c r="AF7" s="165"/>
      <c r="AG7" s="165"/>
      <c r="AH7" s="165"/>
      <c r="AI7" s="165"/>
      <c r="AJ7" s="165"/>
      <c r="AK7" s="165"/>
      <c r="AL7" s="165"/>
      <c r="AM7" s="119"/>
      <c r="AN7" s="119"/>
    </row>
    <row r="8" spans="1:40">
      <c r="A8" s="5" t="s">
        <v>3</v>
      </c>
      <c r="B8" s="6" t="s">
        <v>45</v>
      </c>
      <c r="C8" s="153"/>
      <c r="D8" s="153"/>
      <c r="E8" s="120"/>
      <c r="F8" s="120"/>
      <c r="G8" s="120"/>
      <c r="H8" s="289" t="s">
        <v>298</v>
      </c>
      <c r="I8" s="71">
        <f ca="1">$N81*I25</f>
        <v>0</v>
      </c>
      <c r="J8" s="71">
        <v>5.6</v>
      </c>
      <c r="K8" s="120"/>
      <c r="L8" s="71">
        <f ca="1">'Subtransmission - Select firm'!O17/1000</f>
        <v>16779.741276093562</v>
      </c>
      <c r="M8" s="71" t="s">
        <v>246</v>
      </c>
      <c r="N8" s="71">
        <f>Levies!O26</f>
        <v>23.25943252718325</v>
      </c>
      <c r="O8" s="71">
        <f>+Termites!F6/1000</f>
        <v>743.74230242068609</v>
      </c>
      <c r="P8" s="262">
        <f t="shared" ca="1" si="1"/>
        <v>16779.741276093562</v>
      </c>
      <c r="Q8" s="68"/>
      <c r="R8" s="112">
        <f t="shared" ca="1" si="0"/>
        <v>17546.743011041432</v>
      </c>
      <c r="S8" s="112">
        <f t="shared" ca="1" si="2"/>
        <v>17523.48357851425</v>
      </c>
      <c r="U8" s="219"/>
      <c r="V8" s="219"/>
      <c r="W8" s="219"/>
      <c r="X8" s="293"/>
      <c r="Y8" s="293"/>
      <c r="Z8" s="165"/>
      <c r="AA8" s="165"/>
      <c r="AB8" s="165"/>
      <c r="AC8" s="165"/>
      <c r="AD8" s="165"/>
      <c r="AE8" s="165"/>
      <c r="AF8" s="165"/>
      <c r="AG8" s="165"/>
      <c r="AH8" s="165"/>
      <c r="AI8" s="165"/>
      <c r="AJ8" s="165"/>
      <c r="AK8" s="165"/>
      <c r="AL8" s="165"/>
      <c r="AM8" s="119"/>
      <c r="AN8" s="119"/>
    </row>
    <row r="9" spans="1:40">
      <c r="A9" s="5" t="s">
        <v>4</v>
      </c>
      <c r="B9" s="6" t="s">
        <v>47</v>
      </c>
      <c r="C9" s="153"/>
      <c r="D9" s="153"/>
      <c r="E9" s="120"/>
      <c r="F9" s="120"/>
      <c r="G9" s="120"/>
      <c r="H9" s="289" t="s">
        <v>298</v>
      </c>
      <c r="I9" s="71">
        <f ca="1">$N82*I26</f>
        <v>0</v>
      </c>
      <c r="J9" s="71">
        <v>5.6</v>
      </c>
      <c r="K9" s="120"/>
      <c r="L9" s="71">
        <f ca="1">'Subtransmission - Select firm'!O18/1000</f>
        <v>16579.539005084851</v>
      </c>
      <c r="M9" s="71" t="s">
        <v>246</v>
      </c>
      <c r="N9" s="71">
        <f>Levies!O27</f>
        <v>8780.4401068831739</v>
      </c>
      <c r="O9" s="71">
        <f>+Termites!F7/1000</f>
        <v>1352.9131286581917</v>
      </c>
      <c r="P9" s="262">
        <f t="shared" ca="1" si="1"/>
        <v>16579.539005084851</v>
      </c>
      <c r="Q9" s="68"/>
      <c r="R9" s="112">
        <f t="shared" ca="1" si="0"/>
        <v>26712.892240626214</v>
      </c>
      <c r="S9" s="112">
        <f t="shared" ca="1" si="2"/>
        <v>17932.452133743041</v>
      </c>
      <c r="U9" s="219"/>
      <c r="V9" s="219"/>
      <c r="W9" s="219"/>
      <c r="X9" s="293"/>
      <c r="Y9" s="293"/>
      <c r="Z9" s="165"/>
      <c r="AA9" s="165"/>
      <c r="AB9" s="165"/>
      <c r="AC9" s="165"/>
      <c r="AD9" s="165"/>
      <c r="AE9" s="165"/>
      <c r="AF9" s="165"/>
      <c r="AG9" s="165"/>
      <c r="AH9" s="165"/>
      <c r="AI9" s="165"/>
      <c r="AJ9" s="165"/>
      <c r="AK9" s="165"/>
      <c r="AL9" s="165"/>
      <c r="AM9" s="119"/>
      <c r="AN9" s="119"/>
    </row>
    <row r="10" spans="1:40">
      <c r="A10" s="5" t="s">
        <v>5</v>
      </c>
      <c r="B10" s="6" t="s">
        <v>49</v>
      </c>
      <c r="C10" s="153"/>
      <c r="D10" s="153"/>
      <c r="E10" s="120"/>
      <c r="F10" s="120"/>
      <c r="G10" s="71">
        <f>+'ERG Cyclones'!C29*1000</f>
        <v>12827.953775610364</v>
      </c>
      <c r="H10" s="289" t="s">
        <v>298</v>
      </c>
      <c r="I10" s="71">
        <f ca="1">$N83*I27</f>
        <v>0</v>
      </c>
      <c r="J10" s="71">
        <v>5.6</v>
      </c>
      <c r="K10" s="120"/>
      <c r="L10" s="71">
        <f ca="1">'Subtransmission - Select firm'!O19/1000</f>
        <v>24952.17544670399</v>
      </c>
      <c r="M10" s="71" t="s">
        <v>246</v>
      </c>
      <c r="N10" s="71">
        <f>Levies!O28</f>
        <v>4900.7887178039209</v>
      </c>
      <c r="O10" s="71">
        <f>+Termites!F8/1000</f>
        <v>2950.2215094043063</v>
      </c>
      <c r="P10" s="262">
        <f t="shared" ca="1" si="1"/>
        <v>24952.17544670399</v>
      </c>
      <c r="Q10" s="68"/>
      <c r="R10" s="112">
        <f t="shared" ca="1" si="0"/>
        <v>45631.139449522583</v>
      </c>
      <c r="S10" s="112">
        <f t="shared" ca="1" si="2"/>
        <v>40730.35073171866</v>
      </c>
      <c r="U10" s="219"/>
      <c r="V10" s="219"/>
      <c r="W10" s="219"/>
      <c r="X10" s="293"/>
      <c r="Y10" s="293"/>
      <c r="Z10" s="165"/>
      <c r="AA10" s="165"/>
      <c r="AB10" s="165"/>
      <c r="AC10" s="165"/>
      <c r="AD10" s="165"/>
      <c r="AE10" s="165"/>
      <c r="AF10" s="165"/>
      <c r="AG10" s="165"/>
      <c r="AH10" s="165"/>
      <c r="AI10" s="165"/>
      <c r="AJ10" s="165"/>
      <c r="AK10" s="165"/>
      <c r="AL10" s="165"/>
      <c r="AM10" s="119"/>
      <c r="AN10" s="119"/>
    </row>
    <row r="11" spans="1:40">
      <c r="A11" s="5" t="s">
        <v>6</v>
      </c>
      <c r="B11" s="6" t="s">
        <v>51</v>
      </c>
      <c r="C11" s="153"/>
      <c r="D11" s="153"/>
      <c r="E11" s="120"/>
      <c r="F11" s="120"/>
      <c r="G11" s="120"/>
      <c r="H11" s="289" t="s">
        <v>298</v>
      </c>
      <c r="I11" s="71">
        <f ca="1">$N84*I28</f>
        <v>0</v>
      </c>
      <c r="J11" s="71">
        <v>5.6</v>
      </c>
      <c r="K11" s="120"/>
      <c r="L11" s="71">
        <f ca="1">'Subtransmission - Select firm'!O20/1000</f>
        <v>29391.143143339679</v>
      </c>
      <c r="M11" s="71" t="s">
        <v>246</v>
      </c>
      <c r="N11" s="71">
        <f>Levies!O29</f>
        <v>0</v>
      </c>
      <c r="O11" s="71">
        <f>+Termites!F9/1000</f>
        <v>3028.5314716387684</v>
      </c>
      <c r="P11" s="262">
        <f t="shared" ca="1" si="1"/>
        <v>29391.143143339679</v>
      </c>
      <c r="Q11" s="68"/>
      <c r="R11" s="112">
        <f t="shared" ca="1" si="0"/>
        <v>32419.674614978449</v>
      </c>
      <c r="S11" s="112">
        <f t="shared" ca="1" si="2"/>
        <v>32419.674614978449</v>
      </c>
      <c r="U11" s="219"/>
      <c r="V11" s="219"/>
      <c r="W11" s="219"/>
      <c r="X11" s="293"/>
      <c r="Y11" s="293"/>
      <c r="Z11" s="165"/>
      <c r="AA11" s="165"/>
      <c r="AB11" s="165"/>
      <c r="AC11" s="165"/>
      <c r="AD11" s="165"/>
      <c r="AE11" s="165"/>
      <c r="AF11" s="165"/>
      <c r="AG11" s="165"/>
      <c r="AH11" s="165"/>
      <c r="AI11" s="165"/>
      <c r="AJ11" s="165"/>
      <c r="AK11" s="165"/>
      <c r="AL11" s="165"/>
      <c r="AM11" s="119"/>
      <c r="AN11" s="119"/>
    </row>
    <row r="12" spans="1:40">
      <c r="A12" s="5" t="s">
        <v>7</v>
      </c>
      <c r="B12" s="6" t="s">
        <v>53</v>
      </c>
      <c r="C12" s="153"/>
      <c r="D12" s="153"/>
      <c r="E12" s="120"/>
      <c r="F12" s="120"/>
      <c r="G12" s="120"/>
      <c r="H12" s="289" t="s">
        <v>298</v>
      </c>
      <c r="I12" s="120"/>
      <c r="J12" s="71">
        <v>0</v>
      </c>
      <c r="K12" s="120"/>
      <c r="L12" s="71">
        <f ca="1">'Subtransmission - Select firm'!O21/1000</f>
        <v>2645.8979034050794</v>
      </c>
      <c r="M12" s="71" t="s">
        <v>246</v>
      </c>
      <c r="N12" s="71">
        <f>Levies!O30</f>
        <v>811.17883208718206</v>
      </c>
      <c r="O12" s="71">
        <f>+Termites!F10/1000</f>
        <v>18.725406277893885</v>
      </c>
      <c r="P12" s="262">
        <f t="shared" ca="1" si="1"/>
        <v>2645.8979034050794</v>
      </c>
      <c r="Q12" s="68"/>
      <c r="R12" s="112">
        <f t="shared" ca="1" si="0"/>
        <v>3475.8021417701552</v>
      </c>
      <c r="S12" s="112">
        <f t="shared" ca="1" si="2"/>
        <v>2664.6233096829733</v>
      </c>
      <c r="U12" s="219"/>
      <c r="V12" s="219"/>
      <c r="W12" s="219"/>
      <c r="X12" s="293"/>
      <c r="Y12" s="293"/>
      <c r="Z12" s="165"/>
      <c r="AA12" s="165"/>
      <c r="AB12" s="165"/>
      <c r="AC12" s="165"/>
      <c r="AD12" s="165"/>
      <c r="AE12" s="165"/>
      <c r="AF12" s="165"/>
      <c r="AG12" s="165"/>
      <c r="AH12" s="165"/>
      <c r="AI12" s="165"/>
      <c r="AJ12" s="165"/>
      <c r="AK12" s="165"/>
      <c r="AL12" s="165"/>
      <c r="AM12" s="119"/>
      <c r="AN12" s="119"/>
    </row>
    <row r="13" spans="1:40">
      <c r="A13" s="5" t="s">
        <v>8</v>
      </c>
      <c r="B13" s="6" t="s">
        <v>55</v>
      </c>
      <c r="C13" s="153"/>
      <c r="D13" s="153"/>
      <c r="E13" s="120"/>
      <c r="F13" s="120"/>
      <c r="G13" s="120"/>
      <c r="H13" s="289" t="s">
        <v>298</v>
      </c>
      <c r="I13" s="120"/>
      <c r="J13" s="71">
        <v>0</v>
      </c>
      <c r="K13" s="120"/>
      <c r="L13" s="71">
        <f ca="1">'Subtransmission - Select firm'!O22/1000</f>
        <v>7780.9560510703586</v>
      </c>
      <c r="M13" s="71" t="s">
        <v>246</v>
      </c>
      <c r="N13" s="71">
        <f>Levies!O31</f>
        <v>1639.7429000540533</v>
      </c>
      <c r="O13" s="71">
        <f>+Termites!F11/1000</f>
        <v>537.61550072813679</v>
      </c>
      <c r="P13" s="262">
        <f t="shared" ca="1" si="1"/>
        <v>7780.9560510703586</v>
      </c>
      <c r="Q13" s="68"/>
      <c r="R13" s="112">
        <f t="shared" ca="1" si="0"/>
        <v>9958.3144518525478</v>
      </c>
      <c r="S13" s="112">
        <f t="shared" ca="1" si="2"/>
        <v>8318.5715517984954</v>
      </c>
      <c r="U13" s="219"/>
      <c r="V13" s="219"/>
      <c r="W13" s="219"/>
      <c r="X13" s="293"/>
      <c r="Y13" s="293"/>
      <c r="Z13" s="165"/>
      <c r="AA13" s="165"/>
      <c r="AB13" s="165"/>
      <c r="AC13" s="165"/>
      <c r="AD13" s="165"/>
      <c r="AE13" s="165"/>
      <c r="AF13" s="165"/>
      <c r="AG13" s="165"/>
      <c r="AH13" s="165"/>
      <c r="AI13" s="165"/>
      <c r="AJ13" s="165"/>
      <c r="AK13" s="165"/>
      <c r="AL13" s="165"/>
      <c r="AM13" s="119"/>
      <c r="AN13" s="119"/>
    </row>
    <row r="14" spans="1:40">
      <c r="A14" s="5" t="s">
        <v>9</v>
      </c>
      <c r="B14" s="6" t="s">
        <v>57</v>
      </c>
      <c r="C14" s="153"/>
      <c r="D14" s="153"/>
      <c r="E14" s="120"/>
      <c r="F14" s="120"/>
      <c r="G14" s="120"/>
      <c r="H14" s="289" t="s">
        <v>298</v>
      </c>
      <c r="I14" s="120"/>
      <c r="J14" s="71">
        <v>5.6</v>
      </c>
      <c r="K14" s="120"/>
      <c r="L14" s="71">
        <f ca="1">'Subtransmission - Select firm'!O23/1000</f>
        <v>10627.639080757895</v>
      </c>
      <c r="M14" s="71" t="s">
        <v>246</v>
      </c>
      <c r="N14" s="71">
        <f>Levies!O32</f>
        <v>3525.4306293735394</v>
      </c>
      <c r="O14" s="71">
        <f>+Termites!F12/1000</f>
        <v>0</v>
      </c>
      <c r="P14" s="262">
        <f t="shared" ca="1" si="1"/>
        <v>10627.639080757895</v>
      </c>
      <c r="Q14" s="68"/>
      <c r="R14" s="112">
        <f t="shared" ca="1" si="0"/>
        <v>14153.069710131434</v>
      </c>
      <c r="S14" s="112">
        <f t="shared" ca="1" si="2"/>
        <v>10627.639080757895</v>
      </c>
      <c r="U14" s="219"/>
      <c r="V14" s="219"/>
      <c r="W14" s="219"/>
      <c r="X14" s="293"/>
      <c r="Y14" s="293"/>
      <c r="Z14" s="165"/>
      <c r="AA14" s="165"/>
      <c r="AB14" s="165"/>
      <c r="AC14" s="165"/>
      <c r="AD14" s="165"/>
      <c r="AE14" s="165"/>
      <c r="AF14" s="165"/>
      <c r="AG14" s="165"/>
      <c r="AH14" s="165"/>
      <c r="AI14" s="165"/>
      <c r="AJ14" s="165"/>
      <c r="AK14" s="165"/>
      <c r="AL14" s="165"/>
      <c r="AM14" s="119"/>
      <c r="AN14" s="119"/>
    </row>
    <row r="15" spans="1:40">
      <c r="A15" s="5" t="s">
        <v>10</v>
      </c>
      <c r="B15" s="6" t="s">
        <v>177</v>
      </c>
      <c r="C15" s="153"/>
      <c r="D15" s="153"/>
      <c r="E15" s="120"/>
      <c r="F15" s="120"/>
      <c r="G15" s="120"/>
      <c r="H15" s="289" t="s">
        <v>298</v>
      </c>
      <c r="I15" s="120"/>
      <c r="J15" s="71">
        <v>0</v>
      </c>
      <c r="K15" s="120"/>
      <c r="L15" s="71">
        <f ca="1">'Subtransmission - Select firm'!O24/1000</f>
        <v>6952.965573259251</v>
      </c>
      <c r="M15" s="71" t="s">
        <v>246</v>
      </c>
      <c r="N15" s="71">
        <f>Levies!O33</f>
        <v>195.18368690970573</v>
      </c>
      <c r="O15" s="71">
        <f>+Termites!F13/1000</f>
        <v>273.51156486888391</v>
      </c>
      <c r="P15" s="262">
        <f t="shared" ca="1" si="1"/>
        <v>6952.965573259251</v>
      </c>
      <c r="Q15" s="68"/>
      <c r="R15" s="112">
        <f t="shared" ca="1" si="0"/>
        <v>7421.6608250378413</v>
      </c>
      <c r="S15" s="112">
        <f t="shared" ca="1" si="2"/>
        <v>7226.4771381281353</v>
      </c>
      <c r="U15" s="219"/>
      <c r="V15" s="219"/>
      <c r="W15" s="219"/>
      <c r="X15" s="293"/>
      <c r="Y15" s="293"/>
      <c r="Z15" s="165"/>
      <c r="AA15" s="165"/>
      <c r="AB15" s="165"/>
      <c r="AC15" s="165"/>
      <c r="AD15" s="165"/>
      <c r="AE15" s="165"/>
      <c r="AF15" s="165"/>
      <c r="AG15" s="165"/>
      <c r="AH15" s="165"/>
      <c r="AI15" s="165"/>
      <c r="AJ15" s="165"/>
      <c r="AK15" s="165"/>
      <c r="AL15" s="165"/>
      <c r="AM15" s="119"/>
      <c r="AN15" s="119"/>
    </row>
    <row r="16" spans="1:40">
      <c r="A16" s="5" t="s">
        <v>11</v>
      </c>
      <c r="B16" s="6" t="s">
        <v>60</v>
      </c>
      <c r="C16" s="153"/>
      <c r="D16" s="153"/>
      <c r="E16" s="120"/>
      <c r="F16" s="120"/>
      <c r="G16" s="120"/>
      <c r="H16" s="289" t="s">
        <v>298</v>
      </c>
      <c r="I16" s="120"/>
      <c r="J16" s="71">
        <v>5.6</v>
      </c>
      <c r="K16" s="120"/>
      <c r="L16" s="71">
        <f ca="1">'Subtransmission - Select firm'!O25/1000</f>
        <v>32.166990461141992</v>
      </c>
      <c r="M16" s="71" t="s">
        <v>246</v>
      </c>
      <c r="N16" s="71">
        <f>Levies!O34</f>
        <v>3891.2692479648167</v>
      </c>
      <c r="O16" s="71">
        <f>+Termites!F14/1000</f>
        <v>0</v>
      </c>
      <c r="P16" s="262">
        <f t="shared" ca="1" si="1"/>
        <v>32.166990461141992</v>
      </c>
      <c r="Q16" s="68"/>
      <c r="R16" s="112">
        <f t="shared" ca="1" si="0"/>
        <v>3923.4362384259589</v>
      </c>
      <c r="S16" s="112">
        <f t="shared" ca="1" si="2"/>
        <v>32.166990461141992</v>
      </c>
      <c r="U16" s="219"/>
      <c r="V16" s="219"/>
      <c r="W16" s="219"/>
      <c r="X16" s="293"/>
      <c r="Y16" s="293"/>
      <c r="Z16" s="165"/>
      <c r="AA16" s="165"/>
      <c r="AB16" s="165"/>
      <c r="AC16" s="165"/>
      <c r="AD16" s="165"/>
      <c r="AE16" s="165"/>
      <c r="AF16" s="165"/>
      <c r="AG16" s="165"/>
      <c r="AH16" s="165"/>
      <c r="AI16" s="165"/>
      <c r="AJ16" s="165"/>
      <c r="AK16" s="165"/>
      <c r="AL16" s="165"/>
      <c r="AM16" s="119"/>
      <c r="AN16" s="119"/>
    </row>
    <row r="17" spans="1:40">
      <c r="A17" s="5" t="s">
        <v>12</v>
      </c>
      <c r="B17" s="6" t="s">
        <v>62</v>
      </c>
      <c r="C17" s="153"/>
      <c r="D17" s="153"/>
      <c r="E17" s="120"/>
      <c r="F17" s="120"/>
      <c r="G17" s="120"/>
      <c r="H17" s="289" t="s">
        <v>298</v>
      </c>
      <c r="I17" s="120"/>
      <c r="J17" s="71">
        <v>0</v>
      </c>
      <c r="K17" s="120"/>
      <c r="L17" s="71">
        <f ca="1">'Subtransmission - Select firm'!O26/1000</f>
        <v>4599.1672472032051</v>
      </c>
      <c r="M17" s="71" t="s">
        <v>246</v>
      </c>
      <c r="N17" s="71">
        <f>Levies!O35</f>
        <v>810.05474242313437</v>
      </c>
      <c r="O17" s="71">
        <f>+Termites!F15/1000</f>
        <v>67.936712771879101</v>
      </c>
      <c r="P17" s="262">
        <f t="shared" ca="1" si="1"/>
        <v>4599.1672472032051</v>
      </c>
      <c r="Q17" s="68"/>
      <c r="R17" s="112">
        <f t="shared" ca="1" si="0"/>
        <v>5477.1587023982183</v>
      </c>
      <c r="S17" s="112">
        <f t="shared" ca="1" si="2"/>
        <v>4667.1039599750839</v>
      </c>
      <c r="U17" s="219"/>
      <c r="V17" s="219"/>
      <c r="W17" s="219"/>
      <c r="X17" s="293"/>
      <c r="Y17" s="293"/>
      <c r="Z17" s="165"/>
      <c r="AA17" s="165"/>
      <c r="AB17" s="165"/>
      <c r="AC17" s="165"/>
      <c r="AD17" s="165"/>
      <c r="AE17" s="165"/>
      <c r="AF17" s="165"/>
      <c r="AG17" s="165"/>
      <c r="AH17" s="165"/>
      <c r="AI17" s="165"/>
      <c r="AJ17" s="165"/>
      <c r="AK17" s="165"/>
      <c r="AL17" s="165"/>
      <c r="AM17" s="119"/>
      <c r="AN17" s="119"/>
    </row>
    <row r="18" spans="1:40" s="119" customFormat="1">
      <c r="M18" s="207"/>
      <c r="P18" s="68"/>
      <c r="Q18" s="68"/>
      <c r="R18" s="192"/>
      <c r="W18" s="207"/>
      <c r="X18" s="287"/>
      <c r="Y18" s="165"/>
      <c r="Z18" s="165"/>
      <c r="AA18" s="165"/>
      <c r="AB18" s="165"/>
      <c r="AC18" s="165"/>
      <c r="AD18" s="165"/>
      <c r="AE18" s="165"/>
      <c r="AF18" s="165"/>
      <c r="AG18" s="165"/>
      <c r="AH18" s="165"/>
      <c r="AI18" s="165"/>
      <c r="AJ18" s="165"/>
      <c r="AK18" s="165"/>
      <c r="AL18" s="165"/>
    </row>
    <row r="19" spans="1:40" s="119" customFormat="1">
      <c r="M19" s="207"/>
      <c r="P19" s="68"/>
      <c r="Q19" s="68"/>
      <c r="S19" s="165"/>
      <c r="T19" s="182"/>
      <c r="U19" s="182"/>
      <c r="V19" s="182"/>
      <c r="W19" s="207"/>
      <c r="X19" s="287"/>
      <c r="Y19" s="165"/>
      <c r="Z19" s="165"/>
      <c r="AA19" s="165"/>
      <c r="AB19" s="165"/>
      <c r="AC19" s="165"/>
      <c r="AD19" s="165"/>
      <c r="AE19" s="165"/>
      <c r="AF19" s="165"/>
      <c r="AG19" s="165"/>
      <c r="AH19" s="165"/>
      <c r="AI19" s="165"/>
      <c r="AJ19" s="165"/>
      <c r="AK19" s="165"/>
      <c r="AL19" s="165"/>
    </row>
    <row r="20" spans="1:40" s="119" customFormat="1" ht="18" thickBot="1">
      <c r="A20" s="359" t="s">
        <v>218</v>
      </c>
      <c r="B20" s="359"/>
      <c r="C20" s="161"/>
      <c r="D20" s="161"/>
      <c r="M20" s="207"/>
      <c r="P20" s="68"/>
      <c r="Q20" s="68"/>
      <c r="S20" s="165"/>
      <c r="W20" s="207"/>
      <c r="X20" s="287"/>
      <c r="Y20" s="165"/>
      <c r="Z20" s="165"/>
      <c r="AA20" s="165"/>
      <c r="AB20" s="165"/>
      <c r="AC20" s="165"/>
      <c r="AD20" s="165"/>
      <c r="AE20" s="165"/>
      <c r="AF20" s="165"/>
      <c r="AG20" s="165"/>
      <c r="AH20" s="165"/>
      <c r="AI20" s="165"/>
      <c r="AJ20" s="165"/>
      <c r="AK20" s="165"/>
      <c r="AL20" s="165"/>
    </row>
    <row r="21" spans="1:40" ht="61.5" thickTop="1" thickBot="1">
      <c r="A21" s="84"/>
      <c r="B21" s="84" t="s">
        <v>28</v>
      </c>
      <c r="C21" s="84" t="s">
        <v>224</v>
      </c>
      <c r="D21" s="84" t="s">
        <v>225</v>
      </c>
      <c r="E21" s="84" t="s">
        <v>73</v>
      </c>
      <c r="F21" s="84" t="s">
        <v>75</v>
      </c>
      <c r="G21" s="84" t="s">
        <v>76</v>
      </c>
      <c r="H21" s="84" t="s">
        <v>178</v>
      </c>
      <c r="I21" s="67" t="s">
        <v>79</v>
      </c>
      <c r="J21" s="84" t="s">
        <v>80</v>
      </c>
      <c r="K21" s="84" t="s">
        <v>81</v>
      </c>
      <c r="L21" s="84" t="s">
        <v>85</v>
      </c>
      <c r="M21" s="200" t="s">
        <v>216</v>
      </c>
      <c r="N21" s="84" t="s">
        <v>83</v>
      </c>
      <c r="O21" s="84" t="s">
        <v>84</v>
      </c>
      <c r="P21" s="214" t="s">
        <v>234</v>
      </c>
      <c r="Q21" s="168"/>
      <c r="R21" s="200" t="s">
        <v>293</v>
      </c>
      <c r="S21" s="214" t="s">
        <v>295</v>
      </c>
      <c r="U21" s="214" t="s">
        <v>222</v>
      </c>
      <c r="V21" s="214" t="s">
        <v>243</v>
      </c>
      <c r="X21" s="287"/>
      <c r="Y21" s="165"/>
      <c r="Z21" s="165"/>
      <c r="AA21" s="165"/>
      <c r="AB21" s="165"/>
      <c r="AC21" s="165"/>
      <c r="AD21" s="165"/>
      <c r="AE21" s="165"/>
      <c r="AF21" s="165"/>
      <c r="AG21" s="165"/>
      <c r="AH21" s="165"/>
      <c r="AI21" s="165"/>
      <c r="AJ21" s="165"/>
      <c r="AK21" s="165"/>
      <c r="AL21" s="165"/>
      <c r="AM21" s="119"/>
      <c r="AN21" s="119"/>
    </row>
    <row r="22" spans="1:40" ht="15.75" thickBot="1">
      <c r="A22" s="69" t="s">
        <v>0</v>
      </c>
      <c r="B22" s="6" t="s">
        <v>294</v>
      </c>
      <c r="C22" s="70">
        <f ca="1">'base OPEX'!F49</f>
        <v>32699.982941037575</v>
      </c>
      <c r="D22" s="70">
        <f t="shared" ref="D22:D34" ca="1" si="3">C22-R5</f>
        <v>30572.466560979494</v>
      </c>
      <c r="E22" s="74">
        <f ca="1">IF(ISNUMBER(E5),E5/$C22,0)</f>
        <v>2.1550469958062913E-2</v>
      </c>
      <c r="F22" s="289" t="s">
        <v>298</v>
      </c>
      <c r="G22" s="120"/>
      <c r="H22" s="289" t="s">
        <v>298</v>
      </c>
      <c r="I22" s="120"/>
      <c r="J22" s="74">
        <f t="shared" ref="J22:J34" ca="1" si="4">IF(ISNUMBER(J5),J5/$C22,0)</f>
        <v>1.7125391196984861E-4</v>
      </c>
      <c r="K22" s="74">
        <f>IF(ISNUMBER(K5),K5/$C22,0)</f>
        <v>0</v>
      </c>
      <c r="L22" s="74">
        <f t="shared" ref="L22:O34" ca="1" si="5">IF(ISNUMBER(L5),L5/$C22,0)</f>
        <v>4.210924892455415E-2</v>
      </c>
      <c r="M22" s="71" t="s">
        <v>246</v>
      </c>
      <c r="N22" s="74" t="str">
        <f>IF(ISNUMBER(N5),N5/$C22,"")</f>
        <v/>
      </c>
      <c r="O22" s="74">
        <f t="shared" ca="1" si="5"/>
        <v>1.4019780575396485E-3</v>
      </c>
      <c r="P22" s="173">
        <f t="shared" ref="P22:P34" ca="1" si="6">L22+I22</f>
        <v>4.210924892455415E-2</v>
      </c>
      <c r="Q22" s="174" t="e">
        <f ca="1">K22+F22+E22</f>
        <v>#VALUE!</v>
      </c>
      <c r="R22" s="74">
        <f t="shared" ref="R22:R34" ca="1" si="7">SUMPRODUCT($E22:$O22,$E$35:$O$35)</f>
        <v>6.5061696940156719E-2</v>
      </c>
      <c r="S22" s="155">
        <f t="shared" ref="S22:S34" ca="1" si="8">SUMPRODUCT(E22:O22,$E$36:$O$36)</f>
        <v>6.5061696940156719E-2</v>
      </c>
      <c r="U22" s="109">
        <f ca="1">'base OPEX'!E66</f>
        <v>175987.8</v>
      </c>
      <c r="V22" s="158" t="str">
        <f>'base OPEX'!F66</f>
        <v/>
      </c>
      <c r="W22" s="208"/>
      <c r="X22" s="287"/>
      <c r="Y22" s="166"/>
      <c r="Z22" s="166"/>
      <c r="AA22" s="166"/>
      <c r="AB22" s="166"/>
      <c r="AC22" s="166"/>
      <c r="AD22" s="166"/>
      <c r="AE22" s="166"/>
      <c r="AF22" s="166"/>
      <c r="AG22" s="166"/>
      <c r="AH22" s="166"/>
      <c r="AI22" s="166"/>
      <c r="AJ22" s="166"/>
      <c r="AK22" s="166"/>
      <c r="AL22" s="166"/>
      <c r="AM22" s="119"/>
      <c r="AN22" s="119"/>
    </row>
    <row r="23" spans="1:40" ht="16.5" thickTop="1" thickBot="1">
      <c r="A23" s="5" t="s">
        <v>1</v>
      </c>
      <c r="B23" s="6" t="s">
        <v>42</v>
      </c>
      <c r="C23" s="70">
        <f ca="1">'base OPEX'!F50</f>
        <v>313242.10947821673</v>
      </c>
      <c r="D23" s="70">
        <f t="shared" ca="1" si="3"/>
        <v>291188.39522734593</v>
      </c>
      <c r="E23" s="120"/>
      <c r="F23" s="120"/>
      <c r="G23" s="120"/>
      <c r="H23" s="289" t="s">
        <v>298</v>
      </c>
      <c r="I23" s="74">
        <f>'Licence conditions'!F3</f>
        <v>8.5180719485470225E-4</v>
      </c>
      <c r="J23" s="74">
        <f t="shared" ca="1" si="4"/>
        <v>1.7877545293409637E-5</v>
      </c>
      <c r="K23" s="120"/>
      <c r="L23" s="74">
        <f t="shared" ca="1" si="5"/>
        <v>6.8778680886095372E-2</v>
      </c>
      <c r="M23" s="71" t="s">
        <v>246</v>
      </c>
      <c r="N23" s="74">
        <f t="shared" ref="N23:N34" ca="1" si="9">IF(ISNUMBER(N6),N6/$C23,"")</f>
        <v>9.4497365024003374E-5</v>
      </c>
      <c r="O23" s="74">
        <f t="shared" ca="1" si="5"/>
        <v>6.797065911431587E-4</v>
      </c>
      <c r="P23" s="173">
        <f t="shared" ca="1" si="6"/>
        <v>6.963048808095007E-2</v>
      </c>
      <c r="Q23" s="173"/>
      <c r="R23" s="74">
        <f t="shared" ca="1" si="7"/>
        <v>7.0404692037117245E-2</v>
      </c>
      <c r="S23" s="155">
        <f t="shared" ca="1" si="8"/>
        <v>7.0310194672093235E-2</v>
      </c>
      <c r="U23" s="109">
        <f ca="1">'base OPEX'!E67</f>
        <v>1637232.6999999979</v>
      </c>
      <c r="V23" s="158" t="str">
        <f>'base OPEX'!F67</f>
        <v/>
      </c>
      <c r="X23" s="287"/>
      <c r="Y23" s="165"/>
      <c r="Z23" s="165"/>
      <c r="AA23" s="165"/>
      <c r="AB23" s="165"/>
      <c r="AC23" s="165"/>
      <c r="AD23" s="165"/>
      <c r="AE23" s="165"/>
      <c r="AF23" s="165"/>
      <c r="AG23" s="165"/>
      <c r="AH23" s="165"/>
      <c r="AI23" s="165"/>
      <c r="AJ23" s="165"/>
      <c r="AK23" s="165"/>
      <c r="AL23" s="165"/>
    </row>
    <row r="24" spans="1:40" ht="16.5" thickTop="1" thickBot="1">
      <c r="A24" s="5" t="s">
        <v>2</v>
      </c>
      <c r="B24" s="6" t="s">
        <v>297</v>
      </c>
      <c r="C24" s="70">
        <f ca="1">'base OPEX'!F51</f>
        <v>47864.010032837534</v>
      </c>
      <c r="D24" s="70">
        <f t="shared" ca="1" si="3"/>
        <v>43893.530380749173</v>
      </c>
      <c r="E24" s="120"/>
      <c r="F24" s="120"/>
      <c r="G24" s="120"/>
      <c r="H24" s="289" t="s">
        <v>298</v>
      </c>
      <c r="I24" s="120"/>
      <c r="J24" s="74">
        <f t="shared" ca="1" si="4"/>
        <v>0</v>
      </c>
      <c r="K24" s="120"/>
      <c r="L24" s="74">
        <f t="shared" ca="1" si="5"/>
        <v>6.4083831441764175E-2</v>
      </c>
      <c r="M24" s="71" t="s">
        <v>246</v>
      </c>
      <c r="N24" s="74">
        <f t="shared" ca="1" si="9"/>
        <v>1.8455451838900128E-2</v>
      </c>
      <c r="O24" s="74">
        <f t="shared" ca="1" si="5"/>
        <v>4.140599382674462E-4</v>
      </c>
      <c r="P24" s="173">
        <f t="shared" ca="1" si="6"/>
        <v>6.4083831441764175E-2</v>
      </c>
      <c r="Q24" s="173"/>
      <c r="R24" s="74">
        <f t="shared" ca="1" si="7"/>
        <v>8.2953343218931747E-2</v>
      </c>
      <c r="S24" s="155">
        <f t="shared" ca="1" si="8"/>
        <v>6.4497891380031619E-2</v>
      </c>
      <c r="U24" s="109">
        <f ca="1">'base OPEX'!E68</f>
        <v>321928.59608474997</v>
      </c>
      <c r="V24" s="158">
        <f>'base OPEX'!F68</f>
        <v>1</v>
      </c>
      <c r="X24" s="287"/>
      <c r="Y24" s="165"/>
      <c r="Z24" s="165"/>
      <c r="AA24" s="165"/>
      <c r="AB24" s="165"/>
      <c r="AC24" s="165"/>
      <c r="AD24" s="165"/>
      <c r="AE24" s="165"/>
      <c r="AF24" s="165"/>
      <c r="AG24" s="165"/>
      <c r="AH24" s="165"/>
      <c r="AI24" s="165"/>
      <c r="AJ24" s="165"/>
      <c r="AK24" s="165"/>
      <c r="AL24" s="165"/>
    </row>
    <row r="25" spans="1:40" ht="16.5" thickTop="1" thickBot="1">
      <c r="A25" s="5" t="s">
        <v>3</v>
      </c>
      <c r="B25" s="6" t="s">
        <v>45</v>
      </c>
      <c r="C25" s="70">
        <f ca="1">'base OPEX'!F52</f>
        <v>194963.9559607463</v>
      </c>
      <c r="D25" s="70">
        <f t="shared" ca="1" si="3"/>
        <v>177417.21294970487</v>
      </c>
      <c r="E25" s="120"/>
      <c r="F25" s="120"/>
      <c r="G25" s="120"/>
      <c r="H25" s="289" t="s">
        <v>298</v>
      </c>
      <c r="I25" s="74">
        <f>'Licence conditions'!F4</f>
        <v>0</v>
      </c>
      <c r="J25" s="74">
        <f t="shared" ca="1" si="4"/>
        <v>2.8723257960191852E-5</v>
      </c>
      <c r="K25" s="120"/>
      <c r="L25" s="74">
        <f t="shared" ca="1" si="5"/>
        <v>8.6065863781877541E-2</v>
      </c>
      <c r="M25" s="71" t="s">
        <v>246</v>
      </c>
      <c r="N25" s="74">
        <f t="shared" ca="1" si="9"/>
        <v>1.1930119294392172E-4</v>
      </c>
      <c r="O25" s="74">
        <f t="shared" ca="1" si="5"/>
        <v>3.814768215774355E-3</v>
      </c>
      <c r="P25" s="173">
        <f t="shared" ca="1" si="6"/>
        <v>8.6065863781877541E-2</v>
      </c>
      <c r="Q25" s="173"/>
      <c r="R25" s="74">
        <f t="shared" ca="1" si="7"/>
        <v>8.9999933190595821E-2</v>
      </c>
      <c r="S25" s="155">
        <f t="shared" ca="1" si="8"/>
        <v>8.9880631997651894E-2</v>
      </c>
      <c r="U25" s="109">
        <f ca="1">'base OPEX'!E69</f>
        <v>922816.15641852806</v>
      </c>
      <c r="V25" s="158" t="str">
        <f>'base OPEX'!F69</f>
        <v/>
      </c>
      <c r="X25" s="287"/>
      <c r="Y25" s="165"/>
      <c r="Z25" s="165"/>
      <c r="AA25" s="165"/>
      <c r="AB25" s="165"/>
      <c r="AC25" s="165"/>
      <c r="AD25" s="165"/>
      <c r="AE25" s="165"/>
      <c r="AF25" s="165"/>
      <c r="AG25" s="165"/>
      <c r="AH25" s="165"/>
      <c r="AI25" s="165"/>
      <c r="AJ25" s="165"/>
      <c r="AK25" s="165"/>
      <c r="AL25" s="165"/>
    </row>
    <row r="26" spans="1:40" ht="16.5" thickTop="1" thickBot="1">
      <c r="A26" s="5" t="s">
        <v>4</v>
      </c>
      <c r="B26" s="6" t="s">
        <v>47</v>
      </c>
      <c r="C26" s="70">
        <f ca="1">'base OPEX'!F53</f>
        <v>275538.9740915678</v>
      </c>
      <c r="D26" s="70">
        <f t="shared" ca="1" si="3"/>
        <v>248826.08185094158</v>
      </c>
      <c r="E26" s="120"/>
      <c r="F26" s="120"/>
      <c r="G26" s="120"/>
      <c r="H26" s="289" t="s">
        <v>298</v>
      </c>
      <c r="I26" s="74">
        <f>'Licence conditions'!F5</f>
        <v>0</v>
      </c>
      <c r="J26" s="74">
        <f t="shared" ca="1" si="4"/>
        <v>2.032380362329067E-5</v>
      </c>
      <c r="K26" s="120"/>
      <c r="L26" s="74">
        <f t="shared" ca="1" si="5"/>
        <v>6.0171302661434375E-2</v>
      </c>
      <c r="M26" s="71" t="s">
        <v>246</v>
      </c>
      <c r="N26" s="74">
        <f t="shared" ca="1" si="9"/>
        <v>3.1866417938992676E-2</v>
      </c>
      <c r="O26" s="74">
        <f t="shared" ca="1" si="5"/>
        <v>4.9100608475394422E-3</v>
      </c>
      <c r="P26" s="173">
        <f t="shared" ca="1" si="6"/>
        <v>6.0171302661434375E-2</v>
      </c>
      <c r="Q26" s="173"/>
      <c r="R26" s="74">
        <f t="shared" ca="1" si="7"/>
        <v>9.6947781447966508E-2</v>
      </c>
      <c r="S26" s="155">
        <f t="shared" ca="1" si="8"/>
        <v>6.5081363508973811E-2</v>
      </c>
      <c r="U26" s="109">
        <f ca="1">'base OPEX'!E70</f>
        <v>1360762.6999999941</v>
      </c>
      <c r="V26" s="158" t="str">
        <f>'base OPEX'!F70</f>
        <v/>
      </c>
      <c r="X26" s="287"/>
      <c r="Y26" s="165"/>
      <c r="Z26" s="165"/>
      <c r="AA26" s="165"/>
      <c r="AB26" s="165"/>
      <c r="AC26" s="165"/>
      <c r="AD26" s="165"/>
      <c r="AE26" s="165"/>
      <c r="AF26" s="165"/>
      <c r="AG26" s="165"/>
      <c r="AH26" s="165"/>
      <c r="AI26" s="165"/>
      <c r="AJ26" s="165"/>
      <c r="AK26" s="165"/>
      <c r="AL26" s="165"/>
    </row>
    <row r="27" spans="1:40" ht="16.5" thickTop="1" thickBot="1">
      <c r="A27" s="5" t="s">
        <v>5</v>
      </c>
      <c r="B27" s="6" t="s">
        <v>49</v>
      </c>
      <c r="C27" s="70">
        <f ca="1">'base OPEX'!F54</f>
        <v>265369.06561191194</v>
      </c>
      <c r="D27" s="70">
        <f t="shared" ca="1" si="3"/>
        <v>219737.92616238934</v>
      </c>
      <c r="E27" s="120"/>
      <c r="F27" s="120"/>
      <c r="G27" s="74">
        <f ca="1">IF(ISNUMBER(G10),G10/$C27,0)</f>
        <v>4.8340049530756386E-2</v>
      </c>
      <c r="H27" s="289" t="s">
        <v>298</v>
      </c>
      <c r="I27" s="74">
        <f>'Licence conditions'!F6</f>
        <v>0</v>
      </c>
      <c r="J27" s="74">
        <f t="shared" ca="1" si="4"/>
        <v>2.1102685752338969E-5</v>
      </c>
      <c r="K27" s="120"/>
      <c r="L27" s="74">
        <f t="shared" ca="1" si="5"/>
        <v>9.4028199515896901E-2</v>
      </c>
      <c r="M27" s="71" t="s">
        <v>246</v>
      </c>
      <c r="N27" s="74">
        <f t="shared" ca="1" si="9"/>
        <v>1.8467822187575783E-2</v>
      </c>
      <c r="O27" s="74">
        <f t="shared" ca="1" si="5"/>
        <v>1.1117428109419684E-2</v>
      </c>
      <c r="P27" s="173">
        <f t="shared" ca="1" si="6"/>
        <v>9.4028199515896901E-2</v>
      </c>
      <c r="Q27" s="173"/>
      <c r="R27" s="74">
        <f t="shared" ca="1" si="7"/>
        <v>0.17195349934364876</v>
      </c>
      <c r="S27" s="155">
        <f t="shared" ca="1" si="8"/>
        <v>0.15348567715607297</v>
      </c>
      <c r="U27" s="109">
        <f ca="1">'base OPEX'!E71</f>
        <v>709774.9</v>
      </c>
      <c r="V27" s="158" t="str">
        <f>'base OPEX'!F71</f>
        <v/>
      </c>
      <c r="X27" s="287"/>
      <c r="Y27" s="165"/>
      <c r="Z27" s="165"/>
      <c r="AA27" s="165"/>
      <c r="AB27" s="165"/>
      <c r="AC27" s="165"/>
      <c r="AD27" s="165"/>
      <c r="AE27" s="165"/>
      <c r="AF27" s="165"/>
      <c r="AG27" s="165"/>
      <c r="AH27" s="165"/>
      <c r="AI27" s="165"/>
      <c r="AJ27" s="165"/>
      <c r="AK27" s="165"/>
      <c r="AL27" s="165"/>
    </row>
    <row r="28" spans="1:40" ht="16.5" thickTop="1" thickBot="1">
      <c r="A28" s="5" t="s">
        <v>6</v>
      </c>
      <c r="B28" s="6" t="s">
        <v>51</v>
      </c>
      <c r="C28" s="70">
        <f ca="1">'base OPEX'!F55</f>
        <v>314194.95387049322</v>
      </c>
      <c r="D28" s="70">
        <f t="shared" ca="1" si="3"/>
        <v>281775.27925551479</v>
      </c>
      <c r="E28" s="120"/>
      <c r="F28" s="120"/>
      <c r="G28" s="120"/>
      <c r="H28" s="289" t="s">
        <v>298</v>
      </c>
      <c r="I28" s="74">
        <f>'Licence conditions'!F7</f>
        <v>0</v>
      </c>
      <c r="J28" s="74">
        <f t="shared" ca="1" si="4"/>
        <v>1.7823328895053616E-5</v>
      </c>
      <c r="K28" s="120"/>
      <c r="L28" s="74">
        <f t="shared" ca="1" si="5"/>
        <v>9.3544287650954128E-2</v>
      </c>
      <c r="M28" s="71" t="s">
        <v>246</v>
      </c>
      <c r="N28" s="74">
        <f t="shared" ca="1" si="9"/>
        <v>0</v>
      </c>
      <c r="O28" s="74">
        <f t="shared" ca="1" si="5"/>
        <v>9.6390200871497352E-3</v>
      </c>
      <c r="P28" s="173">
        <f t="shared" ca="1" si="6"/>
        <v>9.3544287650954128E-2</v>
      </c>
      <c r="Q28" s="173"/>
      <c r="R28" s="74">
        <f t="shared" ca="1" si="7"/>
        <v>0.10318330773810386</v>
      </c>
      <c r="S28" s="155">
        <f t="shared" ca="1" si="8"/>
        <v>0.10318330773810386</v>
      </c>
      <c r="U28" s="109">
        <f ca="1">'base OPEX'!E72</f>
        <v>847655.6</v>
      </c>
      <c r="V28" s="158" t="str">
        <f>'base OPEX'!F72</f>
        <v/>
      </c>
      <c r="X28" s="287"/>
      <c r="Y28" s="165"/>
      <c r="Z28" s="165"/>
      <c r="AA28" s="165"/>
      <c r="AB28" s="165"/>
      <c r="AC28" s="165"/>
      <c r="AD28" s="165"/>
      <c r="AE28" s="165"/>
      <c r="AF28" s="165"/>
      <c r="AG28" s="165"/>
      <c r="AH28" s="165"/>
      <c r="AI28" s="165"/>
      <c r="AJ28" s="165"/>
      <c r="AK28" s="165"/>
      <c r="AL28" s="165"/>
    </row>
    <row r="29" spans="1:40" ht="16.5" thickTop="1" thickBot="1">
      <c r="A29" s="5" t="s">
        <v>7</v>
      </c>
      <c r="B29" s="6" t="s">
        <v>53</v>
      </c>
      <c r="C29" s="70">
        <f ca="1">'base OPEX'!F56</f>
        <v>54370.299786967422</v>
      </c>
      <c r="D29" s="70">
        <f t="shared" ca="1" si="3"/>
        <v>50894.497645197269</v>
      </c>
      <c r="E29" s="120"/>
      <c r="F29" s="120"/>
      <c r="G29" s="120"/>
      <c r="H29" s="289" t="s">
        <v>298</v>
      </c>
      <c r="I29" s="120"/>
      <c r="J29" s="74">
        <f t="shared" ca="1" si="4"/>
        <v>0</v>
      </c>
      <c r="K29" s="120"/>
      <c r="L29" s="74">
        <f t="shared" ca="1" si="5"/>
        <v>4.8664397911583744E-2</v>
      </c>
      <c r="M29" s="71" t="s">
        <v>246</v>
      </c>
      <c r="N29" s="74">
        <f t="shared" ca="1" si="9"/>
        <v>1.4919521048541688E-2</v>
      </c>
      <c r="O29" s="74">
        <f t="shared" ca="1" si="5"/>
        <v>3.4440505848346215E-4</v>
      </c>
      <c r="P29" s="173">
        <f t="shared" ca="1" si="6"/>
        <v>4.8664397911583744E-2</v>
      </c>
      <c r="Q29" s="173"/>
      <c r="R29" s="74">
        <f t="shared" ca="1" si="7"/>
        <v>6.3928324018608887E-2</v>
      </c>
      <c r="S29" s="155">
        <f t="shared" ca="1" si="8"/>
        <v>4.9008802970067204E-2</v>
      </c>
      <c r="U29" s="109">
        <f ca="1">'base OPEX'!E73</f>
        <v>319563</v>
      </c>
      <c r="V29" s="158" t="str">
        <f>'base OPEX'!F73</f>
        <v/>
      </c>
      <c r="X29" s="287"/>
      <c r="Y29" s="165"/>
      <c r="Z29" s="165"/>
      <c r="AA29" s="165"/>
      <c r="AB29" s="165"/>
      <c r="AC29" s="165"/>
      <c r="AD29" s="165"/>
      <c r="AE29" s="165"/>
      <c r="AF29" s="165"/>
      <c r="AG29" s="165"/>
      <c r="AH29" s="165"/>
      <c r="AI29" s="165"/>
      <c r="AJ29" s="165"/>
      <c r="AK29" s="165"/>
      <c r="AL29" s="165"/>
    </row>
    <row r="30" spans="1:40" ht="16.5" thickTop="1" thickBot="1">
      <c r="A30" s="5" t="s">
        <v>8</v>
      </c>
      <c r="B30" s="6" t="s">
        <v>55</v>
      </c>
      <c r="C30" s="70">
        <f ca="1">'base OPEX'!F57</f>
        <v>161686.41459303079</v>
      </c>
      <c r="D30" s="70">
        <f t="shared" ca="1" si="3"/>
        <v>151728.10014117823</v>
      </c>
      <c r="E30" s="120"/>
      <c r="F30" s="120"/>
      <c r="G30" s="120"/>
      <c r="H30" s="289" t="s">
        <v>298</v>
      </c>
      <c r="I30" s="120"/>
      <c r="J30" s="74">
        <f t="shared" ca="1" si="4"/>
        <v>0</v>
      </c>
      <c r="K30" s="120"/>
      <c r="L30" s="74">
        <f t="shared" ca="1" si="5"/>
        <v>4.8123746640404155E-2</v>
      </c>
      <c r="M30" s="71" t="s">
        <v>246</v>
      </c>
      <c r="N30" s="74">
        <f t="shared" ca="1" si="9"/>
        <v>1.0141500782124039E-2</v>
      </c>
      <c r="O30" s="74">
        <f t="shared" ca="1" si="5"/>
        <v>3.3250505435557464E-3</v>
      </c>
      <c r="P30" s="173">
        <f t="shared" ca="1" si="6"/>
        <v>4.8123746640404155E-2</v>
      </c>
      <c r="Q30" s="173"/>
      <c r="R30" s="74">
        <f t="shared" ca="1" si="7"/>
        <v>6.1590297966083937E-2</v>
      </c>
      <c r="S30" s="155">
        <f t="shared" ca="1" si="8"/>
        <v>5.14487971839599E-2</v>
      </c>
      <c r="U30" s="109">
        <f ca="1">'base OPEX'!E74</f>
        <v>754231.64141227794</v>
      </c>
      <c r="V30" s="158">
        <f>'base OPEX'!F74</f>
        <v>1</v>
      </c>
      <c r="X30" s="287"/>
      <c r="Y30" s="165"/>
      <c r="Z30" s="165"/>
      <c r="AA30" s="165"/>
      <c r="AB30" s="165"/>
      <c r="AC30" s="165"/>
      <c r="AD30" s="165"/>
      <c r="AE30" s="165"/>
      <c r="AF30" s="165"/>
      <c r="AG30" s="165"/>
      <c r="AH30" s="165"/>
      <c r="AI30" s="165"/>
      <c r="AJ30" s="165"/>
      <c r="AK30" s="165"/>
      <c r="AL30" s="165"/>
    </row>
    <row r="31" spans="1:40" ht="16.5" thickTop="1" thickBot="1">
      <c r="A31" s="5" t="s">
        <v>9</v>
      </c>
      <c r="B31" s="6" t="s">
        <v>57</v>
      </c>
      <c r="C31" s="70">
        <f ca="1">'base OPEX'!F58</f>
        <v>204675.65128541589</v>
      </c>
      <c r="D31" s="70">
        <f t="shared" ca="1" si="3"/>
        <v>190522.58157528445</v>
      </c>
      <c r="E31" s="120"/>
      <c r="F31" s="120"/>
      <c r="G31" s="120"/>
      <c r="H31" s="289" t="s">
        <v>298</v>
      </c>
      <c r="I31" s="120"/>
      <c r="J31" s="74">
        <f t="shared" ca="1" si="4"/>
        <v>2.7360362431146817E-5</v>
      </c>
      <c r="K31" s="120"/>
      <c r="L31" s="74">
        <f t="shared" ca="1" si="5"/>
        <v>5.1924295899456435E-2</v>
      </c>
      <c r="M31" s="71" t="s">
        <v>246</v>
      </c>
      <c r="N31" s="74">
        <f t="shared" ca="1" si="9"/>
        <v>1.7224474954558228E-2</v>
      </c>
      <c r="O31" s="74">
        <f t="shared" ca="1" si="5"/>
        <v>0</v>
      </c>
      <c r="P31" s="173">
        <f t="shared" ca="1" si="6"/>
        <v>5.1924295899456435E-2</v>
      </c>
      <c r="Q31" s="173"/>
      <c r="R31" s="74">
        <f t="shared" ca="1" si="7"/>
        <v>6.9148770854014663E-2</v>
      </c>
      <c r="S31" s="155">
        <f t="shared" ca="1" si="8"/>
        <v>5.1924295899456435E-2</v>
      </c>
      <c r="U31" s="109">
        <f ca="1">'base OPEX'!E75</f>
        <v>846735.9</v>
      </c>
      <c r="V31" s="158">
        <f>'base OPEX'!F75</f>
        <v>1</v>
      </c>
      <c r="X31" s="287"/>
      <c r="Y31" s="165"/>
      <c r="Z31" s="165"/>
      <c r="AA31" s="165"/>
      <c r="AB31" s="165"/>
      <c r="AC31" s="165"/>
      <c r="AD31" s="165"/>
      <c r="AE31" s="165"/>
      <c r="AF31" s="165"/>
      <c r="AG31" s="165"/>
      <c r="AH31" s="165"/>
      <c r="AI31" s="165"/>
      <c r="AJ31" s="165"/>
      <c r="AK31" s="165"/>
      <c r="AL31" s="165"/>
    </row>
    <row r="32" spans="1:40" ht="16.5" thickTop="1" thickBot="1">
      <c r="A32" s="5" t="s">
        <v>10</v>
      </c>
      <c r="B32" s="6" t="s">
        <v>177</v>
      </c>
      <c r="C32" s="70">
        <f ca="1">'base OPEX'!F59</f>
        <v>162057.00803760882</v>
      </c>
      <c r="D32" s="70">
        <f t="shared" ca="1" si="3"/>
        <v>154635.34721257098</v>
      </c>
      <c r="E32" s="120"/>
      <c r="F32" s="120"/>
      <c r="G32" s="120"/>
      <c r="H32" s="289" t="s">
        <v>298</v>
      </c>
      <c r="I32" s="120"/>
      <c r="J32" s="74">
        <f t="shared" ca="1" si="4"/>
        <v>0</v>
      </c>
      <c r="K32" s="120"/>
      <c r="L32" s="74">
        <f t="shared" ca="1" si="5"/>
        <v>4.2904442439451095E-2</v>
      </c>
      <c r="M32" s="71" t="s">
        <v>246</v>
      </c>
      <c r="N32" s="74">
        <f t="shared" ca="1" si="9"/>
        <v>1.2044137385555653E-3</v>
      </c>
      <c r="O32" s="74">
        <f t="shared" ca="1" si="5"/>
        <v>1.6877490716440333E-3</v>
      </c>
      <c r="P32" s="173">
        <f t="shared" ca="1" si="6"/>
        <v>4.2904442439451095E-2</v>
      </c>
      <c r="Q32" s="173"/>
      <c r="R32" s="74">
        <f t="shared" ca="1" si="7"/>
        <v>4.5796605249650693E-2</v>
      </c>
      <c r="S32" s="155">
        <f t="shared" ca="1" si="8"/>
        <v>4.4592191511095128E-2</v>
      </c>
      <c r="U32" s="109">
        <f ca="1">'base OPEX'!E76</f>
        <v>679252.19999998191</v>
      </c>
      <c r="V32" s="158" t="str">
        <f>'base OPEX'!F76</f>
        <v/>
      </c>
      <c r="X32" s="287"/>
      <c r="Y32" s="165"/>
      <c r="Z32" s="165"/>
      <c r="AA32" s="165"/>
      <c r="AB32" s="165"/>
      <c r="AC32" s="165"/>
      <c r="AD32" s="165"/>
      <c r="AE32" s="165"/>
      <c r="AF32" s="165"/>
      <c r="AG32" s="165"/>
      <c r="AH32" s="165"/>
      <c r="AI32" s="165"/>
      <c r="AJ32" s="165"/>
      <c r="AK32" s="165"/>
      <c r="AL32" s="165"/>
    </row>
    <row r="33" spans="1:38" ht="16.5" thickTop="1" thickBot="1">
      <c r="A33" s="5" t="s">
        <v>11</v>
      </c>
      <c r="B33" s="6" t="s">
        <v>60</v>
      </c>
      <c r="C33" s="70">
        <f ca="1">'base OPEX'!F60</f>
        <v>75282.221531143718</v>
      </c>
      <c r="D33" s="70">
        <f t="shared" ca="1" si="3"/>
        <v>71358.785292717759</v>
      </c>
      <c r="E33" s="120"/>
      <c r="F33" s="120"/>
      <c r="G33" s="120"/>
      <c r="H33" s="289" t="s">
        <v>298</v>
      </c>
      <c r="I33" s="120"/>
      <c r="J33" s="74">
        <f t="shared" ca="1" si="4"/>
        <v>7.438675275653655E-5</v>
      </c>
      <c r="K33" s="120"/>
      <c r="L33" s="74">
        <f t="shared" ca="1" si="5"/>
        <v>4.2728535113479264E-4</v>
      </c>
      <c r="M33" s="71" t="s">
        <v>246</v>
      </c>
      <c r="N33" s="74">
        <f t="shared" ca="1" si="9"/>
        <v>5.1689086331691558E-2</v>
      </c>
      <c r="O33" s="74">
        <f t="shared" ca="1" si="5"/>
        <v>0</v>
      </c>
      <c r="P33" s="173">
        <f t="shared" ca="1" si="6"/>
        <v>4.2728535113479264E-4</v>
      </c>
      <c r="Q33" s="173"/>
      <c r="R33" s="74">
        <f t="shared" ca="1" si="7"/>
        <v>5.2116371682826353E-2</v>
      </c>
      <c r="S33" s="155">
        <f ca="1">SUMPRODUCT(E33:O33,$E$36:$O$36)</f>
        <v>4.2728535113479264E-4</v>
      </c>
      <c r="U33" s="109">
        <f ca="1">'base OPEX'!E77</f>
        <v>279584.19999999402</v>
      </c>
      <c r="V33" s="158">
        <f>'base OPEX'!F77</f>
        <v>1</v>
      </c>
      <c r="X33" s="287"/>
      <c r="Y33" s="165"/>
      <c r="Z33" s="165"/>
      <c r="AA33" s="165"/>
      <c r="AB33" s="165"/>
      <c r="AC33" s="165"/>
      <c r="AD33" s="165"/>
      <c r="AE33" s="165"/>
      <c r="AF33" s="165"/>
      <c r="AG33" s="165"/>
      <c r="AH33" s="165"/>
      <c r="AI33" s="165"/>
      <c r="AJ33" s="165"/>
      <c r="AK33" s="165"/>
      <c r="AL33" s="165"/>
    </row>
    <row r="34" spans="1:38" ht="16.5" thickTop="1" thickBot="1">
      <c r="A34" s="5" t="s">
        <v>12</v>
      </c>
      <c r="B34" s="6" t="s">
        <v>62</v>
      </c>
      <c r="C34" s="70">
        <f ca="1">'base OPEX'!F61</f>
        <v>115609.69378497882</v>
      </c>
      <c r="D34" s="70">
        <f t="shared" ca="1" si="3"/>
        <v>110132.53508258061</v>
      </c>
      <c r="E34" s="120"/>
      <c r="F34" s="120"/>
      <c r="G34" s="120"/>
      <c r="H34" s="289" t="s">
        <v>298</v>
      </c>
      <c r="I34" s="120"/>
      <c r="J34" s="74">
        <f t="shared" ca="1" si="4"/>
        <v>0</v>
      </c>
      <c r="K34" s="120"/>
      <c r="L34" s="74">
        <f t="shared" ca="1" si="5"/>
        <v>3.9781847841904548E-2</v>
      </c>
      <c r="M34" s="71" t="s">
        <v>246</v>
      </c>
      <c r="N34" s="74">
        <f t="shared" ca="1" si="9"/>
        <v>7.0068064009385419E-3</v>
      </c>
      <c r="O34" s="74">
        <f t="shared" ca="1" si="5"/>
        <v>5.8763854956863596E-4</v>
      </c>
      <c r="P34" s="173">
        <f t="shared" ca="1" si="6"/>
        <v>3.9781847841904548E-2</v>
      </c>
      <c r="Q34" s="173"/>
      <c r="R34" s="74">
        <f t="shared" ca="1" si="7"/>
        <v>4.7376292792411727E-2</v>
      </c>
      <c r="S34" s="155">
        <f t="shared" ca="1" si="8"/>
        <v>4.0369486391473183E-2</v>
      </c>
      <c r="U34" s="109">
        <f ca="1">'base OPEX'!E78</f>
        <v>653707.95483870804</v>
      </c>
      <c r="V34" s="158">
        <f>'base OPEX'!F78</f>
        <v>1</v>
      </c>
      <c r="X34" s="287"/>
      <c r="Y34" s="165"/>
      <c r="Z34" s="165"/>
      <c r="AA34" s="165"/>
      <c r="AB34" s="165"/>
      <c r="AC34" s="165"/>
      <c r="AD34" s="165"/>
      <c r="AE34" s="165"/>
      <c r="AF34" s="165"/>
      <c r="AG34" s="165"/>
      <c r="AH34" s="165"/>
      <c r="AI34" s="165"/>
      <c r="AJ34" s="165"/>
      <c r="AK34" s="165"/>
      <c r="AL34" s="165"/>
    </row>
    <row r="35" spans="1:38" ht="15.75" thickTop="1">
      <c r="B35" s="68" t="s">
        <v>217</v>
      </c>
      <c r="C35" s="68"/>
      <c r="D35" s="68"/>
      <c r="E35" s="156">
        <v>1</v>
      </c>
      <c r="F35" s="156">
        <v>0</v>
      </c>
      <c r="G35" s="156">
        <v>1</v>
      </c>
      <c r="H35" s="156">
        <v>0</v>
      </c>
      <c r="I35" s="156">
        <v>1</v>
      </c>
      <c r="J35" s="156">
        <v>0</v>
      </c>
      <c r="K35" s="156">
        <v>0</v>
      </c>
      <c r="L35" s="156">
        <v>1</v>
      </c>
      <c r="M35" s="156">
        <v>0</v>
      </c>
      <c r="N35" s="156">
        <v>1</v>
      </c>
      <c r="O35" s="156">
        <v>1</v>
      </c>
      <c r="P35" s="68"/>
      <c r="Q35" s="68"/>
      <c r="R35" s="119"/>
      <c r="S35" s="198"/>
      <c r="T35" s="119"/>
      <c r="U35" s="41"/>
      <c r="V35" s="119"/>
      <c r="X35" s="287"/>
    </row>
    <row r="36" spans="1:38" s="165" customFormat="1" ht="15.75" thickBot="1">
      <c r="B36" s="68"/>
      <c r="C36" s="68"/>
      <c r="D36" s="68"/>
      <c r="E36" s="156">
        <v>1</v>
      </c>
      <c r="F36" s="156">
        <v>0</v>
      </c>
      <c r="G36" s="156">
        <v>1</v>
      </c>
      <c r="H36" s="156">
        <v>0</v>
      </c>
      <c r="I36" s="156">
        <v>1</v>
      </c>
      <c r="J36" s="156">
        <v>0</v>
      </c>
      <c r="K36" s="156">
        <v>0</v>
      </c>
      <c r="L36" s="156">
        <v>1</v>
      </c>
      <c r="M36" s="156">
        <v>0</v>
      </c>
      <c r="N36" s="156">
        <v>0</v>
      </c>
      <c r="O36" s="156">
        <v>1</v>
      </c>
      <c r="P36" s="68"/>
      <c r="Q36" s="68"/>
      <c r="W36" s="207"/>
      <c r="X36" s="287"/>
    </row>
    <row r="37" spans="1:38" ht="16.5" thickTop="1" thickBot="1">
      <c r="B37" s="68" t="s">
        <v>219</v>
      </c>
      <c r="C37" s="68"/>
      <c r="D37" s="68"/>
      <c r="E37" s="155">
        <f ca="1">ROUND(SUMPRODUCT(E22:E34,$U$22:$U$34,$V$22:$V$34)/SUMPRODUCT($U$22:$U$34,$V$22:$V$34),5)</f>
        <v>0</v>
      </c>
      <c r="F37" s="155">
        <f ca="1">ROUND(SUMPRODUCT(F22:F34,$U$22:$U$34,$V$22:$V$34)/SUMPRODUCT($U$22:$U$34,$V$22:$V$34),5)</f>
        <v>0</v>
      </c>
      <c r="G37" s="155">
        <f ca="1">ROUND(SUMPRODUCT(G22:G34,$U$22:$U$34,$V$22:$V$34)/SUMPRODUCT($U$22:$U$34,$V$22:$V$34),5)</f>
        <v>0</v>
      </c>
      <c r="H37" s="289" t="s">
        <v>298</v>
      </c>
      <c r="I37" s="155">
        <f ca="1">ROUND(SUMPRODUCT(I22:I34,$U$22:$U$34,$V$22:$V$34)/SUMPRODUCT($U$22:$U$34,$V$22:$V$34),5)</f>
        <v>0</v>
      </c>
      <c r="J37" s="155">
        <f ca="1">ROUND(SUMPRODUCT(J22:J34,$U$22:$U$34,$V$22:$V$34)/SUMPRODUCT($U$22:$U$34,$V$22:$V$34),5)</f>
        <v>2.0000000000000002E-5</v>
      </c>
      <c r="K37" s="155">
        <f ca="1">ROUND(SUMPRODUCT(K22:K34,$U$22:$U$34,$V$22:$V$34)/SUMPRODUCT($U$22:$U$34,$V$22:$V$34),5)</f>
        <v>0</v>
      </c>
      <c r="L37" s="155">
        <f ca="1">ROUND(SUMPRODUCT(L22:L34,$U$22:$U$34,$V$22:$V$34)/SUMPRODUCT($U$22:$U$34,$V$22:$V$34),5)</f>
        <v>4.4470000000000003E-2</v>
      </c>
      <c r="M37" s="155" t="s">
        <v>246</v>
      </c>
      <c r="N37" s="155">
        <f ca="1">ROUND(SUMPRODUCT(N22:N34,$U$22:$U$34,$V$22:$V$34)/SUMPRODUCT($U$22:$U$34,$V$22:$V$34),5)</f>
        <v>1.653E-2</v>
      </c>
      <c r="O37" s="155">
        <f ca="1">ROUND(SUMPRODUCT(O22:O34,$U$22:$U$34,$V$22:$V$34)/SUMPRODUCT($U$22:$U$34,$V$22:$V$34),5)</f>
        <v>1.06E-3</v>
      </c>
      <c r="P37" s="173">
        <f ca="1">L37+I37</f>
        <v>4.4470000000000003E-2</v>
      </c>
      <c r="Q37" s="174">
        <f ca="1">K37+F37+E37</f>
        <v>0</v>
      </c>
      <c r="R37" s="155">
        <f ca="1">ROUND(SUMPRODUCT(R22:R34,$U$22:$U$34,$V$22:$V$34)/SUMPRODUCT($U$22:$U$34,$V$22:$V$34),5)</f>
        <v>6.2059999999999997E-2</v>
      </c>
      <c r="S37" s="155">
        <f ca="1">ROUND(SUMPRODUCT(S22:S34,$U$22:$U$34,$V$22:$V$34)/SUMPRODUCT($U$22:$U$34,$V$22:$V$34),5)</f>
        <v>4.5530000000000001E-2</v>
      </c>
      <c r="T37" s="157" t="b">
        <f ca="1">R37=R38</f>
        <v>1</v>
      </c>
      <c r="U37" s="41"/>
      <c r="V37" s="119"/>
      <c r="X37" s="287"/>
    </row>
    <row r="38" spans="1:38" ht="15.75" thickTop="1">
      <c r="M38" s="207"/>
      <c r="P38" s="68"/>
      <c r="Q38" s="68"/>
      <c r="R38" s="74">
        <f ca="1">SUMPRODUCT(E$37:O$37,$E$35:$O$35)</f>
        <v>6.2059999999999997E-2</v>
      </c>
      <c r="S38" s="220">
        <f ca="1">SUMPRODUCT(E$37:O$37,$E$36:$O$36)</f>
        <v>4.5530000000000001E-2</v>
      </c>
      <c r="T38" s="119"/>
      <c r="U38" s="41"/>
      <c r="V38" s="119"/>
      <c r="X38" s="287"/>
    </row>
    <row r="39" spans="1:38" ht="18" thickBot="1">
      <c r="A39" s="359" t="s">
        <v>220</v>
      </c>
      <c r="B39" s="359"/>
      <c r="C39" s="161"/>
      <c r="D39" s="161"/>
      <c r="E39" s="119"/>
      <c r="F39" s="60"/>
      <c r="G39" s="46"/>
      <c r="M39" s="207"/>
      <c r="P39" s="68"/>
      <c r="Q39" s="68"/>
      <c r="S39" s="198"/>
      <c r="T39" s="119"/>
      <c r="U39" s="41"/>
      <c r="V39" s="119"/>
      <c r="X39" s="287"/>
    </row>
    <row r="40" spans="1:38" ht="62.25" thickTop="1" thickBot="1">
      <c r="A40" s="84"/>
      <c r="B40" s="84" t="s">
        <v>28</v>
      </c>
      <c r="C40" s="84"/>
      <c r="D40" s="84"/>
      <c r="E40" s="84" t="s">
        <v>73</v>
      </c>
      <c r="F40" s="84" t="s">
        <v>75</v>
      </c>
      <c r="G40" s="84" t="s">
        <v>76</v>
      </c>
      <c r="H40" s="84" t="s">
        <v>178</v>
      </c>
      <c r="I40" s="67" t="s">
        <v>79</v>
      </c>
      <c r="J40" s="84" t="s">
        <v>80</v>
      </c>
      <c r="K40" s="84" t="s">
        <v>81</v>
      </c>
      <c r="L40" s="84" t="s">
        <v>85</v>
      </c>
      <c r="M40" s="200" t="s">
        <v>216</v>
      </c>
      <c r="N40" s="84" t="s">
        <v>83</v>
      </c>
      <c r="O40" s="84" t="s">
        <v>84</v>
      </c>
      <c r="P40" s="200" t="s">
        <v>234</v>
      </c>
      <c r="Q40" s="200" t="s">
        <v>294</v>
      </c>
      <c r="R40" s="214" t="s">
        <v>293</v>
      </c>
      <c r="S40" s="214" t="s">
        <v>295</v>
      </c>
      <c r="T40" s="215"/>
      <c r="U40" s="215"/>
      <c r="V40" s="207"/>
      <c r="X40" s="287"/>
      <c r="Y40" s="165"/>
      <c r="Z40" s="165"/>
      <c r="AA40" s="165"/>
      <c r="AB40" s="165"/>
      <c r="AC40" s="165"/>
      <c r="AD40" s="165"/>
      <c r="AE40" s="165"/>
      <c r="AF40" s="165"/>
      <c r="AG40" s="165"/>
      <c r="AH40" s="165"/>
      <c r="AI40" s="165"/>
      <c r="AJ40" s="165"/>
    </row>
    <row r="41" spans="1:38" s="119" customFormat="1" ht="16.5" thickTop="1" thickBot="1">
      <c r="A41" s="69" t="s">
        <v>0</v>
      </c>
      <c r="B41" s="153" t="s">
        <v>294</v>
      </c>
      <c r="C41" s="153"/>
      <c r="D41" s="153"/>
      <c r="E41" s="74">
        <f ca="1">E22-E$37</f>
        <v>2.1550469958062913E-2</v>
      </c>
      <c r="F41" s="289" t="s">
        <v>298</v>
      </c>
      <c r="G41" s="120"/>
      <c r="H41" s="289" t="s">
        <v>298</v>
      </c>
      <c r="I41" s="120"/>
      <c r="J41" s="74">
        <f ca="1">J22-J$37</f>
        <v>1.5125391196984861E-4</v>
      </c>
      <c r="K41" s="74">
        <f ca="1">K22-K$37</f>
        <v>0</v>
      </c>
      <c r="L41" s="74">
        <f ca="1">L22-L$37</f>
        <v>-2.3607510754458522E-3</v>
      </c>
      <c r="M41" s="155" t="s">
        <v>246</v>
      </c>
      <c r="N41" s="220" t="str">
        <f t="shared" ref="N41:N47" si="10">IF(ISNUMBER(N22),N22-N$37,"")</f>
        <v/>
      </c>
      <c r="O41" s="74">
        <f ca="1">O22-O$37</f>
        <v>3.4197805753964855E-4</v>
      </c>
      <c r="P41" s="173">
        <f t="shared" ref="P41:P53" ca="1" si="11">L41+I41</f>
        <v>-2.3607510754458522E-3</v>
      </c>
      <c r="Q41" s="174" t="e">
        <f ca="1">K41+F41+E41</f>
        <v>#VALUE!</v>
      </c>
      <c r="R41" s="74">
        <f t="shared" ref="R41:R53" ca="1" si="12">SUMPRODUCT(E41:O41,$E$35:$O$35)</f>
        <v>1.9531696940156711E-2</v>
      </c>
      <c r="S41" s="155">
        <f ca="1">SUMPRODUCT(E41:O41,$E$36:$O$36)</f>
        <v>1.9531696940156711E-2</v>
      </c>
      <c r="T41" s="157">
        <f t="shared" ref="T41:T53" ca="1" si="13">R22-R$37</f>
        <v>3.0016969401567214E-3</v>
      </c>
      <c r="U41" s="157">
        <f t="shared" ref="U41:U53" ca="1" si="14">S22-S$37</f>
        <v>1.9531696940156718E-2</v>
      </c>
      <c r="V41" s="288"/>
      <c r="W41" s="253">
        <f ca="1">R41-[33]OEFsv2!R41</f>
        <v>0</v>
      </c>
      <c r="X41" s="287"/>
      <c r="Y41" s="165"/>
      <c r="Z41" s="165"/>
      <c r="AA41" s="165"/>
      <c r="AB41" s="165"/>
      <c r="AC41" s="165"/>
      <c r="AD41" s="165"/>
      <c r="AE41" s="165"/>
      <c r="AF41" s="165"/>
      <c r="AG41" s="165"/>
      <c r="AH41" s="165"/>
      <c r="AI41" s="165"/>
      <c r="AJ41" s="165"/>
    </row>
    <row r="42" spans="1:38" s="119" customFormat="1" ht="16.5" thickTop="1" thickBot="1">
      <c r="A42" s="5" t="s">
        <v>1</v>
      </c>
      <c r="B42" s="153" t="s">
        <v>42</v>
      </c>
      <c r="C42" s="153"/>
      <c r="D42" s="153"/>
      <c r="E42" s="120"/>
      <c r="F42" s="120"/>
      <c r="G42" s="120"/>
      <c r="H42" s="289" t="s">
        <v>298</v>
      </c>
      <c r="I42" s="74">
        <f ca="1">I23-I$37</f>
        <v>8.5180719485470225E-4</v>
      </c>
      <c r="J42" s="74">
        <f ca="1">J23-J$37</f>
        <v>-2.1224547065903644E-6</v>
      </c>
      <c r="K42" s="120"/>
      <c r="L42" s="74">
        <f t="shared" ref="L42:O53" ca="1" si="15">L23-L$37</f>
        <v>2.430868088609537E-2</v>
      </c>
      <c r="M42" s="155" t="s">
        <v>246</v>
      </c>
      <c r="N42" s="220">
        <f t="shared" ca="1" si="10"/>
        <v>-1.6435502634975997E-2</v>
      </c>
      <c r="O42" s="74">
        <f t="shared" ca="1" si="15"/>
        <v>-3.8029340885684126E-4</v>
      </c>
      <c r="P42" s="173">
        <f t="shared" ca="1" si="11"/>
        <v>2.5160488080950071E-2</v>
      </c>
      <c r="Q42" s="173"/>
      <c r="R42" s="74">
        <f ca="1">SUMPRODUCT(E42:O42,$E$35:$O$35)</f>
        <v>8.3446920371172337E-3</v>
      </c>
      <c r="S42" s="155">
        <f t="shared" ref="S42:S53" ca="1" si="16">SUMPRODUCT(E42:O42,$E$36:$O$36)</f>
        <v>2.478019467209323E-2</v>
      </c>
      <c r="T42" s="157">
        <f t="shared" ca="1" si="13"/>
        <v>8.3446920371172476E-3</v>
      </c>
      <c r="U42" s="157">
        <f t="shared" ca="1" si="14"/>
        <v>2.4780194672093234E-2</v>
      </c>
      <c r="V42" s="288"/>
      <c r="W42" s="253">
        <f ca="1">R42-[33]OEFsv2!R42</f>
        <v>0</v>
      </c>
      <c r="X42" s="287"/>
      <c r="Y42" s="165"/>
      <c r="Z42" s="165"/>
      <c r="AA42" s="165"/>
      <c r="AB42" s="165"/>
      <c r="AC42" s="165"/>
      <c r="AD42" s="165"/>
      <c r="AE42" s="165"/>
      <c r="AF42" s="165"/>
      <c r="AG42" s="165"/>
      <c r="AH42" s="165"/>
      <c r="AI42" s="165"/>
      <c r="AJ42" s="165"/>
    </row>
    <row r="43" spans="1:38" s="119" customFormat="1" ht="16.5" thickTop="1" thickBot="1">
      <c r="A43" s="5" t="s">
        <v>2</v>
      </c>
      <c r="B43" s="153" t="s">
        <v>297</v>
      </c>
      <c r="C43" s="153"/>
      <c r="D43" s="153"/>
      <c r="E43" s="120"/>
      <c r="F43" s="120"/>
      <c r="G43" s="120"/>
      <c r="H43" s="289" t="s">
        <v>298</v>
      </c>
      <c r="I43" s="120"/>
      <c r="J43" s="74">
        <f t="shared" ref="J43:J53" ca="1" si="17">J24-J$37</f>
        <v>-2.0000000000000002E-5</v>
      </c>
      <c r="K43" s="120"/>
      <c r="L43" s="74">
        <f t="shared" ca="1" si="15"/>
        <v>1.9613831441764172E-2</v>
      </c>
      <c r="M43" s="155" t="s">
        <v>246</v>
      </c>
      <c r="N43" s="220">
        <f t="shared" ca="1" si="10"/>
        <v>1.9254518389001281E-3</v>
      </c>
      <c r="O43" s="74">
        <f t="shared" ca="1" si="15"/>
        <v>-6.4594006173255376E-4</v>
      </c>
      <c r="P43" s="173">
        <f t="shared" ca="1" si="11"/>
        <v>1.9613831441764172E-2</v>
      </c>
      <c r="Q43" s="173"/>
      <c r="R43" s="74">
        <f t="shared" ca="1" si="12"/>
        <v>2.0893343218931746E-2</v>
      </c>
      <c r="S43" s="155">
        <f t="shared" ca="1" si="16"/>
        <v>1.8967891380031618E-2</v>
      </c>
      <c r="T43" s="157">
        <f t="shared" ca="1" si="13"/>
        <v>2.0893343218931749E-2</v>
      </c>
      <c r="U43" s="157">
        <f t="shared" ca="1" si="14"/>
        <v>1.8967891380031618E-2</v>
      </c>
      <c r="V43" s="288"/>
      <c r="W43" s="253">
        <f ca="1">R43-[33]OEFsv2!R43</f>
        <v>0</v>
      </c>
      <c r="X43" s="287"/>
      <c r="Y43" s="165"/>
      <c r="Z43" s="165"/>
      <c r="AA43" s="165"/>
      <c r="AB43" s="165"/>
      <c r="AC43" s="165"/>
      <c r="AD43" s="165"/>
      <c r="AE43" s="165"/>
      <c r="AF43" s="165"/>
      <c r="AG43" s="165"/>
      <c r="AH43" s="165"/>
      <c r="AI43" s="165"/>
      <c r="AJ43" s="165"/>
    </row>
    <row r="44" spans="1:38" s="119" customFormat="1" ht="16.5" thickTop="1" thickBot="1">
      <c r="A44" s="5" t="s">
        <v>3</v>
      </c>
      <c r="B44" s="153" t="s">
        <v>45</v>
      </c>
      <c r="C44" s="153"/>
      <c r="D44" s="153"/>
      <c r="E44" s="120"/>
      <c r="F44" s="120"/>
      <c r="G44" s="120"/>
      <c r="H44" s="289" t="s">
        <v>298</v>
      </c>
      <c r="I44" s="74">
        <f ca="1">I25-I$37</f>
        <v>0</v>
      </c>
      <c r="J44" s="74">
        <f t="shared" ca="1" si="17"/>
        <v>8.7232579601918504E-6</v>
      </c>
      <c r="K44" s="120"/>
      <c r="L44" s="74">
        <f t="shared" ca="1" si="15"/>
        <v>4.1595863781877539E-2</v>
      </c>
      <c r="M44" s="155" t="s">
        <v>246</v>
      </c>
      <c r="N44" s="220">
        <f t="shared" ca="1" si="10"/>
        <v>-1.641069880705608E-2</v>
      </c>
      <c r="O44" s="74">
        <f t="shared" ca="1" si="15"/>
        <v>2.7547682157743553E-3</v>
      </c>
      <c r="P44" s="173">
        <f t="shared" ca="1" si="11"/>
        <v>4.1595863781877539E-2</v>
      </c>
      <c r="Q44" s="173"/>
      <c r="R44" s="74">
        <f t="shared" ca="1" si="12"/>
        <v>2.7939933190595814E-2</v>
      </c>
      <c r="S44" s="155">
        <f t="shared" ca="1" si="16"/>
        <v>4.4350631997651893E-2</v>
      </c>
      <c r="T44" s="157">
        <f t="shared" ca="1" si="13"/>
        <v>2.7939933190595824E-2</v>
      </c>
      <c r="U44" s="157">
        <f t="shared" ca="1" si="14"/>
        <v>4.4350631997651893E-2</v>
      </c>
      <c r="V44" s="288"/>
      <c r="W44" s="253">
        <f ca="1">R44-[33]OEFsv2!R44</f>
        <v>0</v>
      </c>
      <c r="X44" s="287"/>
      <c r="Y44" s="165"/>
      <c r="Z44" s="165"/>
      <c r="AA44" s="165"/>
      <c r="AB44" s="165"/>
      <c r="AC44" s="165"/>
      <c r="AD44" s="165"/>
      <c r="AE44" s="165"/>
      <c r="AF44" s="165"/>
      <c r="AG44" s="165"/>
      <c r="AH44" s="165"/>
      <c r="AI44" s="165"/>
      <c r="AJ44" s="165"/>
    </row>
    <row r="45" spans="1:38" s="119" customFormat="1" ht="16.5" thickTop="1" thickBot="1">
      <c r="A45" s="5" t="s">
        <v>4</v>
      </c>
      <c r="B45" s="153" t="s">
        <v>47</v>
      </c>
      <c r="C45" s="153"/>
      <c r="D45" s="153"/>
      <c r="E45" s="120"/>
      <c r="F45" s="120"/>
      <c r="G45" s="120"/>
      <c r="H45" s="289" t="s">
        <v>298</v>
      </c>
      <c r="I45" s="74">
        <f ca="1">I26-I$37</f>
        <v>0</v>
      </c>
      <c r="J45" s="74">
        <f t="shared" ca="1" si="17"/>
        <v>3.2380362329066813E-7</v>
      </c>
      <c r="K45" s="120"/>
      <c r="L45" s="74">
        <f t="shared" ca="1" si="15"/>
        <v>1.5701302661434373E-2</v>
      </c>
      <c r="M45" s="155" t="s">
        <v>246</v>
      </c>
      <c r="N45" s="220">
        <f t="shared" ca="1" si="10"/>
        <v>1.5336417938992677E-2</v>
      </c>
      <c r="O45" s="74">
        <f t="shared" ca="1" si="15"/>
        <v>3.850060847539442E-3</v>
      </c>
      <c r="P45" s="173">
        <f t="shared" ca="1" si="11"/>
        <v>1.5701302661434373E-2</v>
      </c>
      <c r="Q45" s="173"/>
      <c r="R45" s="220">
        <f t="shared" ca="1" si="12"/>
        <v>3.488778144796649E-2</v>
      </c>
      <c r="S45" s="155">
        <f t="shared" ca="1" si="16"/>
        <v>1.9551363508973817E-2</v>
      </c>
      <c r="T45" s="157">
        <f t="shared" ca="1" si="13"/>
        <v>3.4887781447966511E-2</v>
      </c>
      <c r="U45" s="157">
        <f t="shared" ca="1" si="14"/>
        <v>1.955136350897381E-2</v>
      </c>
      <c r="V45" s="288"/>
      <c r="W45" s="253">
        <f ca="1">R45-[33]OEFsv2!R45</f>
        <v>0</v>
      </c>
      <c r="X45" s="287"/>
      <c r="Y45" s="165"/>
      <c r="Z45" s="165"/>
      <c r="AA45" s="165"/>
      <c r="AB45" s="165"/>
      <c r="AC45" s="165"/>
      <c r="AD45" s="165"/>
      <c r="AE45" s="165"/>
      <c r="AF45" s="165"/>
      <c r="AG45" s="165"/>
      <c r="AH45" s="165"/>
      <c r="AI45" s="165"/>
      <c r="AJ45" s="165"/>
    </row>
    <row r="46" spans="1:38" s="119" customFormat="1" ht="16.5" thickTop="1" thickBot="1">
      <c r="A46" s="5" t="s">
        <v>5</v>
      </c>
      <c r="B46" s="153" t="s">
        <v>49</v>
      </c>
      <c r="C46" s="153"/>
      <c r="D46" s="153"/>
      <c r="E46" s="120"/>
      <c r="F46" s="120"/>
      <c r="G46" s="74">
        <f ca="1">G27-G$37</f>
        <v>4.8340049530756386E-2</v>
      </c>
      <c r="H46" s="289" t="s">
        <v>298</v>
      </c>
      <c r="I46" s="74">
        <f ca="1">I27-I$37</f>
        <v>0</v>
      </c>
      <c r="J46" s="74">
        <f t="shared" ca="1" si="17"/>
        <v>1.1026857523389678E-6</v>
      </c>
      <c r="K46" s="120"/>
      <c r="L46" s="74">
        <f t="shared" ca="1" si="15"/>
        <v>4.9558199515896899E-2</v>
      </c>
      <c r="M46" s="155" t="s">
        <v>246</v>
      </c>
      <c r="N46" s="220">
        <f t="shared" ca="1" si="10"/>
        <v>1.9378221875757835E-3</v>
      </c>
      <c r="O46" s="74">
        <f t="shared" ca="1" si="15"/>
        <v>1.0057428109419684E-2</v>
      </c>
      <c r="P46" s="173">
        <f t="shared" ca="1" si="11"/>
        <v>4.9558199515896899E-2</v>
      </c>
      <c r="Q46" s="173"/>
      <c r="R46" s="220">
        <f t="shared" ca="1" si="12"/>
        <v>0.10989349934364875</v>
      </c>
      <c r="S46" s="155">
        <f t="shared" ca="1" si="16"/>
        <v>0.10795567715607297</v>
      </c>
      <c r="T46" s="157">
        <f t="shared" ca="1" si="13"/>
        <v>0.10989349934364875</v>
      </c>
      <c r="U46" s="157">
        <f t="shared" ca="1" si="14"/>
        <v>0.10795567715607297</v>
      </c>
      <c r="V46" s="288"/>
      <c r="W46" s="253">
        <f ca="1">R46-[33]OEFsv2!R46</f>
        <v>0</v>
      </c>
      <c r="X46" s="287"/>
      <c r="Y46" s="165"/>
      <c r="Z46" s="165"/>
      <c r="AA46" s="165"/>
      <c r="AB46" s="165"/>
      <c r="AC46" s="165"/>
      <c r="AD46" s="165"/>
      <c r="AE46" s="165"/>
      <c r="AF46" s="165"/>
      <c r="AG46" s="165"/>
      <c r="AH46" s="165"/>
      <c r="AI46" s="165"/>
      <c r="AJ46" s="165"/>
    </row>
    <row r="47" spans="1:38" s="119" customFormat="1" ht="16.5" thickTop="1" thickBot="1">
      <c r="A47" s="5" t="s">
        <v>6</v>
      </c>
      <c r="B47" s="153" t="s">
        <v>51</v>
      </c>
      <c r="C47" s="153"/>
      <c r="D47" s="153"/>
      <c r="E47" s="120"/>
      <c r="F47" s="120"/>
      <c r="G47" s="120"/>
      <c r="H47" s="289" t="s">
        <v>298</v>
      </c>
      <c r="I47" s="74">
        <f ca="1">I28-I$37</f>
        <v>0</v>
      </c>
      <c r="J47" s="74">
        <f t="shared" ca="1" si="17"/>
        <v>-2.1766711049463857E-6</v>
      </c>
      <c r="K47" s="120"/>
      <c r="L47" s="74">
        <f t="shared" ca="1" si="15"/>
        <v>4.9074287650954125E-2</v>
      </c>
      <c r="M47" s="155" t="s">
        <v>246</v>
      </c>
      <c r="N47" s="220">
        <f t="shared" ca="1" si="10"/>
        <v>-1.653E-2</v>
      </c>
      <c r="O47" s="74">
        <f t="shared" ca="1" si="15"/>
        <v>8.579020087149735E-3</v>
      </c>
      <c r="P47" s="173">
        <f t="shared" ca="1" si="11"/>
        <v>4.9074287650954125E-2</v>
      </c>
      <c r="Q47" s="173"/>
      <c r="R47" s="220">
        <f t="shared" ca="1" si="12"/>
        <v>4.1123307738103868E-2</v>
      </c>
      <c r="S47" s="155">
        <f t="shared" ca="1" si="16"/>
        <v>5.7653307738103857E-2</v>
      </c>
      <c r="T47" s="157">
        <f t="shared" ca="1" si="13"/>
        <v>4.1123307738103861E-2</v>
      </c>
      <c r="U47" s="157">
        <f t="shared" ca="1" si="14"/>
        <v>5.7653307738103857E-2</v>
      </c>
      <c r="V47" s="288"/>
      <c r="W47" s="253">
        <f ca="1">R47-[33]OEFsv2!R47</f>
        <v>0</v>
      </c>
      <c r="X47" s="287"/>
      <c r="Y47" s="165"/>
      <c r="Z47" s="165"/>
      <c r="AA47" s="165"/>
      <c r="AB47" s="165"/>
      <c r="AC47" s="165"/>
      <c r="AD47" s="165"/>
      <c r="AE47" s="165"/>
      <c r="AF47" s="165"/>
      <c r="AG47" s="165"/>
      <c r="AH47" s="165"/>
      <c r="AI47" s="165"/>
      <c r="AJ47" s="165"/>
    </row>
    <row r="48" spans="1:38" s="119" customFormat="1" ht="16.5" thickTop="1" thickBot="1">
      <c r="A48" s="5" t="s">
        <v>7</v>
      </c>
      <c r="B48" s="153" t="s">
        <v>53</v>
      </c>
      <c r="C48" s="153"/>
      <c r="D48" s="153"/>
      <c r="E48" s="120"/>
      <c r="F48" s="120"/>
      <c r="G48" s="120"/>
      <c r="H48" s="289" t="s">
        <v>298</v>
      </c>
      <c r="I48" s="120"/>
      <c r="J48" s="74">
        <f t="shared" ca="1" si="17"/>
        <v>-2.0000000000000002E-5</v>
      </c>
      <c r="K48" s="120"/>
      <c r="L48" s="74">
        <f t="shared" ca="1" si="15"/>
        <v>4.1943979115837415E-3</v>
      </c>
      <c r="M48" s="155" t="s">
        <v>246</v>
      </c>
      <c r="N48" s="220">
        <f t="shared" ref="N48:N53" ca="1" si="18">IF(ISNUMBER(N29),N29-N$37,"")</f>
        <v>-1.6104789514583117E-3</v>
      </c>
      <c r="O48" s="74">
        <f t="shared" ca="1" si="15"/>
        <v>-7.1559494151653786E-4</v>
      </c>
      <c r="P48" s="173">
        <f t="shared" ca="1" si="11"/>
        <v>4.1943979115837415E-3</v>
      </c>
      <c r="Q48" s="173"/>
      <c r="R48" s="74">
        <f t="shared" ca="1" si="12"/>
        <v>1.868324018608892E-3</v>
      </c>
      <c r="S48" s="155">
        <f t="shared" ca="1" si="16"/>
        <v>3.4788029700672037E-3</v>
      </c>
      <c r="T48" s="157">
        <f t="shared" ca="1" si="13"/>
        <v>1.8683240186088898E-3</v>
      </c>
      <c r="U48" s="157">
        <f t="shared" ca="1" si="14"/>
        <v>3.4788029700672032E-3</v>
      </c>
      <c r="V48" s="288"/>
      <c r="W48" s="253">
        <f ca="1">R48-[33]OEFsv2!R48</f>
        <v>0</v>
      </c>
      <c r="X48" s="287"/>
      <c r="Y48" s="165"/>
      <c r="Z48" s="165"/>
      <c r="AA48" s="165"/>
      <c r="AB48" s="165"/>
      <c r="AC48" s="165"/>
      <c r="AD48" s="165"/>
      <c r="AE48" s="165"/>
      <c r="AF48" s="165"/>
      <c r="AG48" s="165"/>
      <c r="AH48" s="165"/>
      <c r="AI48" s="165"/>
      <c r="AJ48" s="165"/>
    </row>
    <row r="49" spans="1:37" s="119" customFormat="1" ht="16.5" thickTop="1" thickBot="1">
      <c r="A49" s="5" t="s">
        <v>8</v>
      </c>
      <c r="B49" s="153" t="s">
        <v>55</v>
      </c>
      <c r="C49" s="153"/>
      <c r="D49" s="153"/>
      <c r="E49" s="120"/>
      <c r="F49" s="120"/>
      <c r="G49" s="120"/>
      <c r="H49" s="289" t="s">
        <v>298</v>
      </c>
      <c r="I49" s="120"/>
      <c r="J49" s="74">
        <f t="shared" ca="1" si="17"/>
        <v>-2.0000000000000002E-5</v>
      </c>
      <c r="K49" s="120"/>
      <c r="L49" s="74">
        <f t="shared" ca="1" si="15"/>
        <v>3.6537466404041527E-3</v>
      </c>
      <c r="M49" s="155" t="s">
        <v>246</v>
      </c>
      <c r="N49" s="220">
        <f t="shared" ca="1" si="18"/>
        <v>-6.3884992178759609E-3</v>
      </c>
      <c r="O49" s="74">
        <f t="shared" ca="1" si="15"/>
        <v>2.2650505435557466E-3</v>
      </c>
      <c r="P49" s="173">
        <f t="shared" ca="1" si="11"/>
        <v>3.6537466404041527E-3</v>
      </c>
      <c r="Q49" s="173"/>
      <c r="R49" s="74">
        <f t="shared" ca="1" si="12"/>
        <v>-4.6970203391606159E-4</v>
      </c>
      <c r="S49" s="155">
        <f t="shared" ca="1" si="16"/>
        <v>5.9187971839598993E-3</v>
      </c>
      <c r="T49" s="157">
        <f t="shared" ca="1" si="13"/>
        <v>-4.6970203391605986E-4</v>
      </c>
      <c r="U49" s="157">
        <f t="shared" ca="1" si="14"/>
        <v>5.9187971839598993E-3</v>
      </c>
      <c r="V49" s="288"/>
      <c r="W49" s="253">
        <f ca="1">R49-[33]OEFsv2!R49</f>
        <v>0</v>
      </c>
      <c r="X49" s="287"/>
      <c r="Y49" s="165"/>
      <c r="Z49" s="165"/>
      <c r="AA49" s="165"/>
      <c r="AB49" s="165"/>
      <c r="AC49" s="165"/>
      <c r="AD49" s="165"/>
      <c r="AE49" s="165"/>
      <c r="AF49" s="165"/>
      <c r="AG49" s="165"/>
      <c r="AH49" s="165"/>
      <c r="AI49" s="165"/>
      <c r="AJ49" s="165"/>
    </row>
    <row r="50" spans="1:37" s="119" customFormat="1" ht="16.5" thickTop="1" thickBot="1">
      <c r="A50" s="5" t="s">
        <v>9</v>
      </c>
      <c r="B50" s="153" t="s">
        <v>57</v>
      </c>
      <c r="C50" s="153"/>
      <c r="D50" s="153"/>
      <c r="E50" s="120"/>
      <c r="F50" s="120"/>
      <c r="G50" s="120"/>
      <c r="H50" s="289" t="s">
        <v>298</v>
      </c>
      <c r="I50" s="120"/>
      <c r="J50" s="74">
        <f t="shared" ca="1" si="17"/>
        <v>7.360362431146815E-6</v>
      </c>
      <c r="K50" s="120"/>
      <c r="L50" s="74">
        <f t="shared" ca="1" si="15"/>
        <v>7.4542958994564326E-3</v>
      </c>
      <c r="M50" s="155" t="s">
        <v>246</v>
      </c>
      <c r="N50" s="220">
        <f t="shared" ca="1" si="18"/>
        <v>6.9447495455822808E-4</v>
      </c>
      <c r="O50" s="74">
        <f t="shared" ca="1" si="15"/>
        <v>-1.06E-3</v>
      </c>
      <c r="P50" s="173">
        <f t="shared" ca="1" si="11"/>
        <v>7.4542958994564326E-3</v>
      </c>
      <c r="Q50" s="173"/>
      <c r="R50" s="74">
        <f t="shared" ca="1" si="12"/>
        <v>7.0887708540146605E-3</v>
      </c>
      <c r="S50" s="155">
        <f t="shared" ca="1" si="16"/>
        <v>6.3942958994564324E-3</v>
      </c>
      <c r="T50" s="157">
        <f t="shared" ca="1" si="13"/>
        <v>7.0887708540146657E-3</v>
      </c>
      <c r="U50" s="157">
        <f t="shared" ca="1" si="14"/>
        <v>6.3942958994564342E-3</v>
      </c>
      <c r="V50" s="288"/>
      <c r="W50" s="253">
        <f ca="1">R50-[33]OEFsv2!R50</f>
        <v>0</v>
      </c>
      <c r="X50" s="287"/>
      <c r="Y50" s="165"/>
      <c r="Z50" s="165"/>
      <c r="AA50" s="165"/>
      <c r="AB50" s="165"/>
      <c r="AC50" s="165"/>
      <c r="AD50" s="165"/>
      <c r="AE50" s="165"/>
      <c r="AF50" s="165"/>
      <c r="AG50" s="165"/>
      <c r="AH50" s="165"/>
      <c r="AI50" s="165"/>
      <c r="AJ50" s="165"/>
    </row>
    <row r="51" spans="1:37" s="119" customFormat="1" ht="16.5" thickTop="1" thickBot="1">
      <c r="A51" s="5" t="s">
        <v>10</v>
      </c>
      <c r="B51" s="153" t="s">
        <v>177</v>
      </c>
      <c r="C51" s="153"/>
      <c r="D51" s="153"/>
      <c r="E51" s="120"/>
      <c r="F51" s="120"/>
      <c r="G51" s="120"/>
      <c r="H51" s="289" t="s">
        <v>298</v>
      </c>
      <c r="I51" s="120"/>
      <c r="J51" s="74">
        <f t="shared" ca="1" si="17"/>
        <v>-2.0000000000000002E-5</v>
      </c>
      <c r="K51" s="120"/>
      <c r="L51" s="74">
        <f t="shared" ca="1" si="15"/>
        <v>-1.565557560548908E-3</v>
      </c>
      <c r="M51" s="155" t="s">
        <v>246</v>
      </c>
      <c r="N51" s="220">
        <f t="shared" ca="1" si="18"/>
        <v>-1.5325586261444434E-2</v>
      </c>
      <c r="O51" s="74">
        <f t="shared" ca="1" si="15"/>
        <v>6.277490716440333E-4</v>
      </c>
      <c r="P51" s="173">
        <f t="shared" ca="1" si="11"/>
        <v>-1.565557560548908E-3</v>
      </c>
      <c r="Q51" s="173"/>
      <c r="R51" s="74">
        <f t="shared" ca="1" si="12"/>
        <v>-1.6263394750349307E-2</v>
      </c>
      <c r="S51" s="155">
        <f t="shared" ca="1" si="16"/>
        <v>-9.3780848890487475E-4</v>
      </c>
      <c r="T51" s="157">
        <f t="shared" ca="1" si="13"/>
        <v>-1.6263394750349304E-2</v>
      </c>
      <c r="U51" s="157">
        <f t="shared" ca="1" si="14"/>
        <v>-9.3780848890487323E-4</v>
      </c>
      <c r="V51" s="288"/>
      <c r="W51" s="253">
        <f ca="1">R51-[33]OEFsv2!R51</f>
        <v>0</v>
      </c>
      <c r="X51" s="287"/>
      <c r="Y51" s="165"/>
      <c r="Z51" s="165"/>
      <c r="AA51" s="165"/>
      <c r="AB51" s="165"/>
      <c r="AC51" s="165"/>
      <c r="AD51" s="165"/>
      <c r="AE51" s="165"/>
      <c r="AF51" s="165"/>
      <c r="AG51" s="165"/>
      <c r="AH51" s="165"/>
      <c r="AI51" s="165"/>
      <c r="AJ51" s="165"/>
    </row>
    <row r="52" spans="1:37" s="119" customFormat="1" ht="16.5" thickTop="1" thickBot="1">
      <c r="A52" s="5" t="s">
        <v>11</v>
      </c>
      <c r="B52" s="153" t="s">
        <v>60</v>
      </c>
      <c r="C52" s="153"/>
      <c r="D52" s="153"/>
      <c r="E52" s="120"/>
      <c r="F52" s="120"/>
      <c r="G52" s="120"/>
      <c r="H52" s="289" t="s">
        <v>298</v>
      </c>
      <c r="I52" s="120"/>
      <c r="J52" s="74">
        <f t="shared" ca="1" si="17"/>
        <v>5.4386752756536551E-5</v>
      </c>
      <c r="K52" s="120"/>
      <c r="L52" s="74">
        <f t="shared" ca="1" si="15"/>
        <v>-4.4042714648865208E-2</v>
      </c>
      <c r="M52" s="155" t="s">
        <v>246</v>
      </c>
      <c r="N52" s="220">
        <f t="shared" ca="1" si="18"/>
        <v>3.5159086331691555E-2</v>
      </c>
      <c r="O52" s="74">
        <f t="shared" ca="1" si="15"/>
        <v>-1.06E-3</v>
      </c>
      <c r="P52" s="173">
        <f t="shared" ca="1" si="11"/>
        <v>-4.4042714648865208E-2</v>
      </c>
      <c r="Q52" s="173"/>
      <c r="R52" s="74">
        <f t="shared" ca="1" si="12"/>
        <v>-9.9436283171736532E-3</v>
      </c>
      <c r="S52" s="155">
        <f t="shared" ca="1" si="16"/>
        <v>-4.5102714648865207E-2</v>
      </c>
      <c r="T52" s="157">
        <f t="shared" ca="1" si="13"/>
        <v>-9.9436283171736445E-3</v>
      </c>
      <c r="U52" s="157">
        <f t="shared" ca="1" si="14"/>
        <v>-4.5102714648865207E-2</v>
      </c>
      <c r="V52" s="288"/>
      <c r="W52" s="253">
        <f ca="1">R52-[33]OEFsv2!R52</f>
        <v>0</v>
      </c>
      <c r="X52" s="287"/>
      <c r="Y52" s="165"/>
      <c r="Z52" s="165"/>
      <c r="AA52" s="165"/>
      <c r="AB52" s="165"/>
      <c r="AC52" s="165"/>
      <c r="AD52" s="165"/>
      <c r="AE52" s="165"/>
      <c r="AF52" s="165"/>
      <c r="AG52" s="165"/>
      <c r="AH52" s="165"/>
      <c r="AI52" s="165"/>
      <c r="AJ52" s="165"/>
    </row>
    <row r="53" spans="1:37" s="119" customFormat="1" ht="16.5" thickTop="1" thickBot="1">
      <c r="A53" s="5" t="s">
        <v>12</v>
      </c>
      <c r="B53" s="153" t="s">
        <v>62</v>
      </c>
      <c r="C53" s="153"/>
      <c r="D53" s="153"/>
      <c r="E53" s="120"/>
      <c r="F53" s="120"/>
      <c r="G53" s="120"/>
      <c r="H53" s="289" t="s">
        <v>298</v>
      </c>
      <c r="I53" s="120"/>
      <c r="J53" s="74">
        <f t="shared" ca="1" si="17"/>
        <v>-2.0000000000000002E-5</v>
      </c>
      <c r="K53" s="120"/>
      <c r="L53" s="74">
        <f t="shared" ca="1" si="15"/>
        <v>-4.6881521580954544E-3</v>
      </c>
      <c r="M53" s="155" t="s">
        <v>246</v>
      </c>
      <c r="N53" s="220">
        <f t="shared" ca="1" si="18"/>
        <v>-9.5231935990614577E-3</v>
      </c>
      <c r="O53" s="74">
        <f t="shared" ca="1" si="15"/>
        <v>-4.72361450431364E-4</v>
      </c>
      <c r="P53" s="173">
        <f t="shared" ca="1" si="11"/>
        <v>-4.6881521580954544E-3</v>
      </c>
      <c r="Q53" s="173"/>
      <c r="R53" s="74">
        <f t="shared" ca="1" si="12"/>
        <v>-1.4683707207588275E-2</v>
      </c>
      <c r="S53" s="155">
        <f t="shared" ca="1" si="16"/>
        <v>-5.1605136085268186E-3</v>
      </c>
      <c r="T53" s="157">
        <f t="shared" ca="1" si="13"/>
        <v>-1.468370720758827E-2</v>
      </c>
      <c r="U53" s="157">
        <f t="shared" ca="1" si="14"/>
        <v>-5.1605136085268177E-3</v>
      </c>
      <c r="V53" s="288"/>
      <c r="W53" s="253">
        <f ca="1">R53-[33]OEFsv2!R53</f>
        <v>0</v>
      </c>
      <c r="X53" s="287"/>
      <c r="Y53" s="165"/>
      <c r="Z53" s="165"/>
      <c r="AA53" s="165"/>
      <c r="AB53" s="165"/>
      <c r="AC53" s="165"/>
      <c r="AD53" s="165"/>
      <c r="AE53" s="165"/>
      <c r="AF53" s="165"/>
      <c r="AG53" s="165"/>
      <c r="AH53" s="165"/>
      <c r="AI53" s="165"/>
      <c r="AJ53" s="165"/>
    </row>
    <row r="54" spans="1:37" s="119" customFormat="1" ht="15.75" thickTop="1">
      <c r="C54" s="209" t="s">
        <v>149</v>
      </c>
      <c r="D54" s="209"/>
      <c r="E54" s="209" t="s">
        <v>73</v>
      </c>
      <c r="F54" s="209" t="s">
        <v>75</v>
      </c>
      <c r="G54" s="209" t="s">
        <v>76</v>
      </c>
      <c r="H54" s="209" t="s">
        <v>78</v>
      </c>
      <c r="I54" s="209" t="s">
        <v>79</v>
      </c>
      <c r="J54" s="209" t="s">
        <v>80</v>
      </c>
      <c r="K54" s="209" t="s">
        <v>81</v>
      </c>
      <c r="L54" s="209" t="s">
        <v>82</v>
      </c>
      <c r="M54" s="209" t="s">
        <v>77</v>
      </c>
      <c r="N54" s="209" t="s">
        <v>83</v>
      </c>
      <c r="O54" s="209" t="s">
        <v>84</v>
      </c>
      <c r="P54" s="86" t="s">
        <v>234</v>
      </c>
      <c r="Q54" s="86" t="s">
        <v>294</v>
      </c>
      <c r="T54" s="165"/>
      <c r="U54" s="165"/>
      <c r="V54" s="288"/>
      <c r="W54" s="288"/>
      <c r="X54" s="287"/>
      <c r="Y54" s="165"/>
      <c r="Z54" s="165"/>
      <c r="AA54" s="165"/>
      <c r="AB54" s="165"/>
      <c r="AC54" s="165"/>
      <c r="AD54" s="165"/>
      <c r="AE54" s="165"/>
      <c r="AF54" s="165"/>
      <c r="AG54" s="165"/>
      <c r="AH54" s="165"/>
      <c r="AI54" s="165"/>
      <c r="AJ54" s="165"/>
      <c r="AK54" s="165"/>
    </row>
    <row r="55" spans="1:37" s="119" customFormat="1">
      <c r="E55" s="153"/>
      <c r="F55" s="80"/>
      <c r="G55" s="145"/>
      <c r="H55" s="80"/>
      <c r="M55" s="207"/>
      <c r="Q55" s="68"/>
      <c r="R55" s="68"/>
      <c r="T55" s="165"/>
      <c r="U55" s="165"/>
      <c r="W55" s="207"/>
      <c r="X55" s="287"/>
    </row>
    <row r="56" spans="1:37" ht="18" thickBot="1">
      <c r="A56" s="358" t="s">
        <v>148</v>
      </c>
      <c r="B56" s="358"/>
      <c r="C56" s="160"/>
      <c r="D56" s="160"/>
      <c r="E56" s="215"/>
      <c r="F56" s="215"/>
      <c r="G56" s="215"/>
      <c r="H56" s="215"/>
      <c r="I56" s="215"/>
      <c r="J56" s="215"/>
      <c r="K56" s="215"/>
      <c r="L56" s="215"/>
      <c r="M56" s="215"/>
      <c r="N56" s="215"/>
      <c r="O56" s="215"/>
      <c r="P56" s="215"/>
      <c r="Q56" s="215"/>
      <c r="R56" s="215"/>
      <c r="S56" s="215"/>
      <c r="T56" s="215"/>
      <c r="U56" s="215"/>
      <c r="X56" s="261"/>
    </row>
    <row r="57" spans="1:37" s="116" customFormat="1" ht="61.5" thickTop="1" thickBot="1">
      <c r="A57" s="84"/>
      <c r="B57" s="84" t="s">
        <v>28</v>
      </c>
      <c r="C57" s="84"/>
      <c r="D57" s="84"/>
      <c r="E57" s="84" t="s">
        <v>73</v>
      </c>
      <c r="F57" s="84" t="s">
        <v>74</v>
      </c>
      <c r="G57" s="84" t="s">
        <v>75</v>
      </c>
      <c r="H57" s="84" t="s">
        <v>76</v>
      </c>
      <c r="I57" s="84" t="s">
        <v>77</v>
      </c>
      <c r="J57" s="84" t="s">
        <v>78</v>
      </c>
      <c r="K57" s="117" t="s">
        <v>79</v>
      </c>
      <c r="L57" s="84" t="s">
        <v>80</v>
      </c>
      <c r="M57" s="84" t="s">
        <v>81</v>
      </c>
      <c r="N57" s="84" t="s">
        <v>82</v>
      </c>
      <c r="O57" s="84" t="s">
        <v>83</v>
      </c>
      <c r="P57" s="84" t="s">
        <v>84</v>
      </c>
      <c r="Q57" s="200" t="s">
        <v>234</v>
      </c>
      <c r="R57" s="200" t="s">
        <v>294</v>
      </c>
      <c r="S57" s="119"/>
      <c r="T57" s="165"/>
      <c r="U57" s="119"/>
      <c r="W57" s="170"/>
      <c r="X57" s="261"/>
    </row>
    <row r="58" spans="1:37">
      <c r="A58" s="69" t="s">
        <v>0</v>
      </c>
      <c r="B58" s="6" t="s">
        <v>294</v>
      </c>
      <c r="C58" s="153"/>
      <c r="D58" s="153"/>
      <c r="E58" s="97" t="e">
        <f>#REF!</f>
        <v>#REF!</v>
      </c>
      <c r="F58" s="97" t="e">
        <f>#REF!</f>
        <v>#REF!</v>
      </c>
      <c r="G58" s="97" t="e">
        <f>#REF!</f>
        <v>#REF!</v>
      </c>
      <c r="H58" s="97" t="e">
        <f>#REF!</f>
        <v>#REF!</v>
      </c>
      <c r="I58" s="97" t="e">
        <f>#REF!</f>
        <v>#REF!</v>
      </c>
      <c r="J58" s="97" t="e">
        <f>#REF!</f>
        <v>#REF!</v>
      </c>
      <c r="K58" s="97" t="e">
        <f>#REF!</f>
        <v>#REF!</v>
      </c>
      <c r="L58" s="97" t="e">
        <f>#REF!</f>
        <v>#REF!</v>
      </c>
      <c r="M58" s="97" t="e">
        <f>#REF!</f>
        <v>#REF!</v>
      </c>
      <c r="N58" s="97" t="e">
        <f>#REF!</f>
        <v>#REF!</v>
      </c>
      <c r="O58" s="97" t="e">
        <f>#REF!</f>
        <v>#REF!</v>
      </c>
      <c r="P58" s="97" t="e">
        <f>#REF!</f>
        <v>#REF!</v>
      </c>
      <c r="Q58" s="88" t="e">
        <f>N58+K58</f>
        <v>#REF!</v>
      </c>
      <c r="R58" s="88" t="e">
        <f>M58+G58+E58</f>
        <v>#REF!</v>
      </c>
      <c r="S58" s="53" t="e">
        <f t="shared" ref="S58:S70" si="19">SUM(E58:P58)-G58</f>
        <v>#REF!</v>
      </c>
      <c r="T58" s="144" t="e">
        <f t="shared" ref="T58:T70" si="20">S58/100</f>
        <v>#REF!</v>
      </c>
      <c r="U58" s="53"/>
      <c r="X58" s="261"/>
    </row>
    <row r="59" spans="1:37">
      <c r="A59" s="5" t="s">
        <v>1</v>
      </c>
      <c r="B59" s="6" t="s">
        <v>42</v>
      </c>
      <c r="C59" s="153"/>
      <c r="D59" s="153"/>
      <c r="E59" s="97" t="e">
        <f>#REF!</f>
        <v>#REF!</v>
      </c>
      <c r="F59" s="97" t="e">
        <f>#REF!</f>
        <v>#REF!</v>
      </c>
      <c r="G59" s="97" t="e">
        <f>#REF!</f>
        <v>#REF!</v>
      </c>
      <c r="H59" s="97" t="e">
        <f>#REF!</f>
        <v>#REF!</v>
      </c>
      <c r="I59" s="97" t="e">
        <f>#REF!</f>
        <v>#REF!</v>
      </c>
      <c r="J59" s="97" t="e">
        <f>#REF!</f>
        <v>#REF!</v>
      </c>
      <c r="K59" s="97" t="e">
        <f>#REF!</f>
        <v>#REF!</v>
      </c>
      <c r="L59" s="97" t="e">
        <f>#REF!</f>
        <v>#REF!</v>
      </c>
      <c r="M59" s="97" t="e">
        <f>#REF!</f>
        <v>#REF!</v>
      </c>
      <c r="N59" s="97" t="e">
        <f>#REF!</f>
        <v>#REF!</v>
      </c>
      <c r="O59" s="97" t="e">
        <f>#REF!</f>
        <v>#REF!</v>
      </c>
      <c r="P59" s="97" t="e">
        <f>#REF!</f>
        <v>#REF!</v>
      </c>
      <c r="Q59" s="88" t="e">
        <f t="shared" ref="Q59:Q70" si="21">N59+K59</f>
        <v>#REF!</v>
      </c>
      <c r="R59" s="88"/>
      <c r="S59" s="167" t="e">
        <f t="shared" si="19"/>
        <v>#REF!</v>
      </c>
      <c r="T59" s="144" t="e">
        <f t="shared" si="20"/>
        <v>#REF!</v>
      </c>
      <c r="U59" s="53"/>
      <c r="X59" s="261"/>
    </row>
    <row r="60" spans="1:37">
      <c r="A60" s="5" t="s">
        <v>2</v>
      </c>
      <c r="B60" s="6" t="s">
        <v>297</v>
      </c>
      <c r="C60" s="153"/>
      <c r="D60" s="153"/>
      <c r="E60" s="96" t="e">
        <f>#REF!</f>
        <v>#REF!</v>
      </c>
      <c r="F60" s="96" t="e">
        <f>#REF!</f>
        <v>#REF!</v>
      </c>
      <c r="G60" s="96" t="e">
        <f>#REF!</f>
        <v>#REF!</v>
      </c>
      <c r="H60" s="96" t="e">
        <f>#REF!</f>
        <v>#REF!</v>
      </c>
      <c r="I60" s="96" t="e">
        <f>#REF!</f>
        <v>#REF!</v>
      </c>
      <c r="J60" s="96" t="e">
        <f>#REF!</f>
        <v>#REF!</v>
      </c>
      <c r="K60" s="96" t="e">
        <f>#REF!</f>
        <v>#REF!</v>
      </c>
      <c r="L60" s="96" t="e">
        <f>#REF!</f>
        <v>#REF!</v>
      </c>
      <c r="M60" s="96" t="e">
        <f>#REF!</f>
        <v>#REF!</v>
      </c>
      <c r="N60" s="96" t="e">
        <f>#REF!</f>
        <v>#REF!</v>
      </c>
      <c r="O60" s="96" t="e">
        <f>#REF!</f>
        <v>#REF!</v>
      </c>
      <c r="P60" s="96" t="e">
        <f>#REF!</f>
        <v>#REF!</v>
      </c>
      <c r="Q60" s="88" t="e">
        <f t="shared" si="21"/>
        <v>#REF!</v>
      </c>
      <c r="R60" s="88"/>
      <c r="S60" s="167" t="e">
        <f t="shared" si="19"/>
        <v>#REF!</v>
      </c>
      <c r="T60" s="144" t="e">
        <f t="shared" si="20"/>
        <v>#REF!</v>
      </c>
      <c r="U60" s="53"/>
      <c r="X60" s="261"/>
    </row>
    <row r="61" spans="1:37">
      <c r="A61" s="5" t="s">
        <v>3</v>
      </c>
      <c r="B61" s="6" t="s">
        <v>45</v>
      </c>
      <c r="C61" s="153"/>
      <c r="D61" s="153"/>
      <c r="E61" s="97" t="e">
        <f>#REF!</f>
        <v>#REF!</v>
      </c>
      <c r="F61" s="97" t="e">
        <f>#REF!</f>
        <v>#REF!</v>
      </c>
      <c r="G61" s="97" t="e">
        <f>#REF!</f>
        <v>#REF!</v>
      </c>
      <c r="H61" s="97" t="e">
        <f>#REF!</f>
        <v>#REF!</v>
      </c>
      <c r="I61" s="97" t="e">
        <f>#REF!</f>
        <v>#REF!</v>
      </c>
      <c r="J61" s="97" t="e">
        <f>#REF!</f>
        <v>#REF!</v>
      </c>
      <c r="K61" s="97" t="e">
        <f>#REF!</f>
        <v>#REF!</v>
      </c>
      <c r="L61" s="97" t="e">
        <f>#REF!</f>
        <v>#REF!</v>
      </c>
      <c r="M61" s="97" t="e">
        <f>#REF!</f>
        <v>#REF!</v>
      </c>
      <c r="N61" s="97" t="e">
        <f>#REF!</f>
        <v>#REF!</v>
      </c>
      <c r="O61" s="97" t="e">
        <f>#REF!</f>
        <v>#REF!</v>
      </c>
      <c r="P61" s="97" t="e">
        <f>#REF!</f>
        <v>#REF!</v>
      </c>
      <c r="Q61" s="88" t="e">
        <f t="shared" si="21"/>
        <v>#REF!</v>
      </c>
      <c r="R61" s="88"/>
      <c r="S61" s="167" t="e">
        <f t="shared" si="19"/>
        <v>#REF!</v>
      </c>
      <c r="T61" s="144" t="e">
        <f t="shared" si="20"/>
        <v>#REF!</v>
      </c>
      <c r="U61" s="53"/>
      <c r="X61" s="261"/>
    </row>
    <row r="62" spans="1:37">
      <c r="A62" s="5" t="s">
        <v>4</v>
      </c>
      <c r="B62" s="6" t="s">
        <v>47</v>
      </c>
      <c r="C62" s="153"/>
      <c r="D62" s="153"/>
      <c r="E62" s="97" t="e">
        <f>#REF!</f>
        <v>#REF!</v>
      </c>
      <c r="F62" s="97" t="e">
        <f>#REF!</f>
        <v>#REF!</v>
      </c>
      <c r="G62" s="97" t="e">
        <f>#REF!</f>
        <v>#REF!</v>
      </c>
      <c r="H62" s="97" t="e">
        <f>#REF!</f>
        <v>#REF!</v>
      </c>
      <c r="I62" s="97" t="e">
        <f>#REF!</f>
        <v>#REF!</v>
      </c>
      <c r="J62" s="97" t="e">
        <f>#REF!</f>
        <v>#REF!</v>
      </c>
      <c r="K62" s="97" t="e">
        <f>#REF!</f>
        <v>#REF!</v>
      </c>
      <c r="L62" s="97" t="e">
        <f>#REF!</f>
        <v>#REF!</v>
      </c>
      <c r="M62" s="97" t="e">
        <f>#REF!</f>
        <v>#REF!</v>
      </c>
      <c r="N62" s="97" t="e">
        <f>#REF!</f>
        <v>#REF!</v>
      </c>
      <c r="O62" s="97" t="e">
        <f>#REF!</f>
        <v>#REF!</v>
      </c>
      <c r="P62" s="97" t="e">
        <f>#REF!</f>
        <v>#REF!</v>
      </c>
      <c r="Q62" s="88" t="e">
        <f t="shared" si="21"/>
        <v>#REF!</v>
      </c>
      <c r="R62" s="88"/>
      <c r="S62" s="167" t="e">
        <f t="shared" si="19"/>
        <v>#REF!</v>
      </c>
      <c r="T62" s="144" t="e">
        <f t="shared" si="20"/>
        <v>#REF!</v>
      </c>
      <c r="U62" s="53"/>
      <c r="X62" s="261"/>
    </row>
    <row r="63" spans="1:37">
      <c r="A63" s="5" t="s">
        <v>5</v>
      </c>
      <c r="B63" s="6" t="s">
        <v>49</v>
      </c>
      <c r="C63" s="153"/>
      <c r="D63" s="153"/>
      <c r="E63" s="97" t="e">
        <f>#REF!</f>
        <v>#REF!</v>
      </c>
      <c r="F63" s="97" t="e">
        <f>#REF!</f>
        <v>#REF!</v>
      </c>
      <c r="G63" s="97" t="e">
        <f>#REF!</f>
        <v>#REF!</v>
      </c>
      <c r="H63" s="97" t="e">
        <f>#REF!</f>
        <v>#REF!</v>
      </c>
      <c r="I63" s="97" t="e">
        <f>#REF!</f>
        <v>#REF!</v>
      </c>
      <c r="J63" s="97" t="e">
        <f>#REF!</f>
        <v>#REF!</v>
      </c>
      <c r="K63" s="97" t="e">
        <f>#REF!</f>
        <v>#REF!</v>
      </c>
      <c r="L63" s="97" t="e">
        <f>#REF!</f>
        <v>#REF!</v>
      </c>
      <c r="M63" s="97" t="e">
        <f>#REF!</f>
        <v>#REF!</v>
      </c>
      <c r="N63" s="97" t="e">
        <f>#REF!</f>
        <v>#REF!</v>
      </c>
      <c r="O63" s="97" t="e">
        <f>#REF!</f>
        <v>#REF!</v>
      </c>
      <c r="P63" s="97" t="e">
        <f>#REF!</f>
        <v>#REF!</v>
      </c>
      <c r="Q63" s="88" t="e">
        <f t="shared" si="21"/>
        <v>#REF!</v>
      </c>
      <c r="R63" s="88"/>
      <c r="S63" s="167" t="e">
        <f t="shared" si="19"/>
        <v>#REF!</v>
      </c>
      <c r="T63" s="144" t="e">
        <f t="shared" si="20"/>
        <v>#REF!</v>
      </c>
      <c r="U63" s="53"/>
      <c r="X63" s="261"/>
    </row>
    <row r="64" spans="1:37">
      <c r="A64" s="5" t="s">
        <v>6</v>
      </c>
      <c r="B64" s="6" t="s">
        <v>51</v>
      </c>
      <c r="C64" s="153"/>
      <c r="D64" s="153"/>
      <c r="E64" s="97" t="e">
        <f>#REF!</f>
        <v>#REF!</v>
      </c>
      <c r="F64" s="97" t="e">
        <f>#REF!</f>
        <v>#REF!</v>
      </c>
      <c r="G64" s="97" t="e">
        <f>#REF!</f>
        <v>#REF!</v>
      </c>
      <c r="H64" s="97" t="e">
        <f>#REF!</f>
        <v>#REF!</v>
      </c>
      <c r="I64" s="97" t="e">
        <f>#REF!</f>
        <v>#REF!</v>
      </c>
      <c r="J64" s="97" t="e">
        <f>#REF!</f>
        <v>#REF!</v>
      </c>
      <c r="K64" s="97" t="e">
        <f>#REF!</f>
        <v>#REF!</v>
      </c>
      <c r="L64" s="97" t="e">
        <f>#REF!</f>
        <v>#REF!</v>
      </c>
      <c r="M64" s="97" t="e">
        <f>#REF!</f>
        <v>#REF!</v>
      </c>
      <c r="N64" s="97" t="e">
        <f>#REF!</f>
        <v>#REF!</v>
      </c>
      <c r="O64" s="97" t="e">
        <f>#REF!</f>
        <v>#REF!</v>
      </c>
      <c r="P64" s="97" t="e">
        <f>#REF!</f>
        <v>#REF!</v>
      </c>
      <c r="Q64" s="88" t="e">
        <f t="shared" si="21"/>
        <v>#REF!</v>
      </c>
      <c r="R64" s="88"/>
      <c r="S64" s="167" t="e">
        <f t="shared" si="19"/>
        <v>#REF!</v>
      </c>
      <c r="T64" s="144" t="e">
        <f t="shared" si="20"/>
        <v>#REF!</v>
      </c>
      <c r="U64" s="53"/>
      <c r="X64" s="261"/>
    </row>
    <row r="65" spans="1:24">
      <c r="A65" s="5" t="s">
        <v>7</v>
      </c>
      <c r="B65" s="6" t="s">
        <v>53</v>
      </c>
      <c r="C65" s="153"/>
      <c r="D65" s="153"/>
      <c r="E65" s="96" t="e">
        <f>#REF!</f>
        <v>#REF!</v>
      </c>
      <c r="F65" s="159" t="e">
        <f>#REF!</f>
        <v>#REF!</v>
      </c>
      <c r="G65" s="96" t="e">
        <f>#REF!</f>
        <v>#REF!</v>
      </c>
      <c r="H65" s="96" t="e">
        <f>#REF!</f>
        <v>#REF!</v>
      </c>
      <c r="I65" s="96" t="e">
        <f>#REF!</f>
        <v>#REF!</v>
      </c>
      <c r="J65" s="96" t="e">
        <f>#REF!</f>
        <v>#REF!</v>
      </c>
      <c r="K65" s="96" t="e">
        <f>#REF!</f>
        <v>#REF!</v>
      </c>
      <c r="L65" s="96" t="e">
        <f>#REF!</f>
        <v>#REF!</v>
      </c>
      <c r="M65" s="96" t="e">
        <f>#REF!</f>
        <v>#REF!</v>
      </c>
      <c r="N65" s="96" t="e">
        <f>#REF!</f>
        <v>#REF!</v>
      </c>
      <c r="O65" s="98" t="e">
        <f>#REF!</f>
        <v>#REF!</v>
      </c>
      <c r="P65" s="98" t="e">
        <f>#REF!</f>
        <v>#REF!</v>
      </c>
      <c r="Q65" s="88" t="e">
        <f t="shared" si="21"/>
        <v>#REF!</v>
      </c>
      <c r="R65" s="88"/>
      <c r="S65" s="167" t="e">
        <f t="shared" si="19"/>
        <v>#REF!</v>
      </c>
      <c r="T65" s="144" t="e">
        <f t="shared" si="20"/>
        <v>#REF!</v>
      </c>
      <c r="X65" s="261"/>
    </row>
    <row r="66" spans="1:24">
      <c r="A66" s="5" t="s">
        <v>8</v>
      </c>
      <c r="B66" s="6" t="s">
        <v>55</v>
      </c>
      <c r="C66" s="153"/>
      <c r="D66" s="153"/>
      <c r="E66" s="96" t="e">
        <f>#REF!</f>
        <v>#REF!</v>
      </c>
      <c r="F66" s="97" t="e">
        <f>#REF!</f>
        <v>#REF!</v>
      </c>
      <c r="G66" s="96" t="e">
        <f>#REF!</f>
        <v>#REF!</v>
      </c>
      <c r="H66" s="96" t="e">
        <f>#REF!</f>
        <v>#REF!</v>
      </c>
      <c r="I66" s="96" t="e">
        <f>#REF!</f>
        <v>#REF!</v>
      </c>
      <c r="J66" s="96" t="e">
        <f>#REF!</f>
        <v>#REF!</v>
      </c>
      <c r="K66" s="96" t="e">
        <f>#REF!</f>
        <v>#REF!</v>
      </c>
      <c r="L66" s="96" t="e">
        <f>#REF!</f>
        <v>#REF!</v>
      </c>
      <c r="M66" s="96" t="e">
        <f>#REF!</f>
        <v>#REF!</v>
      </c>
      <c r="N66" s="96" t="e">
        <f>#REF!</f>
        <v>#REF!</v>
      </c>
      <c r="O66" s="98" t="e">
        <f>#REF!</f>
        <v>#REF!</v>
      </c>
      <c r="P66" s="98" t="e">
        <f>#REF!</f>
        <v>#REF!</v>
      </c>
      <c r="Q66" s="88" t="e">
        <f t="shared" si="21"/>
        <v>#REF!</v>
      </c>
      <c r="R66" s="88"/>
      <c r="S66" s="167" t="e">
        <f t="shared" si="19"/>
        <v>#REF!</v>
      </c>
      <c r="T66" s="144" t="e">
        <f t="shared" si="20"/>
        <v>#REF!</v>
      </c>
      <c r="X66" s="261"/>
    </row>
    <row r="67" spans="1:24">
      <c r="A67" s="5" t="s">
        <v>9</v>
      </c>
      <c r="B67" s="6" t="s">
        <v>57</v>
      </c>
      <c r="C67" s="153"/>
      <c r="D67" s="153"/>
      <c r="E67" s="96" t="e">
        <f>#REF!</f>
        <v>#REF!</v>
      </c>
      <c r="F67" s="97" t="e">
        <f>#REF!</f>
        <v>#REF!</v>
      </c>
      <c r="G67" s="96" t="e">
        <f>#REF!</f>
        <v>#REF!</v>
      </c>
      <c r="H67" s="96" t="e">
        <f>#REF!</f>
        <v>#REF!</v>
      </c>
      <c r="I67" s="96" t="e">
        <f>#REF!</f>
        <v>#REF!</v>
      </c>
      <c r="J67" s="96" t="e">
        <f>#REF!</f>
        <v>#REF!</v>
      </c>
      <c r="K67" s="96" t="e">
        <f>#REF!</f>
        <v>#REF!</v>
      </c>
      <c r="L67" s="96" t="e">
        <f>#REF!</f>
        <v>#REF!</v>
      </c>
      <c r="M67" s="96" t="e">
        <f>#REF!</f>
        <v>#REF!</v>
      </c>
      <c r="N67" s="96" t="e">
        <f>#REF!</f>
        <v>#REF!</v>
      </c>
      <c r="O67" s="98" t="e">
        <f>#REF!</f>
        <v>#REF!</v>
      </c>
      <c r="P67" s="98" t="e">
        <f>#REF!</f>
        <v>#REF!</v>
      </c>
      <c r="Q67" s="88" t="e">
        <f t="shared" si="21"/>
        <v>#REF!</v>
      </c>
      <c r="R67" s="88"/>
      <c r="S67" s="167" t="e">
        <f t="shared" si="19"/>
        <v>#REF!</v>
      </c>
      <c r="T67" s="144" t="e">
        <f t="shared" si="20"/>
        <v>#REF!</v>
      </c>
      <c r="X67" s="261"/>
    </row>
    <row r="68" spans="1:24">
      <c r="A68" s="5" t="s">
        <v>10</v>
      </c>
      <c r="B68" s="6" t="s">
        <v>177</v>
      </c>
      <c r="C68" s="153"/>
      <c r="D68" s="153"/>
      <c r="E68" s="96" t="e">
        <f>#REF!</f>
        <v>#REF!</v>
      </c>
      <c r="F68" s="97" t="e">
        <f>#REF!</f>
        <v>#REF!</v>
      </c>
      <c r="G68" s="96" t="e">
        <f>#REF!</f>
        <v>#REF!</v>
      </c>
      <c r="H68" s="96" t="e">
        <f>#REF!</f>
        <v>#REF!</v>
      </c>
      <c r="I68" s="96" t="e">
        <f>#REF!</f>
        <v>#REF!</v>
      </c>
      <c r="J68" s="96" t="e">
        <f>#REF!</f>
        <v>#REF!</v>
      </c>
      <c r="K68" s="96" t="e">
        <f>#REF!</f>
        <v>#REF!</v>
      </c>
      <c r="L68" s="96" t="e">
        <f>#REF!</f>
        <v>#REF!</v>
      </c>
      <c r="M68" s="96" t="e">
        <f>#REF!</f>
        <v>#REF!</v>
      </c>
      <c r="N68" s="96" t="e">
        <f>#REF!</f>
        <v>#REF!</v>
      </c>
      <c r="O68" s="98" t="e">
        <f>#REF!</f>
        <v>#REF!</v>
      </c>
      <c r="P68" s="98" t="e">
        <f>#REF!</f>
        <v>#REF!</v>
      </c>
      <c r="Q68" s="88" t="e">
        <f t="shared" si="21"/>
        <v>#REF!</v>
      </c>
      <c r="R68" s="88"/>
      <c r="S68" s="167" t="e">
        <f t="shared" si="19"/>
        <v>#REF!</v>
      </c>
      <c r="T68" s="144" t="e">
        <f t="shared" si="20"/>
        <v>#REF!</v>
      </c>
      <c r="X68" s="261"/>
    </row>
    <row r="69" spans="1:24">
      <c r="A69" s="5" t="s">
        <v>11</v>
      </c>
      <c r="B69" s="6" t="s">
        <v>60</v>
      </c>
      <c r="C69" s="153"/>
      <c r="D69" s="153"/>
      <c r="E69" s="96" t="e">
        <f>#REF!</f>
        <v>#REF!</v>
      </c>
      <c r="F69" s="159" t="e">
        <f>#REF!</f>
        <v>#REF!</v>
      </c>
      <c r="G69" s="96" t="e">
        <f>#REF!</f>
        <v>#REF!</v>
      </c>
      <c r="H69" s="96" t="e">
        <f>#REF!</f>
        <v>#REF!</v>
      </c>
      <c r="I69" s="96" t="e">
        <f>#REF!</f>
        <v>#REF!</v>
      </c>
      <c r="J69" s="96" t="e">
        <f>#REF!</f>
        <v>#REF!</v>
      </c>
      <c r="K69" s="96" t="e">
        <f>#REF!</f>
        <v>#REF!</v>
      </c>
      <c r="L69" s="96" t="e">
        <f>#REF!</f>
        <v>#REF!</v>
      </c>
      <c r="M69" s="96" t="e">
        <f>#REF!</f>
        <v>#REF!</v>
      </c>
      <c r="N69" s="96" t="e">
        <f>#REF!</f>
        <v>#REF!</v>
      </c>
      <c r="O69" s="98" t="e">
        <f>#REF!</f>
        <v>#REF!</v>
      </c>
      <c r="P69" s="98" t="e">
        <f>#REF!</f>
        <v>#REF!</v>
      </c>
      <c r="Q69" s="88" t="e">
        <f t="shared" si="21"/>
        <v>#REF!</v>
      </c>
      <c r="R69" s="88"/>
      <c r="S69" s="167" t="e">
        <f t="shared" si="19"/>
        <v>#REF!</v>
      </c>
      <c r="T69" s="144" t="e">
        <f t="shared" si="20"/>
        <v>#REF!</v>
      </c>
      <c r="X69" s="261"/>
    </row>
    <row r="70" spans="1:24">
      <c r="A70" s="5" t="s">
        <v>12</v>
      </c>
      <c r="B70" s="6" t="s">
        <v>62</v>
      </c>
      <c r="C70" s="153"/>
      <c r="D70" s="153"/>
      <c r="E70" s="96" t="e">
        <f>#REF!</f>
        <v>#REF!</v>
      </c>
      <c r="F70" s="97" t="e">
        <f>#REF!</f>
        <v>#REF!</v>
      </c>
      <c r="G70" s="96" t="e">
        <f>#REF!</f>
        <v>#REF!</v>
      </c>
      <c r="H70" s="96" t="e">
        <f>#REF!</f>
        <v>#REF!</v>
      </c>
      <c r="I70" s="96" t="e">
        <f>#REF!</f>
        <v>#REF!</v>
      </c>
      <c r="J70" s="96" t="e">
        <f>#REF!</f>
        <v>#REF!</v>
      </c>
      <c r="K70" s="96" t="e">
        <f>#REF!</f>
        <v>#REF!</v>
      </c>
      <c r="L70" s="96" t="e">
        <f>#REF!</f>
        <v>#REF!</v>
      </c>
      <c r="M70" s="96" t="e">
        <f>#REF!</f>
        <v>#REF!</v>
      </c>
      <c r="N70" s="96" t="e">
        <f>#REF!</f>
        <v>#REF!</v>
      </c>
      <c r="O70" s="98" t="e">
        <f>#REF!</f>
        <v>#REF!</v>
      </c>
      <c r="P70" s="98" t="e">
        <f>#REF!</f>
        <v>#REF!</v>
      </c>
      <c r="Q70" s="88" t="e">
        <f t="shared" si="21"/>
        <v>#REF!</v>
      </c>
      <c r="R70" s="88"/>
      <c r="S70" s="167" t="e">
        <f t="shared" si="19"/>
        <v>#REF!</v>
      </c>
      <c r="T70" s="144" t="e">
        <f t="shared" si="20"/>
        <v>#REF!</v>
      </c>
      <c r="X70" s="261"/>
    </row>
    <row r="71" spans="1:24">
      <c r="C71" s="209" t="s">
        <v>149</v>
      </c>
      <c r="D71" s="209"/>
      <c r="E71" s="209" t="s">
        <v>73</v>
      </c>
      <c r="F71" s="209" t="s">
        <v>74</v>
      </c>
      <c r="G71" s="209" t="s">
        <v>75</v>
      </c>
      <c r="H71" s="209" t="s">
        <v>76</v>
      </c>
      <c r="I71" s="209" t="s">
        <v>77</v>
      </c>
      <c r="J71" s="209" t="s">
        <v>78</v>
      </c>
      <c r="K71" s="209" t="s">
        <v>79</v>
      </c>
      <c r="L71" s="209" t="s">
        <v>80</v>
      </c>
      <c r="M71" s="209" t="s">
        <v>81</v>
      </c>
      <c r="N71" s="209" t="s">
        <v>82</v>
      </c>
      <c r="O71" s="209" t="s">
        <v>83</v>
      </c>
      <c r="P71" s="209" t="s">
        <v>84</v>
      </c>
      <c r="Q71" s="209" t="s">
        <v>234</v>
      </c>
      <c r="R71" s="86" t="s">
        <v>294</v>
      </c>
      <c r="V71" s="144"/>
      <c r="W71" s="183"/>
      <c r="X71" s="261"/>
    </row>
    <row r="72" spans="1:24">
      <c r="A72" s="85" t="s">
        <v>150</v>
      </c>
      <c r="X72" s="261"/>
    </row>
    <row r="73" spans="1:24" s="119" customFormat="1">
      <c r="A73" s="85"/>
      <c r="R73" s="165"/>
      <c r="T73" s="165"/>
      <c r="W73" s="207"/>
      <c r="X73" s="261"/>
    </row>
    <row r="74" spans="1:24" s="119" customFormat="1">
      <c r="A74" s="360" t="s">
        <v>223</v>
      </c>
      <c r="B74" s="360"/>
      <c r="C74" s="192"/>
      <c r="D74" s="192"/>
      <c r="E74" s="192"/>
      <c r="F74" s="192"/>
      <c r="G74" s="192"/>
      <c r="H74" s="192"/>
      <c r="I74" s="192"/>
      <c r="J74" s="192"/>
      <c r="K74" s="192"/>
      <c r="L74" s="192"/>
      <c r="M74" s="192"/>
      <c r="N74" s="192"/>
      <c r="O74" s="192"/>
      <c r="P74" s="192"/>
      <c r="Q74" s="192"/>
      <c r="R74" s="165"/>
      <c r="T74" s="165"/>
      <c r="W74" s="207"/>
      <c r="X74" s="261"/>
    </row>
    <row r="75" spans="1:24" s="119" customFormat="1" ht="15.75" thickBot="1">
      <c r="A75" s="192"/>
      <c r="B75" s="192"/>
      <c r="C75" s="192"/>
      <c r="D75" s="192"/>
      <c r="E75" s="192"/>
      <c r="F75" s="192"/>
      <c r="G75" s="192"/>
      <c r="H75" s="192"/>
      <c r="I75" s="192"/>
      <c r="J75" s="192"/>
      <c r="K75" s="192"/>
      <c r="L75" s="192"/>
      <c r="M75" s="192"/>
      <c r="N75" s="192"/>
      <c r="O75" s="209" t="s">
        <v>247</v>
      </c>
      <c r="P75" s="209" t="s">
        <v>192</v>
      </c>
      <c r="Q75" s="192"/>
      <c r="R75" s="165"/>
      <c r="T75" s="165"/>
      <c r="W75" s="207"/>
      <c r="X75" s="261"/>
    </row>
    <row r="76" spans="1:24" ht="16.5" thickTop="1" thickBot="1">
      <c r="A76" s="150" t="s">
        <v>73</v>
      </c>
      <c r="B76" s="192"/>
      <c r="C76" s="192"/>
      <c r="D76" s="192"/>
      <c r="E76" s="192"/>
      <c r="F76" s="192"/>
      <c r="G76" s="192"/>
      <c r="H76" s="192"/>
      <c r="I76" s="192"/>
      <c r="J76" s="192"/>
      <c r="K76" s="192"/>
      <c r="L76" s="192"/>
      <c r="M76" s="192"/>
      <c r="N76" s="192"/>
      <c r="O76" s="209">
        <f>MATCH(A76,$E$54:$Q$54,0)</f>
        <v>1</v>
      </c>
      <c r="P76" s="209">
        <f>MATCH(A76,$E$57:$R$57,0)</f>
        <v>1</v>
      </c>
      <c r="Q76" s="192"/>
      <c r="X76" s="261"/>
    </row>
    <row r="77" spans="1:24" ht="46.5" thickTop="1" thickBot="1">
      <c r="A77" s="192"/>
      <c r="B77" s="192"/>
      <c r="C77" s="192"/>
      <c r="D77" s="192"/>
      <c r="E77" s="200" t="s">
        <v>28</v>
      </c>
      <c r="F77" s="200" t="s">
        <v>86</v>
      </c>
      <c r="G77" s="200" t="s">
        <v>87</v>
      </c>
      <c r="H77" s="200" t="s">
        <v>248</v>
      </c>
      <c r="I77" s="200" t="s">
        <v>249</v>
      </c>
      <c r="J77" s="200" t="s">
        <v>250</v>
      </c>
      <c r="K77" s="200" t="s">
        <v>251</v>
      </c>
      <c r="L77" s="200"/>
      <c r="M77" s="200"/>
      <c r="N77" s="200" t="s">
        <v>231</v>
      </c>
      <c r="O77" s="209"/>
      <c r="P77" s="209"/>
      <c r="Q77" s="192"/>
      <c r="X77" s="214"/>
    </row>
    <row r="78" spans="1:24" ht="15.75" thickBot="1">
      <c r="A78" s="192" t="s">
        <v>294</v>
      </c>
      <c r="B78" s="192" t="s">
        <v>40</v>
      </c>
      <c r="C78" s="192"/>
      <c r="D78" s="192"/>
      <c r="E78" s="192" t="s">
        <v>294</v>
      </c>
      <c r="F78" s="183" t="e">
        <f ca="1">OFFSET($D$57,'Summary tables'!$P78,'Summary tables'!P$76)/100</f>
        <v>#REF!</v>
      </c>
      <c r="G78" s="169" t="e">
        <f t="shared" ref="G78:G90" ca="1" si="22">F78*N78</f>
        <v>#REF!</v>
      </c>
      <c r="H78" s="183">
        <f ca="1">OFFSET($D$21,'Summary tables'!$O78,'Summary tables'!O$76)</f>
        <v>2.1550469958062913E-2</v>
      </c>
      <c r="I78" s="169">
        <f ca="1">H78*N78</f>
        <v>704.7</v>
      </c>
      <c r="J78" s="183">
        <f ca="1">OFFSET($D$40,'Summary tables'!$O78,'Summary tables'!O$76)</f>
        <v>2.1550469958062913E-2</v>
      </c>
      <c r="K78" s="169">
        <f ca="1">J78*N78</f>
        <v>704.7</v>
      </c>
      <c r="L78" s="192"/>
      <c r="M78" s="192"/>
      <c r="N78" s="210">
        <f ca="1">'base OPEX'!F49</f>
        <v>32699.982941037575</v>
      </c>
      <c r="O78" s="209">
        <f>MATCH(A78,$B$5:$B$17,0)</f>
        <v>1</v>
      </c>
      <c r="P78" s="209">
        <f>MATCH(A78,$B$58:$B$70,0)</f>
        <v>1</v>
      </c>
      <c r="Q78" s="192"/>
      <c r="R78" s="207"/>
      <c r="X78" s="261"/>
    </row>
    <row r="79" spans="1:24" ht="16.5" thickTop="1" thickBot="1">
      <c r="A79" s="192" t="s">
        <v>42</v>
      </c>
      <c r="B79" s="192" t="s">
        <v>41</v>
      </c>
      <c r="C79" s="192"/>
      <c r="D79" s="192"/>
      <c r="E79" s="192" t="s">
        <v>42</v>
      </c>
      <c r="F79" s="183" t="e">
        <f ca="1">OFFSET($D$57,'Summary tables'!$P79,'Summary tables'!P$76)/100</f>
        <v>#REF!</v>
      </c>
      <c r="G79" s="169" t="e">
        <f t="shared" ca="1" si="22"/>
        <v>#REF!</v>
      </c>
      <c r="H79" s="183">
        <f ca="1">OFFSET($D$21,'Summary tables'!$O79,'Summary tables'!O$76)</f>
        <v>0</v>
      </c>
      <c r="I79" s="169">
        <f t="shared" ref="I79:I90" ca="1" si="23">H79*N79</f>
        <v>0</v>
      </c>
      <c r="J79" s="183">
        <f ca="1">OFFSET($D$40,'Summary tables'!$O79,'Summary tables'!O$76)</f>
        <v>0</v>
      </c>
      <c r="K79" s="169">
        <f t="shared" ref="K79:K90" ca="1" si="24">J79*N79</f>
        <v>0</v>
      </c>
      <c r="L79" s="192"/>
      <c r="M79" s="192"/>
      <c r="N79" s="210">
        <f ca="1">'base OPEX'!F50</f>
        <v>313242.10947821673</v>
      </c>
      <c r="O79" s="209">
        <f t="shared" ref="O79:O89" si="25">MATCH(A79,$B$5:$B$17,0)</f>
        <v>2</v>
      </c>
      <c r="P79" s="209">
        <f t="shared" ref="P79:P89" si="26">MATCH(A79,$B$58:$B$70,0)</f>
        <v>2</v>
      </c>
      <c r="Q79" s="192"/>
      <c r="R79" s="207"/>
      <c r="X79" s="261"/>
    </row>
    <row r="80" spans="1:24" ht="16.5" thickTop="1" thickBot="1">
      <c r="A80" s="192" t="s">
        <v>297</v>
      </c>
      <c r="B80" s="192" t="s">
        <v>43</v>
      </c>
      <c r="C80" s="192"/>
      <c r="D80" s="192"/>
      <c r="E80" s="192" t="s">
        <v>297</v>
      </c>
      <c r="F80" s="183" t="e">
        <f ca="1">OFFSET($D$57,'Summary tables'!$P80,'Summary tables'!P$76)/100</f>
        <v>#REF!</v>
      </c>
      <c r="G80" s="169" t="e">
        <f t="shared" ca="1" si="22"/>
        <v>#REF!</v>
      </c>
      <c r="H80" s="183">
        <f ca="1">OFFSET($D$21,'Summary tables'!$O80,'Summary tables'!O$76)</f>
        <v>0</v>
      </c>
      <c r="I80" s="169">
        <f t="shared" ca="1" si="23"/>
        <v>0</v>
      </c>
      <c r="J80" s="183">
        <f ca="1">OFFSET($D$40,'Summary tables'!$O80,'Summary tables'!O$76)</f>
        <v>0</v>
      </c>
      <c r="K80" s="169">
        <f t="shared" ca="1" si="24"/>
        <v>0</v>
      </c>
      <c r="L80" s="192"/>
      <c r="M80" s="192"/>
      <c r="N80" s="210">
        <f ca="1">'base OPEX'!F51</f>
        <v>47864.010032837534</v>
      </c>
      <c r="O80" s="209">
        <f t="shared" si="25"/>
        <v>3</v>
      </c>
      <c r="P80" s="209">
        <f t="shared" si="26"/>
        <v>3</v>
      </c>
      <c r="Q80" s="192"/>
      <c r="R80" s="207"/>
      <c r="X80" s="261"/>
    </row>
    <row r="81" spans="1:24" ht="16.5" thickTop="1" thickBot="1">
      <c r="A81" s="192" t="s">
        <v>45</v>
      </c>
      <c r="B81" s="192" t="s">
        <v>44</v>
      </c>
      <c r="C81" s="192"/>
      <c r="D81" s="192"/>
      <c r="E81" s="192" t="s">
        <v>45</v>
      </c>
      <c r="F81" s="183" t="e">
        <f ca="1">OFFSET($D$57,'Summary tables'!$P81,'Summary tables'!P$76)/100</f>
        <v>#REF!</v>
      </c>
      <c r="G81" s="169" t="e">
        <f t="shared" ca="1" si="22"/>
        <v>#REF!</v>
      </c>
      <c r="H81" s="183">
        <f ca="1">OFFSET($D$21,'Summary tables'!$O81,'Summary tables'!O$76)</f>
        <v>0</v>
      </c>
      <c r="I81" s="169">
        <f t="shared" ca="1" si="23"/>
        <v>0</v>
      </c>
      <c r="J81" s="183">
        <f ca="1">OFFSET($D$40,'Summary tables'!$O81,'Summary tables'!O$76)</f>
        <v>0</v>
      </c>
      <c r="K81" s="169">
        <f t="shared" ca="1" si="24"/>
        <v>0</v>
      </c>
      <c r="L81" s="192"/>
      <c r="M81" s="192"/>
      <c r="N81" s="210">
        <f ca="1">'base OPEX'!F52</f>
        <v>194963.9559607463</v>
      </c>
      <c r="O81" s="209">
        <f t="shared" si="25"/>
        <v>4</v>
      </c>
      <c r="P81" s="209">
        <f t="shared" si="26"/>
        <v>4</v>
      </c>
      <c r="Q81" s="192"/>
      <c r="R81" s="207"/>
      <c r="X81" s="261"/>
    </row>
    <row r="82" spans="1:24" ht="16.5" thickTop="1" thickBot="1">
      <c r="A82" s="192" t="s">
        <v>47</v>
      </c>
      <c r="B82" s="192" t="s">
        <v>46</v>
      </c>
      <c r="C82" s="192"/>
      <c r="D82" s="192"/>
      <c r="E82" s="192" t="s">
        <v>47</v>
      </c>
      <c r="F82" s="183" t="e">
        <f ca="1">OFFSET($D$57,'Summary tables'!$P82,'Summary tables'!P$76)/100</f>
        <v>#REF!</v>
      </c>
      <c r="G82" s="169" t="e">
        <f t="shared" ca="1" si="22"/>
        <v>#REF!</v>
      </c>
      <c r="H82" s="183">
        <f ca="1">OFFSET($D$21,'Summary tables'!$O82,'Summary tables'!O$76)</f>
        <v>0</v>
      </c>
      <c r="I82" s="169">
        <f t="shared" ca="1" si="23"/>
        <v>0</v>
      </c>
      <c r="J82" s="183">
        <f ca="1">OFFSET($D$40,'Summary tables'!$O82,'Summary tables'!O$76)</f>
        <v>0</v>
      </c>
      <c r="K82" s="169">
        <f t="shared" ca="1" si="24"/>
        <v>0</v>
      </c>
      <c r="L82" s="192"/>
      <c r="M82" s="192"/>
      <c r="N82" s="210">
        <f ca="1">'base OPEX'!F53</f>
        <v>275538.9740915678</v>
      </c>
      <c r="O82" s="209">
        <f t="shared" si="25"/>
        <v>5</v>
      </c>
      <c r="P82" s="209">
        <f t="shared" si="26"/>
        <v>5</v>
      </c>
      <c r="Q82" s="192"/>
      <c r="R82" s="207"/>
      <c r="X82" s="261"/>
    </row>
    <row r="83" spans="1:24" ht="16.5" thickTop="1" thickBot="1">
      <c r="A83" s="192" t="s">
        <v>49</v>
      </c>
      <c r="B83" s="192" t="s">
        <v>48</v>
      </c>
      <c r="C83" s="192"/>
      <c r="D83" s="192"/>
      <c r="E83" s="192" t="s">
        <v>49</v>
      </c>
      <c r="F83" s="183" t="e">
        <f ca="1">OFFSET($D$57,'Summary tables'!$P83,'Summary tables'!P$76)/100</f>
        <v>#REF!</v>
      </c>
      <c r="G83" s="169" t="e">
        <f t="shared" ca="1" si="22"/>
        <v>#REF!</v>
      </c>
      <c r="H83" s="183">
        <f ca="1">OFFSET($D$21,'Summary tables'!$O83,'Summary tables'!O$76)</f>
        <v>0</v>
      </c>
      <c r="I83" s="169">
        <f t="shared" ca="1" si="23"/>
        <v>0</v>
      </c>
      <c r="J83" s="183">
        <f ca="1">OFFSET($D$40,'Summary tables'!$O83,'Summary tables'!O$76)</f>
        <v>0</v>
      </c>
      <c r="K83" s="169">
        <f t="shared" ca="1" si="24"/>
        <v>0</v>
      </c>
      <c r="L83" s="192"/>
      <c r="M83" s="192"/>
      <c r="N83" s="210">
        <f ca="1">'base OPEX'!F54</f>
        <v>265369.06561191194</v>
      </c>
      <c r="O83" s="209">
        <f t="shared" si="25"/>
        <v>6</v>
      </c>
      <c r="P83" s="209">
        <f t="shared" si="26"/>
        <v>6</v>
      </c>
      <c r="Q83" s="192"/>
      <c r="R83" s="207"/>
      <c r="X83" s="261"/>
    </row>
    <row r="84" spans="1:24" ht="16.5" thickTop="1" thickBot="1">
      <c r="A84" s="192" t="s">
        <v>51</v>
      </c>
      <c r="B84" s="192" t="s">
        <v>50</v>
      </c>
      <c r="C84" s="192"/>
      <c r="D84" s="192"/>
      <c r="E84" s="192" t="s">
        <v>51</v>
      </c>
      <c r="F84" s="183" t="e">
        <f ca="1">OFFSET($D$57,'Summary tables'!$P84,'Summary tables'!P$76)/100</f>
        <v>#REF!</v>
      </c>
      <c r="G84" s="169" t="e">
        <f t="shared" ca="1" si="22"/>
        <v>#REF!</v>
      </c>
      <c r="H84" s="183">
        <f ca="1">OFFSET($D$21,'Summary tables'!$O84,'Summary tables'!O$76)</f>
        <v>0</v>
      </c>
      <c r="I84" s="169">
        <f t="shared" ca="1" si="23"/>
        <v>0</v>
      </c>
      <c r="J84" s="183">
        <f ca="1">OFFSET($D$40,'Summary tables'!$O84,'Summary tables'!O$76)</f>
        <v>0</v>
      </c>
      <c r="K84" s="169">
        <f t="shared" ca="1" si="24"/>
        <v>0</v>
      </c>
      <c r="L84" s="192"/>
      <c r="M84" s="192"/>
      <c r="N84" s="210">
        <f ca="1">'base OPEX'!F55</f>
        <v>314194.95387049322</v>
      </c>
      <c r="O84" s="209">
        <f t="shared" si="25"/>
        <v>7</v>
      </c>
      <c r="P84" s="209">
        <f t="shared" si="26"/>
        <v>7</v>
      </c>
      <c r="Q84" s="192"/>
      <c r="R84" s="207"/>
      <c r="X84" s="261"/>
    </row>
    <row r="85" spans="1:24" ht="16.5" thickTop="1" thickBot="1">
      <c r="A85" s="192" t="s">
        <v>53</v>
      </c>
      <c r="B85" s="192" t="s">
        <v>52</v>
      </c>
      <c r="C85" s="192"/>
      <c r="D85" s="192"/>
      <c r="E85" s="192" t="s">
        <v>53</v>
      </c>
      <c r="F85" s="183" t="e">
        <f ca="1">OFFSET($D$57,'Summary tables'!$P85,'Summary tables'!P$76)/100</f>
        <v>#REF!</v>
      </c>
      <c r="G85" s="169" t="e">
        <f t="shared" ca="1" si="22"/>
        <v>#REF!</v>
      </c>
      <c r="H85" s="183">
        <f ca="1">OFFSET($D$21,'Summary tables'!$O85,'Summary tables'!O$76)</f>
        <v>0</v>
      </c>
      <c r="I85" s="169">
        <f t="shared" ca="1" si="23"/>
        <v>0</v>
      </c>
      <c r="J85" s="183">
        <f ca="1">OFFSET($D$40,'Summary tables'!$O85,'Summary tables'!O$76)</f>
        <v>0</v>
      </c>
      <c r="K85" s="169">
        <f t="shared" ca="1" si="24"/>
        <v>0</v>
      </c>
      <c r="L85" s="192"/>
      <c r="M85" s="192"/>
      <c r="N85" s="210">
        <f ca="1">'base OPEX'!F56</f>
        <v>54370.299786967422</v>
      </c>
      <c r="O85" s="209">
        <f t="shared" si="25"/>
        <v>8</v>
      </c>
      <c r="P85" s="209">
        <f t="shared" si="26"/>
        <v>8</v>
      </c>
      <c r="Q85" s="192"/>
      <c r="R85" s="207"/>
      <c r="X85" s="261"/>
    </row>
    <row r="86" spans="1:24" ht="16.5" thickTop="1" thickBot="1">
      <c r="A86" s="192" t="s">
        <v>55</v>
      </c>
      <c r="B86" s="192" t="s">
        <v>54</v>
      </c>
      <c r="C86" s="192"/>
      <c r="D86" s="192"/>
      <c r="E86" s="192" t="s">
        <v>55</v>
      </c>
      <c r="F86" s="183" t="e">
        <f ca="1">OFFSET($D$57,'Summary tables'!$P86,'Summary tables'!P$76)/100</f>
        <v>#REF!</v>
      </c>
      <c r="G86" s="169" t="e">
        <f t="shared" ca="1" si="22"/>
        <v>#REF!</v>
      </c>
      <c r="H86" s="183">
        <f ca="1">OFFSET($D$21,'Summary tables'!$O86,'Summary tables'!O$76)</f>
        <v>0</v>
      </c>
      <c r="I86" s="169">
        <f t="shared" ca="1" si="23"/>
        <v>0</v>
      </c>
      <c r="J86" s="183">
        <f ca="1">OFFSET($D$40,'Summary tables'!$O86,'Summary tables'!O$76)</f>
        <v>0</v>
      </c>
      <c r="K86" s="169">
        <f t="shared" ca="1" si="24"/>
        <v>0</v>
      </c>
      <c r="L86" s="192"/>
      <c r="M86" s="192"/>
      <c r="N86" s="210">
        <f ca="1">'base OPEX'!F57</f>
        <v>161686.41459303079</v>
      </c>
      <c r="O86" s="209">
        <f t="shared" si="25"/>
        <v>9</v>
      </c>
      <c r="P86" s="209">
        <f t="shared" si="26"/>
        <v>9</v>
      </c>
      <c r="Q86" s="192"/>
      <c r="R86" s="207"/>
      <c r="X86" s="261"/>
    </row>
    <row r="87" spans="1:24" ht="16.5" thickTop="1" thickBot="1">
      <c r="A87" s="192" t="s">
        <v>57</v>
      </c>
      <c r="B87" s="192" t="s">
        <v>56</v>
      </c>
      <c r="C87" s="192"/>
      <c r="D87" s="192"/>
      <c r="E87" s="192" t="s">
        <v>57</v>
      </c>
      <c r="F87" s="183" t="e">
        <f ca="1">OFFSET($D$57,'Summary tables'!$P87,'Summary tables'!P$76)/100</f>
        <v>#REF!</v>
      </c>
      <c r="G87" s="169" t="e">
        <f t="shared" ca="1" si="22"/>
        <v>#REF!</v>
      </c>
      <c r="H87" s="183">
        <f ca="1">OFFSET($D$21,'Summary tables'!$O87,'Summary tables'!O$76)</f>
        <v>0</v>
      </c>
      <c r="I87" s="169">
        <f t="shared" ca="1" si="23"/>
        <v>0</v>
      </c>
      <c r="J87" s="183">
        <f ca="1">OFFSET($D$40,'Summary tables'!$O87,'Summary tables'!O$76)</f>
        <v>0</v>
      </c>
      <c r="K87" s="169">
        <f t="shared" ca="1" si="24"/>
        <v>0</v>
      </c>
      <c r="L87" s="192"/>
      <c r="M87" s="192"/>
      <c r="N87" s="210">
        <f ca="1">'base OPEX'!F58</f>
        <v>204675.65128541589</v>
      </c>
      <c r="O87" s="209">
        <f t="shared" si="25"/>
        <v>10</v>
      </c>
      <c r="P87" s="209">
        <f t="shared" si="26"/>
        <v>10</v>
      </c>
      <c r="Q87" s="192"/>
      <c r="R87" s="207"/>
      <c r="X87" s="261"/>
    </row>
    <row r="88" spans="1:24" ht="16.5" thickTop="1" thickBot="1">
      <c r="A88" s="192" t="s">
        <v>177</v>
      </c>
      <c r="B88" s="192" t="s">
        <v>58</v>
      </c>
      <c r="C88" s="192"/>
      <c r="D88" s="192"/>
      <c r="E88" s="192" t="s">
        <v>177</v>
      </c>
      <c r="F88" s="183" t="e">
        <f ca="1">OFFSET($D$57,'Summary tables'!$P88,'Summary tables'!P$76)/100</f>
        <v>#REF!</v>
      </c>
      <c r="G88" s="169" t="e">
        <f t="shared" ca="1" si="22"/>
        <v>#REF!</v>
      </c>
      <c r="H88" s="183">
        <f ca="1">OFFSET($D$21,'Summary tables'!$O88,'Summary tables'!O$76)</f>
        <v>0</v>
      </c>
      <c r="I88" s="169">
        <f t="shared" ca="1" si="23"/>
        <v>0</v>
      </c>
      <c r="J88" s="183">
        <f ca="1">OFFSET($D$40,'Summary tables'!$O88,'Summary tables'!O$76)</f>
        <v>0</v>
      </c>
      <c r="K88" s="169">
        <f t="shared" ca="1" si="24"/>
        <v>0</v>
      </c>
      <c r="L88" s="192"/>
      <c r="M88" s="192"/>
      <c r="N88" s="210">
        <f ca="1">'base OPEX'!F59</f>
        <v>162057.00803760882</v>
      </c>
      <c r="O88" s="209">
        <f t="shared" si="25"/>
        <v>11</v>
      </c>
      <c r="P88" s="209">
        <f t="shared" si="26"/>
        <v>11</v>
      </c>
      <c r="Q88" s="192"/>
      <c r="R88" s="207"/>
      <c r="X88" s="261"/>
    </row>
    <row r="89" spans="1:24" ht="16.5" thickTop="1" thickBot="1">
      <c r="A89" s="192" t="s">
        <v>60</v>
      </c>
      <c r="B89" s="192" t="s">
        <v>59</v>
      </c>
      <c r="C89" s="192"/>
      <c r="D89" s="192"/>
      <c r="E89" s="192" t="s">
        <v>60</v>
      </c>
      <c r="F89" s="183" t="e">
        <f ca="1">OFFSET($D$57,'Summary tables'!$P89,'Summary tables'!P$76)/100</f>
        <v>#REF!</v>
      </c>
      <c r="G89" s="169" t="e">
        <f t="shared" ca="1" si="22"/>
        <v>#REF!</v>
      </c>
      <c r="H89" s="183">
        <f ca="1">OFFSET($D$21,'Summary tables'!$O89,'Summary tables'!O$76)</f>
        <v>0</v>
      </c>
      <c r="I89" s="169">
        <f t="shared" ca="1" si="23"/>
        <v>0</v>
      </c>
      <c r="J89" s="183">
        <f ca="1">OFFSET($D$40,'Summary tables'!$O89,'Summary tables'!O$76)</f>
        <v>0</v>
      </c>
      <c r="K89" s="169">
        <f t="shared" ca="1" si="24"/>
        <v>0</v>
      </c>
      <c r="L89" s="192"/>
      <c r="M89" s="192"/>
      <c r="N89" s="210">
        <f ca="1">'base OPEX'!F60</f>
        <v>75282.221531143718</v>
      </c>
      <c r="O89" s="209">
        <f t="shared" si="25"/>
        <v>12</v>
      </c>
      <c r="P89" s="209">
        <f t="shared" si="26"/>
        <v>12</v>
      </c>
      <c r="Q89" s="192"/>
      <c r="R89" s="207"/>
      <c r="X89" s="261"/>
    </row>
    <row r="90" spans="1:24" ht="16.5" thickTop="1" thickBot="1">
      <c r="A90" s="192" t="s">
        <v>62</v>
      </c>
      <c r="B90" s="192" t="s">
        <v>61</v>
      </c>
      <c r="C90" s="192"/>
      <c r="D90" s="192"/>
      <c r="E90" s="192" t="s">
        <v>235</v>
      </c>
      <c r="F90" s="183" t="e">
        <f ca="1">OFFSET($D$57,'Summary tables'!$P90,'Summary tables'!P$76)/100</f>
        <v>#REF!</v>
      </c>
      <c r="G90" s="169" t="e">
        <f t="shared" ca="1" si="22"/>
        <v>#REF!</v>
      </c>
      <c r="H90" s="183">
        <f ca="1">OFFSET($D$21,'Summary tables'!$O90,'Summary tables'!O$76)</f>
        <v>0</v>
      </c>
      <c r="I90" s="169">
        <f t="shared" ca="1" si="23"/>
        <v>0</v>
      </c>
      <c r="J90" s="183">
        <f ca="1">OFFSET($D$40,'Summary tables'!$O90,'Summary tables'!O$76)</f>
        <v>0</v>
      </c>
      <c r="K90" s="169">
        <f t="shared" ca="1" si="24"/>
        <v>0</v>
      </c>
      <c r="L90" s="192"/>
      <c r="M90" s="192"/>
      <c r="N90" s="210">
        <f ca="1">'base OPEX'!F61</f>
        <v>115609.69378497882</v>
      </c>
      <c r="O90" s="209">
        <f>MATCH(A90,$B$5:$B$17,0)</f>
        <v>13</v>
      </c>
      <c r="P90" s="209">
        <f>MATCH(A90,$B$58:$B$70,0)</f>
        <v>13</v>
      </c>
      <c r="Q90" s="192"/>
      <c r="R90" s="207"/>
      <c r="X90" s="261"/>
    </row>
    <row r="91" spans="1:24" ht="30.75" thickTop="1">
      <c r="A91" s="192"/>
      <c r="B91" s="192"/>
      <c r="C91" s="192"/>
      <c r="D91" s="192"/>
      <c r="E91" s="213" t="s">
        <v>236</v>
      </c>
      <c r="F91" s="211">
        <v>0</v>
      </c>
      <c r="G91" s="212"/>
      <c r="H91" s="211">
        <f ca="1">OFFSET($D$21,'Summary tables'!$O91,'Summary tables'!O$76)</f>
        <v>0</v>
      </c>
      <c r="I91" s="192"/>
      <c r="J91" s="183"/>
      <c r="K91" s="192"/>
      <c r="L91" s="192"/>
      <c r="M91" s="192"/>
      <c r="N91" s="192"/>
      <c r="O91" s="209">
        <v>16</v>
      </c>
      <c r="P91" s="209">
        <v>16</v>
      </c>
      <c r="Q91" s="192"/>
      <c r="R91" s="207"/>
      <c r="X91" s="261"/>
    </row>
    <row r="92" spans="1:24">
      <c r="A92" s="192"/>
      <c r="B92" s="192"/>
      <c r="C92" s="192"/>
      <c r="D92" s="192"/>
      <c r="E92" s="192"/>
      <c r="F92" s="192"/>
      <c r="G92" s="192"/>
      <c r="H92" s="192"/>
      <c r="I92" s="192"/>
      <c r="J92" s="192"/>
      <c r="K92" s="192"/>
      <c r="L92" s="192"/>
      <c r="M92" s="192"/>
      <c r="N92" s="192"/>
      <c r="O92" s="192"/>
      <c r="P92" s="192"/>
      <c r="Q92" s="192"/>
      <c r="R92" s="207"/>
      <c r="X92" s="261"/>
    </row>
    <row r="93" spans="1:24">
      <c r="R93" s="207"/>
    </row>
    <row r="94" spans="1:24">
      <c r="R94" s="207"/>
    </row>
    <row r="95" spans="1:24">
      <c r="R95" s="207"/>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92"/>
  <sheetViews>
    <sheetView zoomScale="80" zoomScaleNormal="80" workbookViewId="0">
      <pane xSplit="2" ySplit="2" topLeftCell="C3" activePane="bottomRight" state="frozen"/>
      <selection activeCell="R48" sqref="R48"/>
      <selection pane="topRight" activeCell="R48" sqref="R48"/>
      <selection pane="bottomLeft" activeCell="R48" sqref="R48"/>
      <selection pane="bottomRight" activeCell="E5" sqref="E5"/>
    </sheetView>
  </sheetViews>
  <sheetFormatPr defaultColWidth="9.28515625" defaultRowHeight="15"/>
  <cols>
    <col min="1" max="1" width="21.5703125" style="288" bestFit="1" customWidth="1"/>
    <col min="2" max="2" width="13.5703125" style="288" bestFit="1" customWidth="1"/>
    <col min="3" max="4" width="13.5703125" style="288" customWidth="1"/>
    <col min="5" max="8" width="14.28515625" style="288" customWidth="1"/>
    <col min="9" max="9" width="15" style="288" customWidth="1"/>
    <col min="10" max="10" width="14.28515625" style="288" customWidth="1"/>
    <col min="11" max="11" width="13.5703125" style="288" customWidth="1"/>
    <col min="12" max="13" width="14.28515625" style="288" customWidth="1"/>
    <col min="14" max="14" width="20" style="288" customWidth="1"/>
    <col min="15" max="15" width="14.28515625" style="288" customWidth="1"/>
    <col min="16" max="16" width="17.42578125" style="288" bestFit="1" customWidth="1"/>
    <col min="17" max="17" width="10.85546875" style="288" bestFit="1" customWidth="1"/>
    <col min="18" max="18" width="13.140625" style="288" customWidth="1"/>
    <col min="19" max="20" width="14.28515625" style="288" customWidth="1"/>
    <col min="21" max="23" width="12.5703125" style="288" customWidth="1"/>
    <col min="24" max="24" width="14.28515625" style="288" customWidth="1"/>
    <col min="25" max="25" width="12.42578125" style="288" bestFit="1" customWidth="1"/>
    <col min="26" max="28" width="16.42578125" style="288" customWidth="1"/>
    <col min="29" max="30" width="14" style="288" customWidth="1"/>
    <col min="31" max="32" width="16.42578125" style="288" customWidth="1"/>
    <col min="33" max="33" width="12" style="288" customWidth="1"/>
    <col min="34" max="35" width="13.5703125" style="288" customWidth="1"/>
    <col min="36" max="36" width="13.28515625" style="288" bestFit="1" customWidth="1"/>
    <col min="37" max="37" width="11.28515625" style="288" bestFit="1" customWidth="1"/>
    <col min="38" max="16384" width="9.28515625" style="288"/>
  </cols>
  <sheetData>
    <row r="1" spans="1:25">
      <c r="X1" s="335"/>
    </row>
    <row r="2" spans="1:25" ht="60.75" thickBot="1">
      <c r="E2" s="214" t="s">
        <v>73</v>
      </c>
      <c r="F2" s="214" t="s">
        <v>75</v>
      </c>
      <c r="G2" s="214" t="s">
        <v>76</v>
      </c>
      <c r="H2" s="214" t="s">
        <v>178</v>
      </c>
      <c r="I2" s="218" t="s">
        <v>79</v>
      </c>
      <c r="J2" s="214" t="s">
        <v>80</v>
      </c>
      <c r="K2" s="214" t="s">
        <v>81</v>
      </c>
      <c r="L2" s="214" t="s">
        <v>85</v>
      </c>
      <c r="M2" s="214" t="s">
        <v>216</v>
      </c>
      <c r="N2" s="214" t="s">
        <v>83</v>
      </c>
      <c r="O2" s="214" t="s">
        <v>84</v>
      </c>
      <c r="P2" s="214" t="s">
        <v>234</v>
      </c>
      <c r="Q2" s="214"/>
      <c r="R2" s="214" t="s">
        <v>293</v>
      </c>
      <c r="S2" s="214" t="s">
        <v>295</v>
      </c>
      <c r="T2" s="214"/>
      <c r="U2" s="214"/>
      <c r="V2" s="214"/>
      <c r="W2" s="214"/>
      <c r="X2" s="335"/>
    </row>
    <row r="3" spans="1:25" ht="18" thickBot="1">
      <c r="A3" s="358" t="s">
        <v>221</v>
      </c>
      <c r="B3" s="358"/>
      <c r="C3" s="333"/>
      <c r="D3" s="333"/>
      <c r="E3" s="335"/>
      <c r="F3" s="335"/>
      <c r="G3" s="335"/>
      <c r="H3" s="335"/>
      <c r="I3" s="335"/>
      <c r="J3" s="335"/>
      <c r="K3" s="335"/>
      <c r="L3" s="335"/>
      <c r="M3" s="335"/>
      <c r="N3" s="335"/>
      <c r="O3" s="335"/>
      <c r="P3" s="335"/>
      <c r="Q3" s="335"/>
      <c r="S3" s="335"/>
      <c r="T3" s="335"/>
      <c r="U3" s="335"/>
      <c r="V3" s="335"/>
      <c r="W3" s="335"/>
      <c r="X3" s="335"/>
    </row>
    <row r="4" spans="1:25" ht="61.5" thickTop="1" thickBot="1">
      <c r="A4" s="214"/>
      <c r="B4" s="214" t="s">
        <v>28</v>
      </c>
      <c r="C4" s="214"/>
      <c r="D4" s="214"/>
      <c r="E4" s="214" t="s">
        <v>73</v>
      </c>
      <c r="F4" s="214" t="s">
        <v>75</v>
      </c>
      <c r="G4" s="214" t="s">
        <v>76</v>
      </c>
      <c r="H4" s="214" t="s">
        <v>178</v>
      </c>
      <c r="I4" s="218" t="s">
        <v>79</v>
      </c>
      <c r="J4" s="214" t="s">
        <v>80</v>
      </c>
      <c r="K4" s="214" t="s">
        <v>81</v>
      </c>
      <c r="L4" s="214" t="s">
        <v>85</v>
      </c>
      <c r="M4" s="214" t="s">
        <v>216</v>
      </c>
      <c r="N4" s="214" t="s">
        <v>83</v>
      </c>
      <c r="O4" s="214" t="s">
        <v>84</v>
      </c>
      <c r="P4" s="214" t="s">
        <v>234</v>
      </c>
      <c r="Q4" s="214"/>
      <c r="R4" s="214" t="s">
        <v>293</v>
      </c>
      <c r="S4" s="214" t="s">
        <v>295</v>
      </c>
      <c r="T4" s="214"/>
      <c r="U4" s="214"/>
      <c r="X4" s="335"/>
    </row>
    <row r="5" spans="1:25">
      <c r="A5" s="69" t="s">
        <v>0</v>
      </c>
      <c r="B5" s="335" t="s">
        <v>294</v>
      </c>
      <c r="C5" s="335"/>
      <c r="D5" s="335"/>
      <c r="E5" s="291">
        <v>704.7</v>
      </c>
      <c r="F5" s="289" t="s">
        <v>298</v>
      </c>
      <c r="G5" s="120"/>
      <c r="H5" s="289" t="s">
        <v>298</v>
      </c>
      <c r="I5" s="120"/>
      <c r="J5" s="289">
        <v>5.6</v>
      </c>
      <c r="K5" s="289" t="s">
        <v>298</v>
      </c>
      <c r="L5" s="289">
        <f ca="1">'Subtransmission - Select firm'!O14/1000</f>
        <v>1376.9717214928255</v>
      </c>
      <c r="M5" s="289" t="s">
        <v>246</v>
      </c>
      <c r="N5" s="289"/>
      <c r="O5" s="289">
        <f>+Termites!F3/1000</f>
        <v>45.8446585652555</v>
      </c>
      <c r="P5" s="262">
        <f ca="1">I5+L5</f>
        <v>1376.9717214928255</v>
      </c>
      <c r="Q5" s="68"/>
      <c r="R5" s="112">
        <f t="shared" ref="R5:R17" ca="1" si="0">SUMPRODUCT(E5:O5,$E$35:$O$35)</f>
        <v>2127.5163800580813</v>
      </c>
      <c r="S5" s="112">
        <f ca="1">SUMPRODUCT(E5:O5,$E$36:$O$36)</f>
        <v>2127.5163800580813</v>
      </c>
      <c r="U5" s="219"/>
      <c r="V5" s="219"/>
      <c r="W5" s="219"/>
      <c r="X5" s="335"/>
      <c r="Y5" s="335"/>
    </row>
    <row r="6" spans="1:25">
      <c r="A6" s="104" t="s">
        <v>1</v>
      </c>
      <c r="B6" s="335" t="s">
        <v>42</v>
      </c>
      <c r="C6" s="335"/>
      <c r="D6" s="335"/>
      <c r="E6" s="120"/>
      <c r="F6" s="120"/>
      <c r="G6" s="120"/>
      <c r="H6" s="289" t="s">
        <v>298</v>
      </c>
      <c r="I6" s="289">
        <f>$N79*I23</f>
        <v>0</v>
      </c>
      <c r="J6" s="289">
        <v>5.6</v>
      </c>
      <c r="K6" s="120"/>
      <c r="L6" s="289">
        <f ca="1">'Subtransmission - Select firm'!O15/1000</f>
        <v>21544.379087889618</v>
      </c>
      <c r="M6" s="289" t="s">
        <v>246</v>
      </c>
      <c r="N6" s="289">
        <f>Levies!O24</f>
        <v>29.600553960251872</v>
      </c>
      <c r="O6" s="289">
        <f>+Termites!F4/1000</f>
        <v>212.91272643593081</v>
      </c>
      <c r="P6" s="262">
        <f t="shared" ref="P6:P17" ca="1" si="1">I6+L6</f>
        <v>21544.379087889618</v>
      </c>
      <c r="Q6" s="68"/>
      <c r="R6" s="112">
        <f t="shared" ca="1" si="0"/>
        <v>21786.8923682858</v>
      </c>
      <c r="S6" s="112">
        <f t="shared" ref="S6:S17" ca="1" si="2">SUMPRODUCT(E6:O6,$E$36:$O$36)</f>
        <v>21757.291814325548</v>
      </c>
      <c r="U6" s="219"/>
      <c r="V6" s="219"/>
      <c r="W6" s="219"/>
      <c r="X6" s="335"/>
      <c r="Y6" s="335"/>
    </row>
    <row r="7" spans="1:25">
      <c r="A7" s="104" t="s">
        <v>2</v>
      </c>
      <c r="B7" s="335" t="s">
        <v>297</v>
      </c>
      <c r="C7" s="335"/>
      <c r="D7" s="335"/>
      <c r="E7" s="120"/>
      <c r="F7" s="120"/>
      <c r="G7" s="120"/>
      <c r="H7" s="289" t="s">
        <v>298</v>
      </c>
      <c r="I7" s="120"/>
      <c r="J7" s="289">
        <v>0</v>
      </c>
      <c r="K7" s="120"/>
      <c r="L7" s="289">
        <f ca="1">'Subtransmission - Select firm'!O16/1000</f>
        <v>3067.3091510712698</v>
      </c>
      <c r="M7" s="289" t="s">
        <v>246</v>
      </c>
      <c r="N7" s="289">
        <f>Levies!O25</f>
        <v>883.35193197766557</v>
      </c>
      <c r="O7" s="289">
        <f>+Termites!F5/1000</f>
        <v>19.818569039429136</v>
      </c>
      <c r="P7" s="262">
        <f t="shared" ca="1" si="1"/>
        <v>3067.3091510712698</v>
      </c>
      <c r="Q7" s="68"/>
      <c r="R7" s="112">
        <f t="shared" ca="1" si="0"/>
        <v>3970.4796520883647</v>
      </c>
      <c r="S7" s="112">
        <f t="shared" ca="1" si="2"/>
        <v>3087.1277201106991</v>
      </c>
      <c r="U7" s="219"/>
      <c r="V7" s="219"/>
      <c r="W7" s="219"/>
      <c r="X7" s="335"/>
      <c r="Y7" s="335"/>
    </row>
    <row r="8" spans="1:25">
      <c r="A8" s="104" t="s">
        <v>3</v>
      </c>
      <c r="B8" s="335" t="s">
        <v>45</v>
      </c>
      <c r="C8" s="335"/>
      <c r="D8" s="335"/>
      <c r="E8" s="120"/>
      <c r="F8" s="120"/>
      <c r="G8" s="120"/>
      <c r="H8" s="289" t="s">
        <v>298</v>
      </c>
      <c r="I8" s="289">
        <f>$N81*I25</f>
        <v>0</v>
      </c>
      <c r="J8" s="289">
        <v>5.6</v>
      </c>
      <c r="K8" s="120"/>
      <c r="L8" s="289">
        <f ca="1">'Subtransmission - Select firm'!O17/1000</f>
        <v>16779.741276093562</v>
      </c>
      <c r="M8" s="289" t="s">
        <v>246</v>
      </c>
      <c r="N8" s="289">
        <f>Levies!O26</f>
        <v>23.25943252718325</v>
      </c>
      <c r="O8" s="289">
        <f>+Termites!F6/1000</f>
        <v>743.74230242068609</v>
      </c>
      <c r="P8" s="262">
        <f t="shared" ca="1" si="1"/>
        <v>16779.741276093562</v>
      </c>
      <c r="Q8" s="68"/>
      <c r="R8" s="112">
        <f t="shared" ca="1" si="0"/>
        <v>17546.743011041432</v>
      </c>
      <c r="S8" s="112">
        <f t="shared" ca="1" si="2"/>
        <v>17523.48357851425</v>
      </c>
      <c r="U8" s="219"/>
      <c r="V8" s="219"/>
      <c r="W8" s="219"/>
      <c r="X8" s="335"/>
      <c r="Y8" s="335"/>
    </row>
    <row r="9" spans="1:25">
      <c r="A9" s="104" t="s">
        <v>4</v>
      </c>
      <c r="B9" s="335" t="s">
        <v>47</v>
      </c>
      <c r="C9" s="335"/>
      <c r="D9" s="335"/>
      <c r="E9" s="120"/>
      <c r="F9" s="120"/>
      <c r="G9" s="120"/>
      <c r="H9" s="289" t="s">
        <v>298</v>
      </c>
      <c r="I9" s="289">
        <f>$N82*I26</f>
        <v>0</v>
      </c>
      <c r="J9" s="289">
        <v>5.6</v>
      </c>
      <c r="K9" s="120"/>
      <c r="L9" s="289">
        <f ca="1">'Subtransmission - Select firm'!O18/1000</f>
        <v>16579.539005084851</v>
      </c>
      <c r="M9" s="289" t="s">
        <v>246</v>
      </c>
      <c r="N9" s="289">
        <f>Levies!O27</f>
        <v>8780.4401068831739</v>
      </c>
      <c r="O9" s="289">
        <f>+Termites!F7/1000</f>
        <v>1352.9131286581917</v>
      </c>
      <c r="P9" s="262">
        <f t="shared" ca="1" si="1"/>
        <v>16579.539005084851</v>
      </c>
      <c r="Q9" s="68"/>
      <c r="R9" s="112">
        <f t="shared" ca="1" si="0"/>
        <v>26712.892240626214</v>
      </c>
      <c r="S9" s="112">
        <f t="shared" ca="1" si="2"/>
        <v>17932.452133743041</v>
      </c>
      <c r="U9" s="219"/>
      <c r="V9" s="219"/>
      <c r="W9" s="219"/>
      <c r="X9" s="335"/>
      <c r="Y9" s="335"/>
    </row>
    <row r="10" spans="1:25">
      <c r="A10" s="104" t="s">
        <v>5</v>
      </c>
      <c r="B10" s="335" t="s">
        <v>49</v>
      </c>
      <c r="C10" s="335"/>
      <c r="D10" s="335"/>
      <c r="E10" s="120"/>
      <c r="F10" s="120"/>
      <c r="G10" s="289">
        <f>+'ERG Cyclones'!C29*1000</f>
        <v>12827.953775610364</v>
      </c>
      <c r="H10" s="289" t="s">
        <v>298</v>
      </c>
      <c r="I10" s="289">
        <f>$N83*I27</f>
        <v>0</v>
      </c>
      <c r="J10" s="289">
        <v>5.6</v>
      </c>
      <c r="K10" s="120"/>
      <c r="L10" s="289">
        <f ca="1">'Subtransmission - Select firm'!O19/1000</f>
        <v>24952.17544670399</v>
      </c>
      <c r="M10" s="289" t="s">
        <v>246</v>
      </c>
      <c r="N10" s="289">
        <f>Levies!O28</f>
        <v>4900.7887178039209</v>
      </c>
      <c r="O10" s="289">
        <f>+Termites!F8/1000</f>
        <v>2950.2215094043063</v>
      </c>
      <c r="P10" s="262">
        <f t="shared" ca="1" si="1"/>
        <v>24952.17544670399</v>
      </c>
      <c r="Q10" s="68"/>
      <c r="R10" s="112">
        <f t="shared" ca="1" si="0"/>
        <v>45631.139449522583</v>
      </c>
      <c r="S10" s="112">
        <f t="shared" ca="1" si="2"/>
        <v>40730.35073171866</v>
      </c>
      <c r="U10" s="219"/>
      <c r="V10" s="219"/>
      <c r="W10" s="219"/>
      <c r="X10" s="335"/>
      <c r="Y10" s="335"/>
    </row>
    <row r="11" spans="1:25">
      <c r="A11" s="104" t="s">
        <v>6</v>
      </c>
      <c r="B11" s="335" t="s">
        <v>51</v>
      </c>
      <c r="C11" s="335"/>
      <c r="D11" s="335"/>
      <c r="E11" s="120"/>
      <c r="F11" s="120"/>
      <c r="G11" s="120"/>
      <c r="H11" s="289" t="s">
        <v>298</v>
      </c>
      <c r="I11" s="289">
        <f>$N84*I28</f>
        <v>0</v>
      </c>
      <c r="J11" s="289">
        <v>5.6</v>
      </c>
      <c r="K11" s="120"/>
      <c r="L11" s="289">
        <f ca="1">'Subtransmission - Select firm'!O20/1000</f>
        <v>29391.143143339679</v>
      </c>
      <c r="M11" s="289" t="s">
        <v>246</v>
      </c>
      <c r="N11" s="289">
        <f>Levies!O29</f>
        <v>0</v>
      </c>
      <c r="O11" s="289">
        <f>+Termites!F9/1000</f>
        <v>3028.5314716387684</v>
      </c>
      <c r="P11" s="262">
        <f t="shared" ca="1" si="1"/>
        <v>29391.143143339679</v>
      </c>
      <c r="Q11" s="68"/>
      <c r="R11" s="112">
        <f t="shared" ca="1" si="0"/>
        <v>32419.674614978449</v>
      </c>
      <c r="S11" s="112">
        <f t="shared" ca="1" si="2"/>
        <v>32419.674614978449</v>
      </c>
      <c r="U11" s="219"/>
      <c r="V11" s="219"/>
      <c r="W11" s="219"/>
      <c r="X11" s="335"/>
      <c r="Y11" s="335"/>
    </row>
    <row r="12" spans="1:25">
      <c r="A12" s="104" t="s">
        <v>7</v>
      </c>
      <c r="B12" s="335" t="s">
        <v>53</v>
      </c>
      <c r="C12" s="335"/>
      <c r="D12" s="335"/>
      <c r="E12" s="120"/>
      <c r="F12" s="120"/>
      <c r="G12" s="120"/>
      <c r="H12" s="289" t="s">
        <v>298</v>
      </c>
      <c r="I12" s="120"/>
      <c r="J12" s="289">
        <v>0</v>
      </c>
      <c r="K12" s="120"/>
      <c r="L12" s="289">
        <f ca="1">'Subtransmission - Select firm'!O21/1000</f>
        <v>2645.8979034050794</v>
      </c>
      <c r="M12" s="289" t="s">
        <v>246</v>
      </c>
      <c r="N12" s="289">
        <f>Levies!O30</f>
        <v>811.17883208718206</v>
      </c>
      <c r="O12" s="289">
        <f>+Termites!F10/1000</f>
        <v>18.725406277893885</v>
      </c>
      <c r="P12" s="262">
        <f t="shared" ca="1" si="1"/>
        <v>2645.8979034050794</v>
      </c>
      <c r="Q12" s="68"/>
      <c r="R12" s="112">
        <f t="shared" ca="1" si="0"/>
        <v>3475.8021417701552</v>
      </c>
      <c r="S12" s="112">
        <f t="shared" ca="1" si="2"/>
        <v>2664.6233096829733</v>
      </c>
      <c r="U12" s="219"/>
      <c r="V12" s="219"/>
      <c r="W12" s="219"/>
      <c r="X12" s="335"/>
      <c r="Y12" s="335"/>
    </row>
    <row r="13" spans="1:25">
      <c r="A13" s="104" t="s">
        <v>8</v>
      </c>
      <c r="B13" s="335" t="s">
        <v>55</v>
      </c>
      <c r="C13" s="335"/>
      <c r="D13" s="335"/>
      <c r="E13" s="120"/>
      <c r="F13" s="120"/>
      <c r="G13" s="120"/>
      <c r="H13" s="289" t="s">
        <v>298</v>
      </c>
      <c r="I13" s="120"/>
      <c r="J13" s="289">
        <v>0</v>
      </c>
      <c r="K13" s="120"/>
      <c r="L13" s="289">
        <f ca="1">'Subtransmission - Select firm'!O22/1000</f>
        <v>7780.9560510703586</v>
      </c>
      <c r="M13" s="289" t="s">
        <v>246</v>
      </c>
      <c r="N13" s="289">
        <f>Levies!O31</f>
        <v>1639.7429000540533</v>
      </c>
      <c r="O13" s="289">
        <f>+Termites!F11/1000</f>
        <v>537.61550072813679</v>
      </c>
      <c r="P13" s="262">
        <f t="shared" ca="1" si="1"/>
        <v>7780.9560510703586</v>
      </c>
      <c r="Q13" s="68"/>
      <c r="R13" s="112">
        <f t="shared" ca="1" si="0"/>
        <v>9958.3144518525478</v>
      </c>
      <c r="S13" s="112">
        <f t="shared" ca="1" si="2"/>
        <v>8318.5715517984954</v>
      </c>
      <c r="U13" s="219"/>
      <c r="V13" s="219"/>
      <c r="W13" s="219"/>
      <c r="X13" s="335"/>
      <c r="Y13" s="335"/>
    </row>
    <row r="14" spans="1:25">
      <c r="A14" s="104" t="s">
        <v>9</v>
      </c>
      <c r="B14" s="335" t="s">
        <v>57</v>
      </c>
      <c r="C14" s="335"/>
      <c r="D14" s="335"/>
      <c r="E14" s="120"/>
      <c r="F14" s="120"/>
      <c r="G14" s="120"/>
      <c r="H14" s="289" t="s">
        <v>298</v>
      </c>
      <c r="I14" s="120"/>
      <c r="J14" s="289">
        <v>5.6</v>
      </c>
      <c r="K14" s="120"/>
      <c r="L14" s="289">
        <f ca="1">'Subtransmission - Select firm'!O23/1000</f>
        <v>10627.639080757895</v>
      </c>
      <c r="M14" s="289" t="s">
        <v>246</v>
      </c>
      <c r="N14" s="289">
        <f>Levies!O32</f>
        <v>3525.4306293735394</v>
      </c>
      <c r="O14" s="289">
        <f>+Termites!F12/1000</f>
        <v>0</v>
      </c>
      <c r="P14" s="262">
        <f t="shared" ca="1" si="1"/>
        <v>10627.639080757895</v>
      </c>
      <c r="Q14" s="68"/>
      <c r="R14" s="112">
        <f t="shared" ca="1" si="0"/>
        <v>14153.069710131434</v>
      </c>
      <c r="S14" s="112">
        <f t="shared" ca="1" si="2"/>
        <v>10627.639080757895</v>
      </c>
      <c r="U14" s="219"/>
      <c r="V14" s="219"/>
      <c r="W14" s="219"/>
      <c r="X14" s="335"/>
      <c r="Y14" s="335"/>
    </row>
    <row r="15" spans="1:25">
      <c r="A15" s="104" t="s">
        <v>10</v>
      </c>
      <c r="B15" s="335" t="s">
        <v>177</v>
      </c>
      <c r="C15" s="335"/>
      <c r="D15" s="335"/>
      <c r="E15" s="120"/>
      <c r="F15" s="120"/>
      <c r="G15" s="120"/>
      <c r="H15" s="289" t="s">
        <v>298</v>
      </c>
      <c r="I15" s="120"/>
      <c r="J15" s="289">
        <v>0</v>
      </c>
      <c r="K15" s="120"/>
      <c r="L15" s="289">
        <f ca="1">'Subtransmission - Select firm'!O24/1000</f>
        <v>6952.965573259251</v>
      </c>
      <c r="M15" s="289" t="s">
        <v>246</v>
      </c>
      <c r="N15" s="289">
        <f>Levies!O33</f>
        <v>195.18368690970573</v>
      </c>
      <c r="O15" s="289">
        <f>+Termites!F13/1000</f>
        <v>273.51156486888391</v>
      </c>
      <c r="P15" s="262">
        <f t="shared" ca="1" si="1"/>
        <v>6952.965573259251</v>
      </c>
      <c r="Q15" s="68"/>
      <c r="R15" s="112">
        <f t="shared" ca="1" si="0"/>
        <v>7421.6608250378413</v>
      </c>
      <c r="S15" s="112">
        <f t="shared" ca="1" si="2"/>
        <v>7226.4771381281353</v>
      </c>
      <c r="U15" s="219"/>
      <c r="V15" s="219"/>
      <c r="W15" s="219"/>
      <c r="X15" s="335"/>
      <c r="Y15" s="335"/>
    </row>
    <row r="16" spans="1:25">
      <c r="A16" s="104" t="s">
        <v>11</v>
      </c>
      <c r="B16" s="335" t="s">
        <v>60</v>
      </c>
      <c r="C16" s="335"/>
      <c r="D16" s="335"/>
      <c r="E16" s="120"/>
      <c r="F16" s="120"/>
      <c r="G16" s="120"/>
      <c r="H16" s="289" t="s">
        <v>298</v>
      </c>
      <c r="I16" s="120"/>
      <c r="J16" s="289">
        <v>5.6</v>
      </c>
      <c r="K16" s="120"/>
      <c r="L16" s="289">
        <f ca="1">'Subtransmission - Select firm'!O25/1000</f>
        <v>32.166990461141992</v>
      </c>
      <c r="M16" s="289" t="s">
        <v>246</v>
      </c>
      <c r="N16" s="289">
        <f>Levies!O34</f>
        <v>3891.2692479648167</v>
      </c>
      <c r="O16" s="289">
        <f>+Termites!F14/1000</f>
        <v>0</v>
      </c>
      <c r="P16" s="262">
        <f t="shared" ca="1" si="1"/>
        <v>32.166990461141992</v>
      </c>
      <c r="Q16" s="68"/>
      <c r="R16" s="112">
        <f t="shared" ca="1" si="0"/>
        <v>3923.4362384259589</v>
      </c>
      <c r="S16" s="112">
        <f t="shared" ca="1" si="2"/>
        <v>32.166990461141992</v>
      </c>
      <c r="U16" s="219"/>
      <c r="V16" s="219"/>
      <c r="W16" s="219"/>
      <c r="X16" s="335"/>
      <c r="Y16" s="335"/>
    </row>
    <row r="17" spans="1:38">
      <c r="A17" s="104" t="s">
        <v>12</v>
      </c>
      <c r="B17" s="335" t="s">
        <v>62</v>
      </c>
      <c r="C17" s="335"/>
      <c r="D17" s="335"/>
      <c r="E17" s="120"/>
      <c r="F17" s="120"/>
      <c r="G17" s="120"/>
      <c r="H17" s="289" t="s">
        <v>298</v>
      </c>
      <c r="I17" s="120"/>
      <c r="J17" s="289">
        <v>0</v>
      </c>
      <c r="K17" s="120"/>
      <c r="L17" s="289">
        <f ca="1">'Subtransmission - Select firm'!O26/1000</f>
        <v>4599.1672472032051</v>
      </c>
      <c r="M17" s="289" t="s">
        <v>246</v>
      </c>
      <c r="N17" s="289">
        <f>Levies!O35</f>
        <v>810.05474242313437</v>
      </c>
      <c r="O17" s="289">
        <f>+Termites!F15/1000</f>
        <v>67.936712771879101</v>
      </c>
      <c r="P17" s="262">
        <f t="shared" ca="1" si="1"/>
        <v>4599.1672472032051</v>
      </c>
      <c r="Q17" s="68"/>
      <c r="R17" s="112">
        <f t="shared" ca="1" si="0"/>
        <v>5477.1587023982183</v>
      </c>
      <c r="S17" s="112">
        <f t="shared" ca="1" si="2"/>
        <v>4667.1039599750839</v>
      </c>
      <c r="U17" s="219"/>
      <c r="V17" s="219"/>
      <c r="W17" s="219"/>
      <c r="X17" s="335"/>
      <c r="Y17" s="335"/>
    </row>
    <row r="18" spans="1:38">
      <c r="P18" s="68"/>
      <c r="Q18" s="68"/>
      <c r="R18" s="335"/>
      <c r="X18" s="335"/>
    </row>
    <row r="19" spans="1:38">
      <c r="P19" s="68"/>
      <c r="Q19" s="68"/>
      <c r="X19" s="335"/>
    </row>
    <row r="20" spans="1:38" ht="18" thickBot="1">
      <c r="A20" s="359" t="s">
        <v>218</v>
      </c>
      <c r="B20" s="359"/>
      <c r="C20" s="334"/>
      <c r="D20" s="334"/>
      <c r="P20" s="68"/>
      <c r="Q20" s="68"/>
      <c r="X20" s="335"/>
    </row>
    <row r="21" spans="1:38" ht="61.5" thickTop="1" thickBot="1">
      <c r="A21" s="214"/>
      <c r="B21" s="214" t="s">
        <v>28</v>
      </c>
      <c r="C21" s="214" t="s">
        <v>224</v>
      </c>
      <c r="D21" s="214" t="s">
        <v>225</v>
      </c>
      <c r="E21" s="214" t="s">
        <v>73</v>
      </c>
      <c r="F21" s="214" t="s">
        <v>75</v>
      </c>
      <c r="G21" s="214" t="s">
        <v>76</v>
      </c>
      <c r="H21" s="214" t="s">
        <v>178</v>
      </c>
      <c r="I21" s="218" t="s">
        <v>79</v>
      </c>
      <c r="J21" s="214" t="s">
        <v>80</v>
      </c>
      <c r="K21" s="214" t="s">
        <v>81</v>
      </c>
      <c r="L21" s="214" t="s">
        <v>85</v>
      </c>
      <c r="M21" s="214" t="s">
        <v>216</v>
      </c>
      <c r="N21" s="214" t="s">
        <v>83</v>
      </c>
      <c r="O21" s="214" t="s">
        <v>84</v>
      </c>
      <c r="P21" s="214" t="s">
        <v>234</v>
      </c>
      <c r="Q21" s="214"/>
      <c r="R21" s="214" t="s">
        <v>293</v>
      </c>
      <c r="S21" s="214" t="s">
        <v>295</v>
      </c>
      <c r="U21" s="214" t="s">
        <v>222</v>
      </c>
      <c r="V21" s="214" t="s">
        <v>243</v>
      </c>
      <c r="X21" s="335"/>
    </row>
    <row r="22" spans="1:38" ht="15.75" thickBot="1">
      <c r="A22" s="69" t="s">
        <v>0</v>
      </c>
      <c r="B22" s="335" t="s">
        <v>294</v>
      </c>
      <c r="C22" s="219">
        <f ca="1">'base OPEX-short'!F49</f>
        <v>36522.954925729115</v>
      </c>
      <c r="D22" s="219">
        <f t="shared" ref="D22:D34" ca="1" si="3">C22-R5</f>
        <v>34395.43854567103</v>
      </c>
      <c r="E22" s="220">
        <f ca="1">IF(ISNUMBER(E5),E5/$C22,0)</f>
        <v>1.929471482888051E-2</v>
      </c>
      <c r="F22" s="289" t="s">
        <v>298</v>
      </c>
      <c r="G22" s="120"/>
      <c r="H22" s="289" t="s">
        <v>298</v>
      </c>
      <c r="I22" s="120"/>
      <c r="J22" s="336">
        <f t="shared" ref="J22:J34" ca="1" si="4">IF(ISNUMBER(J5),J5/$C22,0)</f>
        <v>1.5332822909284923E-4</v>
      </c>
      <c r="K22" s="220">
        <f>IF(ISNUMBER(K5),K5/$C22,0)</f>
        <v>0</v>
      </c>
      <c r="L22" s="220">
        <f t="shared" ref="L22:O34" ca="1" si="5">IF(ISNUMBER(L5),L5/$C22,0)</f>
        <v>3.7701542065611951E-2</v>
      </c>
      <c r="M22" s="289" t="s">
        <v>246</v>
      </c>
      <c r="N22" s="220" t="str">
        <f>IF(ISNUMBER(N5),N5/$C22,"")</f>
        <v/>
      </c>
      <c r="O22" s="220">
        <f t="shared" ca="1" si="5"/>
        <v>1.2552286269958835E-3</v>
      </c>
      <c r="P22" s="173">
        <f t="shared" ref="P22:P34" ca="1" si="6">L22+I22</f>
        <v>3.7701542065611951E-2</v>
      </c>
      <c r="Q22" s="174" t="e">
        <f ca="1">K22+F22+E22</f>
        <v>#VALUE!</v>
      </c>
      <c r="R22" s="220">
        <f t="shared" ref="R22:R34" ca="1" si="7">SUMPRODUCT($E22:$O22,$E$35:$O$35)</f>
        <v>5.8251485521488344E-2</v>
      </c>
      <c r="S22" s="155">
        <f t="shared" ref="S22:S34" ca="1" si="8">SUMPRODUCT(E22:O22,$E$36:$O$36)</f>
        <v>5.8251485521488344E-2</v>
      </c>
      <c r="U22" s="109">
        <f ca="1">'base OPEX-short'!E67</f>
        <v>175987.8</v>
      </c>
      <c r="V22" s="158" t="str">
        <f>'base OPEX-short'!F67</f>
        <v/>
      </c>
      <c r="W22" s="217"/>
      <c r="X22" s="335"/>
      <c r="Y22" s="217"/>
      <c r="Z22" s="217"/>
      <c r="AA22" s="217"/>
      <c r="AB22" s="217"/>
      <c r="AC22" s="217"/>
      <c r="AD22" s="217"/>
      <c r="AE22" s="217"/>
      <c r="AF22" s="217"/>
      <c r="AG22" s="217"/>
      <c r="AH22" s="217"/>
      <c r="AI22" s="217"/>
      <c r="AJ22" s="217"/>
      <c r="AK22" s="217"/>
      <c r="AL22" s="217"/>
    </row>
    <row r="23" spans="1:38" ht="16.5" thickTop="1" thickBot="1">
      <c r="A23" s="104" t="s">
        <v>1</v>
      </c>
      <c r="B23" s="335" t="s">
        <v>42</v>
      </c>
      <c r="C23" s="219">
        <f ca="1">'base OPEX-short'!F50</f>
        <v>320837.38423324219</v>
      </c>
      <c r="D23" s="219">
        <f t="shared" ca="1" si="3"/>
        <v>299050.49186495639</v>
      </c>
      <c r="E23" s="120"/>
      <c r="F23" s="120"/>
      <c r="G23" s="120"/>
      <c r="H23" s="289" t="s">
        <v>298</v>
      </c>
      <c r="I23" s="220">
        <f>'Licence conditions'!F3</f>
        <v>8.5180719485470225E-4</v>
      </c>
      <c r="J23" s="336">
        <f t="shared" ca="1" si="4"/>
        <v>1.7454325073068526E-5</v>
      </c>
      <c r="K23" s="120"/>
      <c r="L23" s="220">
        <f t="shared" ca="1" si="5"/>
        <v>6.7150463588829465E-2</v>
      </c>
      <c r="M23" s="289" t="s">
        <v>246</v>
      </c>
      <c r="N23" s="220">
        <f t="shared" ref="N23:N34" ca="1" si="9">IF(ISNUMBER(N6),N6/$C23,"")</f>
        <v>9.2260301993775379E-5</v>
      </c>
      <c r="O23" s="220">
        <f t="shared" ca="1" si="5"/>
        <v>6.636157034653656E-4</v>
      </c>
      <c r="P23" s="173">
        <f t="shared" ca="1" si="6"/>
        <v>6.8002270783684163E-2</v>
      </c>
      <c r="Q23" s="173"/>
      <c r="R23" s="220">
        <f t="shared" ca="1" si="7"/>
        <v>6.8758146789143298E-2</v>
      </c>
      <c r="S23" s="155">
        <f t="shared" ca="1" si="8"/>
        <v>6.8665886487149524E-2</v>
      </c>
      <c r="U23" s="109">
        <f ca="1">'base OPEX-short'!E68</f>
        <v>1637232.6999999979</v>
      </c>
      <c r="V23" s="158" t="str">
        <f>'base OPEX-short'!F68</f>
        <v/>
      </c>
      <c r="X23" s="335"/>
    </row>
    <row r="24" spans="1:38" ht="16.5" thickTop="1" thickBot="1">
      <c r="A24" s="104" t="s">
        <v>2</v>
      </c>
      <c r="B24" s="335" t="s">
        <v>297</v>
      </c>
      <c r="C24" s="219">
        <f ca="1">'base OPEX-short'!F51</f>
        <v>53380.463241924357</v>
      </c>
      <c r="D24" s="219">
        <f t="shared" ca="1" si="3"/>
        <v>49409.983589835989</v>
      </c>
      <c r="E24" s="120"/>
      <c r="F24" s="120"/>
      <c r="G24" s="120"/>
      <c r="H24" s="289" t="s">
        <v>298</v>
      </c>
      <c r="I24" s="120"/>
      <c r="J24" s="336">
        <f t="shared" ca="1" si="4"/>
        <v>0</v>
      </c>
      <c r="K24" s="120"/>
      <c r="L24" s="220">
        <f t="shared" ca="1" si="5"/>
        <v>5.7461268876030341E-2</v>
      </c>
      <c r="M24" s="289" t="s">
        <v>246</v>
      </c>
      <c r="N24" s="220">
        <f t="shared" ca="1" si="9"/>
        <v>1.6548225293104835E-2</v>
      </c>
      <c r="O24" s="220">
        <f t="shared" ca="1" si="5"/>
        <v>3.7127008339380384E-4</v>
      </c>
      <c r="P24" s="173">
        <f t="shared" ca="1" si="6"/>
        <v>5.7461268876030341E-2</v>
      </c>
      <c r="Q24" s="173"/>
      <c r="R24" s="220">
        <f t="shared" ca="1" si="7"/>
        <v>7.4380764252528972E-2</v>
      </c>
      <c r="S24" s="155">
        <f t="shared" ca="1" si="8"/>
        <v>5.7832538959424147E-2</v>
      </c>
      <c r="U24" s="109">
        <f ca="1">'base OPEX-short'!E69</f>
        <v>321928.59608474997</v>
      </c>
      <c r="V24" s="158">
        <f>'base OPEX-short'!F69</f>
        <v>1</v>
      </c>
      <c r="X24" s="335"/>
    </row>
    <row r="25" spans="1:38" ht="16.5" thickTop="1" thickBot="1">
      <c r="A25" s="104" t="s">
        <v>3</v>
      </c>
      <c r="B25" s="335" t="s">
        <v>45</v>
      </c>
      <c r="C25" s="219">
        <f ca="1">'base OPEX-short'!F52</f>
        <v>209838.76280857634</v>
      </c>
      <c r="D25" s="219">
        <f t="shared" ca="1" si="3"/>
        <v>192292.01979753491</v>
      </c>
      <c r="E25" s="120"/>
      <c r="F25" s="120"/>
      <c r="G25" s="120"/>
      <c r="H25" s="289" t="s">
        <v>298</v>
      </c>
      <c r="I25" s="337">
        <f>'Licence conditions'!F4</f>
        <v>0</v>
      </c>
      <c r="J25" s="336">
        <f t="shared" ca="1" si="4"/>
        <v>2.6687156963027622E-5</v>
      </c>
      <c r="K25" s="120"/>
      <c r="L25" s="220">
        <f t="shared" ca="1" si="5"/>
        <v>7.9964926648946846E-2</v>
      </c>
      <c r="M25" s="289" t="s">
        <v>246</v>
      </c>
      <c r="N25" s="220">
        <f t="shared" ca="1" si="9"/>
        <v>1.1084430834355173E-4</v>
      </c>
      <c r="O25" s="220">
        <f t="shared" ca="1" si="5"/>
        <v>3.5443513508472157E-3</v>
      </c>
      <c r="P25" s="173">
        <f t="shared" ca="1" si="6"/>
        <v>7.9964926648946846E-2</v>
      </c>
      <c r="Q25" s="173"/>
      <c r="R25" s="220">
        <f t="shared" ca="1" si="7"/>
        <v>8.3620122308137618E-2</v>
      </c>
      <c r="S25" s="155">
        <f t="shared" ca="1" si="8"/>
        <v>8.350927799979406E-2</v>
      </c>
      <c r="U25" s="109">
        <f ca="1">'base OPEX-short'!E70</f>
        <v>922816.15641852806</v>
      </c>
      <c r="V25" s="158" t="str">
        <f>'base OPEX-short'!F70</f>
        <v/>
      </c>
      <c r="X25" s="335"/>
    </row>
    <row r="26" spans="1:38" ht="16.5" thickTop="1" thickBot="1">
      <c r="A26" s="104" t="s">
        <v>4</v>
      </c>
      <c r="B26" s="335" t="s">
        <v>47</v>
      </c>
      <c r="C26" s="219">
        <f ca="1">'base OPEX-short'!F53</f>
        <v>287270.93659338978</v>
      </c>
      <c r="D26" s="219">
        <f t="shared" ca="1" si="3"/>
        <v>260558.04435276357</v>
      </c>
      <c r="E26" s="120"/>
      <c r="F26" s="120"/>
      <c r="G26" s="120"/>
      <c r="H26" s="289" t="s">
        <v>298</v>
      </c>
      <c r="I26" s="337">
        <f>'Licence conditions'!F5</f>
        <v>0</v>
      </c>
      <c r="J26" s="336">
        <f t="shared" ca="1" si="4"/>
        <v>1.9493792398241716E-5</v>
      </c>
      <c r="K26" s="120"/>
      <c r="L26" s="220">
        <f t="shared" ca="1" si="5"/>
        <v>5.771394489708484E-2</v>
      </c>
      <c r="M26" s="289" t="s">
        <v>246</v>
      </c>
      <c r="N26" s="220">
        <f t="shared" ca="1" si="9"/>
        <v>3.0565013680138555E-2</v>
      </c>
      <c r="O26" s="220">
        <f t="shared" ca="1" si="5"/>
        <v>4.7095370826640134E-3</v>
      </c>
      <c r="P26" s="173">
        <f t="shared" ca="1" si="6"/>
        <v>5.771394489708484E-2</v>
      </c>
      <c r="Q26" s="173"/>
      <c r="R26" s="220">
        <f t="shared" ca="1" si="7"/>
        <v>9.2988495659887413E-2</v>
      </c>
      <c r="S26" s="155">
        <f t="shared" ca="1" si="8"/>
        <v>6.2423481979748854E-2</v>
      </c>
      <c r="U26" s="109">
        <f ca="1">'base OPEX-short'!E71</f>
        <v>1360762.6999999941</v>
      </c>
      <c r="V26" s="158" t="str">
        <f>'base OPEX-short'!F71</f>
        <v/>
      </c>
      <c r="X26" s="335"/>
    </row>
    <row r="27" spans="1:38" ht="16.5" thickTop="1" thickBot="1">
      <c r="A27" s="104" t="s">
        <v>5</v>
      </c>
      <c r="B27" s="335" t="s">
        <v>49</v>
      </c>
      <c r="C27" s="219">
        <f ca="1">'base OPEX-short'!F54</f>
        <v>292390.03129487793</v>
      </c>
      <c r="D27" s="219">
        <f t="shared" ca="1" si="3"/>
        <v>246758.89184535533</v>
      </c>
      <c r="E27" s="120"/>
      <c r="F27" s="120"/>
      <c r="G27" s="220">
        <f ca="1">IF(ISNUMBER(G10),G10/$C27,0)</f>
        <v>4.3872746682917033E-2</v>
      </c>
      <c r="H27" s="289" t="s">
        <v>298</v>
      </c>
      <c r="I27" s="337">
        <f>'Licence conditions'!F6</f>
        <v>0</v>
      </c>
      <c r="J27" s="336">
        <f t="shared" ca="1" si="4"/>
        <v>1.9152499745630351E-5</v>
      </c>
      <c r="K27" s="120"/>
      <c r="L27" s="220">
        <f t="shared" ca="1" si="5"/>
        <v>8.5338666767128937E-2</v>
      </c>
      <c r="M27" s="289" t="s">
        <v>246</v>
      </c>
      <c r="N27" s="220">
        <f t="shared" ca="1" si="9"/>
        <v>1.6761134762701375E-2</v>
      </c>
      <c r="O27" s="220">
        <f t="shared" ca="1" si="5"/>
        <v>1.0090020840789136E-2</v>
      </c>
      <c r="P27" s="173">
        <f t="shared" ca="1" si="6"/>
        <v>8.5338666767128937E-2</v>
      </c>
      <c r="Q27" s="173"/>
      <c r="R27" s="220">
        <f t="shared" ca="1" si="7"/>
        <v>0.15606256905353649</v>
      </c>
      <c r="S27" s="155">
        <f t="shared" ca="1" si="8"/>
        <v>0.13930143429083511</v>
      </c>
      <c r="U27" s="109">
        <f ca="1">'base OPEX-short'!E72</f>
        <v>709774.9</v>
      </c>
      <c r="V27" s="158" t="str">
        <f>'base OPEX-short'!F72</f>
        <v/>
      </c>
      <c r="X27" s="335"/>
    </row>
    <row r="28" spans="1:38" ht="16.5" thickTop="1" thickBot="1">
      <c r="A28" s="104" t="s">
        <v>6</v>
      </c>
      <c r="B28" s="335" t="s">
        <v>51</v>
      </c>
      <c r="C28" s="219">
        <f ca="1">'base OPEX-short'!F55</f>
        <v>352373.77531094255</v>
      </c>
      <c r="D28" s="219">
        <f t="shared" ca="1" si="3"/>
        <v>319954.10069596412</v>
      </c>
      <c r="E28" s="120"/>
      <c r="F28" s="120"/>
      <c r="G28" s="120"/>
      <c r="H28" s="289" t="s">
        <v>298</v>
      </c>
      <c r="I28" s="337">
        <f>'Licence conditions'!F7</f>
        <v>0</v>
      </c>
      <c r="J28" s="336">
        <f t="shared" ca="1" si="4"/>
        <v>1.5892215574381022E-5</v>
      </c>
      <c r="K28" s="120"/>
      <c r="L28" s="220">
        <f t="shared" ca="1" si="5"/>
        <v>8.3408996930615154E-2</v>
      </c>
      <c r="M28" s="289" t="s">
        <v>246</v>
      </c>
      <c r="N28" s="220">
        <f t="shared" ca="1" si="9"/>
        <v>0</v>
      </c>
      <c r="O28" s="220">
        <f t="shared" ca="1" si="5"/>
        <v>8.5946562537644131E-3</v>
      </c>
      <c r="P28" s="173">
        <f t="shared" ca="1" si="6"/>
        <v>8.3408996930615154E-2</v>
      </c>
      <c r="Q28" s="173"/>
      <c r="R28" s="220">
        <f t="shared" ca="1" si="7"/>
        <v>9.2003653184379572E-2</v>
      </c>
      <c r="S28" s="155">
        <f t="shared" ca="1" si="8"/>
        <v>9.2003653184379572E-2</v>
      </c>
      <c r="U28" s="109">
        <f ca="1">'base OPEX-short'!E73</f>
        <v>847655.6</v>
      </c>
      <c r="V28" s="158" t="str">
        <f>'base OPEX-short'!F73</f>
        <v/>
      </c>
      <c r="X28" s="335"/>
    </row>
    <row r="29" spans="1:38" ht="16.5" thickTop="1" thickBot="1">
      <c r="A29" s="104" t="s">
        <v>7</v>
      </c>
      <c r="B29" s="335" t="s">
        <v>53</v>
      </c>
      <c r="C29" s="219">
        <f ca="1">'base OPEX-short'!F56</f>
        <v>60358.381909802949</v>
      </c>
      <c r="D29" s="219">
        <f t="shared" ca="1" si="3"/>
        <v>56882.579768032796</v>
      </c>
      <c r="E29" s="120"/>
      <c r="F29" s="120"/>
      <c r="G29" s="120"/>
      <c r="H29" s="289" t="s">
        <v>298</v>
      </c>
      <c r="I29" s="120"/>
      <c r="J29" s="336">
        <f t="shared" ca="1" si="4"/>
        <v>0</v>
      </c>
      <c r="K29" s="120"/>
      <c r="L29" s="220">
        <f t="shared" ca="1" si="5"/>
        <v>4.3836461808386434E-2</v>
      </c>
      <c r="M29" s="289" t="s">
        <v>246</v>
      </c>
      <c r="N29" s="220">
        <f t="shared" ca="1" si="9"/>
        <v>1.3439373396380537E-2</v>
      </c>
      <c r="O29" s="220">
        <f t="shared" ca="1" si="5"/>
        <v>3.1023704886384054E-4</v>
      </c>
      <c r="P29" s="173">
        <f t="shared" ca="1" si="6"/>
        <v>4.3836461808386434E-2</v>
      </c>
      <c r="Q29" s="173"/>
      <c r="R29" s="220">
        <f t="shared" ca="1" si="7"/>
        <v>5.7586072253630813E-2</v>
      </c>
      <c r="S29" s="155">
        <f t="shared" ca="1" si="8"/>
        <v>4.4146698857250276E-2</v>
      </c>
      <c r="U29" s="109">
        <f ca="1">'base OPEX-short'!E74</f>
        <v>319563</v>
      </c>
      <c r="V29" s="158" t="str">
        <f>'base OPEX-short'!F74</f>
        <v/>
      </c>
      <c r="X29" s="335"/>
    </row>
    <row r="30" spans="1:38" ht="16.5" thickTop="1" thickBot="1">
      <c r="A30" s="104" t="s">
        <v>8</v>
      </c>
      <c r="B30" s="335" t="s">
        <v>55</v>
      </c>
      <c r="C30" s="219">
        <f ca="1">'base OPEX-short'!F57</f>
        <v>176717.52245586566</v>
      </c>
      <c r="D30" s="219">
        <f t="shared" ca="1" si="3"/>
        <v>166759.20800401311</v>
      </c>
      <c r="E30" s="120"/>
      <c r="F30" s="120"/>
      <c r="G30" s="120"/>
      <c r="H30" s="289" t="s">
        <v>298</v>
      </c>
      <c r="I30" s="120"/>
      <c r="J30" s="336">
        <f t="shared" ca="1" si="4"/>
        <v>0</v>
      </c>
      <c r="K30" s="120"/>
      <c r="L30" s="220">
        <f t="shared" ca="1" si="5"/>
        <v>4.4030472716782315E-2</v>
      </c>
      <c r="M30" s="289" t="s">
        <v>246</v>
      </c>
      <c r="N30" s="220">
        <f t="shared" ca="1" si="9"/>
        <v>9.2788925357618172E-3</v>
      </c>
      <c r="O30" s="220">
        <f t="shared" ca="1" si="5"/>
        <v>3.0422308623209884E-3</v>
      </c>
      <c r="P30" s="173">
        <f t="shared" ca="1" si="6"/>
        <v>4.4030472716782315E-2</v>
      </c>
      <c r="Q30" s="173"/>
      <c r="R30" s="220">
        <f t="shared" ca="1" si="7"/>
        <v>5.6351596114865121E-2</v>
      </c>
      <c r="S30" s="155">
        <f t="shared" ca="1" si="8"/>
        <v>4.70727035791033E-2</v>
      </c>
      <c r="U30" s="109">
        <f ca="1">'base OPEX-short'!E75</f>
        <v>754231.64141227794</v>
      </c>
      <c r="V30" s="158">
        <f>'base OPEX-short'!F75</f>
        <v>1</v>
      </c>
      <c r="X30" s="335"/>
    </row>
    <row r="31" spans="1:38" ht="16.5" thickTop="1" thickBot="1">
      <c r="A31" s="104" t="s">
        <v>9</v>
      </c>
      <c r="B31" s="335" t="s">
        <v>57</v>
      </c>
      <c r="C31" s="219">
        <f ca="1">'base OPEX-short'!F58</f>
        <v>235287.83152799599</v>
      </c>
      <c r="D31" s="219">
        <f t="shared" ca="1" si="3"/>
        <v>221134.76181786455</v>
      </c>
      <c r="E31" s="120"/>
      <c r="F31" s="120"/>
      <c r="G31" s="120"/>
      <c r="H31" s="289" t="s">
        <v>298</v>
      </c>
      <c r="I31" s="120"/>
      <c r="J31" s="336">
        <f t="shared" ca="1" si="4"/>
        <v>2.3800635857930788E-5</v>
      </c>
      <c r="K31" s="120"/>
      <c r="L31" s="220">
        <f t="shared" ca="1" si="5"/>
        <v>4.5168672819755888E-2</v>
      </c>
      <c r="M31" s="289" t="s">
        <v>246</v>
      </c>
      <c r="N31" s="220">
        <f t="shared" ca="1" si="9"/>
        <v>1.4983480473592031E-2</v>
      </c>
      <c r="O31" s="220">
        <f t="shared" ca="1" si="5"/>
        <v>0</v>
      </c>
      <c r="P31" s="173">
        <f t="shared" ca="1" si="6"/>
        <v>4.5168672819755888E-2</v>
      </c>
      <c r="Q31" s="173"/>
      <c r="R31" s="220">
        <f t="shared" ca="1" si="7"/>
        <v>6.0152153293347915E-2</v>
      </c>
      <c r="S31" s="155">
        <f t="shared" ca="1" si="8"/>
        <v>4.5168672819755888E-2</v>
      </c>
      <c r="U31" s="109">
        <f ca="1">'base OPEX-short'!E76</f>
        <v>846735.9</v>
      </c>
      <c r="V31" s="158">
        <f>'base OPEX-short'!F76</f>
        <v>1</v>
      </c>
      <c r="X31" s="335"/>
    </row>
    <row r="32" spans="1:38" ht="16.5" thickTop="1" thickBot="1">
      <c r="A32" s="104" t="s">
        <v>10</v>
      </c>
      <c r="B32" s="335" t="s">
        <v>177</v>
      </c>
      <c r="C32" s="219">
        <f ca="1">'base OPEX-short'!F59</f>
        <v>169878.04800786794</v>
      </c>
      <c r="D32" s="219">
        <f t="shared" ca="1" si="3"/>
        <v>162456.38718283011</v>
      </c>
      <c r="E32" s="120"/>
      <c r="F32" s="120"/>
      <c r="G32" s="120"/>
      <c r="H32" s="289" t="s">
        <v>298</v>
      </c>
      <c r="I32" s="120"/>
      <c r="J32" s="336">
        <f t="shared" ca="1" si="4"/>
        <v>0</v>
      </c>
      <c r="K32" s="120"/>
      <c r="L32" s="220">
        <f t="shared" ca="1" si="5"/>
        <v>4.092915862170269E-2</v>
      </c>
      <c r="M32" s="289" t="s">
        <v>246</v>
      </c>
      <c r="N32" s="220">
        <f t="shared" ca="1" si="9"/>
        <v>1.1489635606165298E-3</v>
      </c>
      <c r="O32" s="220">
        <f t="shared" ca="1" si="5"/>
        <v>1.610046548546497E-3</v>
      </c>
      <c r="P32" s="173">
        <f t="shared" ca="1" si="6"/>
        <v>4.092915862170269E-2</v>
      </c>
      <c r="Q32" s="173"/>
      <c r="R32" s="220">
        <f t="shared" ca="1" si="7"/>
        <v>4.3688168730865715E-2</v>
      </c>
      <c r="S32" s="155">
        <f t="shared" ca="1" si="8"/>
        <v>4.2539205170249186E-2</v>
      </c>
      <c r="U32" s="109">
        <f ca="1">'base OPEX-short'!E77</f>
        <v>679252.19999998191</v>
      </c>
      <c r="V32" s="158" t="str">
        <f>'base OPEX-short'!F77</f>
        <v/>
      </c>
      <c r="X32" s="335"/>
    </row>
    <row r="33" spans="1:24" ht="16.5" thickTop="1" thickBot="1">
      <c r="A33" s="104" t="s">
        <v>11</v>
      </c>
      <c r="B33" s="335" t="s">
        <v>60</v>
      </c>
      <c r="C33" s="219">
        <f ca="1">'base OPEX-short'!F60</f>
        <v>77939.688986304842</v>
      </c>
      <c r="D33" s="219">
        <f t="shared" ca="1" si="3"/>
        <v>74016.252747878883</v>
      </c>
      <c r="E33" s="120"/>
      <c r="F33" s="120"/>
      <c r="G33" s="120"/>
      <c r="H33" s="289" t="s">
        <v>298</v>
      </c>
      <c r="I33" s="120"/>
      <c r="J33" s="336">
        <f t="shared" ca="1" si="4"/>
        <v>7.1850427847922291E-5</v>
      </c>
      <c r="K33" s="120"/>
      <c r="L33" s="220">
        <f t="shared" ca="1" si="5"/>
        <v>4.1271643343090844E-4</v>
      </c>
      <c r="M33" s="289" t="s">
        <v>246</v>
      </c>
      <c r="N33" s="220">
        <f t="shared" ca="1" si="9"/>
        <v>4.9926671488881233E-2</v>
      </c>
      <c r="O33" s="220">
        <f t="shared" ca="1" si="5"/>
        <v>0</v>
      </c>
      <c r="P33" s="173">
        <f t="shared" ca="1" si="6"/>
        <v>4.1271643343090844E-4</v>
      </c>
      <c r="Q33" s="173"/>
      <c r="R33" s="220">
        <f t="shared" ca="1" si="7"/>
        <v>5.0339387922312143E-2</v>
      </c>
      <c r="S33" s="155">
        <f ca="1">SUMPRODUCT(E33:O33,$E$36:$O$36)</f>
        <v>4.1271643343090844E-4</v>
      </c>
      <c r="U33" s="109">
        <f ca="1">'base OPEX-short'!E78</f>
        <v>279584.19999999402</v>
      </c>
      <c r="V33" s="158">
        <f>'base OPEX-short'!F78</f>
        <v>1</v>
      </c>
      <c r="X33" s="335"/>
    </row>
    <row r="34" spans="1:24" ht="16.5" thickTop="1" thickBot="1">
      <c r="A34" s="104" t="s">
        <v>12</v>
      </c>
      <c r="B34" s="335" t="s">
        <v>62</v>
      </c>
      <c r="C34" s="219">
        <f ca="1">'base OPEX-short'!F61</f>
        <v>121393.54814688706</v>
      </c>
      <c r="D34" s="219">
        <f t="shared" ca="1" si="3"/>
        <v>115916.38944448884</v>
      </c>
      <c r="E34" s="120"/>
      <c r="F34" s="120"/>
      <c r="G34" s="120"/>
      <c r="H34" s="289" t="s">
        <v>298</v>
      </c>
      <c r="I34" s="120"/>
      <c r="J34" s="336">
        <f t="shared" ca="1" si="4"/>
        <v>0</v>
      </c>
      <c r="K34" s="120"/>
      <c r="L34" s="220">
        <f t="shared" ca="1" si="5"/>
        <v>3.78864224451054E-2</v>
      </c>
      <c r="M34" s="289" t="s">
        <v>246</v>
      </c>
      <c r="N34" s="220">
        <f t="shared" ca="1" si="9"/>
        <v>6.6729637183267961E-3</v>
      </c>
      <c r="O34" s="220">
        <f t="shared" ca="1" si="5"/>
        <v>5.5964022642846878E-4</v>
      </c>
      <c r="P34" s="173">
        <f t="shared" ca="1" si="6"/>
        <v>3.78864224451054E-2</v>
      </c>
      <c r="Q34" s="173"/>
      <c r="R34" s="220">
        <f t="shared" ca="1" si="7"/>
        <v>4.5119026389860664E-2</v>
      </c>
      <c r="S34" s="155">
        <f t="shared" ca="1" si="8"/>
        <v>3.8446062671533866E-2</v>
      </c>
      <c r="U34" s="109">
        <f ca="1">'base OPEX-short'!E79</f>
        <v>653707.95483870804</v>
      </c>
      <c r="V34" s="158">
        <f>'base OPEX-short'!F79</f>
        <v>1</v>
      </c>
      <c r="X34" s="335"/>
    </row>
    <row r="35" spans="1:24" ht="15.75" thickTop="1">
      <c r="B35" s="68" t="s">
        <v>217</v>
      </c>
      <c r="C35" s="68"/>
      <c r="D35" s="68"/>
      <c r="E35" s="156">
        <v>1</v>
      </c>
      <c r="F35" s="156">
        <v>0</v>
      </c>
      <c r="G35" s="156">
        <v>1</v>
      </c>
      <c r="H35" s="156">
        <v>0</v>
      </c>
      <c r="I35" s="156">
        <v>1</v>
      </c>
      <c r="J35" s="156">
        <v>0</v>
      </c>
      <c r="K35" s="156">
        <v>0</v>
      </c>
      <c r="L35" s="156">
        <v>1</v>
      </c>
      <c r="M35" s="156">
        <v>0</v>
      </c>
      <c r="N35" s="156">
        <v>1</v>
      </c>
      <c r="O35" s="156">
        <v>1</v>
      </c>
      <c r="P35" s="68"/>
      <c r="Q35" s="68"/>
      <c r="X35" s="335"/>
    </row>
    <row r="36" spans="1:24" ht="15.75" thickBot="1">
      <c r="B36" s="68"/>
      <c r="C36" s="68"/>
      <c r="D36" s="68"/>
      <c r="E36" s="156">
        <v>1</v>
      </c>
      <c r="F36" s="156">
        <v>0</v>
      </c>
      <c r="G36" s="156">
        <v>1</v>
      </c>
      <c r="H36" s="156">
        <v>0</v>
      </c>
      <c r="I36" s="156">
        <v>1</v>
      </c>
      <c r="J36" s="156">
        <v>0</v>
      </c>
      <c r="K36" s="156">
        <v>0</v>
      </c>
      <c r="L36" s="156">
        <v>1</v>
      </c>
      <c r="M36" s="156">
        <v>0</v>
      </c>
      <c r="N36" s="156">
        <v>0</v>
      </c>
      <c r="O36" s="156">
        <v>1</v>
      </c>
      <c r="P36" s="68"/>
      <c r="Q36" s="68"/>
      <c r="X36" s="335"/>
    </row>
    <row r="37" spans="1:24" ht="16.5" thickTop="1" thickBot="1">
      <c r="B37" s="68" t="s">
        <v>219</v>
      </c>
      <c r="C37" s="68"/>
      <c r="D37" s="68"/>
      <c r="E37" s="155">
        <f ca="1">ROUND(SUMPRODUCT(E22:E34,$U$22:$U$34,$V$22:$V$34)/SUMPRODUCT($U$22:$U$34,$V$22:$V$34),5)</f>
        <v>0</v>
      </c>
      <c r="F37" s="155">
        <f ca="1">ROUND(SUMPRODUCT(F22:F34,$U$22:$U$34,$V$22:$V$34)/SUMPRODUCT($U$22:$U$34,$V$22:$V$34),5)</f>
        <v>0</v>
      </c>
      <c r="G37" s="155">
        <f ca="1">ROUND(SUMPRODUCT(G22:G34,$U$22:$U$34,$V$22:$V$34)/SUMPRODUCT($U$22:$U$34,$V$22:$V$34),5)</f>
        <v>0</v>
      </c>
      <c r="H37" s="289" t="s">
        <v>298</v>
      </c>
      <c r="I37" s="155">
        <f ca="1">ROUND(SUMPRODUCT(I22:I34,$U$22:$U$34,$V$22:$V$34)/SUMPRODUCT($U$22:$U$34,$V$22:$V$34),5)</f>
        <v>0</v>
      </c>
      <c r="J37" s="155">
        <f ca="1">ROUND(SUMPRODUCT(J22:J34,$U$22:$U$34,$V$22:$V$34)/SUMPRODUCT($U$22:$U$34,$V$22:$V$34),5)</f>
        <v>1.0000000000000001E-5</v>
      </c>
      <c r="K37" s="155">
        <f ca="1">ROUND(SUMPRODUCT(K22:K34,$U$22:$U$34,$V$22:$V$34)/SUMPRODUCT($U$22:$U$34,$V$22:$V$34),5)</f>
        <v>0</v>
      </c>
      <c r="L37" s="155">
        <f ca="1">ROUND(SUMPRODUCT(L22:L34,$U$22:$U$34,$V$22:$V$34)/SUMPRODUCT($U$22:$U$34,$V$22:$V$34),5)</f>
        <v>4.0210000000000003E-2</v>
      </c>
      <c r="M37" s="155" t="s">
        <v>246</v>
      </c>
      <c r="N37" s="155">
        <f ca="1">ROUND(SUMPRODUCT(N22:N34,$U$22:$U$34,$V$22:$V$34)/SUMPRODUCT($U$22:$U$34,$V$22:$V$34),5)</f>
        <v>1.5169999999999999E-2</v>
      </c>
      <c r="O37" s="155">
        <f ca="1">ROUND(SUMPRODUCT(O22:O34,$U$22:$U$34,$V$22:$V$34)/SUMPRODUCT($U$22:$U$34,$V$22:$V$34),5)</f>
        <v>9.7000000000000005E-4</v>
      </c>
      <c r="P37" s="173">
        <f ca="1">L37+I37</f>
        <v>4.0210000000000003E-2</v>
      </c>
      <c r="Q37" s="174">
        <f ca="1">K37+F37+E37</f>
        <v>0</v>
      </c>
      <c r="R37" s="155">
        <f ca="1">ROUND(SUMPRODUCT(R22:R34,$U$22:$U$34,$V$22:$V$34)/SUMPRODUCT($U$22:$U$34,$V$22:$V$34),5)</f>
        <v>5.6349999999999997E-2</v>
      </c>
      <c r="S37" s="155">
        <f ca="1">ROUND(SUMPRODUCT(S22:S34,$U$22:$U$34,$V$22:$V$34)/SUMPRODUCT($U$22:$U$34,$V$22:$V$34),5)</f>
        <v>4.1180000000000001E-2</v>
      </c>
      <c r="T37" s="157" t="b">
        <f ca="1">R37=R38</f>
        <v>1</v>
      </c>
      <c r="X37" s="335"/>
    </row>
    <row r="38" spans="1:24" ht="15.75" thickTop="1">
      <c r="P38" s="68"/>
      <c r="Q38" s="68"/>
      <c r="R38" s="220">
        <f ca="1">SUMPRODUCT(E$37:O$37,$E$35:$O$35)</f>
        <v>5.6349999999999997E-2</v>
      </c>
      <c r="S38" s="220">
        <f ca="1">SUMPRODUCT(E$37:O$37,$E$36:$O$36)</f>
        <v>4.1180000000000001E-2</v>
      </c>
      <c r="X38" s="335"/>
    </row>
    <row r="39" spans="1:24" ht="18" thickBot="1">
      <c r="A39" s="359" t="s">
        <v>220</v>
      </c>
      <c r="B39" s="359"/>
      <c r="C39" s="334"/>
      <c r="D39" s="334"/>
      <c r="F39" s="80"/>
      <c r="G39" s="217"/>
      <c r="P39" s="68"/>
      <c r="Q39" s="68"/>
      <c r="X39" s="335"/>
    </row>
    <row r="40" spans="1:24" ht="62.25" thickTop="1" thickBot="1">
      <c r="A40" s="214"/>
      <c r="B40" s="214" t="s">
        <v>28</v>
      </c>
      <c r="C40" s="214"/>
      <c r="D40" s="214"/>
      <c r="E40" s="214" t="s">
        <v>73</v>
      </c>
      <c r="F40" s="214" t="s">
        <v>75</v>
      </c>
      <c r="G40" s="214" t="s">
        <v>76</v>
      </c>
      <c r="H40" s="214" t="s">
        <v>178</v>
      </c>
      <c r="I40" s="218" t="s">
        <v>79</v>
      </c>
      <c r="J40" s="214" t="s">
        <v>80</v>
      </c>
      <c r="K40" s="214" t="s">
        <v>81</v>
      </c>
      <c r="L40" s="214" t="s">
        <v>85</v>
      </c>
      <c r="M40" s="214" t="s">
        <v>216</v>
      </c>
      <c r="N40" s="214" t="s">
        <v>83</v>
      </c>
      <c r="O40" s="214" t="s">
        <v>84</v>
      </c>
      <c r="P40" s="214" t="s">
        <v>234</v>
      </c>
      <c r="Q40" s="214" t="s">
        <v>294</v>
      </c>
      <c r="R40" s="214" t="s">
        <v>293</v>
      </c>
      <c r="S40" s="214" t="s">
        <v>295</v>
      </c>
      <c r="T40" s="333"/>
      <c r="U40" s="333"/>
      <c r="X40" s="335"/>
    </row>
    <row r="41" spans="1:24" ht="16.5" thickTop="1" thickBot="1">
      <c r="A41" s="69" t="s">
        <v>0</v>
      </c>
      <c r="B41" s="335" t="s">
        <v>294</v>
      </c>
      <c r="C41" s="335"/>
      <c r="D41" s="335"/>
      <c r="E41" s="220">
        <f ca="1">E22-E$37</f>
        <v>1.929471482888051E-2</v>
      </c>
      <c r="F41" s="289" t="s">
        <v>298</v>
      </c>
      <c r="G41" s="120"/>
      <c r="H41" s="289" t="s">
        <v>298</v>
      </c>
      <c r="I41" s="120"/>
      <c r="J41" s="220">
        <f ca="1">J22-J$37</f>
        <v>1.4332822909284923E-4</v>
      </c>
      <c r="K41" s="220">
        <f ca="1">K22-K$37</f>
        <v>0</v>
      </c>
      <c r="L41" s="220">
        <f ca="1">L22-L$37</f>
        <v>-2.5084579343880517E-3</v>
      </c>
      <c r="M41" s="155" t="s">
        <v>246</v>
      </c>
      <c r="N41" s="220" t="str">
        <f t="shared" ref="N41:N53" si="10">IF(ISNUMBER(N22),N22-N$37,"")</f>
        <v/>
      </c>
      <c r="O41" s="220">
        <f ca="1">O22-O$37</f>
        <v>2.8522862699588349E-4</v>
      </c>
      <c r="P41" s="173">
        <f t="shared" ref="P41:P53" ca="1" si="11">L41+I41</f>
        <v>-2.5084579343880517E-3</v>
      </c>
      <c r="Q41" s="174" t="e">
        <f ca="1">K41+F41+E41</f>
        <v>#VALUE!</v>
      </c>
      <c r="R41" s="220">
        <f t="shared" ref="R41:R53" ca="1" si="12">SUMPRODUCT(E41:O41,$E$35:$O$35)</f>
        <v>1.7071485521488343E-2</v>
      </c>
      <c r="S41" s="155">
        <f ca="1">SUMPRODUCT(E41:O41,$E$36:$O$36)</f>
        <v>1.7071485521488343E-2</v>
      </c>
      <c r="T41" s="157">
        <f t="shared" ref="T41:U53" ca="1" si="13">R22-R$37</f>
        <v>1.9014855214883469E-3</v>
      </c>
      <c r="U41" s="157">
        <f t="shared" ca="1" si="13"/>
        <v>1.7071485521488343E-2</v>
      </c>
      <c r="X41" s="335"/>
    </row>
    <row r="42" spans="1:24" ht="16.5" thickTop="1" thickBot="1">
      <c r="A42" s="104" t="s">
        <v>1</v>
      </c>
      <c r="B42" s="335" t="s">
        <v>42</v>
      </c>
      <c r="C42" s="335"/>
      <c r="D42" s="335"/>
      <c r="E42" s="120"/>
      <c r="F42" s="120"/>
      <c r="G42" s="120"/>
      <c r="H42" s="289" t="s">
        <v>298</v>
      </c>
      <c r="I42" s="220">
        <f ca="1">I23-I$37</f>
        <v>8.5180719485470225E-4</v>
      </c>
      <c r="J42" s="220">
        <f ca="1">J23-J$37</f>
        <v>7.4543250730685255E-6</v>
      </c>
      <c r="K42" s="120"/>
      <c r="L42" s="220">
        <f t="shared" ref="L42:O53" ca="1" si="14">L23-L$37</f>
        <v>2.6940463588829462E-2</v>
      </c>
      <c r="M42" s="155" t="s">
        <v>246</v>
      </c>
      <c r="N42" s="220">
        <f t="shared" ca="1" si="10"/>
        <v>-1.5077739698006224E-2</v>
      </c>
      <c r="O42" s="220">
        <f t="shared" ca="1" si="14"/>
        <v>-3.0638429653463445E-4</v>
      </c>
      <c r="P42" s="173">
        <f t="shared" ca="1" si="11"/>
        <v>2.7792270783684164E-2</v>
      </c>
      <c r="Q42" s="173"/>
      <c r="R42" s="220">
        <f ca="1">SUMPRODUCT(E42:O42,$E$35:$O$35)</f>
        <v>1.2408146789143305E-2</v>
      </c>
      <c r="S42" s="155">
        <f t="shared" ref="S42:S53" ca="1" si="15">SUMPRODUCT(E42:O42,$E$36:$O$36)</f>
        <v>2.748588648714953E-2</v>
      </c>
      <c r="T42" s="157">
        <f t="shared" ca="1" si="13"/>
        <v>1.2408146789143301E-2</v>
      </c>
      <c r="U42" s="157">
        <f t="shared" ca="1" si="13"/>
        <v>2.7485886487149523E-2</v>
      </c>
      <c r="X42" s="335"/>
    </row>
    <row r="43" spans="1:24" ht="16.5" thickTop="1" thickBot="1">
      <c r="A43" s="104" t="s">
        <v>2</v>
      </c>
      <c r="B43" s="335" t="s">
        <v>297</v>
      </c>
      <c r="C43" s="335"/>
      <c r="D43" s="335"/>
      <c r="E43" s="120"/>
      <c r="F43" s="120"/>
      <c r="G43" s="120"/>
      <c r="H43" s="289" t="s">
        <v>298</v>
      </c>
      <c r="I43" s="120"/>
      <c r="J43" s="220">
        <f t="shared" ref="J43:J53" ca="1" si="16">J24-J$37</f>
        <v>-1.0000000000000001E-5</v>
      </c>
      <c r="K43" s="120"/>
      <c r="L43" s="220">
        <f t="shared" ca="1" si="14"/>
        <v>1.7251268876030339E-2</v>
      </c>
      <c r="M43" s="155" t="s">
        <v>246</v>
      </c>
      <c r="N43" s="220">
        <f t="shared" ca="1" si="10"/>
        <v>1.3782252931048358E-3</v>
      </c>
      <c r="O43" s="220">
        <f t="shared" ca="1" si="14"/>
        <v>-5.9872991660619621E-4</v>
      </c>
      <c r="P43" s="173">
        <f t="shared" ca="1" si="11"/>
        <v>1.7251268876030339E-2</v>
      </c>
      <c r="Q43" s="173"/>
      <c r="R43" s="220">
        <f t="shared" ca="1" si="12"/>
        <v>1.8030764252528978E-2</v>
      </c>
      <c r="S43" s="155">
        <f t="shared" ca="1" si="15"/>
        <v>1.6652538959424142E-2</v>
      </c>
      <c r="T43" s="157">
        <f t="shared" ca="1" si="13"/>
        <v>1.8030764252528975E-2</v>
      </c>
      <c r="U43" s="157">
        <f t="shared" ca="1" si="13"/>
        <v>1.6652538959424146E-2</v>
      </c>
      <c r="X43" s="335"/>
    </row>
    <row r="44" spans="1:24" ht="16.5" thickTop="1" thickBot="1">
      <c r="A44" s="104" t="s">
        <v>3</v>
      </c>
      <c r="B44" s="335" t="s">
        <v>45</v>
      </c>
      <c r="C44" s="335"/>
      <c r="D44" s="335"/>
      <c r="E44" s="120"/>
      <c r="F44" s="120"/>
      <c r="G44" s="120"/>
      <c r="H44" s="289" t="s">
        <v>298</v>
      </c>
      <c r="I44" s="220">
        <f ca="1">I25-I$37</f>
        <v>0</v>
      </c>
      <c r="J44" s="220">
        <f t="shared" ca="1" si="16"/>
        <v>1.6687156963027623E-5</v>
      </c>
      <c r="K44" s="120"/>
      <c r="L44" s="220">
        <f t="shared" ca="1" si="14"/>
        <v>3.9754926648946844E-2</v>
      </c>
      <c r="M44" s="155" t="s">
        <v>246</v>
      </c>
      <c r="N44" s="220">
        <f t="shared" ca="1" si="10"/>
        <v>-1.5059155691656449E-2</v>
      </c>
      <c r="O44" s="220">
        <f t="shared" ca="1" si="14"/>
        <v>2.5743513508472158E-3</v>
      </c>
      <c r="P44" s="173">
        <f t="shared" ca="1" si="11"/>
        <v>3.9754926648946844E-2</v>
      </c>
      <c r="Q44" s="173"/>
      <c r="R44" s="220">
        <f t="shared" ca="1" si="12"/>
        <v>2.727012230813761E-2</v>
      </c>
      <c r="S44" s="155">
        <f t="shared" ca="1" si="15"/>
        <v>4.2329277999794059E-2</v>
      </c>
      <c r="T44" s="157">
        <f t="shared" ca="1" si="13"/>
        <v>2.727012230813762E-2</v>
      </c>
      <c r="U44" s="157">
        <f t="shared" ca="1" si="13"/>
        <v>4.2329277999794059E-2</v>
      </c>
      <c r="X44" s="335"/>
    </row>
    <row r="45" spans="1:24" ht="16.5" thickTop="1" thickBot="1">
      <c r="A45" s="104" t="s">
        <v>4</v>
      </c>
      <c r="B45" s="335" t="s">
        <v>47</v>
      </c>
      <c r="C45" s="335"/>
      <c r="D45" s="335"/>
      <c r="E45" s="120"/>
      <c r="F45" s="120"/>
      <c r="G45" s="120"/>
      <c r="H45" s="289" t="s">
        <v>298</v>
      </c>
      <c r="I45" s="220">
        <f ca="1">I26-I$37</f>
        <v>0</v>
      </c>
      <c r="J45" s="220">
        <f t="shared" ca="1" si="16"/>
        <v>9.4937923982417155E-6</v>
      </c>
      <c r="K45" s="120"/>
      <c r="L45" s="220">
        <f t="shared" ca="1" si="14"/>
        <v>1.7503944897084837E-2</v>
      </c>
      <c r="M45" s="155" t="s">
        <v>246</v>
      </c>
      <c r="N45" s="220">
        <f t="shared" ca="1" si="10"/>
        <v>1.5395013680138556E-2</v>
      </c>
      <c r="O45" s="220">
        <f t="shared" ca="1" si="14"/>
        <v>3.7395370826640135E-3</v>
      </c>
      <c r="P45" s="173">
        <f t="shared" ca="1" si="11"/>
        <v>1.7503944897084837E-2</v>
      </c>
      <c r="Q45" s="173"/>
      <c r="R45" s="220">
        <f t="shared" ca="1" si="12"/>
        <v>3.6638495659887409E-2</v>
      </c>
      <c r="S45" s="155">
        <f t="shared" ca="1" si="15"/>
        <v>2.124348197974885E-2</v>
      </c>
      <c r="T45" s="157">
        <f t="shared" ca="1" si="13"/>
        <v>3.6638495659887416E-2</v>
      </c>
      <c r="U45" s="157">
        <f t="shared" ca="1" si="13"/>
        <v>2.1243481979748853E-2</v>
      </c>
      <c r="X45" s="335"/>
    </row>
    <row r="46" spans="1:24" ht="16.5" thickTop="1" thickBot="1">
      <c r="A46" s="104" t="s">
        <v>5</v>
      </c>
      <c r="B46" s="335" t="s">
        <v>49</v>
      </c>
      <c r="C46" s="335"/>
      <c r="D46" s="335"/>
      <c r="E46" s="120"/>
      <c r="F46" s="120"/>
      <c r="G46" s="220">
        <f ca="1">G27-G$37</f>
        <v>4.3872746682917033E-2</v>
      </c>
      <c r="H46" s="289" t="s">
        <v>298</v>
      </c>
      <c r="I46" s="220">
        <f ca="1">I27-I$37</f>
        <v>0</v>
      </c>
      <c r="J46" s="220">
        <f t="shared" ca="1" si="16"/>
        <v>9.1524997456303503E-6</v>
      </c>
      <c r="K46" s="120"/>
      <c r="L46" s="220">
        <f t="shared" ca="1" si="14"/>
        <v>4.5128666767128935E-2</v>
      </c>
      <c r="M46" s="155" t="s">
        <v>246</v>
      </c>
      <c r="N46" s="220">
        <f t="shared" ca="1" si="10"/>
        <v>1.5911347627013753E-3</v>
      </c>
      <c r="O46" s="220">
        <f t="shared" ca="1" si="14"/>
        <v>9.1200208407891357E-3</v>
      </c>
      <c r="P46" s="173">
        <f t="shared" ca="1" si="11"/>
        <v>4.5128666767128935E-2</v>
      </c>
      <c r="Q46" s="173"/>
      <c r="R46" s="220">
        <f t="shared" ca="1" si="12"/>
        <v>9.9712569053536482E-2</v>
      </c>
      <c r="S46" s="155">
        <f t="shared" ca="1" si="15"/>
        <v>9.8121434290835113E-2</v>
      </c>
      <c r="T46" s="157">
        <f t="shared" ca="1" si="13"/>
        <v>9.9712569053536496E-2</v>
      </c>
      <c r="U46" s="157">
        <f t="shared" ca="1" si="13"/>
        <v>9.8121434290835113E-2</v>
      </c>
      <c r="X46" s="335"/>
    </row>
    <row r="47" spans="1:24" ht="16.5" thickTop="1" thickBot="1">
      <c r="A47" s="104" t="s">
        <v>6</v>
      </c>
      <c r="B47" s="335" t="s">
        <v>51</v>
      </c>
      <c r="C47" s="335"/>
      <c r="D47" s="335"/>
      <c r="E47" s="120"/>
      <c r="F47" s="120"/>
      <c r="G47" s="120"/>
      <c r="H47" s="289" t="s">
        <v>298</v>
      </c>
      <c r="I47" s="220">
        <f ca="1">I28-I$37</f>
        <v>0</v>
      </c>
      <c r="J47" s="220">
        <f t="shared" ca="1" si="16"/>
        <v>5.8922155743810209E-6</v>
      </c>
      <c r="K47" s="120"/>
      <c r="L47" s="220">
        <f t="shared" ca="1" si="14"/>
        <v>4.3198996930615151E-2</v>
      </c>
      <c r="M47" s="155" t="s">
        <v>246</v>
      </c>
      <c r="N47" s="220">
        <f t="shared" ca="1" si="10"/>
        <v>-1.5169999999999999E-2</v>
      </c>
      <c r="O47" s="220">
        <f t="shared" ca="1" si="14"/>
        <v>7.6246562537644127E-3</v>
      </c>
      <c r="P47" s="173">
        <f t="shared" ca="1" si="11"/>
        <v>4.3198996930615151E-2</v>
      </c>
      <c r="Q47" s="173"/>
      <c r="R47" s="220">
        <f t="shared" ca="1" si="12"/>
        <v>3.5653653184379561E-2</v>
      </c>
      <c r="S47" s="155">
        <f t="shared" ca="1" si="15"/>
        <v>5.0823653184379564E-2</v>
      </c>
      <c r="T47" s="157">
        <f t="shared" ca="1" si="13"/>
        <v>3.5653653184379575E-2</v>
      </c>
      <c r="U47" s="157">
        <f t="shared" ca="1" si="13"/>
        <v>5.0823653184379571E-2</v>
      </c>
      <c r="X47" s="335"/>
    </row>
    <row r="48" spans="1:24" ht="16.5" thickTop="1" thickBot="1">
      <c r="A48" s="104" t="s">
        <v>7</v>
      </c>
      <c r="B48" s="335" t="s">
        <v>53</v>
      </c>
      <c r="C48" s="335"/>
      <c r="D48" s="335"/>
      <c r="E48" s="120"/>
      <c r="F48" s="120"/>
      <c r="G48" s="120"/>
      <c r="H48" s="289" t="s">
        <v>298</v>
      </c>
      <c r="I48" s="120"/>
      <c r="J48" s="220">
        <f t="shared" ca="1" si="16"/>
        <v>-1.0000000000000001E-5</v>
      </c>
      <c r="K48" s="120"/>
      <c r="L48" s="220">
        <f t="shared" ca="1" si="14"/>
        <v>3.6264618083864317E-3</v>
      </c>
      <c r="M48" s="155" t="s">
        <v>246</v>
      </c>
      <c r="N48" s="220">
        <f t="shared" ca="1" si="10"/>
        <v>-1.7306266036194624E-3</v>
      </c>
      <c r="O48" s="220">
        <f t="shared" ca="1" si="14"/>
        <v>-6.5976295113615957E-4</v>
      </c>
      <c r="P48" s="173">
        <f t="shared" ca="1" si="11"/>
        <v>3.6264618083864317E-3</v>
      </c>
      <c r="Q48" s="173"/>
      <c r="R48" s="220">
        <f t="shared" ca="1" si="12"/>
        <v>1.2360722536308097E-3</v>
      </c>
      <c r="S48" s="155">
        <f t="shared" ca="1" si="15"/>
        <v>2.9666988572502719E-3</v>
      </c>
      <c r="T48" s="157">
        <f t="shared" ca="1" si="13"/>
        <v>1.2360722536308155E-3</v>
      </c>
      <c r="U48" s="157">
        <f t="shared" ca="1" si="13"/>
        <v>2.9666988572502745E-3</v>
      </c>
      <c r="X48" s="335"/>
    </row>
    <row r="49" spans="1:24" ht="16.5" thickTop="1" thickBot="1">
      <c r="A49" s="104" t="s">
        <v>8</v>
      </c>
      <c r="B49" s="335" t="s">
        <v>55</v>
      </c>
      <c r="C49" s="335"/>
      <c r="D49" s="335"/>
      <c r="E49" s="120"/>
      <c r="F49" s="120"/>
      <c r="G49" s="120"/>
      <c r="H49" s="289" t="s">
        <v>298</v>
      </c>
      <c r="I49" s="120"/>
      <c r="J49" s="220">
        <f t="shared" ca="1" si="16"/>
        <v>-1.0000000000000001E-5</v>
      </c>
      <c r="K49" s="120"/>
      <c r="L49" s="220">
        <f t="shared" ca="1" si="14"/>
        <v>3.8204727167823124E-3</v>
      </c>
      <c r="M49" s="155" t="s">
        <v>246</v>
      </c>
      <c r="N49" s="220">
        <f t="shared" ca="1" si="10"/>
        <v>-5.8911074642381822E-3</v>
      </c>
      <c r="O49" s="220">
        <f t="shared" ca="1" si="14"/>
        <v>2.0722308623209885E-3</v>
      </c>
      <c r="P49" s="173">
        <f t="shared" ca="1" si="11"/>
        <v>3.8204727167823124E-3</v>
      </c>
      <c r="Q49" s="173"/>
      <c r="R49" s="220">
        <f t="shared" ca="1" si="12"/>
        <v>1.5961148651186946E-6</v>
      </c>
      <c r="S49" s="155">
        <f t="shared" ca="1" si="15"/>
        <v>5.8927035791033009E-3</v>
      </c>
      <c r="T49" s="157">
        <f t="shared" ca="1" si="13"/>
        <v>1.5961148651238988E-6</v>
      </c>
      <c r="U49" s="157">
        <f t="shared" ca="1" si="13"/>
        <v>5.8927035791032992E-3</v>
      </c>
      <c r="X49" s="335"/>
    </row>
    <row r="50" spans="1:24" ht="16.5" thickTop="1" thickBot="1">
      <c r="A50" s="104" t="s">
        <v>9</v>
      </c>
      <c r="B50" s="335" t="s">
        <v>57</v>
      </c>
      <c r="C50" s="335"/>
      <c r="D50" s="335"/>
      <c r="E50" s="120"/>
      <c r="F50" s="120"/>
      <c r="G50" s="120"/>
      <c r="H50" s="289" t="s">
        <v>298</v>
      </c>
      <c r="I50" s="120"/>
      <c r="J50" s="220">
        <f t="shared" ca="1" si="16"/>
        <v>1.3800635857930787E-5</v>
      </c>
      <c r="K50" s="120"/>
      <c r="L50" s="220">
        <f t="shared" ca="1" si="14"/>
        <v>4.9586728197558855E-3</v>
      </c>
      <c r="M50" s="155" t="s">
        <v>246</v>
      </c>
      <c r="N50" s="220">
        <f t="shared" ca="1" si="10"/>
        <v>-1.8651952640796887E-4</v>
      </c>
      <c r="O50" s="220">
        <f t="shared" ca="1" si="14"/>
        <v>-9.7000000000000005E-4</v>
      </c>
      <c r="P50" s="173">
        <f t="shared" ca="1" si="11"/>
        <v>4.9586728197558855E-3</v>
      </c>
      <c r="Q50" s="173"/>
      <c r="R50" s="220">
        <f t="shared" ca="1" si="12"/>
        <v>3.8021532933479167E-3</v>
      </c>
      <c r="S50" s="155">
        <f t="shared" ca="1" si="15"/>
        <v>3.9886728197558851E-3</v>
      </c>
      <c r="T50" s="157">
        <f t="shared" ca="1" si="13"/>
        <v>3.802153293347918E-3</v>
      </c>
      <c r="U50" s="157">
        <f t="shared" ca="1" si="13"/>
        <v>3.9886728197558868E-3</v>
      </c>
      <c r="X50" s="335"/>
    </row>
    <row r="51" spans="1:24" ht="16.5" thickTop="1" thickBot="1">
      <c r="A51" s="104" t="s">
        <v>10</v>
      </c>
      <c r="B51" s="335" t="s">
        <v>177</v>
      </c>
      <c r="C51" s="335"/>
      <c r="D51" s="335"/>
      <c r="E51" s="120"/>
      <c r="F51" s="120"/>
      <c r="G51" s="120"/>
      <c r="H51" s="289" t="s">
        <v>298</v>
      </c>
      <c r="I51" s="120"/>
      <c r="J51" s="220">
        <f t="shared" ca="1" si="16"/>
        <v>-1.0000000000000001E-5</v>
      </c>
      <c r="K51" s="120"/>
      <c r="L51" s="220">
        <f t="shared" ca="1" si="14"/>
        <v>7.1915862170268685E-4</v>
      </c>
      <c r="M51" s="155" t="s">
        <v>246</v>
      </c>
      <c r="N51" s="220">
        <f t="shared" ca="1" si="10"/>
        <v>-1.4021036439383469E-2</v>
      </c>
      <c r="O51" s="220">
        <f t="shared" ca="1" si="14"/>
        <v>6.4004654854649698E-4</v>
      </c>
      <c r="P51" s="173">
        <f t="shared" ca="1" si="11"/>
        <v>7.1915862170268685E-4</v>
      </c>
      <c r="Q51" s="173"/>
      <c r="R51" s="220">
        <f t="shared" ca="1" si="12"/>
        <v>-1.2661831269134286E-2</v>
      </c>
      <c r="S51" s="155">
        <f t="shared" ca="1" si="15"/>
        <v>1.3592051702491837E-3</v>
      </c>
      <c r="T51" s="157">
        <f t="shared" ca="1" si="13"/>
        <v>-1.2661831269134283E-2</v>
      </c>
      <c r="U51" s="157">
        <f t="shared" ca="1" si="13"/>
        <v>1.359205170249185E-3</v>
      </c>
      <c r="X51" s="335"/>
    </row>
    <row r="52" spans="1:24" ht="16.5" thickTop="1" thickBot="1">
      <c r="A52" s="104" t="s">
        <v>11</v>
      </c>
      <c r="B52" s="335" t="s">
        <v>60</v>
      </c>
      <c r="C52" s="335"/>
      <c r="D52" s="335"/>
      <c r="E52" s="120"/>
      <c r="F52" s="120"/>
      <c r="G52" s="120"/>
      <c r="H52" s="289" t="s">
        <v>298</v>
      </c>
      <c r="I52" s="120"/>
      <c r="J52" s="220">
        <f t="shared" ca="1" si="16"/>
        <v>6.1850427847922292E-5</v>
      </c>
      <c r="K52" s="120"/>
      <c r="L52" s="220">
        <f t="shared" ca="1" si="14"/>
        <v>-3.9797283566569093E-2</v>
      </c>
      <c r="M52" s="155" t="s">
        <v>246</v>
      </c>
      <c r="N52" s="220">
        <f t="shared" ca="1" si="10"/>
        <v>3.475667148888123E-2</v>
      </c>
      <c r="O52" s="220">
        <f t="shared" ca="1" si="14"/>
        <v>-9.7000000000000005E-4</v>
      </c>
      <c r="P52" s="173">
        <f t="shared" ca="1" si="11"/>
        <v>-3.9797283566569093E-2</v>
      </c>
      <c r="Q52" s="173"/>
      <c r="R52" s="220">
        <f t="shared" ca="1" si="12"/>
        <v>-6.0106120776878633E-3</v>
      </c>
      <c r="S52" s="155">
        <f t="shared" ca="1" si="15"/>
        <v>-4.0767283566569092E-2</v>
      </c>
      <c r="T52" s="157">
        <f t="shared" ca="1" si="13"/>
        <v>-6.0106120776878547E-3</v>
      </c>
      <c r="U52" s="157">
        <f t="shared" ca="1" si="13"/>
        <v>-4.0767283566569092E-2</v>
      </c>
      <c r="X52" s="335"/>
    </row>
    <row r="53" spans="1:24" ht="16.5" thickTop="1" thickBot="1">
      <c r="A53" s="104" t="s">
        <v>12</v>
      </c>
      <c r="B53" s="335" t="s">
        <v>62</v>
      </c>
      <c r="C53" s="335"/>
      <c r="D53" s="335"/>
      <c r="E53" s="120"/>
      <c r="F53" s="120"/>
      <c r="G53" s="120"/>
      <c r="H53" s="289" t="s">
        <v>298</v>
      </c>
      <c r="I53" s="120"/>
      <c r="J53" s="220">
        <f t="shared" ca="1" si="16"/>
        <v>-1.0000000000000001E-5</v>
      </c>
      <c r="K53" s="120"/>
      <c r="L53" s="220">
        <f t="shared" ca="1" si="14"/>
        <v>-2.3235775548946028E-3</v>
      </c>
      <c r="M53" s="155" t="s">
        <v>246</v>
      </c>
      <c r="N53" s="220">
        <f t="shared" ca="1" si="10"/>
        <v>-8.4970362816732033E-3</v>
      </c>
      <c r="O53" s="220">
        <f t="shared" ca="1" si="14"/>
        <v>-4.1035977357153127E-4</v>
      </c>
      <c r="P53" s="173">
        <f t="shared" ca="1" si="11"/>
        <v>-2.3235775548946028E-3</v>
      </c>
      <c r="Q53" s="173"/>
      <c r="R53" s="220">
        <f t="shared" ca="1" si="12"/>
        <v>-1.1230973610139337E-2</v>
      </c>
      <c r="S53" s="155">
        <f t="shared" ca="1" si="15"/>
        <v>-2.7339373284661342E-3</v>
      </c>
      <c r="T53" s="157">
        <f t="shared" ca="1" si="13"/>
        <v>-1.1230973610139333E-2</v>
      </c>
      <c r="U53" s="157">
        <f t="shared" ca="1" si="13"/>
        <v>-2.733937328466135E-3</v>
      </c>
      <c r="X53" s="335"/>
    </row>
    <row r="54" spans="1:24" ht="15.75" thickTop="1">
      <c r="C54" s="209" t="s">
        <v>149</v>
      </c>
      <c r="D54" s="209"/>
      <c r="E54" s="209" t="s">
        <v>73</v>
      </c>
      <c r="F54" s="209" t="s">
        <v>75</v>
      </c>
      <c r="G54" s="209" t="s">
        <v>76</v>
      </c>
      <c r="H54" s="209" t="s">
        <v>78</v>
      </c>
      <c r="I54" s="209" t="s">
        <v>79</v>
      </c>
      <c r="J54" s="209" t="s">
        <v>80</v>
      </c>
      <c r="K54" s="209" t="s">
        <v>81</v>
      </c>
      <c r="L54" s="209" t="s">
        <v>82</v>
      </c>
      <c r="M54" s="209" t="s">
        <v>77</v>
      </c>
      <c r="N54" s="209" t="s">
        <v>83</v>
      </c>
      <c r="O54" s="209" t="s">
        <v>84</v>
      </c>
      <c r="P54" s="86" t="s">
        <v>234</v>
      </c>
      <c r="Q54" s="86" t="s">
        <v>294</v>
      </c>
      <c r="X54" s="335"/>
    </row>
    <row r="55" spans="1:24">
      <c r="E55" s="335"/>
      <c r="F55" s="80"/>
      <c r="G55" s="217"/>
      <c r="H55" s="80"/>
      <c r="Q55" s="68"/>
      <c r="R55" s="68"/>
      <c r="X55" s="335"/>
    </row>
    <row r="56" spans="1:24" ht="18" thickBot="1">
      <c r="A56" s="358"/>
      <c r="B56" s="358"/>
      <c r="C56" s="333"/>
      <c r="D56" s="333"/>
      <c r="E56" s="333"/>
      <c r="F56" s="333"/>
      <c r="G56" s="333"/>
      <c r="H56" s="333"/>
      <c r="I56" s="333"/>
      <c r="J56" s="333"/>
      <c r="K56" s="333"/>
      <c r="L56" s="333"/>
      <c r="M56" s="333"/>
      <c r="N56" s="333"/>
      <c r="O56" s="333"/>
      <c r="P56" s="333"/>
      <c r="Q56" s="333"/>
      <c r="R56" s="333"/>
      <c r="S56" s="333"/>
      <c r="T56" s="333"/>
      <c r="U56" s="333"/>
      <c r="X56" s="335"/>
    </row>
    <row r="57" spans="1:24" s="170" customFormat="1" ht="16.5" thickTop="1" thickBot="1">
      <c r="A57" s="214"/>
      <c r="B57" s="214"/>
      <c r="C57" s="214"/>
      <c r="D57" s="214"/>
      <c r="E57" s="214"/>
      <c r="F57" s="214"/>
      <c r="G57" s="214"/>
      <c r="H57" s="214"/>
      <c r="I57" s="214"/>
      <c r="J57" s="214"/>
      <c r="K57" s="117"/>
      <c r="L57" s="214"/>
      <c r="M57" s="214"/>
      <c r="N57" s="214"/>
      <c r="O57" s="214"/>
      <c r="P57" s="214"/>
      <c r="Q57" s="214"/>
      <c r="R57" s="214"/>
      <c r="S57" s="288"/>
      <c r="T57" s="288"/>
      <c r="U57" s="288"/>
      <c r="X57" s="335"/>
    </row>
    <row r="58" spans="1:24">
      <c r="A58" s="69"/>
      <c r="B58" s="335"/>
      <c r="C58" s="335"/>
      <c r="D58" s="335"/>
      <c r="E58" s="97"/>
      <c r="F58" s="97"/>
      <c r="G58" s="97"/>
      <c r="H58" s="97"/>
      <c r="I58" s="97"/>
      <c r="J58" s="97"/>
      <c r="K58" s="97"/>
      <c r="L58" s="97"/>
      <c r="M58" s="97"/>
      <c r="N58" s="97"/>
      <c r="O58" s="97"/>
      <c r="P58" s="97"/>
      <c r="Q58" s="88"/>
      <c r="R58" s="88"/>
      <c r="S58" s="167"/>
      <c r="T58" s="183"/>
      <c r="U58" s="167"/>
      <c r="X58" s="335"/>
    </row>
    <row r="59" spans="1:24">
      <c r="A59" s="104"/>
      <c r="B59" s="335"/>
      <c r="C59" s="335"/>
      <c r="D59" s="335"/>
      <c r="E59" s="97"/>
      <c r="F59" s="97"/>
      <c r="G59" s="97"/>
      <c r="H59" s="97"/>
      <c r="I59" s="97"/>
      <c r="J59" s="97"/>
      <c r="K59" s="97"/>
      <c r="L59" s="97"/>
      <c r="M59" s="97"/>
      <c r="N59" s="97"/>
      <c r="O59" s="97"/>
      <c r="P59" s="97"/>
      <c r="Q59" s="88"/>
      <c r="R59" s="88"/>
      <c r="S59" s="167"/>
      <c r="T59" s="183"/>
      <c r="U59" s="167"/>
      <c r="X59" s="335"/>
    </row>
    <row r="60" spans="1:24">
      <c r="A60" s="104"/>
      <c r="B60" s="335"/>
      <c r="C60" s="335"/>
      <c r="D60" s="335"/>
      <c r="E60" s="96"/>
      <c r="F60" s="96"/>
      <c r="G60" s="96"/>
      <c r="H60" s="96"/>
      <c r="I60" s="96"/>
      <c r="J60" s="96"/>
      <c r="K60" s="96"/>
      <c r="L60" s="96"/>
      <c r="M60" s="96"/>
      <c r="N60" s="96"/>
      <c r="O60" s="96"/>
      <c r="P60" s="96"/>
      <c r="Q60" s="88"/>
      <c r="R60" s="88"/>
      <c r="S60" s="167"/>
      <c r="T60" s="183"/>
      <c r="U60" s="167"/>
      <c r="X60" s="335"/>
    </row>
    <row r="61" spans="1:24">
      <c r="A61" s="104"/>
      <c r="B61" s="335"/>
      <c r="C61" s="335"/>
      <c r="D61" s="335"/>
      <c r="E61" s="97"/>
      <c r="F61" s="97"/>
      <c r="G61" s="97"/>
      <c r="H61" s="97"/>
      <c r="I61" s="97"/>
      <c r="J61" s="97"/>
      <c r="K61" s="97"/>
      <c r="L61" s="97"/>
      <c r="M61" s="97"/>
      <c r="N61" s="97"/>
      <c r="O61" s="97"/>
      <c r="P61" s="97"/>
      <c r="Q61" s="88"/>
      <c r="R61" s="88"/>
      <c r="S61" s="167"/>
      <c r="T61" s="183"/>
      <c r="U61" s="167"/>
      <c r="X61" s="335"/>
    </row>
    <row r="62" spans="1:24">
      <c r="A62" s="104"/>
      <c r="B62" s="335"/>
      <c r="C62" s="335"/>
      <c r="D62" s="335"/>
      <c r="E62" s="97"/>
      <c r="F62" s="97"/>
      <c r="G62" s="97"/>
      <c r="H62" s="97"/>
      <c r="I62" s="97"/>
      <c r="J62" s="97"/>
      <c r="K62" s="97"/>
      <c r="L62" s="97"/>
      <c r="M62" s="97"/>
      <c r="N62" s="97"/>
      <c r="O62" s="97"/>
      <c r="P62" s="97"/>
      <c r="Q62" s="88"/>
      <c r="R62" s="88"/>
      <c r="S62" s="167"/>
      <c r="T62" s="183"/>
      <c r="U62" s="167"/>
      <c r="X62" s="335"/>
    </row>
    <row r="63" spans="1:24">
      <c r="A63" s="104"/>
      <c r="B63" s="335"/>
      <c r="C63" s="335"/>
      <c r="D63" s="335"/>
      <c r="E63" s="97"/>
      <c r="F63" s="97"/>
      <c r="G63" s="97"/>
      <c r="H63" s="97"/>
      <c r="I63" s="97"/>
      <c r="J63" s="97"/>
      <c r="K63" s="97"/>
      <c r="L63" s="97"/>
      <c r="M63" s="97"/>
      <c r="N63" s="97"/>
      <c r="O63" s="97"/>
      <c r="P63" s="97"/>
      <c r="Q63" s="88"/>
      <c r="R63" s="88"/>
      <c r="S63" s="167"/>
      <c r="T63" s="183"/>
      <c r="U63" s="167"/>
      <c r="X63" s="335"/>
    </row>
    <row r="64" spans="1:24">
      <c r="A64" s="104"/>
      <c r="B64" s="335"/>
      <c r="C64" s="335"/>
      <c r="D64" s="335"/>
      <c r="E64" s="97"/>
      <c r="F64" s="97"/>
      <c r="G64" s="97"/>
      <c r="H64" s="97"/>
      <c r="I64" s="97"/>
      <c r="J64" s="97"/>
      <c r="K64" s="97"/>
      <c r="L64" s="97"/>
      <c r="M64" s="97"/>
      <c r="N64" s="97"/>
      <c r="O64" s="97"/>
      <c r="P64" s="97"/>
      <c r="Q64" s="88"/>
      <c r="R64" s="88"/>
      <c r="S64" s="167"/>
      <c r="T64" s="183"/>
      <c r="U64" s="167"/>
      <c r="X64" s="335"/>
    </row>
    <row r="65" spans="1:24">
      <c r="A65" s="104"/>
      <c r="B65" s="335"/>
      <c r="C65" s="335"/>
      <c r="D65" s="335"/>
      <c r="E65" s="96"/>
      <c r="F65" s="159"/>
      <c r="G65" s="96"/>
      <c r="H65" s="96"/>
      <c r="I65" s="96"/>
      <c r="J65" s="96"/>
      <c r="K65" s="96"/>
      <c r="L65" s="96"/>
      <c r="M65" s="96"/>
      <c r="N65" s="96"/>
      <c r="O65" s="98"/>
      <c r="P65" s="98"/>
      <c r="Q65" s="88"/>
      <c r="R65" s="88"/>
      <c r="S65" s="167"/>
      <c r="T65" s="183"/>
      <c r="X65" s="335"/>
    </row>
    <row r="66" spans="1:24">
      <c r="A66" s="104"/>
      <c r="B66" s="335"/>
      <c r="C66" s="335"/>
      <c r="D66" s="335"/>
      <c r="E66" s="96"/>
      <c r="F66" s="97"/>
      <c r="G66" s="96"/>
      <c r="H66" s="96"/>
      <c r="I66" s="96"/>
      <c r="J66" s="96"/>
      <c r="K66" s="96"/>
      <c r="L66" s="96"/>
      <c r="M66" s="96"/>
      <c r="N66" s="96"/>
      <c r="O66" s="98"/>
      <c r="P66" s="98"/>
      <c r="Q66" s="88"/>
      <c r="R66" s="88"/>
      <c r="S66" s="167"/>
      <c r="T66" s="183"/>
      <c r="X66" s="335"/>
    </row>
    <row r="67" spans="1:24">
      <c r="A67" s="104"/>
      <c r="B67" s="335"/>
      <c r="C67" s="335"/>
      <c r="D67" s="335"/>
      <c r="E67" s="96"/>
      <c r="F67" s="97"/>
      <c r="G67" s="96"/>
      <c r="H67" s="96"/>
      <c r="I67" s="96"/>
      <c r="J67" s="96"/>
      <c r="K67" s="96"/>
      <c r="L67" s="96"/>
      <c r="M67" s="96"/>
      <c r="N67" s="96"/>
      <c r="O67" s="98"/>
      <c r="P67" s="98"/>
      <c r="Q67" s="88"/>
      <c r="R67" s="88"/>
      <c r="S67" s="167"/>
      <c r="T67" s="183"/>
      <c r="X67" s="335"/>
    </row>
    <row r="68" spans="1:24">
      <c r="A68" s="104"/>
      <c r="B68" s="335"/>
      <c r="C68" s="335"/>
      <c r="D68" s="335"/>
      <c r="E68" s="96"/>
      <c r="F68" s="97"/>
      <c r="G68" s="96"/>
      <c r="H68" s="96"/>
      <c r="I68" s="96"/>
      <c r="J68" s="96"/>
      <c r="K68" s="96"/>
      <c r="L68" s="96"/>
      <c r="M68" s="96"/>
      <c r="N68" s="96"/>
      <c r="O68" s="98"/>
      <c r="P68" s="98"/>
      <c r="Q68" s="88"/>
      <c r="R68" s="88"/>
      <c r="S68" s="167"/>
      <c r="T68" s="183"/>
      <c r="X68" s="335"/>
    </row>
    <row r="69" spans="1:24">
      <c r="A69" s="104"/>
      <c r="B69" s="335"/>
      <c r="C69" s="335"/>
      <c r="D69" s="335"/>
      <c r="E69" s="96"/>
      <c r="F69" s="159"/>
      <c r="G69" s="96"/>
      <c r="H69" s="96"/>
      <c r="I69" s="96"/>
      <c r="J69" s="96"/>
      <c r="K69" s="96"/>
      <c r="L69" s="96"/>
      <c r="M69" s="96"/>
      <c r="N69" s="96"/>
      <c r="O69" s="98"/>
      <c r="P69" s="98"/>
      <c r="Q69" s="88"/>
      <c r="R69" s="88"/>
      <c r="S69" s="167"/>
      <c r="T69" s="183"/>
      <c r="X69" s="335"/>
    </row>
    <row r="70" spans="1:24">
      <c r="A70" s="104"/>
      <c r="B70" s="335"/>
      <c r="C70" s="335"/>
      <c r="D70" s="335"/>
      <c r="E70" s="96"/>
      <c r="F70" s="97"/>
      <c r="G70" s="96"/>
      <c r="H70" s="96"/>
      <c r="I70" s="96"/>
      <c r="J70" s="96"/>
      <c r="K70" s="96"/>
      <c r="L70" s="96"/>
      <c r="M70" s="96"/>
      <c r="N70" s="96"/>
      <c r="O70" s="98"/>
      <c r="P70" s="98"/>
      <c r="Q70" s="88"/>
      <c r="R70" s="88"/>
      <c r="S70" s="167"/>
      <c r="T70" s="183"/>
      <c r="X70" s="335"/>
    </row>
    <row r="71" spans="1:24">
      <c r="C71" s="209"/>
      <c r="D71" s="209"/>
      <c r="E71" s="209"/>
      <c r="F71" s="209"/>
      <c r="G71" s="209"/>
      <c r="H71" s="209"/>
      <c r="I71" s="209"/>
      <c r="J71" s="209"/>
      <c r="K71" s="209"/>
      <c r="L71" s="209"/>
      <c r="M71" s="209"/>
      <c r="N71" s="209"/>
      <c r="O71" s="209"/>
      <c r="P71" s="209"/>
      <c r="Q71" s="209"/>
      <c r="R71" s="86"/>
      <c r="V71" s="183"/>
      <c r="W71" s="183"/>
      <c r="X71" s="335"/>
    </row>
    <row r="72" spans="1:24">
      <c r="A72" s="85" t="s">
        <v>150</v>
      </c>
      <c r="X72" s="335"/>
    </row>
    <row r="73" spans="1:24">
      <c r="A73" s="85"/>
      <c r="X73" s="335"/>
    </row>
    <row r="74" spans="1:24">
      <c r="A74" s="360" t="s">
        <v>223</v>
      </c>
      <c r="B74" s="360"/>
      <c r="C74" s="335"/>
      <c r="D74" s="335"/>
      <c r="E74" s="335"/>
      <c r="F74" s="335"/>
      <c r="G74" s="335"/>
      <c r="H74" s="335"/>
      <c r="I74" s="335"/>
      <c r="J74" s="335"/>
      <c r="K74" s="335"/>
      <c r="L74" s="335"/>
      <c r="M74" s="335"/>
      <c r="N74" s="335"/>
      <c r="O74" s="335"/>
      <c r="P74" s="335"/>
      <c r="Q74" s="335"/>
      <c r="X74" s="335"/>
    </row>
    <row r="75" spans="1:24" ht="15.75" thickBot="1">
      <c r="A75" s="335"/>
      <c r="B75" s="335"/>
      <c r="C75" s="335"/>
      <c r="D75" s="335"/>
      <c r="E75" s="335"/>
      <c r="F75" s="335"/>
      <c r="G75" s="335"/>
      <c r="H75" s="335"/>
      <c r="I75" s="335"/>
      <c r="J75" s="335"/>
      <c r="K75" s="335"/>
      <c r="L75" s="335"/>
      <c r="M75" s="335"/>
      <c r="N75" s="335"/>
      <c r="O75" s="209"/>
      <c r="P75" s="209"/>
      <c r="Q75" s="335"/>
      <c r="X75" s="335"/>
    </row>
    <row r="76" spans="1:24" ht="16.5" thickTop="1" thickBot="1">
      <c r="A76" s="150"/>
      <c r="B76" s="335"/>
      <c r="C76" s="335"/>
      <c r="D76" s="335"/>
      <c r="E76" s="335"/>
      <c r="F76" s="335"/>
      <c r="G76" s="335"/>
      <c r="H76" s="335"/>
      <c r="I76" s="335"/>
      <c r="J76" s="335"/>
      <c r="K76" s="335"/>
      <c r="L76" s="335"/>
      <c r="M76" s="335"/>
      <c r="N76" s="335"/>
      <c r="O76" s="209"/>
      <c r="P76" s="209"/>
      <c r="Q76" s="335"/>
      <c r="X76" s="335"/>
    </row>
    <row r="77" spans="1:24" ht="16.5" thickTop="1" thickBot="1">
      <c r="A77" s="335"/>
      <c r="B77" s="335"/>
      <c r="C77" s="335"/>
      <c r="D77" s="335"/>
      <c r="E77" s="214"/>
      <c r="F77" s="214"/>
      <c r="G77" s="214"/>
      <c r="H77" s="214"/>
      <c r="I77" s="214"/>
      <c r="J77" s="214"/>
      <c r="K77" s="214"/>
      <c r="L77" s="214"/>
      <c r="M77" s="214"/>
      <c r="N77" s="214"/>
      <c r="O77" s="209"/>
      <c r="P77" s="209"/>
      <c r="Q77" s="335"/>
      <c r="X77" s="214"/>
    </row>
    <row r="78" spans="1:24" ht="15.75" thickBot="1">
      <c r="A78" s="335"/>
      <c r="B78" s="335"/>
      <c r="C78" s="335"/>
      <c r="D78" s="335"/>
      <c r="E78" s="335"/>
      <c r="F78" s="183"/>
      <c r="G78" s="219"/>
      <c r="H78" s="183"/>
      <c r="I78" s="219"/>
      <c r="J78" s="183"/>
      <c r="K78" s="219"/>
      <c r="L78" s="335"/>
      <c r="M78" s="335"/>
      <c r="N78" s="210"/>
      <c r="O78" s="209"/>
      <c r="P78" s="209"/>
      <c r="Q78" s="335"/>
      <c r="X78" s="335"/>
    </row>
    <row r="79" spans="1:24" ht="16.5" thickTop="1" thickBot="1">
      <c r="A79" s="335"/>
      <c r="B79" s="335"/>
      <c r="C79" s="335"/>
      <c r="D79" s="335"/>
      <c r="E79" s="335"/>
      <c r="F79" s="183"/>
      <c r="G79" s="219"/>
      <c r="H79" s="183"/>
      <c r="I79" s="219"/>
      <c r="J79" s="183"/>
      <c r="K79" s="219"/>
      <c r="L79" s="335"/>
      <c r="M79" s="335"/>
      <c r="N79" s="210"/>
      <c r="O79" s="209"/>
      <c r="P79" s="209"/>
      <c r="Q79" s="335"/>
      <c r="X79" s="335"/>
    </row>
    <row r="80" spans="1:24" ht="16.5" thickTop="1" thickBot="1">
      <c r="A80" s="335"/>
      <c r="B80" s="335"/>
      <c r="C80" s="335"/>
      <c r="D80" s="335"/>
      <c r="E80" s="335"/>
      <c r="F80" s="183"/>
      <c r="G80" s="219"/>
      <c r="H80" s="183"/>
      <c r="I80" s="219"/>
      <c r="J80" s="183"/>
      <c r="K80" s="219"/>
      <c r="L80" s="335"/>
      <c r="M80" s="335"/>
      <c r="N80" s="210"/>
      <c r="O80" s="209"/>
      <c r="P80" s="209"/>
      <c r="Q80" s="335"/>
      <c r="X80" s="335"/>
    </row>
    <row r="81" spans="1:24" ht="16.5" thickTop="1" thickBot="1">
      <c r="A81" s="335"/>
      <c r="B81" s="335"/>
      <c r="C81" s="335"/>
      <c r="D81" s="335"/>
      <c r="E81" s="335"/>
      <c r="F81" s="183"/>
      <c r="G81" s="219"/>
      <c r="H81" s="183"/>
      <c r="I81" s="219"/>
      <c r="J81" s="183"/>
      <c r="K81" s="219"/>
      <c r="L81" s="335"/>
      <c r="M81" s="335"/>
      <c r="N81" s="210"/>
      <c r="O81" s="209"/>
      <c r="P81" s="209"/>
      <c r="Q81" s="335"/>
      <c r="X81" s="335"/>
    </row>
    <row r="82" spans="1:24" ht="16.5" thickTop="1" thickBot="1">
      <c r="A82" s="335"/>
      <c r="B82" s="335"/>
      <c r="C82" s="335"/>
      <c r="D82" s="335"/>
      <c r="E82" s="335"/>
      <c r="F82" s="183"/>
      <c r="G82" s="219"/>
      <c r="H82" s="183"/>
      <c r="I82" s="219"/>
      <c r="J82" s="183"/>
      <c r="K82" s="219"/>
      <c r="L82" s="335"/>
      <c r="M82" s="335"/>
      <c r="N82" s="210"/>
      <c r="O82" s="209"/>
      <c r="P82" s="209"/>
      <c r="Q82" s="335"/>
      <c r="X82" s="335"/>
    </row>
    <row r="83" spans="1:24" ht="16.5" thickTop="1" thickBot="1">
      <c r="A83" s="335"/>
      <c r="B83" s="335"/>
      <c r="C83" s="335"/>
      <c r="D83" s="335"/>
      <c r="E83" s="335"/>
      <c r="F83" s="183"/>
      <c r="G83" s="219"/>
      <c r="H83" s="183"/>
      <c r="I83" s="219"/>
      <c r="J83" s="183"/>
      <c r="K83" s="219"/>
      <c r="L83" s="335"/>
      <c r="M83" s="335"/>
      <c r="N83" s="210"/>
      <c r="O83" s="209"/>
      <c r="P83" s="209"/>
      <c r="Q83" s="335"/>
      <c r="X83" s="335"/>
    </row>
    <row r="84" spans="1:24" ht="16.5" thickTop="1" thickBot="1">
      <c r="A84" s="335"/>
      <c r="B84" s="335"/>
      <c r="C84" s="335"/>
      <c r="D84" s="335"/>
      <c r="E84" s="335"/>
      <c r="F84" s="183"/>
      <c r="G84" s="219"/>
      <c r="H84" s="183"/>
      <c r="I84" s="219"/>
      <c r="J84" s="183"/>
      <c r="K84" s="219"/>
      <c r="L84" s="335"/>
      <c r="M84" s="335"/>
      <c r="N84" s="210"/>
      <c r="O84" s="209"/>
      <c r="P84" s="209"/>
      <c r="Q84" s="335"/>
      <c r="X84" s="335"/>
    </row>
    <row r="85" spans="1:24" ht="16.5" thickTop="1" thickBot="1">
      <c r="A85" s="335"/>
      <c r="B85" s="335"/>
      <c r="C85" s="335"/>
      <c r="D85" s="335"/>
      <c r="E85" s="335"/>
      <c r="F85" s="183"/>
      <c r="G85" s="219"/>
      <c r="H85" s="183"/>
      <c r="I85" s="219"/>
      <c r="J85" s="183"/>
      <c r="K85" s="219"/>
      <c r="L85" s="335"/>
      <c r="M85" s="335"/>
      <c r="N85" s="210"/>
      <c r="O85" s="209"/>
      <c r="P85" s="209"/>
      <c r="Q85" s="335"/>
      <c r="X85" s="335"/>
    </row>
    <row r="86" spans="1:24" ht="16.5" thickTop="1" thickBot="1">
      <c r="A86" s="335"/>
      <c r="B86" s="335"/>
      <c r="C86" s="335"/>
      <c r="D86" s="335"/>
      <c r="E86" s="335"/>
      <c r="F86" s="183"/>
      <c r="G86" s="219"/>
      <c r="H86" s="183"/>
      <c r="I86" s="219"/>
      <c r="J86" s="183"/>
      <c r="K86" s="219"/>
      <c r="L86" s="335"/>
      <c r="M86" s="335"/>
      <c r="N86" s="210"/>
      <c r="O86" s="209"/>
      <c r="P86" s="209"/>
      <c r="Q86" s="335"/>
      <c r="X86" s="335"/>
    </row>
    <row r="87" spans="1:24" ht="16.5" thickTop="1" thickBot="1">
      <c r="A87" s="335"/>
      <c r="B87" s="335"/>
      <c r="C87" s="335"/>
      <c r="D87" s="335"/>
      <c r="E87" s="335"/>
      <c r="F87" s="183"/>
      <c r="G87" s="219"/>
      <c r="H87" s="183"/>
      <c r="I87" s="219"/>
      <c r="J87" s="183"/>
      <c r="K87" s="219"/>
      <c r="L87" s="335"/>
      <c r="M87" s="335"/>
      <c r="N87" s="210"/>
      <c r="O87" s="209"/>
      <c r="P87" s="209"/>
      <c r="Q87" s="335"/>
      <c r="X87" s="335"/>
    </row>
    <row r="88" spans="1:24" ht="16.5" thickTop="1" thickBot="1">
      <c r="A88" s="335"/>
      <c r="B88" s="335"/>
      <c r="C88" s="335"/>
      <c r="D88" s="335"/>
      <c r="E88" s="335"/>
      <c r="F88" s="183"/>
      <c r="G88" s="219"/>
      <c r="H88" s="183"/>
      <c r="I88" s="219"/>
      <c r="J88" s="183"/>
      <c r="K88" s="219"/>
      <c r="L88" s="335"/>
      <c r="M88" s="335"/>
      <c r="N88" s="210"/>
      <c r="O88" s="209"/>
      <c r="P88" s="209"/>
      <c r="Q88" s="335"/>
      <c r="X88" s="335"/>
    </row>
    <row r="89" spans="1:24" ht="16.5" thickTop="1" thickBot="1">
      <c r="A89" s="335"/>
      <c r="B89" s="335"/>
      <c r="C89" s="335"/>
      <c r="D89" s="335"/>
      <c r="E89" s="335"/>
      <c r="F89" s="183"/>
      <c r="G89" s="219"/>
      <c r="H89" s="183"/>
      <c r="I89" s="219"/>
      <c r="J89" s="183"/>
      <c r="K89" s="219"/>
      <c r="L89" s="335"/>
      <c r="M89" s="335"/>
      <c r="N89" s="210"/>
      <c r="O89" s="209"/>
      <c r="P89" s="209"/>
      <c r="Q89" s="335"/>
      <c r="X89" s="335"/>
    </row>
    <row r="90" spans="1:24" ht="16.5" thickTop="1" thickBot="1">
      <c r="A90" s="335"/>
      <c r="B90" s="335"/>
      <c r="C90" s="335"/>
      <c r="D90" s="335"/>
      <c r="E90" s="335"/>
      <c r="F90" s="183"/>
      <c r="G90" s="219"/>
      <c r="H90" s="183"/>
      <c r="I90" s="219"/>
      <c r="J90" s="183"/>
      <c r="K90" s="219"/>
      <c r="L90" s="335"/>
      <c r="M90" s="335"/>
      <c r="N90" s="210"/>
      <c r="O90" s="209"/>
      <c r="P90" s="209"/>
      <c r="Q90" s="335"/>
      <c r="X90" s="335"/>
    </row>
    <row r="91" spans="1:24" ht="15.75" thickTop="1">
      <c r="A91" s="335"/>
      <c r="B91" s="335"/>
      <c r="C91" s="335"/>
      <c r="D91" s="335"/>
      <c r="E91" s="213"/>
      <c r="F91" s="211"/>
      <c r="G91" s="212"/>
      <c r="H91" s="211"/>
      <c r="I91" s="335"/>
      <c r="J91" s="183"/>
      <c r="K91" s="335"/>
      <c r="L91" s="335"/>
      <c r="M91" s="335"/>
      <c r="N91" s="335"/>
      <c r="O91" s="209"/>
      <c r="P91" s="209"/>
      <c r="Q91" s="335"/>
      <c r="X91" s="335"/>
    </row>
    <row r="92" spans="1:24">
      <c r="A92" s="335"/>
      <c r="B92" s="335"/>
      <c r="C92" s="335"/>
      <c r="D92" s="335"/>
      <c r="E92" s="335"/>
      <c r="F92" s="335"/>
      <c r="G92" s="335"/>
      <c r="H92" s="335"/>
      <c r="I92" s="335"/>
      <c r="J92" s="335"/>
      <c r="K92" s="335"/>
      <c r="L92" s="335"/>
      <c r="M92" s="335"/>
      <c r="N92" s="335"/>
      <c r="O92" s="335"/>
      <c r="P92" s="335"/>
      <c r="Q92" s="335"/>
      <c r="X92" s="335"/>
    </row>
  </sheetData>
  <mergeCells count="5">
    <mergeCell ref="A3:B3"/>
    <mergeCell ref="A20:B20"/>
    <mergeCell ref="A39:B39"/>
    <mergeCell ref="A56:B56"/>
    <mergeCell ref="A74:B74"/>
  </mergeCells>
  <conditionalFormatting sqref="V22:V34">
    <cfRule type="cellIs" dxfId="2" priority="1" operator="greaterThan">
      <formula>0</formula>
    </cfRule>
  </conditionalFormatting>
  <dataValidations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GH86"/>
  <sheetViews>
    <sheetView zoomScale="80" zoomScaleNormal="80" workbookViewId="0">
      <selection activeCell="B6" sqref="B6"/>
    </sheetView>
  </sheetViews>
  <sheetFormatPr defaultColWidth="9.28515625" defaultRowHeight="15" outlineLevelRow="1"/>
  <cols>
    <col min="1" max="1" width="10.7109375" style="6" customWidth="1"/>
    <col min="2" max="2" width="32.5703125" style="6" customWidth="1"/>
    <col min="3" max="3" width="10.5703125" style="153" customWidth="1"/>
    <col min="4" max="4" width="15" style="6" customWidth="1"/>
    <col min="5" max="5" width="23.5703125" style="6" bestFit="1" customWidth="1"/>
    <col min="6" max="6" width="23.5703125" style="6" customWidth="1"/>
    <col min="7" max="7" width="12.7109375" style="6" customWidth="1"/>
    <col min="8" max="8" width="15.28515625" style="41" customWidth="1"/>
    <col min="9" max="9" width="13" style="6" customWidth="1"/>
    <col min="10" max="10" width="11.28515625" style="6" bestFit="1" customWidth="1"/>
    <col min="11" max="11" width="14.42578125" style="6" customWidth="1"/>
    <col min="12" max="12" width="20.42578125" style="6" bestFit="1" customWidth="1"/>
    <col min="13" max="13" width="11.28515625" style="6" bestFit="1" customWidth="1"/>
    <col min="14" max="14" width="14.85546875" style="6" customWidth="1"/>
    <col min="15" max="15" width="16"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25" width="11.140625" style="6" customWidth="1"/>
    <col min="26" max="26" width="10" style="6" customWidth="1"/>
    <col min="27" max="28" width="9.28515625" style="6"/>
    <col min="29" max="32" width="9.85546875" style="6" bestFit="1" customWidth="1"/>
    <col min="33" max="38" width="9.42578125" style="6" bestFit="1" customWidth="1"/>
    <col min="39" max="16384" width="9.28515625" style="6"/>
  </cols>
  <sheetData>
    <row r="1" spans="1:34" outlineLevel="1">
      <c r="A1" s="309" t="s">
        <v>324</v>
      </c>
      <c r="C1" s="6"/>
      <c r="H1" s="43"/>
      <c r="I1" s="44"/>
      <c r="K1" s="44"/>
      <c r="T1" s="221"/>
      <c r="U1" s="221"/>
      <c r="V1" s="221"/>
      <c r="W1" s="221"/>
      <c r="X1" s="221"/>
      <c r="Y1" s="221"/>
      <c r="Z1" s="221"/>
      <c r="AA1" s="221"/>
      <c r="AB1" s="221"/>
      <c r="AC1" s="221"/>
      <c r="AD1" s="221"/>
      <c r="AE1" s="221"/>
      <c r="AF1" s="221"/>
      <c r="AG1" s="221"/>
      <c r="AH1" s="221"/>
    </row>
    <row r="2" spans="1:34" outlineLevel="1">
      <c r="C2" s="6"/>
      <c r="H2" s="43"/>
      <c r="I2" s="43"/>
      <c r="J2" s="43"/>
      <c r="K2" s="43"/>
      <c r="T2" s="221"/>
      <c r="U2" s="221"/>
      <c r="V2" s="221"/>
      <c r="W2" s="221"/>
      <c r="X2" s="221"/>
      <c r="Y2" s="221"/>
      <c r="Z2" s="221"/>
      <c r="AA2" s="221"/>
      <c r="AB2" s="221"/>
      <c r="AC2" s="221"/>
      <c r="AD2" s="221"/>
      <c r="AE2" s="221"/>
      <c r="AF2" s="221"/>
      <c r="AG2" s="221"/>
      <c r="AH2" s="221"/>
    </row>
    <row r="3" spans="1:34" outlineLevel="1">
      <c r="A3" s="309" t="s">
        <v>322</v>
      </c>
      <c r="C3" s="6"/>
      <c r="H3" s="43"/>
      <c r="I3" s="193"/>
      <c r="J3" s="193"/>
      <c r="K3" s="193"/>
      <c r="L3" s="193"/>
      <c r="M3" s="306"/>
      <c r="T3" s="221"/>
      <c r="U3" s="221"/>
      <c r="V3" s="221"/>
      <c r="W3" s="221"/>
      <c r="X3" s="221"/>
      <c r="Y3" s="221"/>
      <c r="Z3" s="221"/>
      <c r="AA3" s="221"/>
      <c r="AB3" s="221"/>
      <c r="AC3" s="221"/>
      <c r="AD3" s="221"/>
      <c r="AE3" s="221"/>
      <c r="AF3" s="221"/>
      <c r="AG3" s="221"/>
      <c r="AH3" s="221"/>
    </row>
    <row r="4" spans="1:34" s="329" customFormat="1" outlineLevel="1">
      <c r="B4" s="309"/>
      <c r="C4" s="352"/>
      <c r="H4" s="90"/>
      <c r="I4" s="193"/>
      <c r="J4" s="193"/>
      <c r="K4" s="193"/>
      <c r="L4" s="193"/>
    </row>
    <row r="5" spans="1:34" outlineLevel="1">
      <c r="B5" s="297" t="s">
        <v>309</v>
      </c>
      <c r="C5" s="6"/>
      <c r="H5" s="6"/>
      <c r="I5" s="193"/>
      <c r="J5" s="193"/>
      <c r="K5" s="193"/>
      <c r="L5" s="193"/>
      <c r="M5" s="193"/>
      <c r="N5" s="329"/>
      <c r="O5" s="329"/>
      <c r="P5" s="329"/>
      <c r="Q5" s="329"/>
      <c r="R5" s="329"/>
      <c r="S5" s="329"/>
      <c r="T5" s="221"/>
      <c r="U5" s="221"/>
      <c r="V5" s="221"/>
      <c r="W5" s="221"/>
      <c r="X5" s="221"/>
      <c r="Y5" s="221"/>
      <c r="Z5" s="221"/>
    </row>
    <row r="6" spans="1:34" ht="32.1" customHeight="1" outlineLevel="1">
      <c r="B6" s="194" t="s">
        <v>343</v>
      </c>
      <c r="C6" s="193"/>
      <c r="D6" s="193"/>
      <c r="E6" s="193"/>
      <c r="F6" s="193"/>
      <c r="G6" s="322"/>
      <c r="H6" s="323"/>
      <c r="I6" s="323"/>
      <c r="J6" s="322"/>
      <c r="K6" s="193"/>
      <c r="L6" s="193"/>
      <c r="M6" s="193"/>
      <c r="N6" s="193"/>
      <c r="O6" s="193"/>
      <c r="P6" s="193"/>
      <c r="Q6" s="193"/>
      <c r="R6" s="193"/>
      <c r="T6" s="221"/>
      <c r="U6" s="221"/>
      <c r="V6" s="221"/>
      <c r="W6" s="221"/>
      <c r="X6" s="221"/>
      <c r="Y6" s="221"/>
      <c r="Z6" s="221"/>
    </row>
    <row r="7" spans="1:34" outlineLevel="1">
      <c r="A7" s="6" t="s">
        <v>40</v>
      </c>
      <c r="B7" s="310">
        <v>0.4483701659374642</v>
      </c>
      <c r="C7" s="331"/>
      <c r="D7" s="332"/>
      <c r="E7" s="332"/>
      <c r="F7" s="332"/>
      <c r="G7" s="324"/>
      <c r="H7" s="324"/>
      <c r="I7" s="324"/>
      <c r="J7" s="324"/>
      <c r="K7" s="193"/>
      <c r="L7" s="193"/>
      <c r="M7" s="193"/>
      <c r="N7" s="193"/>
      <c r="O7" s="193"/>
      <c r="P7" s="193"/>
      <c r="Q7" s="193"/>
      <c r="R7" s="193"/>
      <c r="S7" s="193"/>
      <c r="T7" s="221"/>
      <c r="U7" s="221"/>
      <c r="V7" s="221"/>
      <c r="W7" s="221"/>
      <c r="X7" s="221"/>
      <c r="Y7" s="221"/>
      <c r="Z7" s="221"/>
    </row>
    <row r="8" spans="1:34" outlineLevel="1">
      <c r="A8" s="6" t="s">
        <v>41</v>
      </c>
      <c r="B8" s="310">
        <v>0.44662632021095716</v>
      </c>
      <c r="C8" s="331"/>
      <c r="D8" s="332"/>
      <c r="E8" s="332"/>
      <c r="F8" s="332"/>
      <c r="G8" s="324"/>
      <c r="H8" s="324"/>
      <c r="I8" s="324"/>
      <c r="J8" s="324"/>
      <c r="K8" s="193"/>
      <c r="L8" s="193"/>
      <c r="M8" s="193"/>
      <c r="N8" s="193"/>
      <c r="O8" s="193"/>
      <c r="P8" s="193"/>
      <c r="Q8" s="193"/>
      <c r="R8" s="193"/>
      <c r="S8" s="193"/>
      <c r="T8" s="221"/>
      <c r="U8" s="221"/>
      <c r="V8" s="221"/>
      <c r="W8" s="221"/>
      <c r="X8" s="221"/>
      <c r="Y8" s="221"/>
      <c r="Z8" s="221"/>
    </row>
    <row r="9" spans="1:34" outlineLevel="1">
      <c r="A9" s="6" t="s">
        <v>43</v>
      </c>
      <c r="B9" s="310">
        <v>0.88124806578131754</v>
      </c>
      <c r="C9" s="331"/>
      <c r="D9" s="332"/>
      <c r="E9" s="332"/>
      <c r="F9" s="332"/>
      <c r="G9" s="324"/>
      <c r="H9" s="324"/>
      <c r="I9" s="324"/>
      <c r="J9" s="324"/>
      <c r="K9" s="193"/>
      <c r="L9" s="193"/>
      <c r="M9" s="193"/>
      <c r="N9" s="193"/>
      <c r="O9" s="193"/>
      <c r="P9" s="193"/>
      <c r="Q9" s="193"/>
      <c r="R9" s="193"/>
      <c r="S9" s="193"/>
      <c r="T9" s="221"/>
      <c r="U9" s="221"/>
      <c r="V9" s="221"/>
      <c r="W9" s="221"/>
      <c r="X9" s="221"/>
      <c r="Y9" s="221"/>
      <c r="Z9" s="221"/>
    </row>
    <row r="10" spans="1:34" outlineLevel="1">
      <c r="A10" s="6" t="s">
        <v>44</v>
      </c>
      <c r="B10" s="310">
        <v>0.58292484298221126</v>
      </c>
      <c r="C10" s="331"/>
      <c r="D10" s="332"/>
      <c r="E10" s="332"/>
      <c r="F10" s="332"/>
      <c r="G10" s="324"/>
      <c r="H10" s="324"/>
      <c r="I10" s="324"/>
      <c r="J10" s="324"/>
      <c r="K10" s="193"/>
      <c r="L10" s="193"/>
      <c r="M10" s="193"/>
      <c r="N10" s="193"/>
      <c r="O10" s="193"/>
      <c r="P10" s="193"/>
      <c r="Q10" s="193"/>
      <c r="R10" s="193"/>
      <c r="S10" s="193"/>
      <c r="T10" s="221"/>
      <c r="U10" s="221"/>
      <c r="V10" s="221"/>
      <c r="W10" s="221"/>
      <c r="X10" s="221"/>
      <c r="Y10" s="221"/>
      <c r="Z10" s="221"/>
    </row>
    <row r="11" spans="1:34" outlineLevel="1">
      <c r="A11" s="6" t="s">
        <v>46</v>
      </c>
      <c r="B11" s="310">
        <v>0.61245958282044444</v>
      </c>
      <c r="C11" s="331"/>
      <c r="D11" s="332"/>
      <c r="E11" s="332"/>
      <c r="F11" s="332"/>
      <c r="G11" s="324"/>
      <c r="H11" s="324"/>
      <c r="I11" s="324"/>
      <c r="J11" s="324"/>
      <c r="K11" s="193"/>
      <c r="L11" s="193"/>
      <c r="M11" s="193"/>
      <c r="N11" s="193"/>
      <c r="O11" s="193"/>
      <c r="P11" s="193"/>
      <c r="Q11" s="193"/>
      <c r="R11" s="193"/>
      <c r="S11" s="193"/>
      <c r="T11" s="221"/>
      <c r="U11" s="221"/>
      <c r="V11" s="221"/>
      <c r="W11" s="221"/>
      <c r="X11" s="221"/>
      <c r="Y11" s="221"/>
      <c r="Z11" s="221"/>
    </row>
    <row r="12" spans="1:34" outlineLevel="1">
      <c r="A12" s="6" t="s">
        <v>48</v>
      </c>
      <c r="B12" s="310">
        <v>0.58709115343963625</v>
      </c>
      <c r="C12" s="331"/>
      <c r="D12" s="332"/>
      <c r="E12" s="332"/>
      <c r="F12" s="332"/>
      <c r="G12" s="324"/>
      <c r="H12" s="324"/>
      <c r="I12" s="324"/>
      <c r="J12" s="324"/>
      <c r="K12" s="193"/>
      <c r="L12" s="193"/>
      <c r="M12" s="193"/>
      <c r="N12" s="193"/>
      <c r="O12" s="193"/>
      <c r="P12" s="193"/>
      <c r="Q12" s="193"/>
      <c r="R12" s="193"/>
      <c r="S12" s="193"/>
      <c r="T12" s="221"/>
      <c r="U12" s="221"/>
      <c r="V12" s="221"/>
      <c r="W12" s="221"/>
      <c r="X12" s="221"/>
      <c r="Y12" s="221"/>
      <c r="Z12" s="221"/>
    </row>
    <row r="13" spans="1:34" outlineLevel="1">
      <c r="A13" s="6" t="s">
        <v>50</v>
      </c>
      <c r="B13" s="310">
        <v>0.65499021913036681</v>
      </c>
      <c r="C13" s="331"/>
      <c r="D13" s="332"/>
      <c r="E13" s="332"/>
      <c r="F13" s="332"/>
      <c r="G13" s="324"/>
      <c r="H13" s="324"/>
      <c r="I13" s="326"/>
      <c r="J13" s="326"/>
      <c r="K13" s="193"/>
      <c r="L13" s="193"/>
      <c r="M13" s="193"/>
      <c r="N13" s="193"/>
      <c r="O13" s="193"/>
      <c r="P13" s="193"/>
      <c r="Q13" s="193"/>
      <c r="R13" s="193"/>
      <c r="S13" s="193"/>
      <c r="T13" s="221"/>
      <c r="U13" s="221"/>
      <c r="V13" s="221"/>
      <c r="W13" s="221"/>
      <c r="X13" s="221"/>
      <c r="Y13" s="221"/>
      <c r="Z13" s="221"/>
    </row>
    <row r="14" spans="1:34" outlineLevel="1">
      <c r="A14" s="6" t="s">
        <v>52</v>
      </c>
      <c r="B14" s="310">
        <v>0.59219739645948655</v>
      </c>
      <c r="C14" s="331"/>
      <c r="D14" s="332"/>
      <c r="E14" s="332"/>
      <c r="F14" s="332"/>
      <c r="G14" s="324"/>
      <c r="H14" s="324"/>
      <c r="I14" s="326"/>
      <c r="J14" s="326"/>
      <c r="K14" s="193"/>
      <c r="L14" s="193"/>
      <c r="M14" s="193"/>
      <c r="N14" s="193"/>
      <c r="O14" s="193"/>
      <c r="P14" s="193"/>
      <c r="Q14" s="193"/>
      <c r="R14" s="193"/>
      <c r="S14" s="193"/>
      <c r="T14" s="221"/>
      <c r="U14" s="221"/>
      <c r="V14" s="221"/>
      <c r="W14" s="221"/>
      <c r="X14" s="221"/>
      <c r="Y14" s="221"/>
      <c r="Z14" s="221"/>
    </row>
    <row r="15" spans="1:34" outlineLevel="1">
      <c r="A15" s="6" t="s">
        <v>54</v>
      </c>
      <c r="B15" s="310">
        <v>0.98338623344898224</v>
      </c>
      <c r="C15" s="331"/>
      <c r="D15" s="332"/>
      <c r="E15" s="332"/>
      <c r="F15" s="332"/>
      <c r="G15" s="324"/>
      <c r="H15" s="324"/>
      <c r="I15" s="326"/>
      <c r="J15" s="326"/>
      <c r="K15" s="193"/>
      <c r="L15" s="193"/>
      <c r="M15" s="193"/>
      <c r="N15" s="193"/>
      <c r="O15" s="193"/>
      <c r="P15" s="193"/>
      <c r="Q15" s="193"/>
      <c r="R15" s="193"/>
      <c r="S15" s="193"/>
      <c r="T15" s="221"/>
      <c r="U15" s="221"/>
      <c r="V15" s="221"/>
      <c r="W15" s="221"/>
      <c r="X15" s="221"/>
      <c r="Y15" s="221"/>
      <c r="Z15" s="221"/>
    </row>
    <row r="16" spans="1:34" outlineLevel="1">
      <c r="A16" s="6" t="s">
        <v>56</v>
      </c>
      <c r="B16" s="310">
        <v>0.80136090269939553</v>
      </c>
      <c r="C16" s="331"/>
      <c r="D16" s="332"/>
      <c r="E16" s="332"/>
      <c r="F16" s="332"/>
      <c r="G16" s="324"/>
      <c r="H16" s="324"/>
      <c r="I16" s="326"/>
      <c r="J16" s="326"/>
      <c r="K16" s="193"/>
      <c r="L16" s="193"/>
      <c r="M16" s="193"/>
      <c r="N16" s="193"/>
      <c r="O16" s="193"/>
      <c r="P16" s="193"/>
      <c r="Q16" s="193"/>
      <c r="R16" s="193"/>
      <c r="S16" s="193"/>
      <c r="T16" s="221"/>
      <c r="U16" s="221"/>
      <c r="V16" s="221"/>
      <c r="W16" s="221"/>
      <c r="X16" s="221"/>
      <c r="Y16" s="221"/>
      <c r="Z16" s="221"/>
    </row>
    <row r="17" spans="1:190" outlineLevel="1">
      <c r="A17" s="6" t="s">
        <v>58</v>
      </c>
      <c r="B17" s="310">
        <v>0.71215498057692195</v>
      </c>
      <c r="C17" s="331"/>
      <c r="D17" s="332"/>
      <c r="E17" s="332"/>
      <c r="F17" s="332"/>
      <c r="G17" s="324"/>
      <c r="H17" s="324"/>
      <c r="I17" s="326"/>
      <c r="J17" s="326"/>
      <c r="K17" s="193"/>
      <c r="L17" s="193"/>
      <c r="M17" s="193"/>
      <c r="N17" s="193"/>
      <c r="O17" s="193"/>
      <c r="P17" s="193"/>
      <c r="Q17" s="193"/>
      <c r="R17" s="193"/>
      <c r="S17" s="193"/>
      <c r="T17" s="221"/>
      <c r="U17" s="221"/>
      <c r="V17" s="221"/>
      <c r="W17" s="221"/>
      <c r="X17" s="221"/>
      <c r="Y17" s="221"/>
      <c r="Z17" s="221"/>
    </row>
    <row r="18" spans="1:190" outlineLevel="1">
      <c r="A18" s="6" t="s">
        <v>59</v>
      </c>
      <c r="B18" s="310">
        <v>0.75500346466017643</v>
      </c>
      <c r="C18" s="331"/>
      <c r="D18" s="332"/>
      <c r="E18" s="332"/>
      <c r="F18" s="332"/>
      <c r="G18" s="324"/>
      <c r="H18" s="324"/>
      <c r="I18" s="326"/>
      <c r="J18" s="326"/>
      <c r="K18" s="193"/>
      <c r="L18" s="193"/>
      <c r="M18" s="193"/>
      <c r="N18" s="193"/>
      <c r="O18" s="193"/>
      <c r="P18" s="193"/>
      <c r="Q18" s="193"/>
      <c r="R18" s="193"/>
      <c r="S18" s="193"/>
      <c r="T18" s="221"/>
      <c r="U18" s="221"/>
      <c r="V18" s="221"/>
      <c r="W18" s="221"/>
      <c r="X18" s="221"/>
      <c r="Y18" s="221"/>
      <c r="Z18" s="221"/>
    </row>
    <row r="19" spans="1:190" outlineLevel="1">
      <c r="A19" s="6" t="s">
        <v>61</v>
      </c>
      <c r="B19" s="310">
        <v>0.75235073752693404</v>
      </c>
      <c r="C19" s="331"/>
      <c r="D19" s="332"/>
      <c r="E19" s="332"/>
      <c r="F19" s="332"/>
      <c r="G19" s="324"/>
      <c r="H19" s="324"/>
      <c r="I19" s="326"/>
      <c r="J19" s="326"/>
      <c r="K19" s="193"/>
      <c r="L19" s="193"/>
      <c r="M19" s="193"/>
      <c r="N19" s="193"/>
      <c r="O19" s="193"/>
      <c r="P19" s="193"/>
      <c r="Q19" s="193"/>
      <c r="R19" s="193"/>
      <c r="S19" s="193"/>
    </row>
    <row r="20" spans="1:190" outlineLevel="1">
      <c r="C20" s="6"/>
      <c r="H20" s="6"/>
      <c r="I20" s="193"/>
      <c r="J20" s="193"/>
      <c r="K20" s="327"/>
      <c r="L20" s="325"/>
      <c r="M20" s="325"/>
      <c r="N20" s="325"/>
      <c r="O20" s="6" t="s">
        <v>314</v>
      </c>
    </row>
    <row r="21" spans="1:190">
      <c r="I21" s="193"/>
      <c r="J21" s="193"/>
      <c r="K21" s="193"/>
      <c r="L21" s="193"/>
      <c r="M21" s="311"/>
      <c r="N21" s="307"/>
      <c r="O21" s="312">
        <v>0.75</v>
      </c>
    </row>
    <row r="22" spans="1:190">
      <c r="L22" s="193"/>
      <c r="M22" s="193"/>
      <c r="N22" s="193"/>
      <c r="P22" s="253"/>
    </row>
    <row r="23" spans="1:190" ht="15.75" thickBot="1">
      <c r="E23" s="48" t="s">
        <v>63</v>
      </c>
      <c r="I23" s="304" t="s">
        <v>312</v>
      </c>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row>
    <row r="24" spans="1:190" ht="16.5" thickTop="1" thickBot="1">
      <c r="E24" s="47" t="s">
        <v>323</v>
      </c>
      <c r="H24" s="299"/>
      <c r="I24" s="49">
        <v>2006</v>
      </c>
      <c r="J24" s="49">
        <v>2007</v>
      </c>
      <c r="K24" s="49">
        <v>2008</v>
      </c>
      <c r="L24" s="49">
        <v>2009</v>
      </c>
      <c r="M24" s="49">
        <v>2010</v>
      </c>
      <c r="N24" s="49">
        <v>2011</v>
      </c>
      <c r="O24" s="49">
        <v>2012</v>
      </c>
      <c r="P24" s="49">
        <v>2013</v>
      </c>
      <c r="Q24" s="49">
        <v>2014</v>
      </c>
      <c r="R24" s="49">
        <v>2015</v>
      </c>
      <c r="S24" s="49">
        <v>2016</v>
      </c>
      <c r="T24" s="49">
        <v>2017</v>
      </c>
      <c r="U24" s="49">
        <v>2018</v>
      </c>
      <c r="V24" s="49">
        <v>2019</v>
      </c>
      <c r="W24" s="50">
        <v>2006</v>
      </c>
      <c r="X24" s="50">
        <v>2007</v>
      </c>
      <c r="Y24" s="50">
        <v>2008</v>
      </c>
      <c r="Z24" s="50">
        <v>2009</v>
      </c>
      <c r="AA24" s="50">
        <v>2010</v>
      </c>
      <c r="AB24" s="50">
        <v>2011</v>
      </c>
      <c r="AC24" s="50">
        <v>2012</v>
      </c>
      <c r="AD24" s="50">
        <v>2013</v>
      </c>
      <c r="AE24" s="50">
        <v>2014</v>
      </c>
      <c r="AF24" s="50">
        <v>2015</v>
      </c>
      <c r="AG24" s="50">
        <v>2016</v>
      </c>
      <c r="AH24" s="50">
        <v>2017</v>
      </c>
      <c r="AI24" s="50">
        <v>2018</v>
      </c>
      <c r="AJ24" s="50">
        <v>2019</v>
      </c>
      <c r="AK24" s="49">
        <v>2006</v>
      </c>
      <c r="AL24" s="49">
        <v>2007</v>
      </c>
      <c r="AM24" s="49">
        <v>2008</v>
      </c>
      <c r="AN24" s="49">
        <v>2009</v>
      </c>
      <c r="AO24" s="49">
        <v>2010</v>
      </c>
      <c r="AP24" s="49">
        <v>2011</v>
      </c>
      <c r="AQ24" s="49">
        <v>2012</v>
      </c>
      <c r="AR24" s="49">
        <v>2013</v>
      </c>
      <c r="AS24" s="49">
        <v>2014</v>
      </c>
      <c r="AT24" s="49">
        <v>2015</v>
      </c>
      <c r="AU24" s="49">
        <v>2016</v>
      </c>
      <c r="AV24" s="49">
        <v>2017</v>
      </c>
      <c r="AW24" s="49">
        <v>2018</v>
      </c>
      <c r="AX24" s="49">
        <v>2019</v>
      </c>
      <c r="AY24" s="50">
        <v>2006</v>
      </c>
      <c r="AZ24" s="50">
        <v>2007</v>
      </c>
      <c r="BA24" s="50">
        <v>2008</v>
      </c>
      <c r="BB24" s="50">
        <v>2009</v>
      </c>
      <c r="BC24" s="50">
        <v>2010</v>
      </c>
      <c r="BD24" s="50">
        <v>2011</v>
      </c>
      <c r="BE24" s="50">
        <v>2012</v>
      </c>
      <c r="BF24" s="50">
        <v>2013</v>
      </c>
      <c r="BG24" s="50">
        <v>2014</v>
      </c>
      <c r="BH24" s="50">
        <v>2015</v>
      </c>
      <c r="BI24" s="50">
        <v>2016</v>
      </c>
      <c r="BJ24" s="50">
        <v>2017</v>
      </c>
      <c r="BK24" s="50">
        <v>2018</v>
      </c>
      <c r="BL24" s="50">
        <v>2019</v>
      </c>
      <c r="BM24" s="49">
        <v>2006</v>
      </c>
      <c r="BN24" s="49">
        <v>2007</v>
      </c>
      <c r="BO24" s="49">
        <v>2008</v>
      </c>
      <c r="BP24" s="49">
        <v>2009</v>
      </c>
      <c r="BQ24" s="49">
        <v>2010</v>
      </c>
      <c r="BR24" s="49">
        <v>2011</v>
      </c>
      <c r="BS24" s="49">
        <v>2012</v>
      </c>
      <c r="BT24" s="49">
        <v>2013</v>
      </c>
      <c r="BU24" s="49">
        <v>2014</v>
      </c>
      <c r="BV24" s="49">
        <v>2015</v>
      </c>
      <c r="BW24" s="49">
        <v>2016</v>
      </c>
      <c r="BX24" s="49">
        <v>2017</v>
      </c>
      <c r="BY24" s="49">
        <v>2018</v>
      </c>
      <c r="BZ24" s="49">
        <v>2019</v>
      </c>
      <c r="CA24" s="50">
        <v>2006</v>
      </c>
      <c r="CB24" s="50">
        <v>2007</v>
      </c>
      <c r="CC24" s="50">
        <v>2008</v>
      </c>
      <c r="CD24" s="50">
        <v>2009</v>
      </c>
      <c r="CE24" s="50">
        <v>2010</v>
      </c>
      <c r="CF24" s="50">
        <v>2011</v>
      </c>
      <c r="CG24" s="50">
        <v>2012</v>
      </c>
      <c r="CH24" s="50">
        <v>2013</v>
      </c>
      <c r="CI24" s="50">
        <v>2014</v>
      </c>
      <c r="CJ24" s="50">
        <v>2015</v>
      </c>
      <c r="CK24" s="50">
        <v>2016</v>
      </c>
      <c r="CL24" s="50">
        <v>2017</v>
      </c>
      <c r="CM24" s="50">
        <v>2018</v>
      </c>
      <c r="CN24" s="50">
        <v>2019</v>
      </c>
      <c r="CO24" s="49">
        <v>2006</v>
      </c>
      <c r="CP24" s="49">
        <v>2007</v>
      </c>
      <c r="CQ24" s="49">
        <v>2008</v>
      </c>
      <c r="CR24" s="49">
        <v>2009</v>
      </c>
      <c r="CS24" s="49">
        <v>2010</v>
      </c>
      <c r="CT24" s="49">
        <v>2011</v>
      </c>
      <c r="CU24" s="49">
        <v>2012</v>
      </c>
      <c r="CV24" s="49">
        <v>2013</v>
      </c>
      <c r="CW24" s="49">
        <v>2014</v>
      </c>
      <c r="CX24" s="49">
        <v>2015</v>
      </c>
      <c r="CY24" s="49">
        <v>2016</v>
      </c>
      <c r="CZ24" s="49">
        <v>2017</v>
      </c>
      <c r="DA24" s="49">
        <v>2018</v>
      </c>
      <c r="DB24" s="49">
        <v>2019</v>
      </c>
      <c r="DC24" s="50">
        <v>2006</v>
      </c>
      <c r="DD24" s="50">
        <v>2007</v>
      </c>
      <c r="DE24" s="50">
        <v>2008</v>
      </c>
      <c r="DF24" s="50">
        <v>2009</v>
      </c>
      <c r="DG24" s="50">
        <v>2010</v>
      </c>
      <c r="DH24" s="50">
        <v>2011</v>
      </c>
      <c r="DI24" s="50">
        <v>2012</v>
      </c>
      <c r="DJ24" s="50">
        <v>2013</v>
      </c>
      <c r="DK24" s="50">
        <v>2014</v>
      </c>
      <c r="DL24" s="50">
        <v>2015</v>
      </c>
      <c r="DM24" s="50">
        <v>2016</v>
      </c>
      <c r="DN24" s="50">
        <v>2017</v>
      </c>
      <c r="DO24" s="50">
        <v>2018</v>
      </c>
      <c r="DP24" s="50">
        <v>2019</v>
      </c>
      <c r="DQ24" s="49">
        <v>2006</v>
      </c>
      <c r="DR24" s="49">
        <v>2007</v>
      </c>
      <c r="DS24" s="49">
        <v>2008</v>
      </c>
      <c r="DT24" s="49">
        <v>2009</v>
      </c>
      <c r="DU24" s="49">
        <v>2010</v>
      </c>
      <c r="DV24" s="49">
        <v>2011</v>
      </c>
      <c r="DW24" s="49">
        <v>2012</v>
      </c>
      <c r="DX24" s="49">
        <v>2013</v>
      </c>
      <c r="DY24" s="49">
        <v>2014</v>
      </c>
      <c r="DZ24" s="49">
        <v>2015</v>
      </c>
      <c r="EA24" s="49">
        <v>2016</v>
      </c>
      <c r="EB24" s="49">
        <v>2017</v>
      </c>
      <c r="EC24" s="49">
        <v>2018</v>
      </c>
      <c r="ED24" s="49">
        <v>2019</v>
      </c>
      <c r="EE24" s="50">
        <v>2006</v>
      </c>
      <c r="EF24" s="50">
        <v>2007</v>
      </c>
      <c r="EG24" s="50">
        <v>2008</v>
      </c>
      <c r="EH24" s="50">
        <v>2009</v>
      </c>
      <c r="EI24" s="50">
        <v>2010</v>
      </c>
      <c r="EJ24" s="50">
        <v>2011</v>
      </c>
      <c r="EK24" s="50">
        <v>2012</v>
      </c>
      <c r="EL24" s="50">
        <v>2013</v>
      </c>
      <c r="EM24" s="50">
        <v>2014</v>
      </c>
      <c r="EN24" s="50">
        <v>2015</v>
      </c>
      <c r="EO24" s="50">
        <v>2016</v>
      </c>
      <c r="EP24" s="50">
        <v>2017</v>
      </c>
      <c r="EQ24" s="50">
        <v>2018</v>
      </c>
      <c r="ER24" s="50">
        <v>2019</v>
      </c>
      <c r="ES24" s="49">
        <v>2006</v>
      </c>
      <c r="ET24" s="49">
        <v>2007</v>
      </c>
      <c r="EU24" s="49">
        <v>2008</v>
      </c>
      <c r="EV24" s="49">
        <v>2009</v>
      </c>
      <c r="EW24" s="49">
        <v>2010</v>
      </c>
      <c r="EX24" s="49">
        <v>2011</v>
      </c>
      <c r="EY24" s="49">
        <v>2012</v>
      </c>
      <c r="EZ24" s="49">
        <v>2013</v>
      </c>
      <c r="FA24" s="49">
        <v>2014</v>
      </c>
      <c r="FB24" s="49">
        <v>2015</v>
      </c>
      <c r="FC24" s="49">
        <v>2016</v>
      </c>
      <c r="FD24" s="49">
        <v>2017</v>
      </c>
      <c r="FE24" s="49">
        <v>2018</v>
      </c>
      <c r="FF24" s="49">
        <v>2019</v>
      </c>
      <c r="FG24" s="50">
        <v>2006</v>
      </c>
      <c r="FH24" s="50">
        <v>2007</v>
      </c>
      <c r="FI24" s="50">
        <v>2008</v>
      </c>
      <c r="FJ24" s="50">
        <v>2009</v>
      </c>
      <c r="FK24" s="50">
        <v>2010</v>
      </c>
      <c r="FL24" s="50">
        <v>2011</v>
      </c>
      <c r="FM24" s="50">
        <v>2012</v>
      </c>
      <c r="FN24" s="50">
        <v>2013</v>
      </c>
      <c r="FO24" s="50">
        <v>2014</v>
      </c>
      <c r="FP24" s="50">
        <v>2015</v>
      </c>
      <c r="FQ24" s="50">
        <v>2016</v>
      </c>
      <c r="FR24" s="50">
        <v>2017</v>
      </c>
      <c r="FS24" s="50">
        <v>2018</v>
      </c>
      <c r="FT24" s="50">
        <v>2019</v>
      </c>
      <c r="FU24" s="49">
        <v>2006</v>
      </c>
      <c r="FV24" s="49">
        <v>2007</v>
      </c>
      <c r="FW24" s="49">
        <v>2008</v>
      </c>
      <c r="FX24" s="49">
        <v>2009</v>
      </c>
      <c r="FY24" s="49">
        <v>2010</v>
      </c>
      <c r="FZ24" s="49">
        <v>2011</v>
      </c>
      <c r="GA24" s="49">
        <v>2012</v>
      </c>
      <c r="GB24" s="49">
        <v>2013</v>
      </c>
      <c r="GC24" s="49">
        <v>2014</v>
      </c>
      <c r="GD24" s="49">
        <v>2015</v>
      </c>
      <c r="GE24" s="49">
        <v>2016</v>
      </c>
      <c r="GF24" s="49">
        <v>2017</v>
      </c>
      <c r="GG24" s="49">
        <v>2018</v>
      </c>
      <c r="GH24" s="49">
        <v>2019</v>
      </c>
    </row>
    <row r="25" spans="1:190" ht="15.75" thickTop="1">
      <c r="A25" s="45"/>
      <c r="B25" s="320"/>
      <c r="C25" s="253"/>
      <c r="E25" s="193">
        <f>MATCH(E24,J29:X29,0)+1</f>
        <v>16</v>
      </c>
      <c r="H25" s="299" t="s">
        <v>65</v>
      </c>
      <c r="I25" s="51" t="s">
        <v>0</v>
      </c>
      <c r="J25" s="51" t="s">
        <v>0</v>
      </c>
      <c r="K25" s="51" t="s">
        <v>0</v>
      </c>
      <c r="L25" s="51" t="s">
        <v>0</v>
      </c>
      <c r="M25" s="51" t="s">
        <v>0</v>
      </c>
      <c r="N25" s="51" t="s">
        <v>0</v>
      </c>
      <c r="O25" s="51" t="s">
        <v>0</v>
      </c>
      <c r="P25" s="51" t="s">
        <v>0</v>
      </c>
      <c r="Q25" s="51" t="s">
        <v>0</v>
      </c>
      <c r="R25" s="51" t="s">
        <v>0</v>
      </c>
      <c r="S25" s="51" t="s">
        <v>0</v>
      </c>
      <c r="T25" s="51" t="s">
        <v>0</v>
      </c>
      <c r="U25" s="51" t="s">
        <v>0</v>
      </c>
      <c r="V25" s="51" t="s">
        <v>0</v>
      </c>
      <c r="W25" s="52" t="s">
        <v>1</v>
      </c>
      <c r="X25" s="52" t="s">
        <v>1</v>
      </c>
      <c r="Y25" s="52" t="s">
        <v>1</v>
      </c>
      <c r="Z25" s="52" t="s">
        <v>1</v>
      </c>
      <c r="AA25" s="52" t="s">
        <v>1</v>
      </c>
      <c r="AB25" s="52" t="s">
        <v>1</v>
      </c>
      <c r="AC25" s="52" t="s">
        <v>1</v>
      </c>
      <c r="AD25" s="52" t="s">
        <v>1</v>
      </c>
      <c r="AE25" s="52" t="s">
        <v>1</v>
      </c>
      <c r="AF25" s="52" t="s">
        <v>1</v>
      </c>
      <c r="AG25" s="52" t="s">
        <v>1</v>
      </c>
      <c r="AH25" s="52" t="s">
        <v>1</v>
      </c>
      <c r="AI25" s="52" t="s">
        <v>1</v>
      </c>
      <c r="AJ25" s="52" t="s">
        <v>1</v>
      </c>
      <c r="AK25" s="51" t="s">
        <v>2</v>
      </c>
      <c r="AL25" s="51" t="s">
        <v>2</v>
      </c>
      <c r="AM25" s="51" t="s">
        <v>2</v>
      </c>
      <c r="AN25" s="51" t="s">
        <v>2</v>
      </c>
      <c r="AO25" s="51" t="s">
        <v>2</v>
      </c>
      <c r="AP25" s="51" t="s">
        <v>2</v>
      </c>
      <c r="AQ25" s="51" t="s">
        <v>2</v>
      </c>
      <c r="AR25" s="51" t="s">
        <v>2</v>
      </c>
      <c r="AS25" s="51" t="s">
        <v>2</v>
      </c>
      <c r="AT25" s="51" t="s">
        <v>2</v>
      </c>
      <c r="AU25" s="51" t="s">
        <v>2</v>
      </c>
      <c r="AV25" s="51" t="s">
        <v>2</v>
      </c>
      <c r="AW25" s="51" t="s">
        <v>2</v>
      </c>
      <c r="AX25" s="51" t="s">
        <v>2</v>
      </c>
      <c r="AY25" s="52" t="s">
        <v>3</v>
      </c>
      <c r="AZ25" s="52" t="s">
        <v>3</v>
      </c>
      <c r="BA25" s="52" t="s">
        <v>3</v>
      </c>
      <c r="BB25" s="52" t="s">
        <v>3</v>
      </c>
      <c r="BC25" s="52" t="s">
        <v>3</v>
      </c>
      <c r="BD25" s="52" t="s">
        <v>3</v>
      </c>
      <c r="BE25" s="52" t="s">
        <v>3</v>
      </c>
      <c r="BF25" s="52" t="s">
        <v>3</v>
      </c>
      <c r="BG25" s="52" t="s">
        <v>3</v>
      </c>
      <c r="BH25" s="52" t="s">
        <v>3</v>
      </c>
      <c r="BI25" s="52" t="s">
        <v>3</v>
      </c>
      <c r="BJ25" s="52" t="s">
        <v>3</v>
      </c>
      <c r="BK25" s="52" t="s">
        <v>3</v>
      </c>
      <c r="BL25" s="52" t="s">
        <v>3</v>
      </c>
      <c r="BM25" s="51" t="s">
        <v>4</v>
      </c>
      <c r="BN25" s="51" t="s">
        <v>4</v>
      </c>
      <c r="BO25" s="51" t="s">
        <v>4</v>
      </c>
      <c r="BP25" s="51" t="s">
        <v>4</v>
      </c>
      <c r="BQ25" s="51" t="s">
        <v>4</v>
      </c>
      <c r="BR25" s="51" t="s">
        <v>4</v>
      </c>
      <c r="BS25" s="51" t="s">
        <v>4</v>
      </c>
      <c r="BT25" s="51" t="s">
        <v>4</v>
      </c>
      <c r="BU25" s="51" t="s">
        <v>4</v>
      </c>
      <c r="BV25" s="51" t="s">
        <v>4</v>
      </c>
      <c r="BW25" s="51" t="s">
        <v>4</v>
      </c>
      <c r="BX25" s="51" t="s">
        <v>4</v>
      </c>
      <c r="BY25" s="51" t="s">
        <v>4</v>
      </c>
      <c r="BZ25" s="51" t="s">
        <v>4</v>
      </c>
      <c r="CA25" s="52" t="s">
        <v>5</v>
      </c>
      <c r="CB25" s="52" t="s">
        <v>5</v>
      </c>
      <c r="CC25" s="52" t="s">
        <v>5</v>
      </c>
      <c r="CD25" s="52" t="s">
        <v>5</v>
      </c>
      <c r="CE25" s="52" t="s">
        <v>5</v>
      </c>
      <c r="CF25" s="52" t="s">
        <v>5</v>
      </c>
      <c r="CG25" s="52" t="s">
        <v>5</v>
      </c>
      <c r="CH25" s="52" t="s">
        <v>5</v>
      </c>
      <c r="CI25" s="52" t="s">
        <v>5</v>
      </c>
      <c r="CJ25" s="52" t="s">
        <v>5</v>
      </c>
      <c r="CK25" s="52" t="s">
        <v>5</v>
      </c>
      <c r="CL25" s="52" t="s">
        <v>5</v>
      </c>
      <c r="CM25" s="52" t="s">
        <v>5</v>
      </c>
      <c r="CN25" s="52" t="s">
        <v>5</v>
      </c>
      <c r="CO25" s="51" t="s">
        <v>6</v>
      </c>
      <c r="CP25" s="51" t="s">
        <v>6</v>
      </c>
      <c r="CQ25" s="51" t="s">
        <v>6</v>
      </c>
      <c r="CR25" s="51" t="s">
        <v>6</v>
      </c>
      <c r="CS25" s="51" t="s">
        <v>6</v>
      </c>
      <c r="CT25" s="51" t="s">
        <v>6</v>
      </c>
      <c r="CU25" s="51" t="s">
        <v>6</v>
      </c>
      <c r="CV25" s="51" t="s">
        <v>6</v>
      </c>
      <c r="CW25" s="51" t="s">
        <v>6</v>
      </c>
      <c r="CX25" s="51" t="s">
        <v>6</v>
      </c>
      <c r="CY25" s="51" t="s">
        <v>6</v>
      </c>
      <c r="CZ25" s="51" t="s">
        <v>6</v>
      </c>
      <c r="DA25" s="51" t="s">
        <v>6</v>
      </c>
      <c r="DB25" s="51" t="s">
        <v>6</v>
      </c>
      <c r="DC25" s="52" t="s">
        <v>7</v>
      </c>
      <c r="DD25" s="52" t="s">
        <v>7</v>
      </c>
      <c r="DE25" s="52" t="s">
        <v>7</v>
      </c>
      <c r="DF25" s="52" t="s">
        <v>7</v>
      </c>
      <c r="DG25" s="52" t="s">
        <v>7</v>
      </c>
      <c r="DH25" s="52" t="s">
        <v>7</v>
      </c>
      <c r="DI25" s="52" t="s">
        <v>7</v>
      </c>
      <c r="DJ25" s="52" t="s">
        <v>7</v>
      </c>
      <c r="DK25" s="52" t="s">
        <v>7</v>
      </c>
      <c r="DL25" s="52" t="s">
        <v>7</v>
      </c>
      <c r="DM25" s="52" t="s">
        <v>7</v>
      </c>
      <c r="DN25" s="52" t="s">
        <v>7</v>
      </c>
      <c r="DO25" s="52" t="s">
        <v>7</v>
      </c>
      <c r="DP25" s="52" t="s">
        <v>7</v>
      </c>
      <c r="DQ25" s="51" t="s">
        <v>8</v>
      </c>
      <c r="DR25" s="51" t="s">
        <v>8</v>
      </c>
      <c r="DS25" s="51" t="s">
        <v>8</v>
      </c>
      <c r="DT25" s="51" t="s">
        <v>8</v>
      </c>
      <c r="DU25" s="51" t="s">
        <v>8</v>
      </c>
      <c r="DV25" s="51" t="s">
        <v>8</v>
      </c>
      <c r="DW25" s="51" t="s">
        <v>8</v>
      </c>
      <c r="DX25" s="51" t="s">
        <v>8</v>
      </c>
      <c r="DY25" s="51" t="s">
        <v>8</v>
      </c>
      <c r="DZ25" s="51" t="s">
        <v>8</v>
      </c>
      <c r="EA25" s="51" t="s">
        <v>8</v>
      </c>
      <c r="EB25" s="51" t="s">
        <v>8</v>
      </c>
      <c r="EC25" s="51" t="s">
        <v>8</v>
      </c>
      <c r="ED25" s="51" t="s">
        <v>8</v>
      </c>
      <c r="EE25" s="52" t="s">
        <v>9</v>
      </c>
      <c r="EF25" s="52" t="s">
        <v>9</v>
      </c>
      <c r="EG25" s="52" t="s">
        <v>9</v>
      </c>
      <c r="EH25" s="52" t="s">
        <v>9</v>
      </c>
      <c r="EI25" s="52" t="s">
        <v>9</v>
      </c>
      <c r="EJ25" s="52" t="s">
        <v>9</v>
      </c>
      <c r="EK25" s="52" t="s">
        <v>9</v>
      </c>
      <c r="EL25" s="52" t="s">
        <v>9</v>
      </c>
      <c r="EM25" s="52" t="s">
        <v>9</v>
      </c>
      <c r="EN25" s="52" t="s">
        <v>9</v>
      </c>
      <c r="EO25" s="52" t="s">
        <v>9</v>
      </c>
      <c r="EP25" s="52" t="s">
        <v>9</v>
      </c>
      <c r="EQ25" s="52" t="s">
        <v>9</v>
      </c>
      <c r="ER25" s="52" t="s">
        <v>9</v>
      </c>
      <c r="ES25" s="51" t="s">
        <v>66</v>
      </c>
      <c r="ET25" s="51" t="s">
        <v>66</v>
      </c>
      <c r="EU25" s="51" t="s">
        <v>66</v>
      </c>
      <c r="EV25" s="51" t="s">
        <v>66</v>
      </c>
      <c r="EW25" s="51" t="s">
        <v>66</v>
      </c>
      <c r="EX25" s="51" t="s">
        <v>66</v>
      </c>
      <c r="EY25" s="51" t="s">
        <v>66</v>
      </c>
      <c r="EZ25" s="51" t="s">
        <v>66</v>
      </c>
      <c r="FA25" s="51" t="s">
        <v>66</v>
      </c>
      <c r="FB25" s="51" t="s">
        <v>66</v>
      </c>
      <c r="FC25" s="51" t="s">
        <v>66</v>
      </c>
      <c r="FD25" s="51" t="s">
        <v>66</v>
      </c>
      <c r="FE25" s="51" t="s">
        <v>66</v>
      </c>
      <c r="FF25" s="51" t="s">
        <v>66</v>
      </c>
      <c r="FG25" s="52" t="s">
        <v>11</v>
      </c>
      <c r="FH25" s="52" t="s">
        <v>11</v>
      </c>
      <c r="FI25" s="52" t="s">
        <v>11</v>
      </c>
      <c r="FJ25" s="52" t="s">
        <v>11</v>
      </c>
      <c r="FK25" s="52" t="s">
        <v>11</v>
      </c>
      <c r="FL25" s="52" t="s">
        <v>11</v>
      </c>
      <c r="FM25" s="52" t="s">
        <v>11</v>
      </c>
      <c r="FN25" s="52" t="s">
        <v>11</v>
      </c>
      <c r="FO25" s="52" t="s">
        <v>11</v>
      </c>
      <c r="FP25" s="52" t="s">
        <v>11</v>
      </c>
      <c r="FQ25" s="52" t="s">
        <v>11</v>
      </c>
      <c r="FR25" s="52" t="s">
        <v>11</v>
      </c>
      <c r="FS25" s="52" t="s">
        <v>11</v>
      </c>
      <c r="FT25" s="52" t="s">
        <v>11</v>
      </c>
      <c r="FU25" s="51" t="s">
        <v>12</v>
      </c>
      <c r="FV25" s="51" t="s">
        <v>12</v>
      </c>
      <c r="FW25" s="51" t="s">
        <v>12</v>
      </c>
      <c r="FX25" s="51" t="s">
        <v>12</v>
      </c>
      <c r="FY25" s="51" t="s">
        <v>12</v>
      </c>
      <c r="FZ25" s="51" t="s">
        <v>12</v>
      </c>
      <c r="GA25" s="51" t="s">
        <v>12</v>
      </c>
      <c r="GB25" s="51" t="s">
        <v>12</v>
      </c>
      <c r="GC25" s="51" t="s">
        <v>12</v>
      </c>
      <c r="GD25" s="51" t="s">
        <v>12</v>
      </c>
      <c r="GE25" s="51" t="s">
        <v>12</v>
      </c>
      <c r="GF25" s="51" t="s">
        <v>12</v>
      </c>
      <c r="GG25" s="51" t="s">
        <v>12</v>
      </c>
      <c r="GH25" s="51" t="s">
        <v>12</v>
      </c>
    </row>
    <row r="26" spans="1:190">
      <c r="A26" s="45"/>
      <c r="B26" s="320"/>
      <c r="C26" s="253"/>
      <c r="H26" s="299" t="s">
        <v>67</v>
      </c>
      <c r="I26" s="330">
        <v>32644.372461278101</v>
      </c>
      <c r="J26" s="330">
        <v>33989.78368583</v>
      </c>
      <c r="K26" s="330">
        <v>37658.377116216798</v>
      </c>
      <c r="L26" s="330">
        <v>39959.378599711999</v>
      </c>
      <c r="M26" s="330">
        <v>46087.463131805001</v>
      </c>
      <c r="N26" s="330">
        <v>53239.636389662104</v>
      </c>
      <c r="O26" s="330">
        <v>58764.115947737497</v>
      </c>
      <c r="P26" s="330">
        <v>66417.409985292601</v>
      </c>
      <c r="Q26" s="330">
        <v>77223.594865233899</v>
      </c>
      <c r="R26" s="330">
        <v>73579.8426807426</v>
      </c>
      <c r="S26" s="330">
        <v>40562.178874851801</v>
      </c>
      <c r="T26" s="330">
        <v>46909.595999999998</v>
      </c>
      <c r="U26" s="330">
        <v>55849.335000000006</v>
      </c>
      <c r="V26" s="330">
        <v>55021.766000000003</v>
      </c>
      <c r="W26" s="330">
        <v>357834.496219308</v>
      </c>
      <c r="X26" s="330">
        <v>316522.99188389303</v>
      </c>
      <c r="Y26" s="330">
        <v>467809.12217390706</v>
      </c>
      <c r="Z26" s="330">
        <v>441027.33814656798</v>
      </c>
      <c r="AA26" s="330">
        <v>511184.26885726303</v>
      </c>
      <c r="AB26" s="330">
        <v>506684.85404769296</v>
      </c>
      <c r="AC26" s="330">
        <v>577601.0955064391</v>
      </c>
      <c r="AD26" s="330">
        <v>471121.68333051505</v>
      </c>
      <c r="AE26" s="330">
        <v>539569.59182207996</v>
      </c>
      <c r="AF26" s="330">
        <v>647227.97580349504</v>
      </c>
      <c r="AG26" s="330">
        <v>588178.86646726506</v>
      </c>
      <c r="AH26" s="330">
        <v>529666.46092261001</v>
      </c>
      <c r="AI26" s="330">
        <v>463137.071</v>
      </c>
      <c r="AJ26" s="330">
        <v>445750.647</v>
      </c>
      <c r="AK26" s="330">
        <v>26412.589009526593</v>
      </c>
      <c r="AL26" s="330">
        <v>31329.710649259305</v>
      </c>
      <c r="AM26" s="330">
        <v>31120.531390019252</v>
      </c>
      <c r="AN26" s="330">
        <v>37629.540867755153</v>
      </c>
      <c r="AO26" s="330">
        <v>42279.50798262329</v>
      </c>
      <c r="AP26" s="330">
        <v>40682.50401969807</v>
      </c>
      <c r="AQ26" s="330">
        <v>52808.972782802135</v>
      </c>
      <c r="AR26" s="330">
        <v>52531.24811007821</v>
      </c>
      <c r="AS26" s="330">
        <v>55150.625983108068</v>
      </c>
      <c r="AT26" s="330">
        <v>54114.799686988088</v>
      </c>
      <c r="AU26" s="330">
        <v>55415.462309842202</v>
      </c>
      <c r="AV26" s="330">
        <v>54481.132864804596</v>
      </c>
      <c r="AW26" s="330">
        <v>48229.038177939598</v>
      </c>
      <c r="AX26" s="330">
        <v>55345.957048282602</v>
      </c>
      <c r="AY26" s="330">
        <v>156824.91789216301</v>
      </c>
      <c r="AZ26" s="330">
        <v>176841.394432931</v>
      </c>
      <c r="BA26" s="330">
        <v>224408.06001672801</v>
      </c>
      <c r="BB26" s="330">
        <v>214131.30026509601</v>
      </c>
      <c r="BC26" s="330">
        <v>210431.13798086398</v>
      </c>
      <c r="BD26" s="330">
        <v>229554.29065953402</v>
      </c>
      <c r="BE26" s="330">
        <v>240838.12724750797</v>
      </c>
      <c r="BF26" s="330">
        <v>222645.27398422701</v>
      </c>
      <c r="BG26" s="330">
        <v>258321.99304766802</v>
      </c>
      <c r="BH26" s="330">
        <v>270954.43519109796</v>
      </c>
      <c r="BI26" s="330">
        <v>295663.49812986702</v>
      </c>
      <c r="BJ26" s="330">
        <v>276143.80499999999</v>
      </c>
      <c r="BK26" s="330">
        <v>257322.89818438003</v>
      </c>
      <c r="BL26" s="330">
        <v>248955.63635370001</v>
      </c>
      <c r="BM26" s="330">
        <v>189286.786515969</v>
      </c>
      <c r="BN26" s="330">
        <v>229999.82498122202</v>
      </c>
      <c r="BO26" s="330">
        <v>249220.28103108701</v>
      </c>
      <c r="BP26" s="330">
        <v>269392.65438000002</v>
      </c>
      <c r="BQ26" s="330">
        <v>278759.46135</v>
      </c>
      <c r="BR26" s="330">
        <v>317627.73702</v>
      </c>
      <c r="BS26" s="330">
        <v>350958.66492000007</v>
      </c>
      <c r="BT26" s="330">
        <v>387877.9989499998</v>
      </c>
      <c r="BU26" s="330">
        <v>365738.55767000001</v>
      </c>
      <c r="BV26" s="330">
        <v>381461.5461299998</v>
      </c>
      <c r="BW26" s="330">
        <v>344893.63842298696</v>
      </c>
      <c r="BX26" s="330">
        <v>353346.31027999998</v>
      </c>
      <c r="BY26" s="330">
        <v>362234.78839999996</v>
      </c>
      <c r="BZ26" s="330">
        <v>350114.929</v>
      </c>
      <c r="CA26" s="330">
        <v>259957.891</v>
      </c>
      <c r="CB26" s="330">
        <v>241890.48055000001</v>
      </c>
      <c r="CC26" s="330">
        <v>269457.2365</v>
      </c>
      <c r="CD26" s="330">
        <v>270466.59799000004</v>
      </c>
      <c r="CE26" s="330">
        <v>270621.21470000001</v>
      </c>
      <c r="CF26" s="330">
        <v>345122.06182</v>
      </c>
      <c r="CG26" s="330">
        <v>363976.48437000008</v>
      </c>
      <c r="CH26" s="330">
        <v>298481.04830000014</v>
      </c>
      <c r="CI26" s="330">
        <v>308046.36037000001</v>
      </c>
      <c r="CJ26" s="330">
        <v>362830.15773000004</v>
      </c>
      <c r="CK26" s="330">
        <v>371607.978</v>
      </c>
      <c r="CL26" s="330">
        <v>341013.31</v>
      </c>
      <c r="CM26" s="330">
        <v>357962.68099999998</v>
      </c>
      <c r="CN26" s="330">
        <v>368947.33100000001</v>
      </c>
      <c r="CO26" s="330">
        <v>198507.61938633298</v>
      </c>
      <c r="CP26" s="330">
        <v>249199.63407414002</v>
      </c>
      <c r="CQ26" s="330">
        <v>304612.28626150603</v>
      </c>
      <c r="CR26" s="330">
        <v>296582.84979402204</v>
      </c>
      <c r="CS26" s="330">
        <v>324946.11772000004</v>
      </c>
      <c r="CT26" s="330">
        <v>336208.00537622103</v>
      </c>
      <c r="CU26" s="330">
        <v>429455.71274000197</v>
      </c>
      <c r="CV26" s="330">
        <v>401260.42950844707</v>
      </c>
      <c r="CW26" s="330">
        <v>390948.49645502307</v>
      </c>
      <c r="CX26" s="330">
        <v>391299.86702397501</v>
      </c>
      <c r="CY26" s="330">
        <v>313936.839553856</v>
      </c>
      <c r="CZ26" s="330">
        <v>321942.69254999899</v>
      </c>
      <c r="DA26" s="330">
        <v>345390.71399999998</v>
      </c>
      <c r="DB26" s="330">
        <v>401766.886</v>
      </c>
      <c r="DC26" s="330">
        <v>46756.092287101899</v>
      </c>
      <c r="DD26" s="330">
        <v>51252.352222211397</v>
      </c>
      <c r="DE26" s="330">
        <v>43220.358648427202</v>
      </c>
      <c r="DF26" s="330">
        <v>48349.725749867001</v>
      </c>
      <c r="DG26" s="330">
        <v>58605.575110382997</v>
      </c>
      <c r="DH26" s="330">
        <v>59886.898408099398</v>
      </c>
      <c r="DI26" s="330">
        <v>70098.067766092601</v>
      </c>
      <c r="DJ26" s="330">
        <v>69150.303926688197</v>
      </c>
      <c r="DK26" s="330">
        <v>69918.556613006105</v>
      </c>
      <c r="DL26" s="330">
        <v>73079.730390022902</v>
      </c>
      <c r="DM26" s="330">
        <v>78683.548999999999</v>
      </c>
      <c r="DN26" s="330">
        <v>84039.021999999997</v>
      </c>
      <c r="DO26" s="330">
        <v>79198.771999999997</v>
      </c>
      <c r="DP26" s="330">
        <v>84456.982650000005</v>
      </c>
      <c r="DQ26" s="330">
        <v>116861.47857915258</v>
      </c>
      <c r="DR26" s="330">
        <v>106359.56772461215</v>
      </c>
      <c r="DS26" s="330">
        <v>113514.72915098233</v>
      </c>
      <c r="DT26" s="330">
        <v>128379.6119855967</v>
      </c>
      <c r="DU26" s="330">
        <v>127280.19704758523</v>
      </c>
      <c r="DV26" s="330">
        <v>137174.04028031268</v>
      </c>
      <c r="DW26" s="330">
        <v>167745.95206778086</v>
      </c>
      <c r="DX26" s="330">
        <v>183726.35284227453</v>
      </c>
      <c r="DY26" s="330">
        <v>171080.18289509552</v>
      </c>
      <c r="DZ26" s="330">
        <v>186774.27334163259</v>
      </c>
      <c r="EA26" s="330">
        <v>161157.56975476799</v>
      </c>
      <c r="EB26" s="330">
        <v>177216.06576257499</v>
      </c>
      <c r="EC26" s="330">
        <v>186388.80132767701</v>
      </c>
      <c r="ED26" s="330">
        <v>184353.73967465901</v>
      </c>
      <c r="EE26" s="330">
        <v>112506.535</v>
      </c>
      <c r="EF26" s="330">
        <v>108991.583</v>
      </c>
      <c r="EG26" s="330">
        <v>126897.568</v>
      </c>
      <c r="EH26" s="330">
        <v>145514.894</v>
      </c>
      <c r="EI26" s="330">
        <v>147956.514</v>
      </c>
      <c r="EJ26" s="330">
        <v>191519.79500000001</v>
      </c>
      <c r="EK26" s="330">
        <v>203371.86</v>
      </c>
      <c r="EL26" s="330">
        <v>222412.64300000001</v>
      </c>
      <c r="EM26" s="330">
        <v>233849.701</v>
      </c>
      <c r="EN26" s="330">
        <v>248377.486889666</v>
      </c>
      <c r="EO26" s="330">
        <v>211867.16309531001</v>
      </c>
      <c r="EP26" s="330">
        <v>248667.39895521599</v>
      </c>
      <c r="EQ26" s="330">
        <v>249010.83126000001</v>
      </c>
      <c r="ER26" s="330">
        <v>261706.81672</v>
      </c>
      <c r="ES26" s="330">
        <v>81250.614026765543</v>
      </c>
      <c r="ET26" s="330">
        <v>103209.38645113776</v>
      </c>
      <c r="EU26" s="330">
        <v>116017.52463473017</v>
      </c>
      <c r="EV26" s="330">
        <v>137883.29635850366</v>
      </c>
      <c r="EW26" s="330">
        <v>137860.36087647689</v>
      </c>
      <c r="EX26" s="330">
        <v>143839.81850797526</v>
      </c>
      <c r="EY26" s="330">
        <v>157205.91921771257</v>
      </c>
      <c r="EZ26" s="330">
        <v>179574.56650939499</v>
      </c>
      <c r="FA26" s="330">
        <v>189806.67514137062</v>
      </c>
      <c r="FB26" s="330">
        <v>204651.59938180444</v>
      </c>
      <c r="FC26" s="330">
        <v>229428.02527883899</v>
      </c>
      <c r="FD26" s="330">
        <v>204947.924709871</v>
      </c>
      <c r="FE26" s="330">
        <v>193557.933375539</v>
      </c>
      <c r="FF26" s="330">
        <v>204177.44023405801</v>
      </c>
      <c r="FG26" s="330">
        <v>48648.823897879505</v>
      </c>
      <c r="FH26" s="330">
        <v>50748.109417397798</v>
      </c>
      <c r="FI26" s="330">
        <v>53289.0230297776</v>
      </c>
      <c r="FJ26" s="330">
        <v>61973.7059213752</v>
      </c>
      <c r="FK26" s="330">
        <v>75037.978098049192</v>
      </c>
      <c r="FL26" s="330">
        <v>74900.179665433403</v>
      </c>
      <c r="FM26" s="330">
        <v>84369.777789408996</v>
      </c>
      <c r="FN26" s="330">
        <v>70674.63604085501</v>
      </c>
      <c r="FO26" s="330">
        <v>74075.862810526407</v>
      </c>
      <c r="FP26" s="330">
        <v>64088.129960287195</v>
      </c>
      <c r="FQ26" s="330">
        <v>69929.810763066795</v>
      </c>
      <c r="FR26" s="330">
        <v>93577.683630547996</v>
      </c>
      <c r="FS26" s="330">
        <v>86416.346934444198</v>
      </c>
      <c r="FT26" s="330">
        <v>78404.001088851903</v>
      </c>
      <c r="FU26" s="330">
        <v>83237</v>
      </c>
      <c r="FV26" s="330">
        <v>81473</v>
      </c>
      <c r="FW26" s="330">
        <v>85413.886309046997</v>
      </c>
      <c r="FX26" s="330">
        <v>89047.922493129998</v>
      </c>
      <c r="FY26" s="330">
        <v>96130.066559793398</v>
      </c>
      <c r="FZ26" s="330">
        <v>121992.755514909</v>
      </c>
      <c r="GA26" s="330">
        <v>126519.882999029</v>
      </c>
      <c r="GB26" s="330">
        <v>116175.49106407601</v>
      </c>
      <c r="GC26" s="330">
        <v>121867.70902049799</v>
      </c>
      <c r="GD26" s="330">
        <v>117721.494565381</v>
      </c>
      <c r="GE26" s="330">
        <v>138427.94329502599</v>
      </c>
      <c r="GF26" s="330">
        <v>132835.09312937901</v>
      </c>
      <c r="GG26" s="330">
        <v>108242.14191396099</v>
      </c>
      <c r="GH26" s="330">
        <v>110815.785</v>
      </c>
    </row>
    <row r="27" spans="1:190" s="296" customFormat="1">
      <c r="A27" s="81"/>
      <c r="B27" s="320"/>
      <c r="C27" s="253"/>
      <c r="H27" s="299"/>
      <c r="J27" s="167"/>
      <c r="K27" s="167"/>
      <c r="L27" s="167"/>
      <c r="M27" s="167"/>
      <c r="N27" s="167"/>
      <c r="O27" s="167"/>
      <c r="P27" s="167"/>
      <c r="Q27" s="167"/>
      <c r="R27" s="54"/>
      <c r="S27" s="54"/>
      <c r="T27" s="54"/>
      <c r="U27" s="54"/>
      <c r="V27" s="167"/>
      <c r="W27" s="167"/>
      <c r="X27" s="167"/>
      <c r="Y27" s="167"/>
      <c r="Z27" s="167"/>
      <c r="AA27" s="167"/>
      <c r="AB27" s="167"/>
      <c r="AC27" s="167"/>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167"/>
      <c r="EJ27" s="167"/>
      <c r="EK27" s="167"/>
      <c r="EL27" s="167"/>
      <c r="EM27" s="167"/>
      <c r="EN27" s="167"/>
      <c r="EO27" s="167"/>
      <c r="EP27" s="167"/>
      <c r="EQ27" s="54"/>
      <c r="ER27" s="54"/>
      <c r="ES27" s="54"/>
      <c r="ET27" s="54"/>
      <c r="EU27" s="54"/>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row>
    <row r="28" spans="1:190" s="296" customFormat="1">
      <c r="A28" s="81"/>
      <c r="B28" s="320"/>
      <c r="C28" s="253"/>
      <c r="H28" s="299"/>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0"/>
      <c r="ED28" s="300"/>
      <c r="EE28" s="300"/>
      <c r="EF28" s="300"/>
      <c r="EG28" s="300"/>
      <c r="EH28" s="300"/>
      <c r="EI28" s="300"/>
      <c r="EJ28" s="300"/>
      <c r="EK28" s="300"/>
      <c r="EL28" s="300"/>
      <c r="EM28" s="300"/>
      <c r="EN28" s="300"/>
      <c r="EO28" s="300"/>
      <c r="EP28" s="300"/>
      <c r="EQ28" s="300"/>
      <c r="ER28" s="300"/>
      <c r="ES28" s="300"/>
      <c r="ET28" s="300"/>
      <c r="EU28" s="300"/>
      <c r="EV28" s="300"/>
      <c r="EW28" s="300"/>
      <c r="EX28" s="300"/>
      <c r="EY28" s="300"/>
      <c r="EZ28" s="300"/>
      <c r="FA28" s="300"/>
      <c r="FB28" s="300"/>
      <c r="FC28" s="300"/>
      <c r="FD28" s="300"/>
      <c r="FE28" s="300"/>
      <c r="FF28" s="300"/>
      <c r="FG28" s="300"/>
      <c r="FH28" s="300"/>
      <c r="FI28" s="300"/>
      <c r="FJ28" s="300"/>
      <c r="FK28" s="300"/>
      <c r="FL28" s="300"/>
      <c r="FM28" s="300"/>
      <c r="FN28" s="300"/>
      <c r="FO28" s="300"/>
      <c r="FP28" s="300"/>
      <c r="FQ28" s="300"/>
      <c r="FR28" s="300"/>
      <c r="FS28" s="300"/>
      <c r="FT28" s="300"/>
      <c r="FU28" s="300"/>
      <c r="FV28" s="300"/>
      <c r="FW28" s="300"/>
      <c r="FX28" s="300"/>
      <c r="FY28" s="300"/>
      <c r="FZ28" s="300"/>
      <c r="GA28" s="300"/>
      <c r="GB28" s="300"/>
      <c r="GC28" s="300"/>
      <c r="GD28" s="300"/>
      <c r="GE28" s="300"/>
      <c r="GF28" s="300"/>
      <c r="GG28" s="300"/>
      <c r="GH28" s="300"/>
    </row>
    <row r="29" spans="1:190" ht="15.75" thickBot="1">
      <c r="B29" s="320"/>
      <c r="C29" s="253"/>
      <c r="D29" s="81"/>
      <c r="I29" s="184"/>
      <c r="J29" s="184">
        <v>2006</v>
      </c>
      <c r="K29" s="184">
        <v>2007</v>
      </c>
      <c r="L29" s="184">
        <v>2008</v>
      </c>
      <c r="M29" s="184">
        <v>2009</v>
      </c>
      <c r="N29" s="184">
        <v>2010</v>
      </c>
      <c r="O29" s="184">
        <v>2011</v>
      </c>
      <c r="P29" s="184">
        <v>2012</v>
      </c>
      <c r="Q29" s="184">
        <v>2013</v>
      </c>
      <c r="R29" s="184">
        <v>2014</v>
      </c>
      <c r="S29" s="184">
        <v>2015</v>
      </c>
      <c r="T29" s="184">
        <v>2016</v>
      </c>
      <c r="U29" s="184">
        <v>2017</v>
      </c>
      <c r="V29" s="184">
        <v>2018</v>
      </c>
      <c r="W29" s="184">
        <v>2019</v>
      </c>
      <c r="X29" s="184" t="s">
        <v>323</v>
      </c>
      <c r="Y29" s="184"/>
    </row>
    <row r="30" spans="1:190" outlineLevel="1">
      <c r="B30" s="320"/>
      <c r="C30" s="253"/>
      <c r="D30" s="81"/>
      <c r="I30" s="51" t="s">
        <v>0</v>
      </c>
      <c r="J30" s="240">
        <f>SUMIFS($I$26:$GH$26,$I$25:$GH$25,$I30,$I$24:$GH$24,J$29)</f>
        <v>32644.372461278101</v>
      </c>
      <c r="K30" s="240">
        <f>SUMIFS($I$26:$GH$26,$I$25:$GH$25,$I30,$I$24:$GH$24,K$29)</f>
        <v>33989.78368583</v>
      </c>
      <c r="L30" s="240">
        <f t="shared" ref="L30:W31" si="0">SUMIFS($I$26:$GH$26,$I$25:$GH$25,$I30,$I$24:$GH$24,L$29)</f>
        <v>37658.377116216798</v>
      </c>
      <c r="M30" s="240">
        <f t="shared" si="0"/>
        <v>39959.378599711999</v>
      </c>
      <c r="N30" s="240">
        <f t="shared" si="0"/>
        <v>46087.463131805001</v>
      </c>
      <c r="O30" s="240">
        <f t="shared" si="0"/>
        <v>53239.636389662104</v>
      </c>
      <c r="P30" s="240">
        <f t="shared" si="0"/>
        <v>58764.115947737497</v>
      </c>
      <c r="Q30" s="240">
        <f t="shared" si="0"/>
        <v>66417.409985292601</v>
      </c>
      <c r="R30" s="240">
        <f t="shared" si="0"/>
        <v>77223.594865233899</v>
      </c>
      <c r="S30" s="240">
        <f t="shared" si="0"/>
        <v>73579.8426807426</v>
      </c>
      <c r="T30" s="240">
        <f t="shared" si="0"/>
        <v>40562.178874851801</v>
      </c>
      <c r="U30" s="240">
        <f t="shared" si="0"/>
        <v>46909.595999999998</v>
      </c>
      <c r="V30" s="240">
        <f t="shared" si="0"/>
        <v>55849.335000000006</v>
      </c>
      <c r="W30" s="240">
        <f t="shared" si="0"/>
        <v>55021.766000000003</v>
      </c>
      <c r="X30" s="240">
        <f>AVERAGE(J30:W30)</f>
        <v>51279.060767025883</v>
      </c>
      <c r="Y30" s="298" t="s">
        <v>71</v>
      </c>
      <c r="DI30" s="167"/>
      <c r="DJ30" s="167"/>
      <c r="DK30" s="167"/>
      <c r="DL30" s="167"/>
      <c r="DM30" s="167"/>
      <c r="DN30" s="167"/>
      <c r="DO30" s="167"/>
      <c r="DP30" s="167"/>
      <c r="DQ30" s="167"/>
      <c r="DR30" s="167"/>
      <c r="EI30" s="167"/>
      <c r="EJ30" s="167"/>
      <c r="EK30" s="167"/>
      <c r="EL30" s="167"/>
      <c r="EM30" s="167"/>
      <c r="EN30" s="167"/>
      <c r="EO30" s="167"/>
      <c r="EP30" s="167"/>
      <c r="EQ30" s="167"/>
      <c r="ER30" s="167"/>
    </row>
    <row r="31" spans="1:190" outlineLevel="1">
      <c r="B31" s="320"/>
      <c r="C31" s="253"/>
      <c r="D31" s="81"/>
      <c r="I31" s="52" t="s">
        <v>1</v>
      </c>
      <c r="J31" s="240">
        <f>SUMIFS($I$26:$GH$26,$I$25:$GH$25,$I31,$I$24:$GH$24,J$29)</f>
        <v>357834.496219308</v>
      </c>
      <c r="K31" s="240">
        <f>SUMIFS($I$26:$GH$26,$I$25:$GH$25,$I31,$I$24:$GH$24,K$29)</f>
        <v>316522.99188389303</v>
      </c>
      <c r="L31" s="240">
        <f t="shared" si="0"/>
        <v>467809.12217390706</v>
      </c>
      <c r="M31" s="240">
        <f t="shared" si="0"/>
        <v>441027.33814656798</v>
      </c>
      <c r="N31" s="240">
        <f t="shared" si="0"/>
        <v>511184.26885726303</v>
      </c>
      <c r="O31" s="240">
        <f t="shared" si="0"/>
        <v>506684.85404769296</v>
      </c>
      <c r="P31" s="240">
        <f t="shared" si="0"/>
        <v>577601.0955064391</v>
      </c>
      <c r="Q31" s="240">
        <f t="shared" si="0"/>
        <v>471121.68333051505</v>
      </c>
      <c r="R31" s="240">
        <f t="shared" si="0"/>
        <v>539569.59182207996</v>
      </c>
      <c r="S31" s="240">
        <f t="shared" si="0"/>
        <v>647227.97580349504</v>
      </c>
      <c r="T31" s="240">
        <f t="shared" si="0"/>
        <v>588178.86646726506</v>
      </c>
      <c r="U31" s="240">
        <f t="shared" si="0"/>
        <v>529666.46092261001</v>
      </c>
      <c r="V31" s="240">
        <f t="shared" si="0"/>
        <v>463137.071</v>
      </c>
      <c r="W31" s="240">
        <f t="shared" si="0"/>
        <v>445750.647</v>
      </c>
      <c r="X31" s="240">
        <f t="shared" ref="X31:X42" si="1">AVERAGE(J31:W31)</f>
        <v>490236.89022721682</v>
      </c>
      <c r="Y31" s="298" t="s">
        <v>71</v>
      </c>
    </row>
    <row r="32" spans="1:190" outlineLevel="1">
      <c r="B32" s="320"/>
      <c r="C32" s="253"/>
      <c r="D32" s="81"/>
      <c r="I32" s="51" t="s">
        <v>2</v>
      </c>
      <c r="J32" s="240">
        <f t="shared" ref="J32:W42" si="2">SUMIFS($I$26:$GH$26,$I$25:$GH$25,$I32,$I$24:$GH$24,J$29)</f>
        <v>26412.589009526593</v>
      </c>
      <c r="K32" s="240">
        <f t="shared" si="2"/>
        <v>31329.710649259305</v>
      </c>
      <c r="L32" s="240">
        <f t="shared" si="2"/>
        <v>31120.531390019252</v>
      </c>
      <c r="M32" s="240">
        <f t="shared" si="2"/>
        <v>37629.540867755153</v>
      </c>
      <c r="N32" s="240">
        <f t="shared" si="2"/>
        <v>42279.50798262329</v>
      </c>
      <c r="O32" s="240">
        <f t="shared" si="2"/>
        <v>40682.50401969807</v>
      </c>
      <c r="P32" s="240">
        <f t="shared" si="2"/>
        <v>52808.972782802135</v>
      </c>
      <c r="Q32" s="240">
        <f t="shared" si="2"/>
        <v>52531.24811007821</v>
      </c>
      <c r="R32" s="240">
        <f t="shared" si="2"/>
        <v>55150.625983108068</v>
      </c>
      <c r="S32" s="240">
        <f t="shared" si="2"/>
        <v>54114.799686988088</v>
      </c>
      <c r="T32" s="240">
        <f t="shared" si="2"/>
        <v>55415.462309842202</v>
      </c>
      <c r="U32" s="240">
        <f t="shared" si="2"/>
        <v>54481.132864804596</v>
      </c>
      <c r="V32" s="240">
        <f t="shared" si="2"/>
        <v>48229.038177939598</v>
      </c>
      <c r="W32" s="240">
        <f t="shared" si="2"/>
        <v>55345.957048282602</v>
      </c>
      <c r="X32" s="240">
        <f t="shared" si="1"/>
        <v>45537.972920194799</v>
      </c>
      <c r="Y32" s="298" t="s">
        <v>72</v>
      </c>
    </row>
    <row r="33" spans="1:38" outlineLevel="1">
      <c r="B33" s="320"/>
      <c r="C33" s="253"/>
      <c r="D33" s="81"/>
      <c r="I33" s="52" t="s">
        <v>3</v>
      </c>
      <c r="J33" s="240">
        <f t="shared" si="2"/>
        <v>156824.91789216301</v>
      </c>
      <c r="K33" s="240">
        <f t="shared" si="2"/>
        <v>176841.394432931</v>
      </c>
      <c r="L33" s="240">
        <f t="shared" si="2"/>
        <v>224408.06001672801</v>
      </c>
      <c r="M33" s="240">
        <f t="shared" si="2"/>
        <v>214131.30026509601</v>
      </c>
      <c r="N33" s="240">
        <f t="shared" si="2"/>
        <v>210431.13798086398</v>
      </c>
      <c r="O33" s="240">
        <f t="shared" si="2"/>
        <v>229554.29065953402</v>
      </c>
      <c r="P33" s="240">
        <f t="shared" si="2"/>
        <v>240838.12724750797</v>
      </c>
      <c r="Q33" s="240">
        <f t="shared" si="2"/>
        <v>222645.27398422701</v>
      </c>
      <c r="R33" s="240">
        <f t="shared" si="2"/>
        <v>258321.99304766802</v>
      </c>
      <c r="S33" s="240">
        <f t="shared" si="2"/>
        <v>270954.43519109796</v>
      </c>
      <c r="T33" s="240">
        <f t="shared" si="2"/>
        <v>295663.49812986702</v>
      </c>
      <c r="U33" s="240">
        <f t="shared" si="2"/>
        <v>276143.80499999999</v>
      </c>
      <c r="V33" s="240">
        <f t="shared" si="2"/>
        <v>257322.89818438003</v>
      </c>
      <c r="W33" s="240">
        <f t="shared" si="2"/>
        <v>248955.63635370001</v>
      </c>
      <c r="X33" s="240">
        <f t="shared" si="1"/>
        <v>234502.62631326888</v>
      </c>
      <c r="Y33" s="298" t="s">
        <v>71</v>
      </c>
    </row>
    <row r="34" spans="1:38" outlineLevel="1">
      <c r="B34" s="320"/>
      <c r="C34" s="253"/>
      <c r="D34" s="81"/>
      <c r="I34" s="51" t="s">
        <v>4</v>
      </c>
      <c r="J34" s="240">
        <f t="shared" si="2"/>
        <v>189286.786515969</v>
      </c>
      <c r="K34" s="240">
        <f t="shared" si="2"/>
        <v>229999.82498122202</v>
      </c>
      <c r="L34" s="240">
        <f t="shared" si="2"/>
        <v>249220.28103108701</v>
      </c>
      <c r="M34" s="240">
        <f t="shared" si="2"/>
        <v>269392.65438000002</v>
      </c>
      <c r="N34" s="240">
        <f t="shared" si="2"/>
        <v>278759.46135</v>
      </c>
      <c r="O34" s="240">
        <f t="shared" si="2"/>
        <v>317627.73702</v>
      </c>
      <c r="P34" s="240">
        <f t="shared" si="2"/>
        <v>350958.66492000007</v>
      </c>
      <c r="Q34" s="240">
        <f t="shared" si="2"/>
        <v>387877.9989499998</v>
      </c>
      <c r="R34" s="240">
        <f t="shared" si="2"/>
        <v>365738.55767000001</v>
      </c>
      <c r="S34" s="240">
        <f t="shared" si="2"/>
        <v>381461.5461299998</v>
      </c>
      <c r="T34" s="240">
        <f t="shared" si="2"/>
        <v>344893.63842298696</v>
      </c>
      <c r="U34" s="240">
        <f t="shared" si="2"/>
        <v>353346.31027999998</v>
      </c>
      <c r="V34" s="240">
        <f t="shared" si="2"/>
        <v>362234.78839999996</v>
      </c>
      <c r="W34" s="240">
        <f t="shared" si="2"/>
        <v>350114.929</v>
      </c>
      <c r="X34" s="240">
        <f t="shared" si="1"/>
        <v>316493.7985036617</v>
      </c>
      <c r="Y34" s="298" t="s">
        <v>71</v>
      </c>
    </row>
    <row r="35" spans="1:38" outlineLevel="1">
      <c r="B35" s="320"/>
      <c r="C35" s="253"/>
      <c r="D35" s="81"/>
      <c r="I35" s="52" t="s">
        <v>5</v>
      </c>
      <c r="J35" s="240">
        <f t="shared" si="2"/>
        <v>259957.891</v>
      </c>
      <c r="K35" s="240">
        <f t="shared" si="2"/>
        <v>241890.48055000001</v>
      </c>
      <c r="L35" s="240">
        <f t="shared" si="2"/>
        <v>269457.2365</v>
      </c>
      <c r="M35" s="240">
        <f t="shared" si="2"/>
        <v>270466.59799000004</v>
      </c>
      <c r="N35" s="240">
        <f t="shared" si="2"/>
        <v>270621.21470000001</v>
      </c>
      <c r="O35" s="240">
        <f t="shared" si="2"/>
        <v>345122.06182</v>
      </c>
      <c r="P35" s="240">
        <f t="shared" si="2"/>
        <v>363976.48437000008</v>
      </c>
      <c r="Q35" s="240">
        <f t="shared" si="2"/>
        <v>298481.04830000014</v>
      </c>
      <c r="R35" s="240">
        <f t="shared" si="2"/>
        <v>308046.36037000001</v>
      </c>
      <c r="S35" s="240">
        <f t="shared" si="2"/>
        <v>362830.15773000004</v>
      </c>
      <c r="T35" s="240">
        <f t="shared" si="2"/>
        <v>371607.978</v>
      </c>
      <c r="U35" s="240">
        <f t="shared" si="2"/>
        <v>341013.31</v>
      </c>
      <c r="V35" s="240">
        <f t="shared" si="2"/>
        <v>357962.68099999998</v>
      </c>
      <c r="W35" s="240">
        <f t="shared" si="2"/>
        <v>368947.33100000001</v>
      </c>
      <c r="X35" s="240">
        <f t="shared" si="1"/>
        <v>316455.77380928572</v>
      </c>
      <c r="Y35" s="298" t="s">
        <v>71</v>
      </c>
    </row>
    <row r="36" spans="1:38" outlineLevel="1">
      <c r="B36" s="320"/>
      <c r="C36" s="253"/>
      <c r="D36" s="81"/>
      <c r="I36" s="51" t="s">
        <v>6</v>
      </c>
      <c r="J36" s="240">
        <f t="shared" si="2"/>
        <v>198507.61938633298</v>
      </c>
      <c r="K36" s="240">
        <f t="shared" si="2"/>
        <v>249199.63407414002</v>
      </c>
      <c r="L36" s="240">
        <f t="shared" si="2"/>
        <v>304612.28626150603</v>
      </c>
      <c r="M36" s="240">
        <f t="shared" si="2"/>
        <v>296582.84979402204</v>
      </c>
      <c r="N36" s="240">
        <f t="shared" si="2"/>
        <v>324946.11772000004</v>
      </c>
      <c r="O36" s="240">
        <f t="shared" si="2"/>
        <v>336208.00537622103</v>
      </c>
      <c r="P36" s="240">
        <f t="shared" si="2"/>
        <v>429455.71274000197</v>
      </c>
      <c r="Q36" s="240">
        <f t="shared" si="2"/>
        <v>401260.42950844707</v>
      </c>
      <c r="R36" s="240">
        <f t="shared" si="2"/>
        <v>390948.49645502307</v>
      </c>
      <c r="S36" s="240">
        <f t="shared" si="2"/>
        <v>391299.86702397501</v>
      </c>
      <c r="T36" s="240">
        <f t="shared" si="2"/>
        <v>313936.839553856</v>
      </c>
      <c r="U36" s="240">
        <f t="shared" si="2"/>
        <v>321942.69254999899</v>
      </c>
      <c r="V36" s="240">
        <f t="shared" si="2"/>
        <v>345390.71399999998</v>
      </c>
      <c r="W36" s="240">
        <f t="shared" si="2"/>
        <v>401766.886</v>
      </c>
      <c r="X36" s="240">
        <f t="shared" si="1"/>
        <v>336147.01074596599</v>
      </c>
      <c r="Y36" s="298" t="s">
        <v>71</v>
      </c>
    </row>
    <row r="37" spans="1:38" outlineLevel="1">
      <c r="B37" s="320"/>
      <c r="C37" s="253"/>
      <c r="D37" s="81"/>
      <c r="I37" s="52" t="s">
        <v>7</v>
      </c>
      <c r="J37" s="240">
        <f t="shared" si="2"/>
        <v>46756.092287101899</v>
      </c>
      <c r="K37" s="240">
        <f t="shared" si="2"/>
        <v>51252.352222211397</v>
      </c>
      <c r="L37" s="240">
        <f t="shared" si="2"/>
        <v>43220.358648427202</v>
      </c>
      <c r="M37" s="240">
        <f t="shared" si="2"/>
        <v>48349.725749867001</v>
      </c>
      <c r="N37" s="240">
        <f t="shared" si="2"/>
        <v>58605.575110382997</v>
      </c>
      <c r="O37" s="240">
        <f t="shared" si="2"/>
        <v>59886.898408099398</v>
      </c>
      <c r="P37" s="240">
        <f t="shared" si="2"/>
        <v>70098.067766092601</v>
      </c>
      <c r="Q37" s="240">
        <f t="shared" si="2"/>
        <v>69150.303926688197</v>
      </c>
      <c r="R37" s="240">
        <f t="shared" si="2"/>
        <v>69918.556613006105</v>
      </c>
      <c r="S37" s="240">
        <f t="shared" si="2"/>
        <v>73079.730390022902</v>
      </c>
      <c r="T37" s="240">
        <f t="shared" si="2"/>
        <v>78683.548999999999</v>
      </c>
      <c r="U37" s="240">
        <f t="shared" si="2"/>
        <v>84039.021999999997</v>
      </c>
      <c r="V37" s="240">
        <f t="shared" si="2"/>
        <v>79198.771999999997</v>
      </c>
      <c r="W37" s="240">
        <f t="shared" si="2"/>
        <v>84456.982650000005</v>
      </c>
      <c r="X37" s="240">
        <f t="shared" si="1"/>
        <v>65478.284769421407</v>
      </c>
      <c r="Y37" s="298" t="s">
        <v>72</v>
      </c>
    </row>
    <row r="38" spans="1:38" outlineLevel="1">
      <c r="D38" s="81"/>
      <c r="I38" s="51" t="s">
        <v>8</v>
      </c>
      <c r="J38" s="240">
        <f t="shared" si="2"/>
        <v>116861.47857915258</v>
      </c>
      <c r="K38" s="240">
        <f t="shared" si="2"/>
        <v>106359.56772461215</v>
      </c>
      <c r="L38" s="240">
        <f t="shared" si="2"/>
        <v>113514.72915098233</v>
      </c>
      <c r="M38" s="240">
        <f t="shared" si="2"/>
        <v>128379.6119855967</v>
      </c>
      <c r="N38" s="240">
        <f t="shared" si="2"/>
        <v>127280.19704758523</v>
      </c>
      <c r="O38" s="240">
        <f t="shared" si="2"/>
        <v>137174.04028031268</v>
      </c>
      <c r="P38" s="240">
        <f t="shared" si="2"/>
        <v>167745.95206778086</v>
      </c>
      <c r="Q38" s="240">
        <f t="shared" si="2"/>
        <v>183726.35284227453</v>
      </c>
      <c r="R38" s="240">
        <f t="shared" si="2"/>
        <v>171080.18289509552</v>
      </c>
      <c r="S38" s="240">
        <f t="shared" si="2"/>
        <v>186774.27334163259</v>
      </c>
      <c r="T38" s="240">
        <f t="shared" si="2"/>
        <v>161157.56975476799</v>
      </c>
      <c r="U38" s="240">
        <f t="shared" si="2"/>
        <v>177216.06576257499</v>
      </c>
      <c r="V38" s="240">
        <f t="shared" si="2"/>
        <v>186388.80132767701</v>
      </c>
      <c r="W38" s="240">
        <f t="shared" si="2"/>
        <v>184353.73967465901</v>
      </c>
      <c r="X38" s="240">
        <f t="shared" si="1"/>
        <v>153429.46874533602</v>
      </c>
      <c r="Y38" s="298" t="s">
        <v>72</v>
      </c>
    </row>
    <row r="39" spans="1:38" outlineLevel="1">
      <c r="D39" s="81"/>
      <c r="I39" s="52" t="s">
        <v>9</v>
      </c>
      <c r="J39" s="240">
        <f t="shared" si="2"/>
        <v>112506.535</v>
      </c>
      <c r="K39" s="240">
        <f t="shared" si="2"/>
        <v>108991.583</v>
      </c>
      <c r="L39" s="240">
        <f t="shared" si="2"/>
        <v>126897.568</v>
      </c>
      <c r="M39" s="240">
        <f t="shared" si="2"/>
        <v>145514.894</v>
      </c>
      <c r="N39" s="240">
        <f t="shared" si="2"/>
        <v>147956.514</v>
      </c>
      <c r="O39" s="240">
        <f t="shared" si="2"/>
        <v>191519.79500000001</v>
      </c>
      <c r="P39" s="240">
        <f t="shared" si="2"/>
        <v>203371.86</v>
      </c>
      <c r="Q39" s="240">
        <f t="shared" si="2"/>
        <v>222412.64300000001</v>
      </c>
      <c r="R39" s="240">
        <f t="shared" si="2"/>
        <v>233849.701</v>
      </c>
      <c r="S39" s="240">
        <f t="shared" si="2"/>
        <v>248377.486889666</v>
      </c>
      <c r="T39" s="240">
        <f t="shared" si="2"/>
        <v>211867.16309531001</v>
      </c>
      <c r="U39" s="240">
        <f t="shared" si="2"/>
        <v>248667.39895521599</v>
      </c>
      <c r="V39" s="240">
        <f t="shared" si="2"/>
        <v>249010.83126000001</v>
      </c>
      <c r="W39" s="240">
        <f t="shared" si="2"/>
        <v>261706.81672</v>
      </c>
      <c r="X39" s="240">
        <f t="shared" si="1"/>
        <v>193760.77070858513</v>
      </c>
      <c r="Y39" s="318" t="s">
        <v>71</v>
      </c>
    </row>
    <row r="40" spans="1:38" outlineLevel="1">
      <c r="D40" s="81"/>
      <c r="I40" s="51" t="s">
        <v>66</v>
      </c>
      <c r="J40" s="240">
        <f t="shared" si="2"/>
        <v>81250.614026765543</v>
      </c>
      <c r="K40" s="240">
        <f t="shared" si="2"/>
        <v>103209.38645113776</v>
      </c>
      <c r="L40" s="240">
        <f t="shared" si="2"/>
        <v>116017.52463473017</v>
      </c>
      <c r="M40" s="240">
        <f t="shared" si="2"/>
        <v>137883.29635850366</v>
      </c>
      <c r="N40" s="240">
        <f t="shared" si="2"/>
        <v>137860.36087647689</v>
      </c>
      <c r="O40" s="240">
        <f t="shared" si="2"/>
        <v>143839.81850797526</v>
      </c>
      <c r="P40" s="240">
        <f t="shared" si="2"/>
        <v>157205.91921771257</v>
      </c>
      <c r="Q40" s="240">
        <f t="shared" si="2"/>
        <v>179574.56650939499</v>
      </c>
      <c r="R40" s="240">
        <f t="shared" si="2"/>
        <v>189806.67514137062</v>
      </c>
      <c r="S40" s="240">
        <f t="shared" si="2"/>
        <v>204651.59938180444</v>
      </c>
      <c r="T40" s="240">
        <f t="shared" si="2"/>
        <v>229428.02527883899</v>
      </c>
      <c r="U40" s="240">
        <f t="shared" si="2"/>
        <v>204947.924709871</v>
      </c>
      <c r="V40" s="240">
        <f t="shared" si="2"/>
        <v>193557.933375539</v>
      </c>
      <c r="W40" s="240">
        <f t="shared" si="2"/>
        <v>204177.44023405801</v>
      </c>
      <c r="X40" s="240">
        <f t="shared" si="1"/>
        <v>163100.7917645842</v>
      </c>
      <c r="Y40" s="298" t="s">
        <v>72</v>
      </c>
    </row>
    <row r="41" spans="1:38" outlineLevel="1">
      <c r="D41" s="81"/>
      <c r="I41" s="52" t="s">
        <v>11</v>
      </c>
      <c r="J41" s="240">
        <f t="shared" si="2"/>
        <v>48648.823897879505</v>
      </c>
      <c r="K41" s="240">
        <f t="shared" si="2"/>
        <v>50748.109417397798</v>
      </c>
      <c r="L41" s="240">
        <f t="shared" si="2"/>
        <v>53289.0230297776</v>
      </c>
      <c r="M41" s="240">
        <f t="shared" si="2"/>
        <v>61973.7059213752</v>
      </c>
      <c r="N41" s="240">
        <f t="shared" si="2"/>
        <v>75037.978098049192</v>
      </c>
      <c r="O41" s="240">
        <f t="shared" si="2"/>
        <v>74900.179665433403</v>
      </c>
      <c r="P41" s="240">
        <f t="shared" si="2"/>
        <v>84369.777789408996</v>
      </c>
      <c r="Q41" s="240">
        <f t="shared" si="2"/>
        <v>70674.63604085501</v>
      </c>
      <c r="R41" s="240">
        <f t="shared" si="2"/>
        <v>74075.862810526407</v>
      </c>
      <c r="S41" s="240">
        <f t="shared" si="2"/>
        <v>64088.129960287195</v>
      </c>
      <c r="T41" s="240">
        <f t="shared" si="2"/>
        <v>69929.810763066795</v>
      </c>
      <c r="U41" s="240">
        <f t="shared" si="2"/>
        <v>93577.683630547996</v>
      </c>
      <c r="V41" s="240">
        <f t="shared" si="2"/>
        <v>86416.346934444198</v>
      </c>
      <c r="W41" s="240">
        <f t="shared" si="2"/>
        <v>78404.001088851903</v>
      </c>
      <c r="X41" s="240">
        <f t="shared" si="1"/>
        <v>70438.147789135794</v>
      </c>
      <c r="Y41" s="298" t="s">
        <v>71</v>
      </c>
    </row>
    <row r="42" spans="1:38" outlineLevel="1">
      <c r="I42" s="51" t="s">
        <v>12</v>
      </c>
      <c r="J42" s="240">
        <f t="shared" si="2"/>
        <v>83237</v>
      </c>
      <c r="K42" s="240">
        <f t="shared" si="2"/>
        <v>81473</v>
      </c>
      <c r="L42" s="240">
        <f t="shared" si="2"/>
        <v>85413.886309046997</v>
      </c>
      <c r="M42" s="240">
        <f t="shared" si="2"/>
        <v>89047.922493129998</v>
      </c>
      <c r="N42" s="240">
        <f t="shared" si="2"/>
        <v>96130.066559793398</v>
      </c>
      <c r="O42" s="240">
        <f t="shared" si="2"/>
        <v>121992.755514909</v>
      </c>
      <c r="P42" s="240">
        <f t="shared" si="2"/>
        <v>126519.882999029</v>
      </c>
      <c r="Q42" s="240">
        <f t="shared" si="2"/>
        <v>116175.49106407601</v>
      </c>
      <c r="R42" s="240">
        <f t="shared" si="2"/>
        <v>121867.70902049799</v>
      </c>
      <c r="S42" s="240">
        <f t="shared" si="2"/>
        <v>117721.494565381</v>
      </c>
      <c r="T42" s="240">
        <f t="shared" si="2"/>
        <v>138427.94329502599</v>
      </c>
      <c r="U42" s="240">
        <f t="shared" si="2"/>
        <v>132835.09312937901</v>
      </c>
      <c r="V42" s="240">
        <f t="shared" si="2"/>
        <v>108242.14191396099</v>
      </c>
      <c r="W42" s="240">
        <f t="shared" si="2"/>
        <v>110815.785</v>
      </c>
      <c r="X42" s="240">
        <f t="shared" si="1"/>
        <v>109278.5837045878</v>
      </c>
      <c r="Y42" s="298" t="s">
        <v>72</v>
      </c>
    </row>
    <row r="43" spans="1:38" outlineLevel="1">
      <c r="H43" s="6"/>
      <c r="J43" s="6">
        <v>1</v>
      </c>
      <c r="K43" s="6">
        <v>2</v>
      </c>
      <c r="L43" s="6">
        <v>3</v>
      </c>
      <c r="M43" s="6">
        <v>4</v>
      </c>
      <c r="N43" s="6">
        <v>5</v>
      </c>
      <c r="O43" s="6">
        <v>6</v>
      </c>
      <c r="P43" s="6">
        <v>7</v>
      </c>
      <c r="Q43" s="6">
        <v>8</v>
      </c>
      <c r="R43" s="6">
        <v>9</v>
      </c>
      <c r="S43" s="6">
        <v>10</v>
      </c>
      <c r="T43" s="295">
        <v>11</v>
      </c>
      <c r="U43" s="295">
        <v>12</v>
      </c>
      <c r="V43" s="295">
        <v>13</v>
      </c>
      <c r="W43" s="321">
        <v>14</v>
      </c>
      <c r="X43" s="321">
        <v>15</v>
      </c>
    </row>
    <row r="44" spans="1:38">
      <c r="A44" s="60"/>
      <c r="B44" s="60"/>
      <c r="C44" s="80"/>
      <c r="D44" s="60"/>
      <c r="E44" s="60"/>
      <c r="F44" s="60"/>
      <c r="G44" s="60"/>
      <c r="H44" s="6"/>
      <c r="I44" s="60"/>
      <c r="J44" s="60" t="s">
        <v>133</v>
      </c>
      <c r="K44" s="60" t="s">
        <v>134</v>
      </c>
      <c r="L44" s="60" t="s">
        <v>135</v>
      </c>
      <c r="M44" s="60" t="s">
        <v>136</v>
      </c>
      <c r="N44" s="60" t="s">
        <v>137</v>
      </c>
      <c r="O44" s="60" t="s">
        <v>138</v>
      </c>
      <c r="P44" s="60" t="s">
        <v>139</v>
      </c>
      <c r="Q44" s="60" t="s">
        <v>140</v>
      </c>
      <c r="R44" s="60" t="s">
        <v>141</v>
      </c>
      <c r="S44" s="60" t="s">
        <v>145</v>
      </c>
      <c r="T44" s="60" t="s">
        <v>146</v>
      </c>
      <c r="U44" s="302" t="s">
        <v>306</v>
      </c>
      <c r="V44" s="302" t="s">
        <v>307</v>
      </c>
      <c r="W44" s="302" t="s">
        <v>308</v>
      </c>
    </row>
    <row r="45" spans="1:38">
      <c r="A45" s="60"/>
      <c r="B45" s="60"/>
      <c r="C45" s="80"/>
      <c r="D45" s="60"/>
      <c r="E45" s="60"/>
      <c r="F45" s="60"/>
      <c r="G45" s="60"/>
      <c r="H45" s="6"/>
      <c r="I45" s="60"/>
      <c r="J45" s="62">
        <v>2006</v>
      </c>
      <c r="K45" s="62">
        <v>2007</v>
      </c>
      <c r="L45" s="62">
        <v>2008</v>
      </c>
      <c r="M45" s="62">
        <v>2009</v>
      </c>
      <c r="N45" s="62">
        <v>2010</v>
      </c>
      <c r="O45" s="62">
        <v>2011</v>
      </c>
      <c r="P45" s="62">
        <v>2012</v>
      </c>
      <c r="Q45" s="62">
        <v>2013</v>
      </c>
      <c r="R45" s="62">
        <v>2014</v>
      </c>
      <c r="S45" s="62">
        <v>2015</v>
      </c>
      <c r="T45" s="62">
        <v>2016</v>
      </c>
      <c r="U45" s="62">
        <v>2017</v>
      </c>
      <c r="V45" s="62">
        <v>2018</v>
      </c>
      <c r="W45" s="62">
        <v>2019</v>
      </c>
    </row>
    <row r="46" spans="1:38">
      <c r="A46" s="60"/>
      <c r="B46" s="60"/>
      <c r="C46" s="80"/>
      <c r="D46" s="60"/>
      <c r="E46" s="60"/>
      <c r="F46" s="60"/>
      <c r="G46" s="60"/>
      <c r="H46" s="6"/>
      <c r="I46" s="63" t="str">
        <f>'CPI-master'!A8</f>
        <v>Multiplication factor to convert $1 in the financial year to June 2015 $</v>
      </c>
      <c r="J46" s="31">
        <f>'CPI-master'!C8</f>
        <v>1.2828162291169452</v>
      </c>
      <c r="K46" s="78">
        <f>'CPI-master'!D8</f>
        <v>1.2413394919168592</v>
      </c>
      <c r="L46" s="78">
        <f>'CPI-master'!E8</f>
        <v>1.2065095398428733</v>
      </c>
      <c r="M46" s="78">
        <f>'CPI-master'!F8</f>
        <v>1.1634199134199132</v>
      </c>
      <c r="N46" s="78">
        <f>'CPI-master'!G8</f>
        <v>1.1399787910922587</v>
      </c>
      <c r="O46" s="78">
        <f>'CPI-master'!H8</f>
        <v>1.1093911248710009</v>
      </c>
      <c r="P46" s="78">
        <f>'CPI-master'!I8</f>
        <v>1.0771543086172346</v>
      </c>
      <c r="Q46" s="78">
        <f>'CPI-master'!J8</f>
        <v>1.053921568627451</v>
      </c>
      <c r="R46" s="78">
        <f>'CPI-master'!K8</f>
        <v>1.0257633587786259</v>
      </c>
      <c r="S46" s="78">
        <f>'CPI-master'!L8</f>
        <v>1.0084427767354598</v>
      </c>
      <c r="T46" s="78">
        <f>'CPI-master'!M8</f>
        <v>0.99169741697416969</v>
      </c>
      <c r="U46" s="143">
        <f>'CPI-master'!N8</f>
        <v>0.97727272727272729</v>
      </c>
      <c r="V46" s="143">
        <f>'CPI-master'!O8</f>
        <v>0.95896520963425513</v>
      </c>
      <c r="W46" s="143">
        <f>'CPI-master'!P8</f>
        <v>0.94215600350569684</v>
      </c>
    </row>
    <row r="47" spans="1:38">
      <c r="A47" s="60"/>
      <c r="B47" s="60"/>
      <c r="C47" s="80"/>
      <c r="D47" s="60"/>
      <c r="E47" s="60"/>
      <c r="F47" s="60"/>
      <c r="G47" s="60"/>
      <c r="H47" s="6"/>
      <c r="I47" s="63" t="str">
        <f>'CPI-master'!A9</f>
        <v>Multiplication factor to convert $1 in the calendar year to June 2015 $</v>
      </c>
      <c r="J47" s="31">
        <f>'CPI-master'!C9</f>
        <v>1.2514551804423748</v>
      </c>
      <c r="K47" s="78">
        <f>'CPI-master'!D9</f>
        <v>1.225769669327252</v>
      </c>
      <c r="L47" s="78">
        <f>'CPI-master'!E9</f>
        <v>1.1735807860262009</v>
      </c>
      <c r="M47" s="78">
        <f>'CPI-master'!F9</f>
        <v>1.1571582346609257</v>
      </c>
      <c r="N47" s="78">
        <f>'CPI-master'!G9</f>
        <v>1.1221294363256786</v>
      </c>
      <c r="O47" s="78">
        <f>'CPI-master'!H9</f>
        <v>1.0836693548387097</v>
      </c>
      <c r="P47" s="78">
        <f>'CPI-master'!I9</f>
        <v>1.0707171314741035</v>
      </c>
      <c r="Q47" s="78">
        <f>'CPI-master'!J9</f>
        <v>1.0457198443579767</v>
      </c>
      <c r="R47" s="78">
        <f>'CPI-master'!K9</f>
        <v>1.0151085930122756</v>
      </c>
      <c r="S47" s="78">
        <f>'CPI-master'!L9</f>
        <v>1</v>
      </c>
      <c r="T47" s="78">
        <f>'CPI-master'!M9</f>
        <v>0.98987108655616951</v>
      </c>
      <c r="U47" s="143">
        <f>'CPI-master'!N9</f>
        <v>0.97109304426377596</v>
      </c>
      <c r="V47" s="143">
        <f>'CPI-master'!O9</f>
        <v>0.95132743362831862</v>
      </c>
      <c r="W47" s="143">
        <f>'CPI-master'!P9</f>
        <v>0.93641114982578399</v>
      </c>
    </row>
    <row r="48" spans="1:38" ht="15.75" thickBot="1">
      <c r="A48" s="45"/>
      <c r="B48" s="55" t="s">
        <v>68</v>
      </c>
      <c r="C48" s="55"/>
      <c r="E48" s="56" t="s">
        <v>65</v>
      </c>
      <c r="F48" s="56" t="s">
        <v>69</v>
      </c>
      <c r="G48" s="60"/>
      <c r="H48" s="83" t="s">
        <v>180</v>
      </c>
      <c r="I48" s="83"/>
      <c r="J48" s="184">
        <v>2006</v>
      </c>
      <c r="K48" s="184">
        <v>2007</v>
      </c>
      <c r="L48" s="184">
        <v>2008</v>
      </c>
      <c r="M48" s="184">
        <v>2009</v>
      </c>
      <c r="N48" s="184">
        <v>2010</v>
      </c>
      <c r="O48" s="184">
        <v>2011</v>
      </c>
      <c r="P48" s="184">
        <v>2012</v>
      </c>
      <c r="Q48" s="184">
        <v>2013</v>
      </c>
      <c r="R48" s="184">
        <v>2014</v>
      </c>
      <c r="S48" s="184">
        <v>2015</v>
      </c>
      <c r="T48" s="184">
        <v>2016</v>
      </c>
      <c r="U48" s="184">
        <v>2017</v>
      </c>
      <c r="V48" s="184">
        <v>2018</v>
      </c>
      <c r="W48" s="184">
        <v>2019</v>
      </c>
      <c r="X48" s="184" t="s">
        <v>323</v>
      </c>
      <c r="Y48" s="303"/>
      <c r="Z48" s="303"/>
      <c r="AA48" s="303"/>
      <c r="AB48" s="303"/>
      <c r="AC48" s="303"/>
      <c r="AD48" s="303"/>
      <c r="AE48" s="303"/>
      <c r="AF48" s="303"/>
      <c r="AG48" s="303"/>
      <c r="AH48" s="303"/>
      <c r="AI48" s="303"/>
      <c r="AJ48" s="303"/>
      <c r="AK48" s="303"/>
      <c r="AL48" s="303"/>
    </row>
    <row r="49" spans="1:190">
      <c r="A49" s="6" t="s">
        <v>40</v>
      </c>
      <c r="B49" s="57">
        <f t="shared" ref="B49:B61" si="3">MIN(B7/$O$21,1)</f>
        <v>0.59782688791661898</v>
      </c>
      <c r="E49" s="58">
        <f t="shared" ref="E49:E61" ca="1" si="4">OFFSET($H48,1,$E$25)</f>
        <v>54698.079999369911</v>
      </c>
      <c r="F49" s="59">
        <f ca="1">B49*E49</f>
        <v>32699.982941037575</v>
      </c>
      <c r="G49" s="60"/>
      <c r="H49" s="60"/>
      <c r="I49" s="51" t="s">
        <v>0</v>
      </c>
      <c r="J49" s="240">
        <f t="shared" ref="J49:W49" ca="1" si="5">J30*OFFSET($I$45,MATCH($Y30,$I$46:$I$47,0),J$43)</f>
        <v>41876.730782665822</v>
      </c>
      <c r="K49" s="240">
        <f t="shared" ca="1" si="5"/>
        <v>42192.860810932165</v>
      </c>
      <c r="L49" s="240">
        <f t="shared" ca="1" si="5"/>
        <v>45435.191245716123</v>
      </c>
      <c r="M49" s="240">
        <f t="shared" ca="1" si="5"/>
        <v>46489.536790790466</v>
      </c>
      <c r="N49" s="240">
        <f t="shared" ca="1" si="5"/>
        <v>52538.730505504114</v>
      </c>
      <c r="O49" s="240">
        <f t="shared" ca="1" si="5"/>
        <v>59063.580102050313</v>
      </c>
      <c r="P49" s="240">
        <f t="shared" ca="1" si="5"/>
        <v>63298.020685188196</v>
      </c>
      <c r="Q49" s="240">
        <f t="shared" ca="1" si="5"/>
        <v>69998.740915872113</v>
      </c>
      <c r="R49" s="240">
        <f t="shared" ca="1" si="5"/>
        <v>79213.134045922168</v>
      </c>
      <c r="S49" s="240">
        <f t="shared" ca="1" si="5"/>
        <v>74201.060864726358</v>
      </c>
      <c r="T49" s="240">
        <f t="shared" ca="1" si="5"/>
        <v>40225.408017034766</v>
      </c>
      <c r="U49" s="240">
        <f t="shared" ca="1" si="5"/>
        <v>45843.46881818182</v>
      </c>
      <c r="V49" s="240">
        <f t="shared" ca="1" si="5"/>
        <v>53557.569246208746</v>
      </c>
      <c r="W49" s="240">
        <f t="shared" ca="1" si="5"/>
        <v>51839.087160385636</v>
      </c>
      <c r="X49" s="240">
        <f ca="1">AVERAGE(J49:W49)</f>
        <v>54698.079999369911</v>
      </c>
      <c r="Z49" s="296"/>
      <c r="AA49" s="296"/>
      <c r="AB49" s="296"/>
      <c r="AC49" s="296"/>
      <c r="AD49" s="296"/>
      <c r="AE49" s="296"/>
      <c r="AF49" s="296"/>
      <c r="AG49" s="296"/>
      <c r="AH49" s="296"/>
      <c r="AI49" s="296"/>
      <c r="AJ49" s="296"/>
      <c r="AK49" s="296"/>
      <c r="AL49" s="296"/>
      <c r="AM49" s="296"/>
    </row>
    <row r="50" spans="1:190">
      <c r="A50" s="6" t="s">
        <v>41</v>
      </c>
      <c r="B50" s="57">
        <f t="shared" si="3"/>
        <v>0.59550176028127622</v>
      </c>
      <c r="E50" s="58">
        <f t="shared" ca="1" si="4"/>
        <v>526013.74231078941</v>
      </c>
      <c r="F50" s="59">
        <f t="shared" ref="F50:F61" ca="1" si="6">B50*E50</f>
        <v>313242.10947821673</v>
      </c>
      <c r="G50" s="60"/>
      <c r="H50" s="60"/>
      <c r="I50" s="52" t="s">
        <v>1</v>
      </c>
      <c r="J50" s="240">
        <f t="shared" ref="J50:W50" ca="1" si="7">J31*OFFSET($I$45,MATCH($Y31,$I$46:$I$47,0),J$43)</f>
        <v>459035.89908801444</v>
      </c>
      <c r="K50" s="240">
        <f t="shared" ca="1" si="7"/>
        <v>392912.48992515594</v>
      </c>
      <c r="L50" s="240">
        <f t="shared" ca="1" si="7"/>
        <v>564416.16872833914</v>
      </c>
      <c r="M50" s="240">
        <f t="shared" ca="1" si="7"/>
        <v>513099.98756229493</v>
      </c>
      <c r="N50" s="240">
        <f t="shared" ca="1" si="7"/>
        <v>582739.22483728291</v>
      </c>
      <c r="O50" s="240">
        <f t="shared" ca="1" si="7"/>
        <v>562111.680187069</v>
      </c>
      <c r="P50" s="240">
        <f t="shared" ca="1" si="7"/>
        <v>622165.50868679571</v>
      </c>
      <c r="Q50" s="240">
        <f t="shared" ca="1" si="7"/>
        <v>496525.30351010169</v>
      </c>
      <c r="R50" s="240">
        <f t="shared" ca="1" si="7"/>
        <v>553470.71680222894</v>
      </c>
      <c r="S50" s="240">
        <f t="shared" ca="1" si="7"/>
        <v>652692.37710014754</v>
      </c>
      <c r="T50" s="240">
        <f t="shared" ca="1" si="7"/>
        <v>583295.46259438188</v>
      </c>
      <c r="U50" s="240">
        <f t="shared" ca="1" si="7"/>
        <v>517628.58681073255</v>
      </c>
      <c r="V50" s="240">
        <f t="shared" ca="1" si="7"/>
        <v>444132.33838090987</v>
      </c>
      <c r="W50" s="240">
        <f t="shared" ca="1" si="7"/>
        <v>419966.64813759865</v>
      </c>
      <c r="X50" s="240">
        <f t="shared" ref="X50:X61" ca="1" si="8">AVERAGE(J50:W50)</f>
        <v>526013.74231078941</v>
      </c>
      <c r="Y50" s="296"/>
      <c r="Z50" s="296"/>
      <c r="AA50" s="296"/>
      <c r="AB50" s="296"/>
      <c r="AC50" s="296"/>
      <c r="AD50" s="296"/>
      <c r="AE50" s="296"/>
      <c r="AF50" s="296"/>
      <c r="AG50" s="296"/>
      <c r="AH50" s="296"/>
      <c r="AI50" s="296"/>
      <c r="AJ50" s="296"/>
      <c r="AK50" s="296"/>
      <c r="AL50" s="296"/>
      <c r="AM50" s="296"/>
    </row>
    <row r="51" spans="1:190">
      <c r="A51" s="6" t="s">
        <v>43</v>
      </c>
      <c r="B51" s="57">
        <f t="shared" si="3"/>
        <v>1</v>
      </c>
      <c r="E51" s="58">
        <f t="shared" ca="1" si="4"/>
        <v>47864.010032837534</v>
      </c>
      <c r="F51" s="59">
        <f t="shared" ca="1" si="6"/>
        <v>47864.010032837534</v>
      </c>
      <c r="G51" s="60"/>
      <c r="H51" s="60"/>
      <c r="I51" s="51" t="s">
        <v>2</v>
      </c>
      <c r="J51" s="240">
        <f t="shared" ref="J51:W51" ca="1" si="9">J32*OFFSET($I$45,MATCH($Y32,$I$46:$I$47,0),J$43)</f>
        <v>33054.171344867391</v>
      </c>
      <c r="K51" s="240">
        <f t="shared" ca="1" si="9"/>
        <v>38403.009062661062</v>
      </c>
      <c r="L51" s="240">
        <f t="shared" ca="1" si="9"/>
        <v>36522.457690251853</v>
      </c>
      <c r="M51" s="240">
        <f t="shared" ca="1" si="9"/>
        <v>43543.333081632714</v>
      </c>
      <c r="N51" s="240">
        <f t="shared" ca="1" si="9"/>
        <v>47443.080460668105</v>
      </c>
      <c r="O51" s="240">
        <f t="shared" ca="1" si="9"/>
        <v>44086.382884249426</v>
      </c>
      <c r="P51" s="240">
        <f t="shared" ca="1" si="9"/>
        <v>56543.471854095907</v>
      </c>
      <c r="Q51" s="240">
        <f t="shared" ca="1" si="9"/>
        <v>54932.968597601241</v>
      </c>
      <c r="R51" s="240">
        <f t="shared" ca="1" si="9"/>
        <v>55983.87434545908</v>
      </c>
      <c r="S51" s="240">
        <f t="shared" ca="1" si="9"/>
        <v>54114.799686988088</v>
      </c>
      <c r="T51" s="240">
        <f t="shared" ca="1" si="9"/>
        <v>54854.163888655959</v>
      </c>
      <c r="U51" s="240">
        <f t="shared" ca="1" si="9"/>
        <v>52906.249168622351</v>
      </c>
      <c r="V51" s="240">
        <f t="shared" ca="1" si="9"/>
        <v>45881.607116181476</v>
      </c>
      <c r="W51" s="240">
        <f t="shared" ca="1" si="9"/>
        <v>51826.571277790768</v>
      </c>
      <c r="X51" s="240">
        <f t="shared" ca="1" si="8"/>
        <v>47864.010032837534</v>
      </c>
      <c r="Y51" s="296"/>
      <c r="Z51" s="296"/>
      <c r="AA51" s="296"/>
      <c r="AB51" s="296"/>
      <c r="AC51" s="296"/>
      <c r="AD51" s="296"/>
      <c r="AE51" s="296"/>
      <c r="AF51" s="296"/>
      <c r="AG51" s="296"/>
      <c r="AH51" s="296"/>
      <c r="AI51" s="296"/>
      <c r="AJ51" s="296"/>
      <c r="AK51" s="296"/>
      <c r="AL51" s="296"/>
      <c r="AM51" s="296"/>
    </row>
    <row r="52" spans="1:190">
      <c r="A52" s="6" t="s">
        <v>44</v>
      </c>
      <c r="B52" s="57">
        <f t="shared" si="3"/>
        <v>0.77723312397628164</v>
      </c>
      <c r="E52" s="58">
        <f t="shared" ca="1" si="4"/>
        <v>250843.60141950913</v>
      </c>
      <c r="F52" s="59">
        <f t="shared" ca="1" si="6"/>
        <v>194963.9559607463</v>
      </c>
      <c r="G52" s="60"/>
      <c r="H52" s="60"/>
      <c r="I52" s="52" t="s">
        <v>3</v>
      </c>
      <c r="J52" s="240">
        <f t="shared" ref="J52:W52" ca="1" si="10">J33*OFFSET($I$45,MATCH($Y33,$I$46:$I$47,0),J$43)</f>
        <v>201177.54980199909</v>
      </c>
      <c r="K52" s="240">
        <f t="shared" ca="1" si="10"/>
        <v>219520.20671524346</v>
      </c>
      <c r="L52" s="240">
        <f t="shared" ca="1" si="10"/>
        <v>270750.46522781439</v>
      </c>
      <c r="M52" s="240">
        <f t="shared" ca="1" si="10"/>
        <v>249124.61881491146</v>
      </c>
      <c r="N52" s="240">
        <f t="shared" ca="1" si="10"/>
        <v>239887.03428359362</v>
      </c>
      <c r="O52" s="240">
        <f t="shared" ca="1" si="10"/>
        <v>254665.49273374514</v>
      </c>
      <c r="P52" s="240">
        <f t="shared" ca="1" si="10"/>
        <v>259419.82644395903</v>
      </c>
      <c r="Q52" s="240">
        <f t="shared" ca="1" si="10"/>
        <v>234650.65640494513</v>
      </c>
      <c r="R52" s="240">
        <f t="shared" ca="1" si="10"/>
        <v>264977.23523496481</v>
      </c>
      <c r="S52" s="240">
        <f t="shared" ca="1" si="10"/>
        <v>273242.04299289902</v>
      </c>
      <c r="T52" s="240">
        <f t="shared" ca="1" si="10"/>
        <v>293208.72738893639</v>
      </c>
      <c r="U52" s="240">
        <f t="shared" ca="1" si="10"/>
        <v>269867.8094318182</v>
      </c>
      <c r="V52" s="240">
        <f t="shared" ca="1" si="10"/>
        <v>246763.70700107809</v>
      </c>
      <c r="W52" s="240">
        <f t="shared" ca="1" si="10"/>
        <v>234555.04739721958</v>
      </c>
      <c r="X52" s="240">
        <f t="shared" ca="1" si="8"/>
        <v>250843.60141950913</v>
      </c>
      <c r="Y52" s="296"/>
      <c r="Z52" s="296"/>
      <c r="AA52" s="296"/>
      <c r="AB52" s="296"/>
      <c r="AC52" s="296"/>
      <c r="AD52" s="296"/>
      <c r="AE52" s="296"/>
      <c r="AF52" s="296"/>
      <c r="AG52" s="296"/>
      <c r="AH52" s="296"/>
      <c r="AI52" s="296"/>
      <c r="AJ52" s="296"/>
      <c r="AK52" s="296"/>
      <c r="AL52" s="296"/>
      <c r="AM52" s="296"/>
    </row>
    <row r="53" spans="1:190">
      <c r="A53" s="6" t="s">
        <v>46</v>
      </c>
      <c r="B53" s="57">
        <f t="shared" si="3"/>
        <v>0.81661277709392588</v>
      </c>
      <c r="E53" s="58">
        <f t="shared" ca="1" si="4"/>
        <v>337416.92736198223</v>
      </c>
      <c r="F53" s="59">
        <f t="shared" ca="1" si="6"/>
        <v>275538.9740915678</v>
      </c>
      <c r="G53" s="60"/>
      <c r="H53" s="60"/>
      <c r="I53" s="51" t="s">
        <v>4</v>
      </c>
      <c r="J53" s="240">
        <f t="shared" ref="J53:W53" ca="1" si="11">J34*OFFSET($I$45,MATCH($Y34,$I$46:$I$47,0),J$43)</f>
        <v>242820.16170007957</v>
      </c>
      <c r="K53" s="240">
        <f t="shared" ca="1" si="11"/>
        <v>285507.86588315666</v>
      </c>
      <c r="L53" s="240">
        <f t="shared" ca="1" si="11"/>
        <v>300686.6465863284</v>
      </c>
      <c r="M53" s="240">
        <f t="shared" ca="1" si="11"/>
        <v>313416.77863474021</v>
      </c>
      <c r="N53" s="240">
        <f t="shared" ca="1" si="11"/>
        <v>317779.87375530222</v>
      </c>
      <c r="O53" s="240">
        <f t="shared" ca="1" si="11"/>
        <v>352373.39246284828</v>
      </c>
      <c r="P53" s="240">
        <f t="shared" ca="1" si="11"/>
        <v>378036.63806513039</v>
      </c>
      <c r="Q53" s="240">
        <f t="shared" ca="1" si="11"/>
        <v>408792.98908946058</v>
      </c>
      <c r="R53" s="240">
        <f t="shared" ca="1" si="11"/>
        <v>375161.2113504294</v>
      </c>
      <c r="S53" s="240">
        <f t="shared" ca="1" si="11"/>
        <v>384682.14079713868</v>
      </c>
      <c r="T53" s="240">
        <f t="shared" ca="1" si="11"/>
        <v>342030.13035489939</v>
      </c>
      <c r="U53" s="240">
        <f t="shared" ca="1" si="11"/>
        <v>345315.7123190909</v>
      </c>
      <c r="V53" s="240">
        <f t="shared" ca="1" si="11"/>
        <v>347370.55979482603</v>
      </c>
      <c r="W53" s="240">
        <f t="shared" ca="1" si="11"/>
        <v>329862.88227432081</v>
      </c>
      <c r="X53" s="240">
        <f t="shared" ca="1" si="8"/>
        <v>337416.92736198223</v>
      </c>
      <c r="Y53" s="296"/>
      <c r="Z53" s="296"/>
      <c r="AA53" s="296"/>
      <c r="AB53" s="296"/>
      <c r="AC53" s="296"/>
      <c r="AD53" s="296"/>
      <c r="AE53" s="296"/>
      <c r="AF53" s="296"/>
      <c r="AG53" s="296"/>
      <c r="AH53" s="296"/>
      <c r="AI53" s="296"/>
      <c r="AJ53" s="296"/>
      <c r="AK53" s="296"/>
      <c r="AL53" s="296"/>
      <c r="AM53" s="296"/>
    </row>
    <row r="54" spans="1:190">
      <c r="A54" s="6" t="s">
        <v>48</v>
      </c>
      <c r="B54" s="57">
        <f t="shared" si="3"/>
        <v>0.7827882045861817</v>
      </c>
      <c r="E54" s="58">
        <f t="shared" ca="1" si="4"/>
        <v>339004.9365296688</v>
      </c>
      <c r="F54" s="59">
        <f t="shared" ca="1" si="6"/>
        <v>265369.06561191194</v>
      </c>
      <c r="G54" s="60"/>
      <c r="H54" s="60"/>
      <c r="I54" s="52" t="s">
        <v>5</v>
      </c>
      <c r="J54" s="240">
        <f t="shared" ref="J54:W54" ca="1" si="12">J35*OFFSET($I$45,MATCH($Y35,$I$46:$I$47,0),J$43)</f>
        <v>333478.20146181388</v>
      </c>
      <c r="K54" s="240">
        <f t="shared" ca="1" si="12"/>
        <v>300268.20622546191</v>
      </c>
      <c r="L54" s="240">
        <f t="shared" ca="1" si="12"/>
        <v>325102.72641694732</v>
      </c>
      <c r="M54" s="240">
        <f t="shared" ca="1" si="12"/>
        <v>314666.22601650434</v>
      </c>
      <c r="N54" s="240">
        <f t="shared" ca="1" si="12"/>
        <v>308502.44517762464</v>
      </c>
      <c r="O54" s="240">
        <f t="shared" ca="1" si="12"/>
        <v>382875.35238028894</v>
      </c>
      <c r="P54" s="240">
        <f t="shared" ca="1" si="12"/>
        <v>392058.83837449912</v>
      </c>
      <c r="Q54" s="240">
        <f t="shared" ca="1" si="12"/>
        <v>314575.61462990212</v>
      </c>
      <c r="R54" s="240">
        <f t="shared" ca="1" si="12"/>
        <v>315982.6692726622</v>
      </c>
      <c r="S54" s="240">
        <f t="shared" ca="1" si="12"/>
        <v>365893.45174460608</v>
      </c>
      <c r="T54" s="240">
        <f t="shared" ca="1" si="12"/>
        <v>368522.67190959409</v>
      </c>
      <c r="U54" s="240">
        <f t="shared" ca="1" si="12"/>
        <v>333263.00750000001</v>
      </c>
      <c r="V54" s="240">
        <f t="shared" ca="1" si="12"/>
        <v>343273.75742640498</v>
      </c>
      <c r="W54" s="240">
        <f t="shared" ca="1" si="12"/>
        <v>347605.94287905347</v>
      </c>
      <c r="X54" s="240">
        <f t="shared" ca="1" si="8"/>
        <v>339004.9365296688</v>
      </c>
      <c r="Y54" s="296"/>
      <c r="Z54" s="296"/>
      <c r="AA54" s="296"/>
      <c r="AB54" s="296"/>
      <c r="AC54" s="296"/>
      <c r="AD54" s="296"/>
      <c r="AE54" s="296"/>
      <c r="AF54" s="296"/>
      <c r="AG54" s="296"/>
      <c r="AH54" s="296"/>
      <c r="AI54" s="296"/>
      <c r="AJ54" s="296"/>
      <c r="AK54" s="296"/>
      <c r="AL54" s="296"/>
      <c r="AM54" s="296"/>
    </row>
    <row r="55" spans="1:190">
      <c r="A55" s="6" t="s">
        <v>50</v>
      </c>
      <c r="B55" s="57">
        <f t="shared" si="3"/>
        <v>0.87332029217382245</v>
      </c>
      <c r="E55" s="58">
        <f t="shared" ca="1" si="4"/>
        <v>359770.58667492523</v>
      </c>
      <c r="F55" s="59">
        <f t="shared" ca="1" si="6"/>
        <v>314194.95387049322</v>
      </c>
      <c r="G55" s="60"/>
      <c r="H55" s="60"/>
      <c r="I55" s="51" t="s">
        <v>6</v>
      </c>
      <c r="J55" s="240">
        <f t="shared" ref="J55:W55" ca="1" si="13">J36*OFFSET($I$45,MATCH($Y36,$I$46:$I$47,0),J$43)</f>
        <v>254648.79575215749</v>
      </c>
      <c r="K55" s="240">
        <f t="shared" ca="1" si="13"/>
        <v>309341.34714746021</v>
      </c>
      <c r="L55" s="240">
        <f t="shared" ca="1" si="13"/>
        <v>367517.62932785525</v>
      </c>
      <c r="M55" s="240">
        <f t="shared" ca="1" si="13"/>
        <v>345050.39342919225</v>
      </c>
      <c r="N55" s="240">
        <f t="shared" ca="1" si="13"/>
        <v>370431.68244856846</v>
      </c>
      <c r="O55" s="240">
        <f t="shared" ca="1" si="13"/>
        <v>372986.17727496137</v>
      </c>
      <c r="P55" s="240">
        <f t="shared" ca="1" si="13"/>
        <v>462590.07133817853</v>
      </c>
      <c r="Q55" s="240">
        <f t="shared" ca="1" si="13"/>
        <v>422897.02129566728</v>
      </c>
      <c r="R55" s="240">
        <f t="shared" ca="1" si="13"/>
        <v>401020.6428331582</v>
      </c>
      <c r="S55" s="240">
        <f t="shared" ca="1" si="13"/>
        <v>394603.52443787351</v>
      </c>
      <c r="T55" s="240">
        <f t="shared" ca="1" si="13"/>
        <v>311330.35287859332</v>
      </c>
      <c r="U55" s="240">
        <f t="shared" ca="1" si="13"/>
        <v>314625.81317386264</v>
      </c>
      <c r="V55" s="240">
        <f t="shared" ca="1" si="13"/>
        <v>331217.67845673504</v>
      </c>
      <c r="W55" s="240">
        <f t="shared" ca="1" si="13"/>
        <v>378527.0836546889</v>
      </c>
      <c r="X55" s="240">
        <f t="shared" ca="1" si="8"/>
        <v>359770.58667492523</v>
      </c>
      <c r="Y55" s="296"/>
      <c r="Z55" s="296"/>
      <c r="AA55" s="296"/>
      <c r="AB55" s="296"/>
      <c r="AC55" s="296"/>
      <c r="AD55" s="296"/>
      <c r="AE55" s="296"/>
      <c r="AF55" s="296"/>
      <c r="AG55" s="296"/>
      <c r="AH55" s="296"/>
      <c r="AI55" s="296"/>
      <c r="AJ55" s="296"/>
      <c r="AK55" s="296"/>
      <c r="AL55" s="296"/>
      <c r="AM55" s="296"/>
    </row>
    <row r="56" spans="1:190">
      <c r="A56" s="6" t="s">
        <v>52</v>
      </c>
      <c r="B56" s="57">
        <f t="shared" si="3"/>
        <v>0.78959652861264873</v>
      </c>
      <c r="E56" s="58">
        <f t="shared" ca="1" si="4"/>
        <v>68858.331840057755</v>
      </c>
      <c r="F56" s="59">
        <f t="shared" ca="1" si="6"/>
        <v>54370.299786967422</v>
      </c>
      <c r="G56" s="60"/>
      <c r="H56" s="60"/>
      <c r="I56" s="52" t="s">
        <v>7</v>
      </c>
      <c r="J56" s="240">
        <f t="shared" ref="J56:W56" ca="1" si="14">J37*OFFSET($I$45,MATCH($Y37,$I$46:$I$47,0),J$43)</f>
        <v>58513.153909935434</v>
      </c>
      <c r="K56" s="240">
        <f t="shared" ca="1" si="14"/>
        <v>62823.57883566391</v>
      </c>
      <c r="L56" s="240">
        <f t="shared" ca="1" si="14"/>
        <v>50722.582474955503</v>
      </c>
      <c r="M56" s="240">
        <f t="shared" ca="1" si="14"/>
        <v>55948.283295056004</v>
      </c>
      <c r="N56" s="240">
        <f t="shared" ca="1" si="14"/>
        <v>65763.040964156287</v>
      </c>
      <c r="O56" s="240">
        <f t="shared" ca="1" si="14"/>
        <v>64897.596561196428</v>
      </c>
      <c r="P56" s="240">
        <f t="shared" ca="1" si="14"/>
        <v>75055.202040387987</v>
      </c>
      <c r="Q56" s="240">
        <f t="shared" ca="1" si="14"/>
        <v>72311.84505952317</v>
      </c>
      <c r="R56" s="240">
        <f t="shared" ca="1" si="14"/>
        <v>70974.927628877762</v>
      </c>
      <c r="S56" s="240">
        <f t="shared" ca="1" si="14"/>
        <v>73079.730390022902</v>
      </c>
      <c r="T56" s="240">
        <f t="shared" ca="1" si="14"/>
        <v>77886.570142725599</v>
      </c>
      <c r="U56" s="240">
        <f t="shared" ca="1" si="14"/>
        <v>81609.709710930445</v>
      </c>
      <c r="V56" s="240">
        <f t="shared" ca="1" si="14"/>
        <v>75343.964513274332</v>
      </c>
      <c r="W56" s="240">
        <f t="shared" ca="1" si="14"/>
        <v>79086.460234102793</v>
      </c>
      <c r="X56" s="240">
        <f t="shared" ca="1" si="8"/>
        <v>68858.331840057755</v>
      </c>
      <c r="Y56" s="296"/>
      <c r="Z56" s="296"/>
      <c r="AA56" s="296"/>
      <c r="AB56" s="296"/>
      <c r="AC56" s="296"/>
      <c r="AD56" s="296"/>
      <c r="AE56" s="296"/>
      <c r="AF56" s="296"/>
      <c r="AG56" s="296"/>
      <c r="AH56" s="296"/>
      <c r="AI56" s="296"/>
      <c r="AJ56" s="296"/>
      <c r="AK56" s="296"/>
      <c r="AL56" s="296"/>
      <c r="AM56" s="296"/>
    </row>
    <row r="57" spans="1:190">
      <c r="A57" s="6" t="s">
        <v>54</v>
      </c>
      <c r="B57" s="57">
        <f t="shared" si="3"/>
        <v>1</v>
      </c>
      <c r="E57" s="58">
        <f t="shared" ca="1" si="4"/>
        <v>161686.41459303079</v>
      </c>
      <c r="F57" s="59">
        <f t="shared" ca="1" si="6"/>
        <v>161686.41459303079</v>
      </c>
      <c r="G57" s="60"/>
      <c r="H57" s="60"/>
      <c r="I57" s="51" t="s">
        <v>8</v>
      </c>
      <c r="J57" s="240">
        <f t="shared" ref="J57:W57" ca="1" si="15">J38*OFFSET($I$45,MATCH($Y38,$I$46:$I$47,0),J$43)</f>
        <v>146246.9027620361</v>
      </c>
      <c r="K57" s="240">
        <f t="shared" ca="1" si="15"/>
        <v>130372.3321595873</v>
      </c>
      <c r="L57" s="240">
        <f t="shared" ca="1" si="15"/>
        <v>133218.70506256114</v>
      </c>
      <c r="M57" s="240">
        <f t="shared" ca="1" si="15"/>
        <v>148555.5251717077</v>
      </c>
      <c r="N57" s="240">
        <f t="shared" ca="1" si="15"/>
        <v>142824.85576842813</v>
      </c>
      <c r="O57" s="240">
        <f t="shared" ca="1" si="15"/>
        <v>148651.30373118562</v>
      </c>
      <c r="P57" s="240">
        <f t="shared" ca="1" si="15"/>
        <v>179608.46461440678</v>
      </c>
      <c r="Q57" s="240">
        <f t="shared" ca="1" si="15"/>
        <v>192126.29309868204</v>
      </c>
      <c r="R57" s="240">
        <f t="shared" ca="1" si="15"/>
        <v>173664.9637509232</v>
      </c>
      <c r="S57" s="240">
        <f t="shared" ca="1" si="15"/>
        <v>186774.27334163259</v>
      </c>
      <c r="T57" s="240">
        <f t="shared" ca="1" si="15"/>
        <v>159525.21867990386</v>
      </c>
      <c r="U57" s="240">
        <f t="shared" ca="1" si="15"/>
        <v>172093.28879382845</v>
      </c>
      <c r="V57" s="240">
        <f t="shared" ca="1" si="15"/>
        <v>177316.7800241175</v>
      </c>
      <c r="W57" s="240">
        <f t="shared" ca="1" si="15"/>
        <v>172630.8973434307</v>
      </c>
      <c r="X57" s="240">
        <f t="shared" ca="1" si="8"/>
        <v>161686.41459303079</v>
      </c>
      <c r="Y57" s="296"/>
      <c r="Z57" s="296"/>
      <c r="AA57" s="296"/>
      <c r="AB57" s="296"/>
      <c r="AC57" s="296"/>
      <c r="AD57" s="296"/>
      <c r="AE57" s="296"/>
      <c r="AF57" s="296"/>
      <c r="AG57" s="296"/>
      <c r="AH57" s="296"/>
      <c r="AI57" s="296"/>
      <c r="AJ57" s="296"/>
      <c r="AK57" s="296"/>
      <c r="AL57" s="296"/>
      <c r="AM57" s="296"/>
    </row>
    <row r="58" spans="1:190">
      <c r="A58" s="6" t="s">
        <v>56</v>
      </c>
      <c r="B58" s="57">
        <f t="shared" si="3"/>
        <v>1</v>
      </c>
      <c r="E58" s="58">
        <f t="shared" ca="1" si="4"/>
        <v>204675.65128541589</v>
      </c>
      <c r="F58" s="59">
        <f t="shared" ca="1" si="6"/>
        <v>204675.65128541589</v>
      </c>
      <c r="G58" s="60"/>
      <c r="H58" s="60"/>
      <c r="I58" s="52" t="s">
        <v>9</v>
      </c>
      <c r="J58" s="240">
        <f t="shared" ref="J58:W58" ca="1" si="16">J39*OFFSET($I$45,MATCH($Y39,$I$46:$I$47,0),J$43)</f>
        <v>144325.20897971361</v>
      </c>
      <c r="K58" s="240">
        <f t="shared" ca="1" si="16"/>
        <v>135295.55626443418</v>
      </c>
      <c r="L58" s="240">
        <f t="shared" ca="1" si="16"/>
        <v>153103.12637485974</v>
      </c>
      <c r="M58" s="240">
        <f t="shared" ca="1" si="16"/>
        <v>169294.92537878786</v>
      </c>
      <c r="N58" s="240">
        <f t="shared" ca="1" si="16"/>
        <v>168667.28796394487</v>
      </c>
      <c r="O58" s="240">
        <f t="shared" ca="1" si="16"/>
        <v>212470.36081011352</v>
      </c>
      <c r="P58" s="240">
        <f t="shared" ca="1" si="16"/>
        <v>219062.87525050101</v>
      </c>
      <c r="Q58" s="240">
        <f t="shared" ca="1" si="16"/>
        <v>234405.48159313729</v>
      </c>
      <c r="R58" s="240">
        <f t="shared" ca="1" si="16"/>
        <v>239874.45474713738</v>
      </c>
      <c r="S58" s="240">
        <f t="shared" ca="1" si="16"/>
        <v>250474.48255759003</v>
      </c>
      <c r="T58" s="240">
        <f t="shared" ca="1" si="16"/>
        <v>210108.11838326405</v>
      </c>
      <c r="U58" s="240">
        <f t="shared" ca="1" si="16"/>
        <v>243015.86716077928</v>
      </c>
      <c r="V58" s="240">
        <f t="shared" ca="1" si="16"/>
        <v>238792.72400044603</v>
      </c>
      <c r="W58" s="240">
        <f t="shared" ca="1" si="16"/>
        <v>246568.64853111308</v>
      </c>
      <c r="X58" s="240">
        <f t="shared" ca="1" si="8"/>
        <v>204675.65128541589</v>
      </c>
      <c r="Y58" s="296"/>
      <c r="Z58" s="296"/>
      <c r="AA58" s="296"/>
      <c r="AB58" s="296"/>
      <c r="AC58" s="296"/>
      <c r="AD58" s="296"/>
      <c r="AE58" s="296"/>
      <c r="AF58" s="296"/>
      <c r="AG58" s="296"/>
      <c r="AH58" s="296"/>
      <c r="AI58" s="296"/>
      <c r="AJ58" s="296"/>
      <c r="AK58" s="296"/>
      <c r="AL58" s="296"/>
      <c r="AM58" s="296"/>
    </row>
    <row r="59" spans="1:190">
      <c r="A59" s="6" t="s">
        <v>58</v>
      </c>
      <c r="B59" s="57">
        <f t="shared" si="3"/>
        <v>0.94953997410256263</v>
      </c>
      <c r="E59" s="58">
        <f t="shared" ca="1" si="4"/>
        <v>170668.96861374745</v>
      </c>
      <c r="F59" s="59">
        <f t="shared" ca="1" si="6"/>
        <v>162057.00803760882</v>
      </c>
      <c r="G59" s="60"/>
      <c r="H59" s="60"/>
      <c r="I59" s="51" t="s">
        <v>66</v>
      </c>
      <c r="J59" s="240">
        <f t="shared" ref="J59:W59" ca="1" si="17">J40*OFFSET($I$45,MATCH($Y40,$I$46:$I$47,0),J$43)</f>
        <v>101681.50183791963</v>
      </c>
      <c r="K59" s="240">
        <f t="shared" ca="1" si="17"/>
        <v>126510.93550167969</v>
      </c>
      <c r="L59" s="240">
        <f t="shared" ca="1" si="17"/>
        <v>136155.93775364076</v>
      </c>
      <c r="M59" s="240">
        <f t="shared" ca="1" si="17"/>
        <v>159552.79180343534</v>
      </c>
      <c r="N59" s="240">
        <f t="shared" ca="1" si="17"/>
        <v>154697.16904197563</v>
      </c>
      <c r="O59" s="240">
        <f t="shared" ca="1" si="17"/>
        <v>155874.80332265465</v>
      </c>
      <c r="P59" s="240">
        <f t="shared" ca="1" si="17"/>
        <v>168323.07087553883</v>
      </c>
      <c r="Q59" s="240">
        <f t="shared" ca="1" si="17"/>
        <v>187784.68774085568</v>
      </c>
      <c r="R59" s="240">
        <f t="shared" ca="1" si="17"/>
        <v>192674.38694709481</v>
      </c>
      <c r="S59" s="240">
        <f t="shared" ca="1" si="17"/>
        <v>204651.59938180444</v>
      </c>
      <c r="T59" s="240">
        <f t="shared" ca="1" si="17"/>
        <v>227104.16866920068</v>
      </c>
      <c r="U59" s="240">
        <f t="shared" ca="1" si="17"/>
        <v>199023.50412205179</v>
      </c>
      <c r="V59" s="240">
        <f t="shared" ca="1" si="17"/>
        <v>184136.97201655258</v>
      </c>
      <c r="W59" s="240">
        <f t="shared" ca="1" si="17"/>
        <v>191194.03157805954</v>
      </c>
      <c r="X59" s="240">
        <f t="shared" ca="1" si="8"/>
        <v>170668.96861374745</v>
      </c>
      <c r="Y59" s="296"/>
      <c r="Z59" s="296"/>
      <c r="AA59" s="296"/>
      <c r="AB59" s="296"/>
      <c r="AC59" s="296"/>
      <c r="AD59" s="296"/>
      <c r="AE59" s="296"/>
      <c r="AF59" s="296"/>
      <c r="AG59" s="296"/>
      <c r="AH59" s="296"/>
      <c r="AI59" s="296"/>
      <c r="AJ59" s="296"/>
      <c r="AK59" s="296"/>
      <c r="AL59" s="296"/>
      <c r="AM59" s="296"/>
    </row>
    <row r="60" spans="1:190">
      <c r="A60" s="6" t="s">
        <v>59</v>
      </c>
      <c r="B60" s="57">
        <f t="shared" si="3"/>
        <v>1</v>
      </c>
      <c r="E60" s="58">
        <f t="shared" ca="1" si="4"/>
        <v>75282.221531143718</v>
      </c>
      <c r="F60" s="59">
        <f t="shared" ca="1" si="6"/>
        <v>75282.221531143718</v>
      </c>
      <c r="G60" s="60"/>
      <c r="H60" s="60"/>
      <c r="I60" s="52" t="s">
        <v>11</v>
      </c>
      <c r="J60" s="240">
        <f t="shared" ref="J60:W60" ca="1" si="18">J41*OFFSET($I$45,MATCH($Y41,$I$46:$I$47,0),J$43)</f>
        <v>62407.50082365211</v>
      </c>
      <c r="K60" s="240">
        <f t="shared" ca="1" si="18"/>
        <v>62995.632359933763</v>
      </c>
      <c r="L60" s="240">
        <f t="shared" ca="1" si="18"/>
        <v>64293.714654333249</v>
      </c>
      <c r="M60" s="240">
        <f t="shared" ca="1" si="18"/>
        <v>72101.443577357495</v>
      </c>
      <c r="N60" s="240">
        <f t="shared" ca="1" si="18"/>
        <v>85541.703558221503</v>
      </c>
      <c r="O60" s="240">
        <f t="shared" ca="1" si="18"/>
        <v>83093.594572075235</v>
      </c>
      <c r="P60" s="240">
        <f t="shared" ca="1" si="18"/>
        <v>90879.269662940569</v>
      </c>
      <c r="Q60" s="240">
        <f t="shared" ca="1" si="18"/>
        <v>74485.523278352091</v>
      </c>
      <c r="R60" s="240">
        <f t="shared" ca="1" si="18"/>
        <v>75984.30584095027</v>
      </c>
      <c r="S60" s="240">
        <f t="shared" ca="1" si="18"/>
        <v>64629.211732935029</v>
      </c>
      <c r="T60" s="240">
        <f t="shared" ca="1" si="18"/>
        <v>69349.212703225829</v>
      </c>
      <c r="U60" s="240">
        <f t="shared" ca="1" si="18"/>
        <v>91450.918093490094</v>
      </c>
      <c r="V60" s="240">
        <f t="shared" ca="1" si="18"/>
        <v>82870.270253815805</v>
      </c>
      <c r="W60" s="240">
        <f t="shared" ca="1" si="18"/>
        <v>73868.800324729018</v>
      </c>
      <c r="X60" s="240">
        <f t="shared" ca="1" si="8"/>
        <v>75282.221531143718</v>
      </c>
      <c r="Y60" s="296"/>
      <c r="Z60" s="296"/>
      <c r="AA60" s="296"/>
      <c r="AB60" s="296"/>
      <c r="AC60" s="296"/>
      <c r="AD60" s="296"/>
      <c r="AE60" s="296"/>
      <c r="AF60" s="296"/>
      <c r="AG60" s="296"/>
      <c r="AH60" s="296"/>
      <c r="AI60" s="296"/>
      <c r="AJ60" s="296"/>
      <c r="AK60" s="296"/>
      <c r="AL60" s="296"/>
      <c r="AM60" s="296"/>
    </row>
    <row r="61" spans="1:190">
      <c r="A61" s="6" t="s">
        <v>61</v>
      </c>
      <c r="B61" s="57">
        <f t="shared" si="3"/>
        <v>1</v>
      </c>
      <c r="E61" s="58">
        <f t="shared" ca="1" si="4"/>
        <v>115609.69378497882</v>
      </c>
      <c r="F61" s="59">
        <f t="shared" ca="1" si="6"/>
        <v>115609.69378497882</v>
      </c>
      <c r="G61" s="60"/>
      <c r="H61" s="60"/>
      <c r="I61" s="51" t="s">
        <v>12</v>
      </c>
      <c r="J61" s="240">
        <f t="shared" ref="J61:W61" ca="1" si="19">J42*OFFSET($I$45,MATCH($Y42,$I$46:$I$47,0),J$43)</f>
        <v>104167.37485448195</v>
      </c>
      <c r="K61" s="240">
        <f t="shared" ca="1" si="19"/>
        <v>99867.132269099195</v>
      </c>
      <c r="L61" s="240">
        <f t="shared" ca="1" si="19"/>
        <v>100240.09583212393</v>
      </c>
      <c r="M61" s="240">
        <f t="shared" ca="1" si="19"/>
        <v>103042.53679237324</v>
      </c>
      <c r="N61" s="240">
        <f t="shared" ca="1" si="19"/>
        <v>107870.37740269094</v>
      </c>
      <c r="O61" s="240">
        <f t="shared" ca="1" si="19"/>
        <v>132199.81066383788</v>
      </c>
      <c r="P61" s="240">
        <f t="shared" ca="1" si="19"/>
        <v>135467.00619915951</v>
      </c>
      <c r="Q61" s="240">
        <f t="shared" ca="1" si="19"/>
        <v>121487.01643373708</v>
      </c>
      <c r="R61" s="240">
        <f t="shared" ca="1" si="19"/>
        <v>123708.95863742713</v>
      </c>
      <c r="S61" s="240">
        <f t="shared" ca="1" si="19"/>
        <v>117721.494565381</v>
      </c>
      <c r="T61" s="240">
        <f t="shared" ca="1" si="19"/>
        <v>137025.81863918321</v>
      </c>
      <c r="U61" s="240">
        <f t="shared" ca="1" si="19"/>
        <v>128995.23497207084</v>
      </c>
      <c r="V61" s="240">
        <f t="shared" ca="1" si="19"/>
        <v>102973.71907744078</v>
      </c>
      <c r="W61" s="240">
        <f t="shared" ca="1" si="19"/>
        <v>103769.13665069688</v>
      </c>
      <c r="X61" s="240">
        <f t="shared" ca="1" si="8"/>
        <v>115609.69378497882</v>
      </c>
      <c r="Y61" s="296"/>
      <c r="Z61" s="296"/>
      <c r="AA61" s="296"/>
      <c r="AB61" s="296"/>
      <c r="AC61" s="296"/>
      <c r="AD61" s="296"/>
      <c r="AE61" s="296"/>
      <c r="AF61" s="296"/>
      <c r="AG61" s="296"/>
      <c r="AH61" s="296"/>
      <c r="AI61" s="296"/>
      <c r="AJ61" s="296"/>
      <c r="AK61" s="296"/>
      <c r="AL61" s="296"/>
      <c r="AM61" s="296"/>
    </row>
    <row r="62" spans="1:190">
      <c r="G62" s="60"/>
      <c r="H62" s="60"/>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row>
    <row r="63" spans="1:190">
      <c r="I63" s="305" t="s">
        <v>313</v>
      </c>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c r="EA63" s="300"/>
      <c r="EB63" s="300"/>
      <c r="EC63" s="300"/>
      <c r="ED63" s="300"/>
      <c r="EE63" s="300"/>
      <c r="EF63" s="300"/>
      <c r="EG63" s="300"/>
      <c r="EH63" s="300"/>
      <c r="EI63" s="300"/>
      <c r="EJ63" s="300"/>
      <c r="EK63" s="300"/>
      <c r="EL63" s="300"/>
      <c r="EM63" s="300"/>
      <c r="EN63" s="300"/>
      <c r="EO63" s="300"/>
      <c r="EP63" s="300"/>
      <c r="EQ63" s="300"/>
      <c r="ER63" s="300"/>
      <c r="ES63" s="300"/>
      <c r="ET63" s="300"/>
      <c r="EU63" s="300"/>
      <c r="EV63" s="300"/>
      <c r="EW63" s="300"/>
      <c r="EX63" s="300"/>
      <c r="EY63" s="300"/>
      <c r="EZ63" s="300"/>
      <c r="FA63" s="300"/>
      <c r="FB63" s="300"/>
      <c r="FC63" s="300"/>
      <c r="FD63" s="300"/>
      <c r="FE63" s="300"/>
      <c r="FF63" s="300"/>
      <c r="FG63" s="300"/>
      <c r="FH63" s="300"/>
      <c r="FI63" s="300"/>
      <c r="FJ63" s="300"/>
      <c r="FK63" s="300"/>
      <c r="FL63" s="300"/>
      <c r="FM63" s="300"/>
      <c r="FN63" s="300"/>
      <c r="FO63" s="300"/>
      <c r="FP63" s="300"/>
      <c r="FQ63" s="300"/>
      <c r="FR63" s="300"/>
      <c r="FS63" s="300"/>
      <c r="FT63" s="300"/>
      <c r="FU63" s="300"/>
    </row>
    <row r="64" spans="1:190" ht="30">
      <c r="H64" s="194" t="s">
        <v>311</v>
      </c>
      <c r="I64" s="61">
        <v>154510</v>
      </c>
      <c r="J64" s="61">
        <v>156360</v>
      </c>
      <c r="K64" s="61">
        <v>158455</v>
      </c>
      <c r="L64" s="61">
        <v>161092</v>
      </c>
      <c r="M64" s="61">
        <v>164900</v>
      </c>
      <c r="N64" s="61">
        <v>168937</v>
      </c>
      <c r="O64" s="61">
        <v>173186</v>
      </c>
      <c r="P64" s="61">
        <v>177255</v>
      </c>
      <c r="Q64" s="61">
        <v>178710</v>
      </c>
      <c r="R64" s="61">
        <v>181851</v>
      </c>
      <c r="S64" s="61">
        <v>184961.5</v>
      </c>
      <c r="T64" s="61">
        <v>191482</v>
      </c>
      <c r="U64" s="61">
        <v>197537</v>
      </c>
      <c r="V64" s="61">
        <v>198432</v>
      </c>
      <c r="W64" s="61">
        <v>1546194.5</v>
      </c>
      <c r="X64" s="61">
        <v>1561613.99999999</v>
      </c>
      <c r="Y64" s="61">
        <v>1574317.99999999</v>
      </c>
      <c r="Z64" s="61">
        <v>1586138</v>
      </c>
      <c r="AA64" s="61">
        <v>1596897.5</v>
      </c>
      <c r="AB64" s="61">
        <v>1608734.5</v>
      </c>
      <c r="AC64" s="61">
        <v>1621658.49999999</v>
      </c>
      <c r="AD64" s="61">
        <v>1635052.5</v>
      </c>
      <c r="AE64" s="61">
        <v>1651159.5</v>
      </c>
      <c r="AF64" s="61">
        <v>1669558.5</v>
      </c>
      <c r="AG64" s="61">
        <v>1688281.7206584599</v>
      </c>
      <c r="AH64" s="61">
        <v>1706913.49999999</v>
      </c>
      <c r="AI64" s="61">
        <v>1727294</v>
      </c>
      <c r="AJ64" s="61">
        <v>1746274</v>
      </c>
      <c r="AK64" s="61">
        <v>294971.65817282</v>
      </c>
      <c r="AL64" s="61">
        <v>299951.29418557999</v>
      </c>
      <c r="AM64" s="61">
        <v>303151.80398685997</v>
      </c>
      <c r="AN64" s="61">
        <v>305984.98426971998</v>
      </c>
      <c r="AO64" s="61">
        <v>310174.96273257001</v>
      </c>
      <c r="AP64" s="61">
        <v>314439.61807552999</v>
      </c>
      <c r="AQ64" s="61">
        <v>318643.22002328001</v>
      </c>
      <c r="AR64" s="61">
        <v>322735.81579785002</v>
      </c>
      <c r="AS64" s="61">
        <v>325917.15180559002</v>
      </c>
      <c r="AT64" s="61">
        <v>327907.17472150002</v>
      </c>
      <c r="AU64" s="61">
        <v>336070</v>
      </c>
      <c r="AV64" s="61">
        <v>339400</v>
      </c>
      <c r="AW64" s="61">
        <v>342668.99999999994</v>
      </c>
      <c r="AX64" s="61">
        <v>345009</v>
      </c>
      <c r="AY64" s="61">
        <v>849548.29330194998</v>
      </c>
      <c r="AZ64" s="61">
        <v>859722.30529924994</v>
      </c>
      <c r="BA64" s="61">
        <v>869654.53679640999</v>
      </c>
      <c r="BB64" s="61">
        <v>878612.20779661997</v>
      </c>
      <c r="BC64" s="61">
        <v>886064.29272154998</v>
      </c>
      <c r="BD64" s="61">
        <v>895088.26980019</v>
      </c>
      <c r="BE64" s="61">
        <v>903746.68839344999</v>
      </c>
      <c r="BF64" s="61">
        <v>919384.82389899995</v>
      </c>
      <c r="BG64" s="61">
        <v>940028.5</v>
      </c>
      <c r="BH64" s="61">
        <v>955832.5</v>
      </c>
      <c r="BI64" s="61">
        <v>968354.5</v>
      </c>
      <c r="BJ64" s="61">
        <v>984229.5</v>
      </c>
      <c r="BK64" s="61">
        <v>1005561.9999999999</v>
      </c>
      <c r="BL64" s="61">
        <v>1027585.5</v>
      </c>
      <c r="BM64" s="61">
        <v>1212063.56238094</v>
      </c>
      <c r="BN64" s="61">
        <v>1236100.97666665</v>
      </c>
      <c r="BO64" s="61">
        <v>1263762.9433333301</v>
      </c>
      <c r="BP64" s="61">
        <v>1287435.6833333101</v>
      </c>
      <c r="BQ64" s="61">
        <v>1307554.33333332</v>
      </c>
      <c r="BR64" s="61">
        <v>1326563.49999999</v>
      </c>
      <c r="BS64" s="61">
        <v>1343864.49999999</v>
      </c>
      <c r="BT64" s="61">
        <v>1359711.49999999</v>
      </c>
      <c r="BU64" s="61">
        <v>1376483</v>
      </c>
      <c r="BV64" s="61">
        <v>1397191</v>
      </c>
      <c r="BW64" s="61">
        <v>1421522</v>
      </c>
      <c r="BX64" s="61">
        <v>1448247</v>
      </c>
      <c r="BY64" s="61">
        <v>1473805</v>
      </c>
      <c r="BZ64" s="61">
        <v>1496317</v>
      </c>
      <c r="CA64" s="61">
        <v>624130</v>
      </c>
      <c r="CB64" s="61">
        <v>635123</v>
      </c>
      <c r="CC64" s="61">
        <v>647729</v>
      </c>
      <c r="CD64" s="61">
        <v>663216</v>
      </c>
      <c r="CE64" s="61">
        <v>676960</v>
      </c>
      <c r="CF64" s="61">
        <v>688959</v>
      </c>
      <c r="CG64" s="61">
        <v>699264</v>
      </c>
      <c r="CH64" s="61">
        <v>710431</v>
      </c>
      <c r="CI64" s="61">
        <v>721930</v>
      </c>
      <c r="CJ64" s="61">
        <v>728290.5</v>
      </c>
      <c r="CK64" s="61">
        <v>739353.5</v>
      </c>
      <c r="CL64" s="61">
        <v>745501</v>
      </c>
      <c r="CM64" s="61">
        <v>760121.99999999988</v>
      </c>
      <c r="CN64" s="61">
        <v>765924</v>
      </c>
      <c r="CO64" s="61">
        <v>799028</v>
      </c>
      <c r="CP64" s="61">
        <v>805190</v>
      </c>
      <c r="CQ64" s="61">
        <v>814865</v>
      </c>
      <c r="CR64" s="61">
        <v>821578</v>
      </c>
      <c r="CS64" s="61">
        <v>825215</v>
      </c>
      <c r="CT64" s="61">
        <v>834417</v>
      </c>
      <c r="CU64" s="61">
        <v>838385</v>
      </c>
      <c r="CV64" s="61">
        <v>844244</v>
      </c>
      <c r="CW64" s="61">
        <v>854231</v>
      </c>
      <c r="CX64" s="61">
        <v>867001</v>
      </c>
      <c r="CY64" s="61">
        <v>879064.5</v>
      </c>
      <c r="CZ64" s="61">
        <v>891934.5</v>
      </c>
      <c r="DA64" s="61">
        <v>905969.99999999988</v>
      </c>
      <c r="DB64" s="61">
        <v>916470.5</v>
      </c>
      <c r="DC64" s="61">
        <v>293175.49999997998</v>
      </c>
      <c r="DD64" s="61">
        <v>299118.49999998999</v>
      </c>
      <c r="DE64" s="61">
        <v>302627.49999998999</v>
      </c>
      <c r="DF64" s="61">
        <v>305242.99999997998</v>
      </c>
      <c r="DG64" s="61">
        <v>309597.99999998999</v>
      </c>
      <c r="DH64" s="61">
        <v>307191</v>
      </c>
      <c r="DI64" s="61">
        <v>312839</v>
      </c>
      <c r="DJ64" s="61">
        <v>319591</v>
      </c>
      <c r="DK64" s="61">
        <v>325927.00000000006</v>
      </c>
      <c r="DL64" s="61">
        <v>332267</v>
      </c>
      <c r="DM64" s="61">
        <v>339467</v>
      </c>
      <c r="DN64" s="61">
        <v>346887</v>
      </c>
      <c r="DO64" s="61">
        <v>353729</v>
      </c>
      <c r="DP64" s="61">
        <v>360430.99999999994</v>
      </c>
      <c r="DQ64" s="61">
        <v>663966.35730240005</v>
      </c>
      <c r="DR64" s="61">
        <v>675821.59009509999</v>
      </c>
      <c r="DS64" s="61">
        <v>688356.43188220996</v>
      </c>
      <c r="DT64" s="61">
        <v>701004.54183501995</v>
      </c>
      <c r="DU64" s="61">
        <v>715219.69663429004</v>
      </c>
      <c r="DV64" s="61">
        <v>731281.52706412005</v>
      </c>
      <c r="DW64" s="61">
        <v>743561.51547831995</v>
      </c>
      <c r="DX64" s="61">
        <v>753913.41676781001</v>
      </c>
      <c r="DY64" s="61">
        <v>765240.73900238005</v>
      </c>
      <c r="DZ64" s="61">
        <v>777161.00874875998</v>
      </c>
      <c r="EA64" s="61">
        <v>799540</v>
      </c>
      <c r="EB64" s="61">
        <v>816349</v>
      </c>
      <c r="EC64" s="61">
        <v>835781</v>
      </c>
      <c r="ED64" s="61">
        <v>853771</v>
      </c>
      <c r="EE64" s="61">
        <v>778839</v>
      </c>
      <c r="EF64" s="61">
        <v>779426</v>
      </c>
      <c r="EG64" s="61">
        <v>781110</v>
      </c>
      <c r="EH64" s="61">
        <v>814467</v>
      </c>
      <c r="EI64" s="61">
        <v>826964</v>
      </c>
      <c r="EJ64" s="61">
        <v>836055</v>
      </c>
      <c r="EK64" s="61">
        <v>844153</v>
      </c>
      <c r="EL64" s="61">
        <v>847766</v>
      </c>
      <c r="EM64" s="61">
        <v>851766.5</v>
      </c>
      <c r="EN64" s="61">
        <v>853939</v>
      </c>
      <c r="EO64" s="61">
        <v>858646.5</v>
      </c>
      <c r="EP64" s="61">
        <v>878299.5</v>
      </c>
      <c r="EQ64" s="61">
        <v>894397</v>
      </c>
      <c r="ER64" s="61">
        <v>906197.49999999977</v>
      </c>
      <c r="ES64" s="61">
        <v>605407.99999997998</v>
      </c>
      <c r="ET64" s="61">
        <v>616585.49999997998</v>
      </c>
      <c r="EU64" s="61">
        <v>627552.49999997998</v>
      </c>
      <c r="EV64" s="61">
        <v>638613.49999996996</v>
      </c>
      <c r="EW64" s="61">
        <v>645694.49999998999</v>
      </c>
      <c r="EX64" s="61">
        <v>654640.99999997998</v>
      </c>
      <c r="EY64" s="61">
        <v>668702.99999996996</v>
      </c>
      <c r="EZ64" s="61">
        <v>681298.99999996996</v>
      </c>
      <c r="FA64" s="61">
        <v>685193.99999998999</v>
      </c>
      <c r="FB64" s="61">
        <v>706424</v>
      </c>
      <c r="FC64" s="61">
        <v>712767</v>
      </c>
      <c r="FD64" s="61">
        <v>734644</v>
      </c>
      <c r="FE64" s="61">
        <v>741836</v>
      </c>
      <c r="FF64" s="61">
        <v>762382</v>
      </c>
      <c r="FG64" s="61">
        <v>250642.5242013</v>
      </c>
      <c r="FH64" s="61">
        <v>255484.38545674999</v>
      </c>
      <c r="FI64" s="61">
        <v>260424.25945124001</v>
      </c>
      <c r="FJ64" s="61">
        <v>265464.13023523003</v>
      </c>
      <c r="FK64" s="61">
        <v>270606.02202186</v>
      </c>
      <c r="FL64" s="61">
        <v>275851.99999998999</v>
      </c>
      <c r="FM64" s="61">
        <v>278391.99999998999</v>
      </c>
      <c r="FN64" s="61">
        <v>279867.99999998999</v>
      </c>
      <c r="FO64" s="61">
        <v>280750</v>
      </c>
      <c r="FP64" s="61">
        <v>283059</v>
      </c>
      <c r="FQ64" s="61">
        <v>285325</v>
      </c>
      <c r="FR64" s="61">
        <v>287651.5001</v>
      </c>
      <c r="FS64" s="61">
        <v>287936</v>
      </c>
      <c r="FT64" s="61">
        <v>290446</v>
      </c>
      <c r="FU64" s="61">
        <v>612728</v>
      </c>
      <c r="FV64" s="61">
        <v>618250</v>
      </c>
      <c r="FW64" s="61">
        <v>624094</v>
      </c>
      <c r="FX64" s="61">
        <v>628120</v>
      </c>
      <c r="FY64" s="61">
        <v>633823</v>
      </c>
      <c r="FZ64" s="61">
        <v>641129.77419353998</v>
      </c>
      <c r="GA64" s="61">
        <v>647892</v>
      </c>
      <c r="GB64" s="61">
        <v>656516</v>
      </c>
      <c r="GC64" s="61">
        <v>658453</v>
      </c>
      <c r="GD64" s="61">
        <v>664549</v>
      </c>
      <c r="GE64" s="61">
        <v>669826</v>
      </c>
      <c r="GF64" s="61">
        <v>676807</v>
      </c>
      <c r="GG64" s="61">
        <v>685025</v>
      </c>
      <c r="GH64" s="61">
        <v>697594</v>
      </c>
    </row>
    <row r="65" spans="1:190" ht="15.75" thickBot="1">
      <c r="D65" s="163"/>
      <c r="E65" s="354" t="s">
        <v>70</v>
      </c>
      <c r="F65" s="297" t="s">
        <v>328</v>
      </c>
      <c r="J65" s="184">
        <v>2006</v>
      </c>
      <c r="K65" s="184">
        <v>2007</v>
      </c>
      <c r="L65" s="184">
        <v>2008</v>
      </c>
      <c r="M65" s="184">
        <v>2009</v>
      </c>
      <c r="N65" s="184">
        <v>2010</v>
      </c>
      <c r="O65" s="184">
        <v>2011</v>
      </c>
      <c r="P65" s="184">
        <v>2012</v>
      </c>
      <c r="Q65" s="184">
        <v>2013</v>
      </c>
      <c r="R65" s="184">
        <v>2014</v>
      </c>
      <c r="S65" s="184">
        <v>2015</v>
      </c>
      <c r="T65" s="184">
        <v>2016</v>
      </c>
      <c r="U65" s="184">
        <v>2017</v>
      </c>
      <c r="V65" s="184">
        <v>2018</v>
      </c>
      <c r="W65" s="184">
        <v>2019</v>
      </c>
      <c r="X65" s="184" t="s">
        <v>64</v>
      </c>
    </row>
    <row r="66" spans="1:190">
      <c r="A66" s="6" t="s">
        <v>40</v>
      </c>
      <c r="C66" s="353"/>
      <c r="D66" s="51" t="s">
        <v>0</v>
      </c>
      <c r="E66" s="61">
        <f ca="1">OFFSET($H65,1,$E$25)</f>
        <v>175987.8</v>
      </c>
      <c r="F66" s="193" t="s">
        <v>337</v>
      </c>
      <c r="G66" s="183"/>
      <c r="I66" s="51" t="s">
        <v>0</v>
      </c>
      <c r="J66" s="110">
        <f>SUMIFS($I$64:$GH$64,$I$25:$GH$25,$I30,$I$24:$GH$24,J$29)</f>
        <v>154510</v>
      </c>
      <c r="K66" s="110">
        <f t="shared" ref="K66:M66" si="20">SUMIFS($I$64:$GH$64,$I$25:$GH$25,$I30,$I$24:$GH$24,K$29)</f>
        <v>156360</v>
      </c>
      <c r="L66" s="110">
        <f t="shared" si="20"/>
        <v>158455</v>
      </c>
      <c r="M66" s="110">
        <f t="shared" si="20"/>
        <v>161092</v>
      </c>
      <c r="N66" s="110">
        <f t="shared" ref="N66:V66" si="21">SUMIFS($I$64:$GH$64,$I$25:$GH$25,$I30,$I$24:$GH$24,N$29)</f>
        <v>164900</v>
      </c>
      <c r="O66" s="110">
        <f t="shared" si="21"/>
        <v>168937</v>
      </c>
      <c r="P66" s="110">
        <f t="shared" si="21"/>
        <v>173186</v>
      </c>
      <c r="Q66" s="110">
        <f t="shared" si="21"/>
        <v>177255</v>
      </c>
      <c r="R66" s="110">
        <f t="shared" si="21"/>
        <v>178710</v>
      </c>
      <c r="S66" s="110">
        <f t="shared" si="21"/>
        <v>181851</v>
      </c>
      <c r="T66" s="110">
        <f t="shared" si="21"/>
        <v>184961.5</v>
      </c>
      <c r="U66" s="110">
        <f t="shared" si="21"/>
        <v>191482</v>
      </c>
      <c r="V66" s="110">
        <f t="shared" si="21"/>
        <v>197537</v>
      </c>
      <c r="W66" s="110">
        <f t="shared" ref="W66" si="22">SUMIFS($I$64:$GH$64,$I$25:$GH$25,$I30,$I$24:$GH$24,W$29)</f>
        <v>198432</v>
      </c>
      <c r="X66" s="110">
        <f t="shared" ref="X66:X78" si="23">AVERAGE(O66:S66)</f>
        <v>175987.8</v>
      </c>
    </row>
    <row r="67" spans="1:190">
      <c r="A67" s="6" t="s">
        <v>41</v>
      </c>
      <c r="C67" s="353"/>
      <c r="D67" s="52" t="s">
        <v>1</v>
      </c>
      <c r="E67" s="61">
        <f t="shared" ref="E67:E78" ca="1" si="24">OFFSET($H66,1,$E$25)</f>
        <v>1637232.6999999979</v>
      </c>
      <c r="F67" s="193" t="s">
        <v>337</v>
      </c>
      <c r="G67" s="183"/>
      <c r="I67" s="52" t="s">
        <v>1</v>
      </c>
      <c r="J67" s="110">
        <f t="shared" ref="J67:L78" si="25">SUMIFS($I$64:$GH$64,$I$25:$GH$25,$I31,$I$24:$GH$24,J$29)</f>
        <v>1546194.5</v>
      </c>
      <c r="K67" s="110">
        <f t="shared" si="25"/>
        <v>1561613.99999999</v>
      </c>
      <c r="L67" s="110">
        <f t="shared" si="25"/>
        <v>1574317.99999999</v>
      </c>
      <c r="M67" s="110">
        <f t="shared" ref="M67:V67" si="26">SUMIFS($I$64:$GH$64,$I$25:$GH$25,$I31,$I$24:$GH$24,M$29)</f>
        <v>1586138</v>
      </c>
      <c r="N67" s="110">
        <f t="shared" si="26"/>
        <v>1596897.5</v>
      </c>
      <c r="O67" s="110">
        <f t="shared" si="26"/>
        <v>1608734.5</v>
      </c>
      <c r="P67" s="110">
        <f t="shared" si="26"/>
        <v>1621658.49999999</v>
      </c>
      <c r="Q67" s="110">
        <f t="shared" si="26"/>
        <v>1635052.5</v>
      </c>
      <c r="R67" s="110">
        <f t="shared" si="26"/>
        <v>1651159.5</v>
      </c>
      <c r="S67" s="110">
        <f t="shared" si="26"/>
        <v>1669558.5</v>
      </c>
      <c r="T67" s="110">
        <f t="shared" si="26"/>
        <v>1688281.7206584599</v>
      </c>
      <c r="U67" s="110">
        <f t="shared" si="26"/>
        <v>1706913.49999999</v>
      </c>
      <c r="V67" s="110">
        <f t="shared" si="26"/>
        <v>1727294</v>
      </c>
      <c r="W67" s="110">
        <f t="shared" ref="W67" si="27">SUMIFS($I$64:$GH$64,$I$25:$GH$25,$I31,$I$24:$GH$24,W$29)</f>
        <v>1746274</v>
      </c>
      <c r="X67" s="110">
        <f t="shared" si="23"/>
        <v>1637232.6999999979</v>
      </c>
    </row>
    <row r="68" spans="1:190">
      <c r="A68" s="6" t="s">
        <v>43</v>
      </c>
      <c r="C68" s="353"/>
      <c r="D68" s="51" t="s">
        <v>2</v>
      </c>
      <c r="E68" s="61">
        <f t="shared" ca="1" si="24"/>
        <v>321928.59608474997</v>
      </c>
      <c r="F68" s="193">
        <v>1</v>
      </c>
      <c r="G68" s="183"/>
      <c r="I68" s="51" t="s">
        <v>2</v>
      </c>
      <c r="J68" s="110">
        <f t="shared" si="25"/>
        <v>294971.65817282</v>
      </c>
      <c r="K68" s="110">
        <f t="shared" si="25"/>
        <v>299951.29418557999</v>
      </c>
      <c r="L68" s="110">
        <f t="shared" si="25"/>
        <v>303151.80398685997</v>
      </c>
      <c r="M68" s="110">
        <f t="shared" ref="M68:V68" si="28">SUMIFS($I$64:$GH$64,$I$25:$GH$25,$I32,$I$24:$GH$24,M$29)</f>
        <v>305984.98426971998</v>
      </c>
      <c r="N68" s="110">
        <f t="shared" si="28"/>
        <v>310174.96273257001</v>
      </c>
      <c r="O68" s="110">
        <f t="shared" si="28"/>
        <v>314439.61807552999</v>
      </c>
      <c r="P68" s="110">
        <f t="shared" si="28"/>
        <v>318643.22002328001</v>
      </c>
      <c r="Q68" s="110">
        <f t="shared" si="28"/>
        <v>322735.81579785002</v>
      </c>
      <c r="R68" s="110">
        <f t="shared" si="28"/>
        <v>325917.15180559002</v>
      </c>
      <c r="S68" s="110">
        <f t="shared" si="28"/>
        <v>327907.17472150002</v>
      </c>
      <c r="T68" s="110">
        <f t="shared" si="28"/>
        <v>336070</v>
      </c>
      <c r="U68" s="110">
        <f t="shared" si="28"/>
        <v>339400</v>
      </c>
      <c r="V68" s="110">
        <f t="shared" si="28"/>
        <v>342668.99999999994</v>
      </c>
      <c r="W68" s="110">
        <f t="shared" ref="W68" si="29">SUMIFS($I$64:$GH$64,$I$25:$GH$25,$I32,$I$24:$GH$24,W$29)</f>
        <v>345009</v>
      </c>
      <c r="X68" s="110">
        <f t="shared" si="23"/>
        <v>321928.59608474997</v>
      </c>
    </row>
    <row r="69" spans="1:190">
      <c r="A69" s="6" t="s">
        <v>44</v>
      </c>
      <c r="C69" s="353"/>
      <c r="D69" s="52" t="s">
        <v>3</v>
      </c>
      <c r="E69" s="61">
        <f t="shared" ca="1" si="24"/>
        <v>922816.15641852806</v>
      </c>
      <c r="F69" s="193" t="s">
        <v>337</v>
      </c>
      <c r="G69" s="183"/>
      <c r="I69" s="52" t="s">
        <v>3</v>
      </c>
      <c r="J69" s="110">
        <f t="shared" si="25"/>
        <v>849548.29330194998</v>
      </c>
      <c r="K69" s="110">
        <f t="shared" si="25"/>
        <v>859722.30529924994</v>
      </c>
      <c r="L69" s="110">
        <f t="shared" si="25"/>
        <v>869654.53679640999</v>
      </c>
      <c r="M69" s="110">
        <f t="shared" ref="M69:V69" si="30">SUMIFS($I$64:$GH$64,$I$25:$GH$25,$I33,$I$24:$GH$24,M$29)</f>
        <v>878612.20779661997</v>
      </c>
      <c r="N69" s="110">
        <f t="shared" si="30"/>
        <v>886064.29272154998</v>
      </c>
      <c r="O69" s="110">
        <f t="shared" si="30"/>
        <v>895088.26980019</v>
      </c>
      <c r="P69" s="110">
        <f t="shared" si="30"/>
        <v>903746.68839344999</v>
      </c>
      <c r="Q69" s="110">
        <f t="shared" si="30"/>
        <v>919384.82389899995</v>
      </c>
      <c r="R69" s="110">
        <f t="shared" si="30"/>
        <v>940028.5</v>
      </c>
      <c r="S69" s="110">
        <f t="shared" si="30"/>
        <v>955832.5</v>
      </c>
      <c r="T69" s="110">
        <f t="shared" si="30"/>
        <v>968354.5</v>
      </c>
      <c r="U69" s="110">
        <f t="shared" si="30"/>
        <v>984229.5</v>
      </c>
      <c r="V69" s="110">
        <f t="shared" si="30"/>
        <v>1005561.9999999999</v>
      </c>
      <c r="W69" s="110">
        <f t="shared" ref="W69" si="31">SUMIFS($I$64:$GH$64,$I$25:$GH$25,$I33,$I$24:$GH$24,W$29)</f>
        <v>1027585.5</v>
      </c>
      <c r="X69" s="110">
        <f t="shared" si="23"/>
        <v>922816.15641852806</v>
      </c>
    </row>
    <row r="70" spans="1:190">
      <c r="A70" s="6" t="s">
        <v>46</v>
      </c>
      <c r="C70" s="353"/>
      <c r="D70" s="51" t="s">
        <v>4</v>
      </c>
      <c r="E70" s="61">
        <f t="shared" ca="1" si="24"/>
        <v>1360762.6999999941</v>
      </c>
      <c r="F70" s="193" t="s">
        <v>337</v>
      </c>
      <c r="G70" s="183"/>
      <c r="I70" s="51" t="s">
        <v>4</v>
      </c>
      <c r="J70" s="110">
        <f t="shared" si="25"/>
        <v>1212063.56238094</v>
      </c>
      <c r="K70" s="110">
        <f t="shared" si="25"/>
        <v>1236100.97666665</v>
      </c>
      <c r="L70" s="110">
        <f t="shared" si="25"/>
        <v>1263762.9433333301</v>
      </c>
      <c r="M70" s="110">
        <f t="shared" ref="M70:V70" si="32">SUMIFS($I$64:$GH$64,$I$25:$GH$25,$I34,$I$24:$GH$24,M$29)</f>
        <v>1287435.6833333101</v>
      </c>
      <c r="N70" s="110">
        <f t="shared" si="32"/>
        <v>1307554.33333332</v>
      </c>
      <c r="O70" s="110">
        <f t="shared" si="32"/>
        <v>1326563.49999999</v>
      </c>
      <c r="P70" s="110">
        <f t="shared" si="32"/>
        <v>1343864.49999999</v>
      </c>
      <c r="Q70" s="110">
        <f t="shared" si="32"/>
        <v>1359711.49999999</v>
      </c>
      <c r="R70" s="110">
        <f t="shared" si="32"/>
        <v>1376483</v>
      </c>
      <c r="S70" s="110">
        <f t="shared" si="32"/>
        <v>1397191</v>
      </c>
      <c r="T70" s="110">
        <f t="shared" si="32"/>
        <v>1421522</v>
      </c>
      <c r="U70" s="110">
        <f t="shared" si="32"/>
        <v>1448247</v>
      </c>
      <c r="V70" s="110">
        <f t="shared" si="32"/>
        <v>1473805</v>
      </c>
      <c r="W70" s="110">
        <f t="shared" ref="W70" si="33">SUMIFS($I$64:$GH$64,$I$25:$GH$25,$I34,$I$24:$GH$24,W$29)</f>
        <v>1496317</v>
      </c>
      <c r="X70" s="110">
        <f t="shared" si="23"/>
        <v>1360762.6999999941</v>
      </c>
    </row>
    <row r="71" spans="1:190">
      <c r="A71" s="6" t="s">
        <v>48</v>
      </c>
      <c r="C71" s="353"/>
      <c r="D71" s="52" t="s">
        <v>5</v>
      </c>
      <c r="E71" s="61">
        <f t="shared" ca="1" si="24"/>
        <v>709774.9</v>
      </c>
      <c r="F71" s="193" t="s">
        <v>337</v>
      </c>
      <c r="G71" s="183"/>
      <c r="I71" s="52" t="s">
        <v>5</v>
      </c>
      <c r="J71" s="110">
        <f t="shared" si="25"/>
        <v>624130</v>
      </c>
      <c r="K71" s="110">
        <f t="shared" si="25"/>
        <v>635123</v>
      </c>
      <c r="L71" s="110">
        <f t="shared" si="25"/>
        <v>647729</v>
      </c>
      <c r="M71" s="110">
        <f t="shared" ref="M71:V71" si="34">SUMIFS($I$64:$GH$64,$I$25:$GH$25,$I35,$I$24:$GH$24,M$29)</f>
        <v>663216</v>
      </c>
      <c r="N71" s="110">
        <f t="shared" si="34"/>
        <v>676960</v>
      </c>
      <c r="O71" s="110">
        <f t="shared" si="34"/>
        <v>688959</v>
      </c>
      <c r="P71" s="110">
        <f t="shared" si="34"/>
        <v>699264</v>
      </c>
      <c r="Q71" s="110">
        <f t="shared" si="34"/>
        <v>710431</v>
      </c>
      <c r="R71" s="110">
        <f t="shared" si="34"/>
        <v>721930</v>
      </c>
      <c r="S71" s="110">
        <f t="shared" si="34"/>
        <v>728290.5</v>
      </c>
      <c r="T71" s="110">
        <f t="shared" si="34"/>
        <v>739353.5</v>
      </c>
      <c r="U71" s="110">
        <f t="shared" si="34"/>
        <v>745501</v>
      </c>
      <c r="V71" s="110">
        <f t="shared" si="34"/>
        <v>760121.99999999988</v>
      </c>
      <c r="W71" s="110">
        <f t="shared" ref="W71" si="35">SUMIFS($I$64:$GH$64,$I$25:$GH$25,$I35,$I$24:$GH$24,W$29)</f>
        <v>765924</v>
      </c>
      <c r="X71" s="110">
        <f t="shared" si="23"/>
        <v>709774.9</v>
      </c>
    </row>
    <row r="72" spans="1:190">
      <c r="A72" s="6" t="s">
        <v>50</v>
      </c>
      <c r="C72" s="353"/>
      <c r="D72" s="51" t="s">
        <v>6</v>
      </c>
      <c r="E72" s="61">
        <f t="shared" ca="1" si="24"/>
        <v>847655.6</v>
      </c>
      <c r="F72" s="193" t="s">
        <v>337</v>
      </c>
      <c r="G72" s="183"/>
      <c r="I72" s="51" t="s">
        <v>6</v>
      </c>
      <c r="J72" s="110">
        <f t="shared" si="25"/>
        <v>799028</v>
      </c>
      <c r="K72" s="110">
        <f t="shared" si="25"/>
        <v>805190</v>
      </c>
      <c r="L72" s="110">
        <f t="shared" si="25"/>
        <v>814865</v>
      </c>
      <c r="M72" s="110">
        <f t="shared" ref="M72:V72" si="36">SUMIFS($I$64:$GH$64,$I$25:$GH$25,$I36,$I$24:$GH$24,M$29)</f>
        <v>821578</v>
      </c>
      <c r="N72" s="110">
        <f t="shared" si="36"/>
        <v>825215</v>
      </c>
      <c r="O72" s="110">
        <f t="shared" si="36"/>
        <v>834417</v>
      </c>
      <c r="P72" s="110">
        <f t="shared" si="36"/>
        <v>838385</v>
      </c>
      <c r="Q72" s="110">
        <f t="shared" si="36"/>
        <v>844244</v>
      </c>
      <c r="R72" s="110">
        <f t="shared" si="36"/>
        <v>854231</v>
      </c>
      <c r="S72" s="110">
        <f t="shared" si="36"/>
        <v>867001</v>
      </c>
      <c r="T72" s="110">
        <f t="shared" si="36"/>
        <v>879064.5</v>
      </c>
      <c r="U72" s="110">
        <f t="shared" si="36"/>
        <v>891934.5</v>
      </c>
      <c r="V72" s="110">
        <f t="shared" si="36"/>
        <v>905969.99999999988</v>
      </c>
      <c r="W72" s="110">
        <f t="shared" ref="W72" si="37">SUMIFS($I$64:$GH$64,$I$25:$GH$25,$I36,$I$24:$GH$24,W$29)</f>
        <v>916470.5</v>
      </c>
      <c r="X72" s="110">
        <f t="shared" si="23"/>
        <v>847655.6</v>
      </c>
    </row>
    <row r="73" spans="1:190">
      <c r="A73" s="6" t="s">
        <v>52</v>
      </c>
      <c r="C73" s="353"/>
      <c r="D73" s="52" t="s">
        <v>7</v>
      </c>
      <c r="E73" s="61">
        <f t="shared" ca="1" si="24"/>
        <v>319563</v>
      </c>
      <c r="F73" s="193" t="s">
        <v>337</v>
      </c>
      <c r="G73" s="183"/>
      <c r="I73" s="52" t="s">
        <v>7</v>
      </c>
      <c r="J73" s="110">
        <f t="shared" si="25"/>
        <v>293175.49999997998</v>
      </c>
      <c r="K73" s="110">
        <f t="shared" si="25"/>
        <v>299118.49999998999</v>
      </c>
      <c r="L73" s="110">
        <f t="shared" si="25"/>
        <v>302627.49999998999</v>
      </c>
      <c r="M73" s="110">
        <f t="shared" ref="M73:V73" si="38">SUMIFS($I$64:$GH$64,$I$25:$GH$25,$I37,$I$24:$GH$24,M$29)</f>
        <v>305242.99999997998</v>
      </c>
      <c r="N73" s="110">
        <f t="shared" si="38"/>
        <v>309597.99999998999</v>
      </c>
      <c r="O73" s="110">
        <f t="shared" si="38"/>
        <v>307191</v>
      </c>
      <c r="P73" s="110">
        <f t="shared" si="38"/>
        <v>312839</v>
      </c>
      <c r="Q73" s="110">
        <f t="shared" si="38"/>
        <v>319591</v>
      </c>
      <c r="R73" s="110">
        <f t="shared" si="38"/>
        <v>325927.00000000006</v>
      </c>
      <c r="S73" s="110">
        <f t="shared" si="38"/>
        <v>332267</v>
      </c>
      <c r="T73" s="110">
        <f t="shared" si="38"/>
        <v>339467</v>
      </c>
      <c r="U73" s="110">
        <f t="shared" si="38"/>
        <v>346887</v>
      </c>
      <c r="V73" s="110">
        <f t="shared" si="38"/>
        <v>353729</v>
      </c>
      <c r="W73" s="110">
        <f t="shared" ref="W73" si="39">SUMIFS($I$64:$GH$64,$I$25:$GH$25,$I37,$I$24:$GH$24,W$29)</f>
        <v>360430.99999999994</v>
      </c>
      <c r="X73" s="110">
        <f t="shared" si="23"/>
        <v>319563</v>
      </c>
    </row>
    <row r="74" spans="1:190">
      <c r="A74" s="6" t="s">
        <v>54</v>
      </c>
      <c r="C74" s="353"/>
      <c r="D74" s="51" t="s">
        <v>8</v>
      </c>
      <c r="E74" s="61">
        <f t="shared" ca="1" si="24"/>
        <v>754231.64141227794</v>
      </c>
      <c r="F74" s="193">
        <v>1</v>
      </c>
      <c r="G74" s="183"/>
      <c r="I74" s="51" t="s">
        <v>8</v>
      </c>
      <c r="J74" s="110">
        <f t="shared" si="25"/>
        <v>663966.35730240005</v>
      </c>
      <c r="K74" s="110">
        <f t="shared" si="25"/>
        <v>675821.59009509999</v>
      </c>
      <c r="L74" s="110">
        <f t="shared" si="25"/>
        <v>688356.43188220996</v>
      </c>
      <c r="M74" s="110">
        <f t="shared" ref="M74:V74" si="40">SUMIFS($I$64:$GH$64,$I$25:$GH$25,$I38,$I$24:$GH$24,M$29)</f>
        <v>701004.54183501995</v>
      </c>
      <c r="N74" s="110">
        <f t="shared" si="40"/>
        <v>715219.69663429004</v>
      </c>
      <c r="O74" s="110">
        <f t="shared" si="40"/>
        <v>731281.52706412005</v>
      </c>
      <c r="P74" s="110">
        <f t="shared" si="40"/>
        <v>743561.51547831995</v>
      </c>
      <c r="Q74" s="110">
        <f t="shared" si="40"/>
        <v>753913.41676781001</v>
      </c>
      <c r="R74" s="110">
        <f t="shared" si="40"/>
        <v>765240.73900238005</v>
      </c>
      <c r="S74" s="110">
        <f t="shared" si="40"/>
        <v>777161.00874875998</v>
      </c>
      <c r="T74" s="110">
        <f t="shared" si="40"/>
        <v>799540</v>
      </c>
      <c r="U74" s="110">
        <f t="shared" si="40"/>
        <v>816349</v>
      </c>
      <c r="V74" s="110">
        <f t="shared" si="40"/>
        <v>835781</v>
      </c>
      <c r="W74" s="110">
        <f t="shared" ref="W74" si="41">SUMIFS($I$64:$GH$64,$I$25:$GH$25,$I38,$I$24:$GH$24,W$29)</f>
        <v>853771</v>
      </c>
      <c r="X74" s="110">
        <f t="shared" si="23"/>
        <v>754231.64141227794</v>
      </c>
    </row>
    <row r="75" spans="1:190">
      <c r="A75" s="6" t="s">
        <v>56</v>
      </c>
      <c r="C75" s="353"/>
      <c r="D75" s="52" t="s">
        <v>9</v>
      </c>
      <c r="E75" s="61">
        <f t="shared" ca="1" si="24"/>
        <v>846735.9</v>
      </c>
      <c r="F75" s="193">
        <v>1</v>
      </c>
      <c r="G75" s="183"/>
      <c r="I75" s="52" t="s">
        <v>9</v>
      </c>
      <c r="J75" s="110">
        <f t="shared" si="25"/>
        <v>778839</v>
      </c>
      <c r="K75" s="110">
        <f t="shared" si="25"/>
        <v>779426</v>
      </c>
      <c r="L75" s="110">
        <f t="shared" si="25"/>
        <v>781110</v>
      </c>
      <c r="M75" s="110">
        <f t="shared" ref="M75:V75" si="42">SUMIFS($I$64:$GH$64,$I$25:$GH$25,$I39,$I$24:$GH$24,M$29)</f>
        <v>814467</v>
      </c>
      <c r="N75" s="110">
        <f t="shared" si="42"/>
        <v>826964</v>
      </c>
      <c r="O75" s="110">
        <f t="shared" si="42"/>
        <v>836055</v>
      </c>
      <c r="P75" s="110">
        <f t="shared" si="42"/>
        <v>844153</v>
      </c>
      <c r="Q75" s="110">
        <f t="shared" si="42"/>
        <v>847766</v>
      </c>
      <c r="R75" s="110">
        <f t="shared" si="42"/>
        <v>851766.5</v>
      </c>
      <c r="S75" s="110">
        <f t="shared" si="42"/>
        <v>853939</v>
      </c>
      <c r="T75" s="110">
        <f t="shared" si="42"/>
        <v>858646.5</v>
      </c>
      <c r="U75" s="110">
        <f t="shared" si="42"/>
        <v>878299.5</v>
      </c>
      <c r="V75" s="110">
        <f t="shared" si="42"/>
        <v>894397</v>
      </c>
      <c r="W75" s="110">
        <f t="shared" ref="W75" si="43">SUMIFS($I$64:$GH$64,$I$25:$GH$25,$I39,$I$24:$GH$24,W$29)</f>
        <v>906197.49999999977</v>
      </c>
      <c r="X75" s="110">
        <f t="shared" si="23"/>
        <v>846735.9</v>
      </c>
    </row>
    <row r="76" spans="1:190">
      <c r="A76" s="6" t="s">
        <v>58</v>
      </c>
      <c r="C76" s="353"/>
      <c r="D76" s="51" t="s">
        <v>66</v>
      </c>
      <c r="E76" s="61">
        <f t="shared" ca="1" si="24"/>
        <v>679252.19999998191</v>
      </c>
      <c r="F76" s="193" t="s">
        <v>337</v>
      </c>
      <c r="G76" s="183"/>
      <c r="I76" s="51" t="s">
        <v>66</v>
      </c>
      <c r="J76" s="110">
        <f t="shared" si="25"/>
        <v>605407.99999997998</v>
      </c>
      <c r="K76" s="110">
        <f t="shared" si="25"/>
        <v>616585.49999997998</v>
      </c>
      <c r="L76" s="110">
        <f t="shared" si="25"/>
        <v>627552.49999997998</v>
      </c>
      <c r="M76" s="110">
        <f t="shared" ref="M76:V76" si="44">SUMIFS($I$64:$GH$64,$I$25:$GH$25,$I40,$I$24:$GH$24,M$29)</f>
        <v>638613.49999996996</v>
      </c>
      <c r="N76" s="110">
        <f t="shared" si="44"/>
        <v>645694.49999998999</v>
      </c>
      <c r="O76" s="110">
        <f t="shared" si="44"/>
        <v>654640.99999997998</v>
      </c>
      <c r="P76" s="110">
        <f t="shared" si="44"/>
        <v>668702.99999996996</v>
      </c>
      <c r="Q76" s="110">
        <f t="shared" si="44"/>
        <v>681298.99999996996</v>
      </c>
      <c r="R76" s="110">
        <f t="shared" si="44"/>
        <v>685193.99999998999</v>
      </c>
      <c r="S76" s="110">
        <f t="shared" si="44"/>
        <v>706424</v>
      </c>
      <c r="T76" s="110">
        <f t="shared" si="44"/>
        <v>712767</v>
      </c>
      <c r="U76" s="110">
        <f t="shared" si="44"/>
        <v>734644</v>
      </c>
      <c r="V76" s="110">
        <f t="shared" si="44"/>
        <v>741836</v>
      </c>
      <c r="W76" s="110">
        <f t="shared" ref="W76" si="45">SUMIFS($I$64:$GH$64,$I$25:$GH$25,$I40,$I$24:$GH$24,W$29)</f>
        <v>762382</v>
      </c>
      <c r="X76" s="110">
        <f t="shared" si="23"/>
        <v>679252.19999998191</v>
      </c>
    </row>
    <row r="77" spans="1:190">
      <c r="A77" s="6" t="s">
        <v>59</v>
      </c>
      <c r="C77" s="353"/>
      <c r="D77" s="52" t="s">
        <v>11</v>
      </c>
      <c r="E77" s="61">
        <f t="shared" ca="1" si="24"/>
        <v>279584.19999999402</v>
      </c>
      <c r="F77" s="193">
        <v>1</v>
      </c>
      <c r="G77" s="183"/>
      <c r="I77" s="52" t="s">
        <v>11</v>
      </c>
      <c r="J77" s="110">
        <f t="shared" si="25"/>
        <v>250642.5242013</v>
      </c>
      <c r="K77" s="110">
        <f t="shared" si="25"/>
        <v>255484.38545674999</v>
      </c>
      <c r="L77" s="110">
        <f t="shared" si="25"/>
        <v>260424.25945124001</v>
      </c>
      <c r="M77" s="110">
        <f t="shared" ref="M77:V77" si="46">SUMIFS($I$64:$GH$64,$I$25:$GH$25,$I41,$I$24:$GH$24,M$29)</f>
        <v>265464.13023523003</v>
      </c>
      <c r="N77" s="110">
        <f t="shared" si="46"/>
        <v>270606.02202186</v>
      </c>
      <c r="O77" s="110">
        <f t="shared" si="46"/>
        <v>275851.99999998999</v>
      </c>
      <c r="P77" s="110">
        <f t="shared" si="46"/>
        <v>278391.99999998999</v>
      </c>
      <c r="Q77" s="110">
        <f t="shared" si="46"/>
        <v>279867.99999998999</v>
      </c>
      <c r="R77" s="110">
        <f t="shared" si="46"/>
        <v>280750</v>
      </c>
      <c r="S77" s="110">
        <f t="shared" si="46"/>
        <v>283059</v>
      </c>
      <c r="T77" s="110">
        <f t="shared" si="46"/>
        <v>285325</v>
      </c>
      <c r="U77" s="110">
        <f t="shared" si="46"/>
        <v>287651.5001</v>
      </c>
      <c r="V77" s="110">
        <f t="shared" si="46"/>
        <v>287936</v>
      </c>
      <c r="W77" s="110">
        <f t="shared" ref="W77" si="47">SUMIFS($I$64:$GH$64,$I$25:$GH$25,$I41,$I$24:$GH$24,W$29)</f>
        <v>290446</v>
      </c>
      <c r="X77" s="110">
        <f t="shared" si="23"/>
        <v>279584.19999999402</v>
      </c>
    </row>
    <row r="78" spans="1:190">
      <c r="A78" s="6" t="s">
        <v>61</v>
      </c>
      <c r="C78" s="353"/>
      <c r="D78" s="51" t="s">
        <v>12</v>
      </c>
      <c r="E78" s="61">
        <f t="shared" ca="1" si="24"/>
        <v>653707.95483870804</v>
      </c>
      <c r="F78" s="193">
        <v>1</v>
      </c>
      <c r="G78" s="183"/>
      <c r="I78" s="51" t="s">
        <v>12</v>
      </c>
      <c r="J78" s="110">
        <f t="shared" si="25"/>
        <v>612728</v>
      </c>
      <c r="K78" s="110">
        <f t="shared" si="25"/>
        <v>618250</v>
      </c>
      <c r="L78" s="110">
        <f t="shared" si="25"/>
        <v>624094</v>
      </c>
      <c r="M78" s="110">
        <f t="shared" ref="M78:V78" si="48">SUMIFS($I$64:$GH$64,$I$25:$GH$25,$I42,$I$24:$GH$24,M$29)</f>
        <v>628120</v>
      </c>
      <c r="N78" s="110">
        <f t="shared" si="48"/>
        <v>633823</v>
      </c>
      <c r="O78" s="110">
        <f t="shared" si="48"/>
        <v>641129.77419353998</v>
      </c>
      <c r="P78" s="110">
        <f t="shared" si="48"/>
        <v>647892</v>
      </c>
      <c r="Q78" s="110">
        <f t="shared" si="48"/>
        <v>656516</v>
      </c>
      <c r="R78" s="110">
        <f t="shared" si="48"/>
        <v>658453</v>
      </c>
      <c r="S78" s="110">
        <f t="shared" si="48"/>
        <v>664549</v>
      </c>
      <c r="T78" s="110">
        <f t="shared" si="48"/>
        <v>669826</v>
      </c>
      <c r="U78" s="110">
        <f t="shared" si="48"/>
        <v>676807</v>
      </c>
      <c r="V78" s="110">
        <f t="shared" si="48"/>
        <v>685025</v>
      </c>
      <c r="W78" s="110">
        <f t="shared" ref="W78" si="49">SUMIFS($I$64:$GH$64,$I$25:$GH$25,$I42,$I$24:$GH$24,W$29)</f>
        <v>697594</v>
      </c>
      <c r="X78" s="110">
        <f t="shared" si="23"/>
        <v>653707.95483870804</v>
      </c>
    </row>
    <row r="79" spans="1:190">
      <c r="D79" s="163"/>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300"/>
      <c r="DV79" s="300"/>
      <c r="DW79" s="300"/>
      <c r="DX79" s="300"/>
      <c r="DY79" s="300"/>
      <c r="DZ79" s="300"/>
      <c r="EA79" s="300"/>
      <c r="EB79" s="300"/>
      <c r="EC79" s="300"/>
      <c r="ED79" s="300"/>
      <c r="EE79" s="300"/>
      <c r="EF79" s="300"/>
      <c r="EG79" s="300"/>
      <c r="EH79" s="300"/>
      <c r="EI79" s="300"/>
      <c r="EJ79" s="300"/>
      <c r="EK79" s="300"/>
      <c r="EL79" s="300"/>
      <c r="EM79" s="300"/>
      <c r="EN79" s="300"/>
      <c r="EO79" s="300"/>
      <c r="EP79" s="300"/>
      <c r="EQ79" s="300"/>
      <c r="ER79" s="300"/>
      <c r="ES79" s="300"/>
      <c r="ET79" s="300"/>
      <c r="EU79" s="300"/>
      <c r="EV79" s="300"/>
      <c r="EW79" s="300"/>
      <c r="EX79" s="300"/>
      <c r="EY79" s="300"/>
      <c r="EZ79" s="300"/>
      <c r="FA79" s="300"/>
      <c r="FB79" s="300"/>
      <c r="FC79" s="300"/>
      <c r="FD79" s="300"/>
      <c r="FE79" s="300"/>
      <c r="FF79" s="300"/>
      <c r="FG79" s="300"/>
      <c r="FH79" s="300"/>
      <c r="FI79" s="300"/>
      <c r="FJ79" s="300"/>
      <c r="FK79" s="300"/>
      <c r="FL79" s="300"/>
      <c r="FM79" s="300"/>
      <c r="FN79" s="300"/>
      <c r="FO79" s="300"/>
      <c r="FP79" s="300"/>
      <c r="FQ79" s="300"/>
      <c r="FR79" s="300"/>
      <c r="FS79" s="300"/>
      <c r="FT79" s="300"/>
      <c r="FU79" s="300"/>
      <c r="FV79" s="300"/>
      <c r="FW79" s="300"/>
      <c r="FX79" s="300"/>
      <c r="FY79" s="300"/>
      <c r="FZ79" s="300"/>
      <c r="GA79" s="300"/>
      <c r="GB79" s="300"/>
      <c r="GC79" s="300"/>
      <c r="GD79" s="300"/>
      <c r="GE79" s="300"/>
      <c r="GF79" s="300"/>
      <c r="GG79" s="300"/>
      <c r="GH79" s="300"/>
    </row>
    <row r="80" spans="1:190">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c r="BV80" s="328"/>
      <c r="BW80" s="328"/>
      <c r="BX80" s="328"/>
      <c r="BY80" s="328"/>
      <c r="BZ80" s="328"/>
      <c r="CA80" s="328"/>
      <c r="CB80" s="328"/>
      <c r="CC80" s="328"/>
      <c r="CD80" s="328"/>
      <c r="CE80" s="328"/>
      <c r="CF80" s="328"/>
      <c r="CG80" s="328"/>
      <c r="CH80" s="328"/>
      <c r="CI80" s="328"/>
      <c r="CJ80" s="328"/>
      <c r="CK80" s="328"/>
      <c r="CL80" s="328"/>
      <c r="CM80" s="328"/>
      <c r="CN80" s="328"/>
      <c r="CO80" s="328"/>
      <c r="CP80" s="328"/>
      <c r="CQ80" s="328"/>
      <c r="CR80" s="328"/>
      <c r="CS80" s="328"/>
      <c r="CT80" s="328"/>
      <c r="CU80" s="328"/>
      <c r="CV80" s="328"/>
      <c r="CW80" s="328"/>
      <c r="CX80" s="328"/>
      <c r="CY80" s="328"/>
      <c r="CZ80" s="328"/>
      <c r="DA80" s="328"/>
      <c r="DB80" s="328"/>
      <c r="DC80" s="328"/>
      <c r="DD80" s="328"/>
      <c r="DE80" s="328"/>
      <c r="DF80" s="328"/>
      <c r="DG80" s="328"/>
      <c r="DH80" s="328"/>
      <c r="DI80" s="328"/>
      <c r="DJ80" s="328"/>
      <c r="DK80" s="328"/>
      <c r="DL80" s="328"/>
      <c r="DM80" s="328"/>
      <c r="DN80" s="328"/>
      <c r="DO80" s="328"/>
      <c r="DP80" s="328"/>
      <c r="DQ80" s="328"/>
      <c r="DR80" s="328"/>
      <c r="DS80" s="328"/>
      <c r="DT80" s="328"/>
      <c r="DU80" s="328"/>
      <c r="DV80" s="328"/>
      <c r="DW80" s="328"/>
      <c r="DX80" s="328"/>
      <c r="DY80" s="328"/>
      <c r="DZ80" s="328"/>
      <c r="EA80" s="328"/>
      <c r="EB80" s="328"/>
      <c r="EC80" s="328"/>
      <c r="ED80" s="328"/>
      <c r="EE80" s="328"/>
      <c r="EF80" s="328"/>
      <c r="EG80" s="328"/>
      <c r="EH80" s="328"/>
      <c r="EI80" s="328"/>
      <c r="EJ80" s="328"/>
      <c r="EK80" s="328"/>
      <c r="EL80" s="328"/>
      <c r="EM80" s="328"/>
      <c r="EN80" s="328"/>
      <c r="EO80" s="328"/>
      <c r="EP80" s="328"/>
      <c r="EQ80" s="328"/>
      <c r="ER80" s="328"/>
      <c r="ES80" s="328"/>
      <c r="ET80" s="328"/>
      <c r="EU80" s="328"/>
      <c r="EV80" s="328"/>
      <c r="EW80" s="328"/>
      <c r="EX80" s="328"/>
      <c r="EY80" s="328"/>
      <c r="EZ80" s="328"/>
      <c r="FA80" s="328"/>
      <c r="FB80" s="328"/>
      <c r="FC80" s="328"/>
      <c r="FD80" s="328"/>
      <c r="FE80" s="328"/>
      <c r="FF80" s="328"/>
      <c r="FG80" s="328"/>
      <c r="FH80" s="328"/>
      <c r="FI80" s="328"/>
      <c r="FJ80" s="328"/>
      <c r="FK80" s="328"/>
      <c r="FL80" s="328"/>
      <c r="FM80" s="328"/>
      <c r="FN80" s="328"/>
      <c r="FO80" s="328"/>
      <c r="FP80" s="328"/>
      <c r="FQ80" s="328"/>
      <c r="FR80" s="328"/>
      <c r="FS80" s="328"/>
      <c r="FT80" s="328"/>
      <c r="FU80" s="328"/>
      <c r="FV80" s="328"/>
      <c r="FW80" s="328"/>
      <c r="FX80" s="328"/>
      <c r="FY80" s="328"/>
      <c r="FZ80" s="328"/>
      <c r="GA80" s="328"/>
      <c r="GB80" s="328"/>
      <c r="GC80" s="328"/>
      <c r="GD80" s="328"/>
      <c r="GE80" s="328"/>
      <c r="GF80" s="328"/>
      <c r="GG80" s="328"/>
      <c r="GH80" s="328"/>
    </row>
    <row r="82" spans="1:1">
      <c r="A82" s="193" t="s">
        <v>310</v>
      </c>
    </row>
    <row r="83" spans="1:1">
      <c r="A83" s="193" t="s">
        <v>325</v>
      </c>
    </row>
    <row r="84" spans="1:1">
      <c r="A84" s="193" t="s">
        <v>327</v>
      </c>
    </row>
    <row r="85" spans="1:1">
      <c r="A85" s="193" t="s">
        <v>326</v>
      </c>
    </row>
    <row r="86" spans="1:1">
      <c r="A86" s="306"/>
    </row>
  </sheetData>
  <dataConsolidate/>
  <conditionalFormatting sqref="O21">
    <cfRule type="cellIs" dxfId="1" priority="1" operator="greaterThan">
      <formula>0</formula>
    </cfRule>
  </conditionalFormatting>
  <dataValidations disablePrompts="1" count="1">
    <dataValidation type="list" allowBlank="1" showInputMessage="1" showErrorMessage="1" sqref="E24">
      <formula1>$N$29:$X$29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H85"/>
  <sheetViews>
    <sheetView zoomScale="90" zoomScaleNormal="90" workbookViewId="0">
      <selection activeCell="B6" sqref="B6"/>
    </sheetView>
  </sheetViews>
  <sheetFormatPr defaultColWidth="9.28515625" defaultRowHeight="15" outlineLevelRow="1"/>
  <cols>
    <col min="1" max="1" width="9.28515625" style="335"/>
    <col min="2" max="2" width="25.28515625" style="335" customWidth="1"/>
    <col min="3" max="3" width="14.85546875" style="335" bestFit="1" customWidth="1"/>
    <col min="4" max="4" width="15" style="335" customWidth="1"/>
    <col min="5" max="5" width="16.42578125" style="335" customWidth="1"/>
    <col min="6" max="6" width="17.42578125" style="335" customWidth="1"/>
    <col min="7" max="7" width="11" style="335" customWidth="1"/>
    <col min="8" max="8" width="15.28515625" style="288" customWidth="1"/>
    <col min="9" max="9" width="13.42578125" style="335" customWidth="1"/>
    <col min="10" max="10" width="11.28515625" style="335" bestFit="1" customWidth="1"/>
    <col min="11" max="11" width="16.28515625" style="335" customWidth="1"/>
    <col min="12" max="12" width="20.42578125" style="335" bestFit="1" customWidth="1"/>
    <col min="13" max="13" width="11.28515625" style="335" bestFit="1" customWidth="1"/>
    <col min="14" max="14" width="24.42578125" style="335" bestFit="1" customWidth="1"/>
    <col min="15" max="15" width="22.5703125" style="335" customWidth="1"/>
    <col min="16" max="16" width="13.42578125" style="335" customWidth="1"/>
    <col min="17" max="17" width="14" style="335" customWidth="1"/>
    <col min="18" max="18" width="11.28515625" style="335" bestFit="1" customWidth="1"/>
    <col min="19" max="19" width="14.5703125" style="335" customWidth="1"/>
    <col min="20" max="20" width="11.5703125" style="335" bestFit="1" customWidth="1"/>
    <col min="21" max="21" width="14.5703125" style="335" customWidth="1"/>
    <col min="22" max="22" width="15.42578125" style="335" customWidth="1"/>
    <col min="23" max="23" width="11.5703125" style="335" customWidth="1"/>
    <col min="24" max="24" width="15.5703125" style="335" customWidth="1"/>
    <col min="25" max="25" width="64.28515625" style="335" bestFit="1" customWidth="1"/>
    <col min="26" max="32" width="9.28515625" style="335"/>
    <col min="33" max="38" width="9.42578125" style="335" bestFit="1" customWidth="1"/>
    <col min="39" max="16384" width="9.28515625" style="335"/>
  </cols>
  <sheetData>
    <row r="1" spans="1:27" outlineLevel="1">
      <c r="A1" s="309" t="s">
        <v>324</v>
      </c>
      <c r="H1" s="335"/>
      <c r="I1" s="338"/>
    </row>
    <row r="2" spans="1:27" outlineLevel="1">
      <c r="H2" s="335"/>
      <c r="J2" s="90"/>
      <c r="K2" s="44"/>
      <c r="M2" s="44"/>
    </row>
    <row r="3" spans="1:27" outlineLevel="1">
      <c r="A3" s="309" t="s">
        <v>329</v>
      </c>
      <c r="H3" s="335"/>
      <c r="I3" s="339"/>
      <c r="J3" s="340"/>
      <c r="K3" s="340"/>
      <c r="L3" s="340"/>
      <c r="M3" s="340"/>
    </row>
    <row r="4" spans="1:27" outlineLevel="1">
      <c r="A4" s="309"/>
      <c r="B4" s="309"/>
      <c r="C4" s="352"/>
      <c r="H4" s="335"/>
      <c r="I4" s="339"/>
      <c r="J4" s="340"/>
      <c r="K4" s="340"/>
    </row>
    <row r="5" spans="1:27" outlineLevel="1">
      <c r="B5" s="297" t="s">
        <v>309</v>
      </c>
      <c r="H5" s="335"/>
      <c r="I5" s="3"/>
      <c r="J5" s="340"/>
      <c r="K5" s="340"/>
      <c r="L5" s="193"/>
      <c r="M5" s="193"/>
      <c r="N5" s="193"/>
      <c r="O5" s="193"/>
      <c r="P5" s="193"/>
      <c r="Q5" s="193"/>
      <c r="R5" s="193"/>
      <c r="S5" s="193"/>
      <c r="T5" s="193"/>
    </row>
    <row r="6" spans="1:27" ht="32.1" customHeight="1" outlineLevel="1">
      <c r="B6" s="194" t="s">
        <v>343</v>
      </c>
      <c r="C6" s="193"/>
      <c r="D6" s="193"/>
      <c r="E6" s="193"/>
      <c r="F6" s="193"/>
      <c r="G6" s="164"/>
      <c r="H6" s="203"/>
      <c r="I6" s="341"/>
      <c r="J6" s="164"/>
      <c r="K6" s="193"/>
      <c r="L6" s="193"/>
      <c r="M6" s="193"/>
      <c r="N6" s="193"/>
      <c r="O6" s="193"/>
      <c r="P6" s="193"/>
      <c r="Q6" s="193"/>
      <c r="R6" s="193"/>
      <c r="S6" s="193"/>
      <c r="T6" s="193"/>
      <c r="Z6" s="193"/>
      <c r="AA6" s="193"/>
    </row>
    <row r="7" spans="1:27" outlineLevel="1">
      <c r="A7" s="335" t="s">
        <v>40</v>
      </c>
      <c r="B7" s="310">
        <v>0.45827792509692628</v>
      </c>
      <c r="C7" s="332"/>
      <c r="D7" s="326"/>
      <c r="E7" s="332"/>
      <c r="F7" s="326"/>
      <c r="G7" s="81"/>
      <c r="H7" s="342"/>
      <c r="I7" s="343"/>
      <c r="J7" s="81"/>
      <c r="K7" s="193"/>
      <c r="L7" s="193"/>
      <c r="M7" s="193"/>
      <c r="N7" s="193"/>
      <c r="O7" s="193"/>
      <c r="P7" s="193"/>
      <c r="Q7" s="193"/>
      <c r="R7" s="193"/>
      <c r="S7" s="193"/>
      <c r="T7" s="193"/>
      <c r="Z7" s="193"/>
      <c r="AA7" s="193"/>
    </row>
    <row r="8" spans="1:27" outlineLevel="1">
      <c r="A8" s="335" t="s">
        <v>41</v>
      </c>
      <c r="B8" s="310">
        <v>0.44873648624794937</v>
      </c>
      <c r="C8" s="332"/>
      <c r="D8" s="326"/>
      <c r="E8" s="332"/>
      <c r="F8" s="326"/>
      <c r="G8" s="81"/>
      <c r="H8" s="342"/>
      <c r="I8" s="343"/>
      <c r="J8" s="81"/>
      <c r="K8" s="193"/>
      <c r="L8" s="193"/>
      <c r="M8" s="193"/>
      <c r="N8" s="193"/>
      <c r="O8" s="193"/>
      <c r="P8" s="193"/>
      <c r="Q8" s="193"/>
      <c r="R8" s="193"/>
      <c r="S8" s="193"/>
      <c r="T8" s="193"/>
      <c r="Z8" s="193"/>
      <c r="AA8" s="193"/>
    </row>
    <row r="9" spans="1:27" outlineLevel="1">
      <c r="A9" s="335" t="s">
        <v>43</v>
      </c>
      <c r="B9" s="310">
        <v>0.83420725384233707</v>
      </c>
      <c r="C9" s="332"/>
      <c r="D9" s="326"/>
      <c r="E9" s="332"/>
      <c r="F9" s="326"/>
      <c r="G9" s="81"/>
      <c r="H9" s="342"/>
      <c r="I9" s="343"/>
      <c r="J9" s="81"/>
      <c r="K9" s="193"/>
      <c r="L9" s="193"/>
      <c r="M9" s="193"/>
      <c r="N9" s="193"/>
      <c r="O9" s="193"/>
      <c r="P9" s="193"/>
      <c r="Q9" s="193"/>
      <c r="R9" s="193"/>
      <c r="S9" s="193"/>
      <c r="T9" s="193"/>
      <c r="Z9" s="193"/>
      <c r="AA9" s="193"/>
    </row>
    <row r="10" spans="1:27" outlineLevel="1">
      <c r="A10" s="335" t="s">
        <v>44</v>
      </c>
      <c r="B10" s="310">
        <v>0.60627035161618292</v>
      </c>
      <c r="C10" s="332"/>
      <c r="D10" s="326"/>
      <c r="E10" s="332"/>
      <c r="F10" s="326"/>
      <c r="G10" s="81"/>
      <c r="H10" s="342"/>
      <c r="I10" s="343"/>
      <c r="J10" s="81"/>
      <c r="K10" s="193"/>
      <c r="L10" s="193"/>
      <c r="M10" s="193"/>
      <c r="N10" s="193"/>
      <c r="O10" s="193"/>
      <c r="P10" s="193"/>
      <c r="Q10" s="193"/>
      <c r="R10" s="193"/>
      <c r="S10" s="193"/>
      <c r="T10" s="193"/>
      <c r="Z10" s="193"/>
      <c r="AA10" s="193"/>
    </row>
    <row r="11" spans="1:27" outlineLevel="1">
      <c r="A11" s="335" t="s">
        <v>46</v>
      </c>
      <c r="B11" s="310">
        <v>0.5920564290657846</v>
      </c>
      <c r="C11" s="332"/>
      <c r="D11" s="326"/>
      <c r="E11" s="332"/>
      <c r="F11" s="326"/>
      <c r="G11" s="81"/>
      <c r="H11" s="342"/>
      <c r="I11" s="343"/>
      <c r="J11" s="81"/>
      <c r="K11" s="193"/>
      <c r="L11" s="193"/>
      <c r="M11" s="193"/>
      <c r="N11" s="193"/>
      <c r="O11" s="193"/>
      <c r="P11" s="193"/>
      <c r="Q11" s="193"/>
      <c r="R11" s="193"/>
      <c r="S11" s="193"/>
      <c r="T11" s="193"/>
      <c r="Z11" s="193"/>
      <c r="AA11" s="193"/>
    </row>
    <row r="12" spans="1:27" outlineLevel="1">
      <c r="A12" s="335" t="s">
        <v>48</v>
      </c>
      <c r="B12" s="310">
        <v>0.63079079387702086</v>
      </c>
      <c r="C12" s="332"/>
      <c r="D12" s="326"/>
      <c r="E12" s="332"/>
      <c r="F12" s="326"/>
      <c r="G12" s="81"/>
      <c r="H12" s="342"/>
      <c r="I12" s="343"/>
      <c r="J12" s="81"/>
      <c r="K12" s="193"/>
      <c r="L12" s="193"/>
      <c r="M12" s="193"/>
      <c r="N12" s="193"/>
      <c r="O12" s="193"/>
      <c r="P12" s="193"/>
      <c r="Q12" s="193"/>
      <c r="R12" s="193"/>
      <c r="S12" s="193"/>
      <c r="T12" s="193"/>
      <c r="Z12" s="193"/>
      <c r="AA12" s="193"/>
    </row>
    <row r="13" spans="1:27" outlineLevel="1">
      <c r="A13" s="335" t="s">
        <v>50</v>
      </c>
      <c r="B13" s="310">
        <v>0.70082011078691298</v>
      </c>
      <c r="C13" s="332"/>
      <c r="D13" s="326"/>
      <c r="E13" s="332"/>
      <c r="F13" s="326"/>
      <c r="G13" s="81"/>
      <c r="H13" s="342"/>
      <c r="I13" s="343"/>
      <c r="J13" s="81"/>
      <c r="K13" s="193"/>
      <c r="L13" s="193"/>
      <c r="M13" s="193"/>
      <c r="N13" s="193"/>
      <c r="O13" s="193"/>
      <c r="P13" s="193"/>
      <c r="Q13" s="193"/>
      <c r="R13" s="193"/>
      <c r="S13" s="193"/>
      <c r="T13" s="193"/>
      <c r="Z13" s="193"/>
      <c r="AA13" s="193"/>
    </row>
    <row r="14" spans="1:27" outlineLevel="1">
      <c r="A14" s="335" t="s">
        <v>52</v>
      </c>
      <c r="B14" s="310">
        <v>0.59825099999258391</v>
      </c>
      <c r="C14" s="332"/>
      <c r="D14" s="326"/>
      <c r="E14" s="332"/>
      <c r="F14" s="326"/>
      <c r="G14" s="81"/>
      <c r="H14" s="342"/>
      <c r="I14" s="343"/>
      <c r="J14" s="81"/>
      <c r="K14" s="193"/>
      <c r="L14" s="193"/>
      <c r="M14" s="193"/>
      <c r="N14" s="193"/>
      <c r="O14" s="193"/>
      <c r="P14" s="193"/>
      <c r="Q14" s="193"/>
      <c r="R14" s="193"/>
      <c r="S14" s="193"/>
      <c r="T14" s="193"/>
      <c r="Z14" s="193"/>
      <c r="AA14" s="193"/>
    </row>
    <row r="15" spans="1:27" outlineLevel="1">
      <c r="A15" s="335" t="s">
        <v>54</v>
      </c>
      <c r="B15" s="310">
        <v>0.97636641561985016</v>
      </c>
      <c r="C15" s="332"/>
      <c r="D15" s="326"/>
      <c r="E15" s="332"/>
      <c r="F15" s="326"/>
      <c r="G15" s="81"/>
      <c r="H15" s="342"/>
      <c r="I15" s="343"/>
      <c r="J15" s="81"/>
      <c r="K15" s="193"/>
      <c r="L15" s="193"/>
      <c r="M15" s="193"/>
      <c r="N15" s="193"/>
      <c r="O15" s="193"/>
      <c r="P15" s="193"/>
      <c r="Q15" s="193"/>
      <c r="R15" s="193"/>
      <c r="S15" s="193"/>
      <c r="T15" s="193"/>
      <c r="Z15" s="193"/>
      <c r="AA15" s="193"/>
    </row>
    <row r="16" spans="1:27" outlineLevel="1">
      <c r="A16" s="335" t="s">
        <v>56</v>
      </c>
      <c r="B16" s="310">
        <v>0.76938996750631106</v>
      </c>
      <c r="C16" s="332"/>
      <c r="D16" s="326"/>
      <c r="E16" s="332"/>
      <c r="F16" s="326"/>
      <c r="G16" s="81"/>
      <c r="H16" s="342"/>
      <c r="I16" s="343"/>
      <c r="J16" s="81"/>
      <c r="K16" s="193"/>
      <c r="L16" s="193"/>
      <c r="M16" s="193"/>
      <c r="N16" s="193"/>
      <c r="O16" s="193"/>
      <c r="P16" s="193"/>
      <c r="Q16" s="193"/>
      <c r="R16" s="193"/>
      <c r="S16" s="193"/>
      <c r="T16" s="193"/>
      <c r="Z16" s="193"/>
      <c r="AA16" s="193"/>
    </row>
    <row r="17" spans="1:190" outlineLevel="1">
      <c r="A17" s="335" t="s">
        <v>58</v>
      </c>
      <c r="B17" s="310">
        <v>0.65552334943828594</v>
      </c>
      <c r="C17" s="332"/>
      <c r="D17" s="326"/>
      <c r="E17" s="332"/>
      <c r="F17" s="326"/>
      <c r="G17" s="81"/>
      <c r="H17" s="342"/>
      <c r="I17" s="343"/>
      <c r="J17" s="81"/>
      <c r="K17" s="193"/>
      <c r="L17" s="193"/>
      <c r="M17" s="193"/>
      <c r="N17" s="193"/>
      <c r="O17" s="193"/>
      <c r="P17" s="193"/>
      <c r="Q17" s="193"/>
      <c r="R17" s="193"/>
      <c r="S17" s="193"/>
      <c r="T17" s="193"/>
      <c r="Z17" s="193"/>
      <c r="AA17" s="193"/>
    </row>
    <row r="18" spans="1:190" outlineLevel="1">
      <c r="A18" s="335" t="s">
        <v>59</v>
      </c>
      <c r="B18" s="310">
        <v>0.78805515936865289</v>
      </c>
      <c r="C18" s="332"/>
      <c r="D18" s="326"/>
      <c r="E18" s="332"/>
      <c r="F18" s="326"/>
      <c r="G18" s="81"/>
      <c r="H18" s="342"/>
      <c r="I18" s="343"/>
      <c r="J18" s="81"/>
      <c r="K18" s="193"/>
      <c r="L18" s="193"/>
      <c r="M18" s="193"/>
      <c r="N18" s="193"/>
      <c r="O18" s="193"/>
      <c r="P18" s="193"/>
      <c r="Q18" s="193"/>
      <c r="R18" s="193"/>
      <c r="S18" s="193"/>
      <c r="T18" s="193"/>
      <c r="Z18" s="193"/>
      <c r="AA18" s="193"/>
    </row>
    <row r="19" spans="1:190" outlineLevel="1">
      <c r="A19" s="335" t="s">
        <v>61</v>
      </c>
      <c r="B19" s="310">
        <v>0.7758355182935508</v>
      </c>
      <c r="C19" s="332"/>
      <c r="D19" s="326"/>
      <c r="E19" s="332"/>
      <c r="F19" s="326"/>
      <c r="G19" s="81"/>
      <c r="H19" s="342"/>
      <c r="I19" s="343"/>
      <c r="J19" s="81"/>
      <c r="K19" s="193"/>
      <c r="L19" s="193"/>
      <c r="M19" s="193"/>
      <c r="N19" s="193"/>
      <c r="O19" s="193"/>
      <c r="P19" s="193"/>
      <c r="Q19" s="193"/>
      <c r="R19" s="193"/>
      <c r="S19" s="193"/>
      <c r="T19" s="193"/>
      <c r="Z19" s="193"/>
      <c r="AA19" s="193"/>
    </row>
    <row r="20" spans="1:190" outlineLevel="1">
      <c r="C20" s="344"/>
      <c r="D20" s="344"/>
      <c r="E20" s="344"/>
      <c r="F20" s="344"/>
      <c r="H20" s="335"/>
      <c r="O20" s="335" t="s">
        <v>314</v>
      </c>
    </row>
    <row r="21" spans="1:190">
      <c r="O21" s="312">
        <v>0.75</v>
      </c>
      <c r="W21" s="143"/>
    </row>
    <row r="23" spans="1:190" ht="15.75" thickBot="1">
      <c r="B23" s="320"/>
      <c r="E23" s="48" t="s">
        <v>63</v>
      </c>
      <c r="I23" s="304" t="s">
        <v>312</v>
      </c>
    </row>
    <row r="24" spans="1:190" ht="16.5" thickTop="1" thickBot="1">
      <c r="B24" s="320"/>
      <c r="E24" s="150" t="s">
        <v>330</v>
      </c>
      <c r="H24" s="299"/>
      <c r="I24" s="49">
        <v>2006</v>
      </c>
      <c r="J24" s="49">
        <v>2007</v>
      </c>
      <c r="K24" s="49">
        <v>2008</v>
      </c>
      <c r="L24" s="49">
        <v>2009</v>
      </c>
      <c r="M24" s="49">
        <v>2010</v>
      </c>
      <c r="N24" s="49">
        <v>2011</v>
      </c>
      <c r="O24" s="49">
        <v>2012</v>
      </c>
      <c r="P24" s="49">
        <v>2013</v>
      </c>
      <c r="Q24" s="49">
        <v>2014</v>
      </c>
      <c r="R24" s="49">
        <v>2015</v>
      </c>
      <c r="S24" s="49">
        <v>2016</v>
      </c>
      <c r="T24" s="49">
        <v>2017</v>
      </c>
      <c r="U24" s="49">
        <v>2018</v>
      </c>
      <c r="V24" s="49">
        <v>2019</v>
      </c>
      <c r="W24" s="50">
        <v>2006</v>
      </c>
      <c r="X24" s="50">
        <v>2007</v>
      </c>
      <c r="Y24" s="50">
        <v>2008</v>
      </c>
      <c r="Z24" s="50">
        <v>2009</v>
      </c>
      <c r="AA24" s="50">
        <v>2010</v>
      </c>
      <c r="AB24" s="50">
        <v>2011</v>
      </c>
      <c r="AC24" s="50">
        <v>2012</v>
      </c>
      <c r="AD24" s="50">
        <v>2013</v>
      </c>
      <c r="AE24" s="50">
        <v>2014</v>
      </c>
      <c r="AF24" s="50">
        <v>2015</v>
      </c>
      <c r="AG24" s="50">
        <v>2016</v>
      </c>
      <c r="AH24" s="50">
        <v>2017</v>
      </c>
      <c r="AI24" s="50">
        <v>2018</v>
      </c>
      <c r="AJ24" s="50">
        <v>2019</v>
      </c>
      <c r="AK24" s="49">
        <v>2006</v>
      </c>
      <c r="AL24" s="49">
        <v>2007</v>
      </c>
      <c r="AM24" s="49">
        <v>2008</v>
      </c>
      <c r="AN24" s="49">
        <v>2009</v>
      </c>
      <c r="AO24" s="49">
        <v>2010</v>
      </c>
      <c r="AP24" s="49">
        <v>2011</v>
      </c>
      <c r="AQ24" s="49">
        <v>2012</v>
      </c>
      <c r="AR24" s="49">
        <v>2013</v>
      </c>
      <c r="AS24" s="49">
        <v>2014</v>
      </c>
      <c r="AT24" s="49">
        <v>2015</v>
      </c>
      <c r="AU24" s="49">
        <v>2016</v>
      </c>
      <c r="AV24" s="49">
        <v>2017</v>
      </c>
      <c r="AW24" s="49">
        <v>2018</v>
      </c>
      <c r="AX24" s="49">
        <v>2019</v>
      </c>
      <c r="AY24" s="50">
        <v>2006</v>
      </c>
      <c r="AZ24" s="50">
        <v>2007</v>
      </c>
      <c r="BA24" s="50">
        <v>2008</v>
      </c>
      <c r="BB24" s="50">
        <v>2009</v>
      </c>
      <c r="BC24" s="50">
        <v>2010</v>
      </c>
      <c r="BD24" s="50">
        <v>2011</v>
      </c>
      <c r="BE24" s="50">
        <v>2012</v>
      </c>
      <c r="BF24" s="50">
        <v>2013</v>
      </c>
      <c r="BG24" s="50">
        <v>2014</v>
      </c>
      <c r="BH24" s="50">
        <v>2015</v>
      </c>
      <c r="BI24" s="50">
        <v>2016</v>
      </c>
      <c r="BJ24" s="50">
        <v>2017</v>
      </c>
      <c r="BK24" s="50">
        <v>2018</v>
      </c>
      <c r="BL24" s="50">
        <v>2019</v>
      </c>
      <c r="BM24" s="49">
        <v>2006</v>
      </c>
      <c r="BN24" s="49">
        <v>2007</v>
      </c>
      <c r="BO24" s="49">
        <v>2008</v>
      </c>
      <c r="BP24" s="49">
        <v>2009</v>
      </c>
      <c r="BQ24" s="49">
        <v>2010</v>
      </c>
      <c r="BR24" s="49">
        <v>2011</v>
      </c>
      <c r="BS24" s="49">
        <v>2012</v>
      </c>
      <c r="BT24" s="49">
        <v>2013</v>
      </c>
      <c r="BU24" s="49">
        <v>2014</v>
      </c>
      <c r="BV24" s="49">
        <v>2015</v>
      </c>
      <c r="BW24" s="49">
        <v>2016</v>
      </c>
      <c r="BX24" s="49">
        <v>2017</v>
      </c>
      <c r="BY24" s="49">
        <v>2018</v>
      </c>
      <c r="BZ24" s="49">
        <v>2019</v>
      </c>
      <c r="CA24" s="50">
        <v>2006</v>
      </c>
      <c r="CB24" s="50">
        <v>2007</v>
      </c>
      <c r="CC24" s="50">
        <v>2008</v>
      </c>
      <c r="CD24" s="50">
        <v>2009</v>
      </c>
      <c r="CE24" s="50">
        <v>2010</v>
      </c>
      <c r="CF24" s="50">
        <v>2011</v>
      </c>
      <c r="CG24" s="50">
        <v>2012</v>
      </c>
      <c r="CH24" s="50">
        <v>2013</v>
      </c>
      <c r="CI24" s="50">
        <v>2014</v>
      </c>
      <c r="CJ24" s="50">
        <v>2015</v>
      </c>
      <c r="CK24" s="50">
        <v>2016</v>
      </c>
      <c r="CL24" s="50">
        <v>2017</v>
      </c>
      <c r="CM24" s="50">
        <v>2018</v>
      </c>
      <c r="CN24" s="50">
        <v>2019</v>
      </c>
      <c r="CO24" s="49">
        <v>2006</v>
      </c>
      <c r="CP24" s="49">
        <v>2007</v>
      </c>
      <c r="CQ24" s="49">
        <v>2008</v>
      </c>
      <c r="CR24" s="49">
        <v>2009</v>
      </c>
      <c r="CS24" s="49">
        <v>2010</v>
      </c>
      <c r="CT24" s="49">
        <v>2011</v>
      </c>
      <c r="CU24" s="49">
        <v>2012</v>
      </c>
      <c r="CV24" s="49">
        <v>2013</v>
      </c>
      <c r="CW24" s="49">
        <v>2014</v>
      </c>
      <c r="CX24" s="49">
        <v>2015</v>
      </c>
      <c r="CY24" s="49">
        <v>2016</v>
      </c>
      <c r="CZ24" s="49">
        <v>2017</v>
      </c>
      <c r="DA24" s="49">
        <v>2018</v>
      </c>
      <c r="DB24" s="49">
        <v>2019</v>
      </c>
      <c r="DC24" s="50">
        <v>2006</v>
      </c>
      <c r="DD24" s="50">
        <v>2007</v>
      </c>
      <c r="DE24" s="50">
        <v>2008</v>
      </c>
      <c r="DF24" s="50">
        <v>2009</v>
      </c>
      <c r="DG24" s="50">
        <v>2010</v>
      </c>
      <c r="DH24" s="50">
        <v>2011</v>
      </c>
      <c r="DI24" s="50">
        <v>2012</v>
      </c>
      <c r="DJ24" s="50">
        <v>2013</v>
      </c>
      <c r="DK24" s="50">
        <v>2014</v>
      </c>
      <c r="DL24" s="50">
        <v>2015</v>
      </c>
      <c r="DM24" s="50">
        <v>2016</v>
      </c>
      <c r="DN24" s="50">
        <v>2017</v>
      </c>
      <c r="DO24" s="50">
        <v>2018</v>
      </c>
      <c r="DP24" s="50">
        <v>2019</v>
      </c>
      <c r="DQ24" s="49">
        <v>2006</v>
      </c>
      <c r="DR24" s="49">
        <v>2007</v>
      </c>
      <c r="DS24" s="49">
        <v>2008</v>
      </c>
      <c r="DT24" s="49">
        <v>2009</v>
      </c>
      <c r="DU24" s="49">
        <v>2010</v>
      </c>
      <c r="DV24" s="49">
        <v>2011</v>
      </c>
      <c r="DW24" s="49">
        <v>2012</v>
      </c>
      <c r="DX24" s="49">
        <v>2013</v>
      </c>
      <c r="DY24" s="49">
        <v>2014</v>
      </c>
      <c r="DZ24" s="49">
        <v>2015</v>
      </c>
      <c r="EA24" s="49">
        <v>2016</v>
      </c>
      <c r="EB24" s="49">
        <v>2017</v>
      </c>
      <c r="EC24" s="49">
        <v>2018</v>
      </c>
      <c r="ED24" s="49">
        <v>2019</v>
      </c>
      <c r="EE24" s="50">
        <v>2006</v>
      </c>
      <c r="EF24" s="50">
        <v>2007</v>
      </c>
      <c r="EG24" s="50">
        <v>2008</v>
      </c>
      <c r="EH24" s="50">
        <v>2009</v>
      </c>
      <c r="EI24" s="50">
        <v>2010</v>
      </c>
      <c r="EJ24" s="50">
        <v>2011</v>
      </c>
      <c r="EK24" s="50">
        <v>2012</v>
      </c>
      <c r="EL24" s="50">
        <v>2013</v>
      </c>
      <c r="EM24" s="50">
        <v>2014</v>
      </c>
      <c r="EN24" s="50">
        <v>2015</v>
      </c>
      <c r="EO24" s="50">
        <v>2016</v>
      </c>
      <c r="EP24" s="50">
        <v>2017</v>
      </c>
      <c r="EQ24" s="50">
        <v>2018</v>
      </c>
      <c r="ER24" s="50">
        <v>2019</v>
      </c>
      <c r="ES24" s="49">
        <v>2006</v>
      </c>
      <c r="ET24" s="49">
        <v>2007</v>
      </c>
      <c r="EU24" s="49">
        <v>2008</v>
      </c>
      <c r="EV24" s="49">
        <v>2009</v>
      </c>
      <c r="EW24" s="49">
        <v>2010</v>
      </c>
      <c r="EX24" s="49">
        <v>2011</v>
      </c>
      <c r="EY24" s="49">
        <v>2012</v>
      </c>
      <c r="EZ24" s="49">
        <v>2013</v>
      </c>
      <c r="FA24" s="49">
        <v>2014</v>
      </c>
      <c r="FB24" s="49">
        <v>2015</v>
      </c>
      <c r="FC24" s="49">
        <v>2016</v>
      </c>
      <c r="FD24" s="49">
        <v>2017</v>
      </c>
      <c r="FE24" s="49">
        <v>2018</v>
      </c>
      <c r="FF24" s="49">
        <v>2019</v>
      </c>
      <c r="FG24" s="50">
        <v>2006</v>
      </c>
      <c r="FH24" s="50">
        <v>2007</v>
      </c>
      <c r="FI24" s="50">
        <v>2008</v>
      </c>
      <c r="FJ24" s="50">
        <v>2009</v>
      </c>
      <c r="FK24" s="50">
        <v>2010</v>
      </c>
      <c r="FL24" s="50">
        <v>2011</v>
      </c>
      <c r="FM24" s="50">
        <v>2012</v>
      </c>
      <c r="FN24" s="50">
        <v>2013</v>
      </c>
      <c r="FO24" s="50">
        <v>2014</v>
      </c>
      <c r="FP24" s="50">
        <v>2015</v>
      </c>
      <c r="FQ24" s="50">
        <v>2016</v>
      </c>
      <c r="FR24" s="50">
        <v>2017</v>
      </c>
      <c r="FS24" s="50">
        <v>2018</v>
      </c>
      <c r="FT24" s="50">
        <v>2019</v>
      </c>
      <c r="FU24" s="49">
        <v>2006</v>
      </c>
      <c r="FV24" s="49">
        <v>2007</v>
      </c>
      <c r="FW24" s="49">
        <v>2008</v>
      </c>
      <c r="FX24" s="49">
        <v>2009</v>
      </c>
      <c r="FY24" s="49">
        <v>2010</v>
      </c>
      <c r="FZ24" s="49">
        <v>2011</v>
      </c>
      <c r="GA24" s="49">
        <v>2012</v>
      </c>
      <c r="GB24" s="49">
        <v>2013</v>
      </c>
      <c r="GC24" s="49">
        <v>2014</v>
      </c>
      <c r="GD24" s="49">
        <v>2015</v>
      </c>
      <c r="GE24" s="49">
        <v>2016</v>
      </c>
      <c r="GF24" s="49">
        <v>2017</v>
      </c>
      <c r="GG24" s="49">
        <v>2018</v>
      </c>
      <c r="GH24" s="49">
        <v>2019</v>
      </c>
    </row>
    <row r="25" spans="1:190" ht="15.75" thickTop="1">
      <c r="A25" s="81"/>
      <c r="B25" s="320"/>
      <c r="C25" s="345"/>
      <c r="E25" s="193">
        <f>MATCH(E24,J29:X29,0)+1</f>
        <v>16</v>
      </c>
      <c r="H25" s="299" t="s">
        <v>65</v>
      </c>
      <c r="I25" s="51" t="s">
        <v>0</v>
      </c>
      <c r="J25" s="51" t="s">
        <v>0</v>
      </c>
      <c r="K25" s="51" t="s">
        <v>0</v>
      </c>
      <c r="L25" s="51" t="s">
        <v>0</v>
      </c>
      <c r="M25" s="51" t="s">
        <v>0</v>
      </c>
      <c r="N25" s="51" t="s">
        <v>0</v>
      </c>
      <c r="O25" s="51" t="s">
        <v>0</v>
      </c>
      <c r="P25" s="51" t="s">
        <v>0</v>
      </c>
      <c r="Q25" s="51" t="s">
        <v>0</v>
      </c>
      <c r="R25" s="51" t="s">
        <v>0</v>
      </c>
      <c r="S25" s="51" t="s">
        <v>0</v>
      </c>
      <c r="T25" s="51" t="s">
        <v>0</v>
      </c>
      <c r="U25" s="51" t="s">
        <v>0</v>
      </c>
      <c r="V25" s="51" t="s">
        <v>0</v>
      </c>
      <c r="W25" s="52" t="s">
        <v>1</v>
      </c>
      <c r="X25" s="52" t="s">
        <v>1</v>
      </c>
      <c r="Y25" s="52" t="s">
        <v>1</v>
      </c>
      <c r="Z25" s="52" t="s">
        <v>1</v>
      </c>
      <c r="AA25" s="52" t="s">
        <v>1</v>
      </c>
      <c r="AB25" s="52" t="s">
        <v>1</v>
      </c>
      <c r="AC25" s="52" t="s">
        <v>1</v>
      </c>
      <c r="AD25" s="52" t="s">
        <v>1</v>
      </c>
      <c r="AE25" s="52" t="s">
        <v>1</v>
      </c>
      <c r="AF25" s="52" t="s">
        <v>1</v>
      </c>
      <c r="AG25" s="52" t="s">
        <v>1</v>
      </c>
      <c r="AH25" s="52" t="s">
        <v>1</v>
      </c>
      <c r="AI25" s="52" t="s">
        <v>1</v>
      </c>
      <c r="AJ25" s="52" t="s">
        <v>1</v>
      </c>
      <c r="AK25" s="51" t="s">
        <v>2</v>
      </c>
      <c r="AL25" s="51" t="s">
        <v>2</v>
      </c>
      <c r="AM25" s="51" t="s">
        <v>2</v>
      </c>
      <c r="AN25" s="51" t="s">
        <v>2</v>
      </c>
      <c r="AO25" s="51" t="s">
        <v>2</v>
      </c>
      <c r="AP25" s="51" t="s">
        <v>2</v>
      </c>
      <c r="AQ25" s="51" t="s">
        <v>2</v>
      </c>
      <c r="AR25" s="51" t="s">
        <v>2</v>
      </c>
      <c r="AS25" s="51" t="s">
        <v>2</v>
      </c>
      <c r="AT25" s="51" t="s">
        <v>2</v>
      </c>
      <c r="AU25" s="51" t="s">
        <v>2</v>
      </c>
      <c r="AV25" s="51" t="s">
        <v>2</v>
      </c>
      <c r="AW25" s="51" t="s">
        <v>2</v>
      </c>
      <c r="AX25" s="51" t="s">
        <v>2</v>
      </c>
      <c r="AY25" s="52" t="s">
        <v>3</v>
      </c>
      <c r="AZ25" s="52" t="s">
        <v>3</v>
      </c>
      <c r="BA25" s="52" t="s">
        <v>3</v>
      </c>
      <c r="BB25" s="52" t="s">
        <v>3</v>
      </c>
      <c r="BC25" s="52" t="s">
        <v>3</v>
      </c>
      <c r="BD25" s="52" t="s">
        <v>3</v>
      </c>
      <c r="BE25" s="52" t="s">
        <v>3</v>
      </c>
      <c r="BF25" s="52" t="s">
        <v>3</v>
      </c>
      <c r="BG25" s="52" t="s">
        <v>3</v>
      </c>
      <c r="BH25" s="52" t="s">
        <v>3</v>
      </c>
      <c r="BI25" s="52" t="s">
        <v>3</v>
      </c>
      <c r="BJ25" s="52" t="s">
        <v>3</v>
      </c>
      <c r="BK25" s="52" t="s">
        <v>3</v>
      </c>
      <c r="BL25" s="52" t="s">
        <v>3</v>
      </c>
      <c r="BM25" s="51" t="s">
        <v>4</v>
      </c>
      <c r="BN25" s="51" t="s">
        <v>4</v>
      </c>
      <c r="BO25" s="51" t="s">
        <v>4</v>
      </c>
      <c r="BP25" s="51" t="s">
        <v>4</v>
      </c>
      <c r="BQ25" s="51" t="s">
        <v>4</v>
      </c>
      <c r="BR25" s="51" t="s">
        <v>4</v>
      </c>
      <c r="BS25" s="51" t="s">
        <v>4</v>
      </c>
      <c r="BT25" s="51" t="s">
        <v>4</v>
      </c>
      <c r="BU25" s="51" t="s">
        <v>4</v>
      </c>
      <c r="BV25" s="51" t="s">
        <v>4</v>
      </c>
      <c r="BW25" s="51" t="s">
        <v>4</v>
      </c>
      <c r="BX25" s="51" t="s">
        <v>4</v>
      </c>
      <c r="BY25" s="51" t="s">
        <v>4</v>
      </c>
      <c r="BZ25" s="51" t="s">
        <v>4</v>
      </c>
      <c r="CA25" s="52" t="s">
        <v>5</v>
      </c>
      <c r="CB25" s="52" t="s">
        <v>5</v>
      </c>
      <c r="CC25" s="52" t="s">
        <v>5</v>
      </c>
      <c r="CD25" s="52" t="s">
        <v>5</v>
      </c>
      <c r="CE25" s="52" t="s">
        <v>5</v>
      </c>
      <c r="CF25" s="52" t="s">
        <v>5</v>
      </c>
      <c r="CG25" s="52" t="s">
        <v>5</v>
      </c>
      <c r="CH25" s="52" t="s">
        <v>5</v>
      </c>
      <c r="CI25" s="52" t="s">
        <v>5</v>
      </c>
      <c r="CJ25" s="52" t="s">
        <v>5</v>
      </c>
      <c r="CK25" s="52" t="s">
        <v>5</v>
      </c>
      <c r="CL25" s="52" t="s">
        <v>5</v>
      </c>
      <c r="CM25" s="52" t="s">
        <v>5</v>
      </c>
      <c r="CN25" s="52" t="s">
        <v>5</v>
      </c>
      <c r="CO25" s="51" t="s">
        <v>6</v>
      </c>
      <c r="CP25" s="51" t="s">
        <v>6</v>
      </c>
      <c r="CQ25" s="51" t="s">
        <v>6</v>
      </c>
      <c r="CR25" s="51" t="s">
        <v>6</v>
      </c>
      <c r="CS25" s="51" t="s">
        <v>6</v>
      </c>
      <c r="CT25" s="51" t="s">
        <v>6</v>
      </c>
      <c r="CU25" s="51" t="s">
        <v>6</v>
      </c>
      <c r="CV25" s="51" t="s">
        <v>6</v>
      </c>
      <c r="CW25" s="51" t="s">
        <v>6</v>
      </c>
      <c r="CX25" s="51" t="s">
        <v>6</v>
      </c>
      <c r="CY25" s="51" t="s">
        <v>6</v>
      </c>
      <c r="CZ25" s="51" t="s">
        <v>6</v>
      </c>
      <c r="DA25" s="51" t="s">
        <v>6</v>
      </c>
      <c r="DB25" s="51" t="s">
        <v>6</v>
      </c>
      <c r="DC25" s="52" t="s">
        <v>7</v>
      </c>
      <c r="DD25" s="52" t="s">
        <v>7</v>
      </c>
      <c r="DE25" s="52" t="s">
        <v>7</v>
      </c>
      <c r="DF25" s="52" t="s">
        <v>7</v>
      </c>
      <c r="DG25" s="52" t="s">
        <v>7</v>
      </c>
      <c r="DH25" s="52" t="s">
        <v>7</v>
      </c>
      <c r="DI25" s="52" t="s">
        <v>7</v>
      </c>
      <c r="DJ25" s="52" t="s">
        <v>7</v>
      </c>
      <c r="DK25" s="52" t="s">
        <v>7</v>
      </c>
      <c r="DL25" s="52" t="s">
        <v>7</v>
      </c>
      <c r="DM25" s="52" t="s">
        <v>7</v>
      </c>
      <c r="DN25" s="52" t="s">
        <v>7</v>
      </c>
      <c r="DO25" s="52" t="s">
        <v>7</v>
      </c>
      <c r="DP25" s="52" t="s">
        <v>7</v>
      </c>
      <c r="DQ25" s="51" t="s">
        <v>8</v>
      </c>
      <c r="DR25" s="51" t="s">
        <v>8</v>
      </c>
      <c r="DS25" s="51" t="s">
        <v>8</v>
      </c>
      <c r="DT25" s="51" t="s">
        <v>8</v>
      </c>
      <c r="DU25" s="51" t="s">
        <v>8</v>
      </c>
      <c r="DV25" s="51" t="s">
        <v>8</v>
      </c>
      <c r="DW25" s="51" t="s">
        <v>8</v>
      </c>
      <c r="DX25" s="51" t="s">
        <v>8</v>
      </c>
      <c r="DY25" s="51" t="s">
        <v>8</v>
      </c>
      <c r="DZ25" s="51" t="s">
        <v>8</v>
      </c>
      <c r="EA25" s="51" t="s">
        <v>8</v>
      </c>
      <c r="EB25" s="51" t="s">
        <v>8</v>
      </c>
      <c r="EC25" s="51" t="s">
        <v>8</v>
      </c>
      <c r="ED25" s="51" t="s">
        <v>8</v>
      </c>
      <c r="EE25" s="52" t="s">
        <v>9</v>
      </c>
      <c r="EF25" s="52" t="s">
        <v>9</v>
      </c>
      <c r="EG25" s="52" t="s">
        <v>9</v>
      </c>
      <c r="EH25" s="52" t="s">
        <v>9</v>
      </c>
      <c r="EI25" s="52" t="s">
        <v>9</v>
      </c>
      <c r="EJ25" s="52" t="s">
        <v>9</v>
      </c>
      <c r="EK25" s="52" t="s">
        <v>9</v>
      </c>
      <c r="EL25" s="52" t="s">
        <v>9</v>
      </c>
      <c r="EM25" s="52" t="s">
        <v>9</v>
      </c>
      <c r="EN25" s="52" t="s">
        <v>9</v>
      </c>
      <c r="EO25" s="52" t="s">
        <v>9</v>
      </c>
      <c r="EP25" s="52" t="s">
        <v>9</v>
      </c>
      <c r="EQ25" s="52" t="s">
        <v>9</v>
      </c>
      <c r="ER25" s="52" t="s">
        <v>9</v>
      </c>
      <c r="ES25" s="51" t="s">
        <v>66</v>
      </c>
      <c r="ET25" s="51" t="s">
        <v>66</v>
      </c>
      <c r="EU25" s="51" t="s">
        <v>66</v>
      </c>
      <c r="EV25" s="51" t="s">
        <v>66</v>
      </c>
      <c r="EW25" s="51" t="s">
        <v>66</v>
      </c>
      <c r="EX25" s="51" t="s">
        <v>66</v>
      </c>
      <c r="EY25" s="51" t="s">
        <v>66</v>
      </c>
      <c r="EZ25" s="51" t="s">
        <v>66</v>
      </c>
      <c r="FA25" s="51" t="s">
        <v>66</v>
      </c>
      <c r="FB25" s="51" t="s">
        <v>66</v>
      </c>
      <c r="FC25" s="51" t="s">
        <v>66</v>
      </c>
      <c r="FD25" s="51" t="s">
        <v>66</v>
      </c>
      <c r="FE25" s="51" t="s">
        <v>66</v>
      </c>
      <c r="FF25" s="51" t="s">
        <v>66</v>
      </c>
      <c r="FG25" s="52" t="s">
        <v>11</v>
      </c>
      <c r="FH25" s="52" t="s">
        <v>11</v>
      </c>
      <c r="FI25" s="52" t="s">
        <v>11</v>
      </c>
      <c r="FJ25" s="52" t="s">
        <v>11</v>
      </c>
      <c r="FK25" s="52" t="s">
        <v>11</v>
      </c>
      <c r="FL25" s="52" t="s">
        <v>11</v>
      </c>
      <c r="FM25" s="52" t="s">
        <v>11</v>
      </c>
      <c r="FN25" s="52" t="s">
        <v>11</v>
      </c>
      <c r="FO25" s="52" t="s">
        <v>11</v>
      </c>
      <c r="FP25" s="52" t="s">
        <v>11</v>
      </c>
      <c r="FQ25" s="52" t="s">
        <v>11</v>
      </c>
      <c r="FR25" s="52" t="s">
        <v>11</v>
      </c>
      <c r="FS25" s="52" t="s">
        <v>11</v>
      </c>
      <c r="FT25" s="52" t="s">
        <v>11</v>
      </c>
      <c r="FU25" s="51" t="s">
        <v>12</v>
      </c>
      <c r="FV25" s="51" t="s">
        <v>12</v>
      </c>
      <c r="FW25" s="51" t="s">
        <v>12</v>
      </c>
      <c r="FX25" s="51" t="s">
        <v>12</v>
      </c>
      <c r="FY25" s="51" t="s">
        <v>12</v>
      </c>
      <c r="FZ25" s="51" t="s">
        <v>12</v>
      </c>
      <c r="GA25" s="51" t="s">
        <v>12</v>
      </c>
      <c r="GB25" s="51" t="s">
        <v>12</v>
      </c>
      <c r="GC25" s="51" t="s">
        <v>12</v>
      </c>
      <c r="GD25" s="51" t="s">
        <v>12</v>
      </c>
      <c r="GE25" s="51" t="s">
        <v>12</v>
      </c>
      <c r="GF25" s="51" t="s">
        <v>12</v>
      </c>
      <c r="GG25" s="51" t="s">
        <v>12</v>
      </c>
      <c r="GH25" s="51" t="s">
        <v>12</v>
      </c>
    </row>
    <row r="26" spans="1:190">
      <c r="A26" s="81"/>
      <c r="B26" s="320"/>
      <c r="C26" s="345"/>
      <c r="H26" s="299" t="s">
        <v>67</v>
      </c>
      <c r="I26" s="167">
        <v>32644.372461278101</v>
      </c>
      <c r="J26" s="167">
        <v>33989.78368583</v>
      </c>
      <c r="K26" s="167">
        <v>37658.377116216798</v>
      </c>
      <c r="L26" s="167">
        <v>39959.378599711999</v>
      </c>
      <c r="M26" s="167">
        <v>46087.463131805001</v>
      </c>
      <c r="N26" s="167">
        <v>53239.636389662104</v>
      </c>
      <c r="O26" s="167">
        <v>58764.115947737497</v>
      </c>
      <c r="P26" s="167">
        <v>66417.409985292601</v>
      </c>
      <c r="Q26" s="167">
        <v>77223.594865233899</v>
      </c>
      <c r="R26" s="167">
        <v>73579.8426807426</v>
      </c>
      <c r="S26" s="167">
        <v>40562.178874851801</v>
      </c>
      <c r="T26" s="167">
        <v>46909.595999999998</v>
      </c>
      <c r="U26" s="167">
        <v>55849.335000000006</v>
      </c>
      <c r="V26" s="167">
        <v>55021.766000000003</v>
      </c>
      <c r="W26" s="167">
        <v>357834.496219308</v>
      </c>
      <c r="X26" s="167">
        <v>316522.99188389303</v>
      </c>
      <c r="Y26" s="167">
        <v>467809.12217390706</v>
      </c>
      <c r="Z26" s="167">
        <v>441027.33814656798</v>
      </c>
      <c r="AA26" s="167">
        <v>511184.26885726303</v>
      </c>
      <c r="AB26" s="167">
        <v>506684.85404769296</v>
      </c>
      <c r="AC26" s="167">
        <v>577601.0955064391</v>
      </c>
      <c r="AD26" s="167">
        <v>471121.68333051505</v>
      </c>
      <c r="AE26" s="167">
        <v>539569.59182207996</v>
      </c>
      <c r="AF26" s="167">
        <v>647227.97580349504</v>
      </c>
      <c r="AG26" s="167">
        <v>588178.86646726506</v>
      </c>
      <c r="AH26" s="167">
        <v>529666.46092261001</v>
      </c>
      <c r="AI26" s="167">
        <v>463137.071</v>
      </c>
      <c r="AJ26" s="167">
        <v>445750.647</v>
      </c>
      <c r="AK26" s="167">
        <v>26412.589009526593</v>
      </c>
      <c r="AL26" s="167">
        <v>31329.710649259305</v>
      </c>
      <c r="AM26" s="167">
        <v>31120.531390019252</v>
      </c>
      <c r="AN26" s="167">
        <v>37629.540867755153</v>
      </c>
      <c r="AO26" s="167">
        <v>42279.50798262329</v>
      </c>
      <c r="AP26" s="167">
        <v>40682.50401969807</v>
      </c>
      <c r="AQ26" s="167">
        <v>52808.972782802135</v>
      </c>
      <c r="AR26" s="167">
        <v>52531.24811007821</v>
      </c>
      <c r="AS26" s="167">
        <v>55150.625983108068</v>
      </c>
      <c r="AT26" s="167">
        <v>54114.799686988088</v>
      </c>
      <c r="AU26" s="167">
        <v>55415.462309842202</v>
      </c>
      <c r="AV26" s="167">
        <v>54481.132864804596</v>
      </c>
      <c r="AW26" s="167">
        <v>48229.038177939598</v>
      </c>
      <c r="AX26" s="167">
        <v>55345.957048282602</v>
      </c>
      <c r="AY26" s="167">
        <v>156824.91789216301</v>
      </c>
      <c r="AZ26" s="167">
        <v>176841.394432931</v>
      </c>
      <c r="BA26" s="167">
        <v>224408.06001672801</v>
      </c>
      <c r="BB26" s="167">
        <v>214131.30026509601</v>
      </c>
      <c r="BC26" s="167">
        <v>210431.13798086398</v>
      </c>
      <c r="BD26" s="167">
        <v>229554.29065953402</v>
      </c>
      <c r="BE26" s="167">
        <v>240838.12724750797</v>
      </c>
      <c r="BF26" s="167">
        <v>222645.27398422701</v>
      </c>
      <c r="BG26" s="167">
        <v>258321.99304766802</v>
      </c>
      <c r="BH26" s="167">
        <v>270954.43519109796</v>
      </c>
      <c r="BI26" s="167">
        <v>295663.49812986702</v>
      </c>
      <c r="BJ26" s="167">
        <v>276143.80499999999</v>
      </c>
      <c r="BK26" s="167">
        <v>257322.89818438003</v>
      </c>
      <c r="BL26" s="167">
        <v>248955.63635370001</v>
      </c>
      <c r="BM26" s="167">
        <v>189286.786515969</v>
      </c>
      <c r="BN26" s="167">
        <v>229999.82498122202</v>
      </c>
      <c r="BO26" s="167">
        <v>249220.28103108701</v>
      </c>
      <c r="BP26" s="167">
        <v>269392.65438000002</v>
      </c>
      <c r="BQ26" s="167">
        <v>278759.46135</v>
      </c>
      <c r="BR26" s="167">
        <v>317627.73702</v>
      </c>
      <c r="BS26" s="167">
        <v>350958.66492000007</v>
      </c>
      <c r="BT26" s="167">
        <v>387877.9989499998</v>
      </c>
      <c r="BU26" s="167">
        <v>365738.55767000001</v>
      </c>
      <c r="BV26" s="167">
        <v>381461.5461299998</v>
      </c>
      <c r="BW26" s="167">
        <v>344893.63842298696</v>
      </c>
      <c r="BX26" s="167">
        <v>353346.31027999998</v>
      </c>
      <c r="BY26" s="167">
        <v>362234.78839999996</v>
      </c>
      <c r="BZ26" s="167">
        <v>350114.929</v>
      </c>
      <c r="CA26" s="167">
        <v>259957.891</v>
      </c>
      <c r="CB26" s="167">
        <v>241890.48055000001</v>
      </c>
      <c r="CC26" s="167">
        <v>269457.2365</v>
      </c>
      <c r="CD26" s="167">
        <v>270466.59799000004</v>
      </c>
      <c r="CE26" s="167">
        <v>270621.21470000001</v>
      </c>
      <c r="CF26" s="167">
        <v>345122.06182</v>
      </c>
      <c r="CG26" s="167">
        <v>363976.48437000008</v>
      </c>
      <c r="CH26" s="167">
        <v>298481.04830000014</v>
      </c>
      <c r="CI26" s="167">
        <v>308046.36037000001</v>
      </c>
      <c r="CJ26" s="167">
        <v>362830.15773000004</v>
      </c>
      <c r="CK26" s="167">
        <v>371607.978</v>
      </c>
      <c r="CL26" s="167">
        <v>341013.31</v>
      </c>
      <c r="CM26" s="167">
        <v>357962.68099999998</v>
      </c>
      <c r="CN26" s="167">
        <v>368947.33100000001</v>
      </c>
      <c r="CO26" s="167">
        <v>198507.61938633298</v>
      </c>
      <c r="CP26" s="167">
        <v>249199.63407414002</v>
      </c>
      <c r="CQ26" s="167">
        <v>304612.28626150603</v>
      </c>
      <c r="CR26" s="167">
        <v>296582.84979402204</v>
      </c>
      <c r="CS26" s="167">
        <v>324946.11772000004</v>
      </c>
      <c r="CT26" s="167">
        <v>336208.00537622103</v>
      </c>
      <c r="CU26" s="167">
        <v>429455.71274000197</v>
      </c>
      <c r="CV26" s="167">
        <v>401260.42950844707</v>
      </c>
      <c r="CW26" s="167">
        <v>390948.49645502307</v>
      </c>
      <c r="CX26" s="167">
        <v>391299.86702397501</v>
      </c>
      <c r="CY26" s="167">
        <v>313936.839553856</v>
      </c>
      <c r="CZ26" s="167">
        <v>321942.69254999899</v>
      </c>
      <c r="DA26" s="167">
        <v>345390.71399999998</v>
      </c>
      <c r="DB26" s="167">
        <v>401766.886</v>
      </c>
      <c r="DC26" s="167">
        <v>46756.092287101899</v>
      </c>
      <c r="DD26" s="167">
        <v>51252.352222211397</v>
      </c>
      <c r="DE26" s="167">
        <v>43220.358648427202</v>
      </c>
      <c r="DF26" s="167">
        <v>48349.725749867001</v>
      </c>
      <c r="DG26" s="167">
        <v>58605.575110382997</v>
      </c>
      <c r="DH26" s="167">
        <v>59886.898408099398</v>
      </c>
      <c r="DI26" s="167">
        <v>70098.067766092601</v>
      </c>
      <c r="DJ26" s="167">
        <v>69150.303926688197</v>
      </c>
      <c r="DK26" s="167">
        <v>69918.556613006105</v>
      </c>
      <c r="DL26" s="167">
        <v>73079.730390022902</v>
      </c>
      <c r="DM26" s="167">
        <v>78683.548999999999</v>
      </c>
      <c r="DN26" s="167">
        <v>84039.021999999997</v>
      </c>
      <c r="DO26" s="167">
        <v>79198.771999999997</v>
      </c>
      <c r="DP26" s="167">
        <v>84456.982650000005</v>
      </c>
      <c r="DQ26" s="167">
        <v>116861.47857915258</v>
      </c>
      <c r="DR26" s="167">
        <v>106359.56772461215</v>
      </c>
      <c r="DS26" s="167">
        <v>113514.72915098233</v>
      </c>
      <c r="DT26" s="167">
        <v>128379.6119855967</v>
      </c>
      <c r="DU26" s="167">
        <v>127280.19704758523</v>
      </c>
      <c r="DV26" s="167">
        <v>137174.04028031268</v>
      </c>
      <c r="DW26" s="167">
        <v>167745.95206778086</v>
      </c>
      <c r="DX26" s="167">
        <v>183726.35284227453</v>
      </c>
      <c r="DY26" s="167">
        <v>171080.18289509552</v>
      </c>
      <c r="DZ26" s="167">
        <v>186774.27334163259</v>
      </c>
      <c r="EA26" s="167">
        <v>161157.56975476799</v>
      </c>
      <c r="EB26" s="167">
        <v>177216.06576257499</v>
      </c>
      <c r="EC26" s="167">
        <v>186388.80132767701</v>
      </c>
      <c r="ED26" s="167">
        <v>184353.73967465901</v>
      </c>
      <c r="EE26" s="167">
        <v>112506.535</v>
      </c>
      <c r="EF26" s="167">
        <v>108991.583</v>
      </c>
      <c r="EG26" s="167">
        <v>126897.568</v>
      </c>
      <c r="EH26" s="167">
        <v>145514.894</v>
      </c>
      <c r="EI26" s="167">
        <v>147956.514</v>
      </c>
      <c r="EJ26" s="167">
        <v>191519.79500000001</v>
      </c>
      <c r="EK26" s="167">
        <v>203371.86</v>
      </c>
      <c r="EL26" s="167">
        <v>222412.64300000001</v>
      </c>
      <c r="EM26" s="167">
        <v>233849.701</v>
      </c>
      <c r="EN26" s="167">
        <v>248377.486889666</v>
      </c>
      <c r="EO26" s="167">
        <v>211867.16309531001</v>
      </c>
      <c r="EP26" s="167">
        <v>248667.39895521599</v>
      </c>
      <c r="EQ26" s="167">
        <v>249010.83126000001</v>
      </c>
      <c r="ER26" s="167">
        <v>261706.81672</v>
      </c>
      <c r="ES26" s="167">
        <v>81250.614026765543</v>
      </c>
      <c r="ET26" s="167">
        <v>103209.38645113776</v>
      </c>
      <c r="EU26" s="167">
        <v>116017.52463473017</v>
      </c>
      <c r="EV26" s="167">
        <v>137883.29635850366</v>
      </c>
      <c r="EW26" s="167">
        <v>137860.36087647689</v>
      </c>
      <c r="EX26" s="167">
        <v>143839.81850797526</v>
      </c>
      <c r="EY26" s="167">
        <v>157205.91921771257</v>
      </c>
      <c r="EZ26" s="167">
        <v>179574.56650939499</v>
      </c>
      <c r="FA26" s="167">
        <v>189806.67514137062</v>
      </c>
      <c r="FB26" s="167">
        <v>204651.59938180444</v>
      </c>
      <c r="FC26" s="167">
        <v>229428.02527883899</v>
      </c>
      <c r="FD26" s="167">
        <v>204947.924709871</v>
      </c>
      <c r="FE26" s="167">
        <v>193557.933375539</v>
      </c>
      <c r="FF26" s="167">
        <v>204177.44023405801</v>
      </c>
      <c r="FG26" s="167">
        <v>48648.823897879505</v>
      </c>
      <c r="FH26" s="167">
        <v>50748.109417397798</v>
      </c>
      <c r="FI26" s="167">
        <v>53289.0230297776</v>
      </c>
      <c r="FJ26" s="167">
        <v>61973.7059213752</v>
      </c>
      <c r="FK26" s="167">
        <v>75037.978098049192</v>
      </c>
      <c r="FL26" s="167">
        <v>74900.179665433403</v>
      </c>
      <c r="FM26" s="167">
        <v>84369.777789408996</v>
      </c>
      <c r="FN26" s="167">
        <v>70674.63604085501</v>
      </c>
      <c r="FO26" s="167">
        <v>74075.862810526407</v>
      </c>
      <c r="FP26" s="167">
        <v>64088.129960287195</v>
      </c>
      <c r="FQ26" s="167">
        <v>69929.810763066795</v>
      </c>
      <c r="FR26" s="167">
        <v>93577.683630547996</v>
      </c>
      <c r="FS26" s="167">
        <v>86416.346934444198</v>
      </c>
      <c r="FT26" s="167">
        <v>78404.001088851903</v>
      </c>
      <c r="FU26" s="167">
        <v>83237</v>
      </c>
      <c r="FV26" s="167">
        <v>81473</v>
      </c>
      <c r="FW26" s="167">
        <v>85413.886309046997</v>
      </c>
      <c r="FX26" s="167">
        <v>89047.922493129998</v>
      </c>
      <c r="FY26" s="167">
        <v>96130.066559793398</v>
      </c>
      <c r="FZ26" s="167">
        <v>121992.755514909</v>
      </c>
      <c r="GA26" s="167">
        <v>126519.882999029</v>
      </c>
      <c r="GB26" s="167">
        <v>116175.49106407601</v>
      </c>
      <c r="GC26" s="167">
        <v>121867.70902049799</v>
      </c>
      <c r="GD26" s="167">
        <v>117721.494565381</v>
      </c>
      <c r="GE26" s="167">
        <v>138427.94329502599</v>
      </c>
      <c r="GF26" s="167">
        <v>132835.09312937901</v>
      </c>
      <c r="GG26" s="167">
        <v>108242.14191396099</v>
      </c>
      <c r="GH26" s="167">
        <v>110815.785</v>
      </c>
    </row>
    <row r="27" spans="1:190">
      <c r="A27" s="81"/>
      <c r="B27" s="320"/>
      <c r="C27" s="345"/>
      <c r="H27" s="299"/>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46"/>
      <c r="CP27" s="346"/>
      <c r="CQ27" s="346"/>
      <c r="CR27" s="346"/>
      <c r="CS27" s="346"/>
      <c r="CT27" s="346"/>
      <c r="CU27" s="346"/>
      <c r="CV27" s="346"/>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V27" s="300"/>
      <c r="DW27" s="300"/>
      <c r="DX27" s="300"/>
      <c r="DY27" s="300"/>
      <c r="DZ27" s="300"/>
      <c r="EA27" s="300"/>
      <c r="EB27" s="300"/>
      <c r="EC27" s="300"/>
      <c r="ED27" s="300"/>
      <c r="EE27" s="300"/>
      <c r="EF27" s="300"/>
      <c r="EG27" s="300"/>
      <c r="EH27" s="300"/>
      <c r="EI27" s="300"/>
      <c r="EJ27" s="300"/>
      <c r="EK27" s="300"/>
      <c r="EL27" s="300"/>
      <c r="EM27" s="300"/>
      <c r="EN27" s="300"/>
      <c r="EO27" s="300"/>
      <c r="EP27" s="300"/>
      <c r="EQ27" s="300"/>
      <c r="ER27" s="300"/>
      <c r="ES27" s="300"/>
      <c r="ET27" s="300"/>
      <c r="EU27" s="300"/>
      <c r="EV27" s="300"/>
      <c r="EW27" s="300"/>
      <c r="EX27" s="300"/>
      <c r="EY27" s="300"/>
      <c r="EZ27" s="300"/>
      <c r="FA27" s="300"/>
      <c r="FB27" s="300"/>
      <c r="FC27" s="300"/>
      <c r="FD27" s="300"/>
      <c r="FE27" s="300"/>
      <c r="FF27" s="300"/>
      <c r="FG27" s="300"/>
      <c r="FH27" s="300"/>
      <c r="FI27" s="300"/>
      <c r="FJ27" s="300"/>
      <c r="FK27" s="300"/>
      <c r="FL27" s="300"/>
      <c r="FM27" s="300"/>
      <c r="FN27" s="300"/>
      <c r="FO27" s="300"/>
      <c r="FP27" s="300"/>
      <c r="FQ27" s="300"/>
      <c r="FR27" s="300"/>
      <c r="FS27" s="300"/>
      <c r="FT27" s="300"/>
      <c r="FU27" s="300"/>
      <c r="FV27" s="300"/>
      <c r="FW27" s="300"/>
      <c r="FX27" s="300"/>
      <c r="FY27" s="300"/>
      <c r="FZ27" s="300"/>
      <c r="GA27" s="300"/>
      <c r="GB27" s="300"/>
      <c r="GC27" s="300"/>
      <c r="GD27" s="300"/>
      <c r="GE27" s="300"/>
      <c r="GF27" s="300"/>
      <c r="GG27" s="300"/>
      <c r="GH27" s="300"/>
    </row>
    <row r="28" spans="1:190">
      <c r="A28" s="81"/>
      <c r="B28" s="320"/>
      <c r="C28" s="347"/>
      <c r="D28" s="81"/>
      <c r="H28" s="299"/>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row>
    <row r="29" spans="1:190" ht="15.75" thickBot="1">
      <c r="B29" s="320"/>
      <c r="C29" s="347"/>
      <c r="D29" s="81"/>
      <c r="I29" s="184"/>
      <c r="J29" s="184">
        <v>2006</v>
      </c>
      <c r="K29" s="184">
        <v>2007</v>
      </c>
      <c r="L29" s="184">
        <v>2008</v>
      </c>
      <c r="M29" s="184">
        <v>2009</v>
      </c>
      <c r="N29" s="184">
        <v>2010</v>
      </c>
      <c r="O29" s="184">
        <v>2011</v>
      </c>
      <c r="P29" s="184">
        <v>2012</v>
      </c>
      <c r="Q29" s="184">
        <v>2013</v>
      </c>
      <c r="R29" s="184">
        <v>2014</v>
      </c>
      <c r="S29" s="184">
        <v>2015</v>
      </c>
      <c r="T29" s="184">
        <v>2016</v>
      </c>
      <c r="U29" s="184">
        <v>2017</v>
      </c>
      <c r="V29" s="184">
        <v>2018</v>
      </c>
      <c r="W29" s="184">
        <v>2019</v>
      </c>
      <c r="X29" s="184" t="s">
        <v>330</v>
      </c>
      <c r="Y29" s="184"/>
    </row>
    <row r="30" spans="1:190" outlineLevel="1">
      <c r="B30" s="320"/>
      <c r="C30" s="347"/>
      <c r="D30" s="81"/>
      <c r="I30" s="51" t="s">
        <v>0</v>
      </c>
      <c r="J30" s="240">
        <f>SUMIFS($I$26:$GH$26,$I$25:$GH$25,$I30,$I$24:$GH$24,J$29)</f>
        <v>32644.372461278101</v>
      </c>
      <c r="K30" s="240">
        <f t="shared" ref="K30:W30" si="0">SUMIFS($I$26:$GH$26,$I$25:$GH$25,$I30,$I$24:$GH$24,K$29)</f>
        <v>33989.78368583</v>
      </c>
      <c r="L30" s="240">
        <f t="shared" si="0"/>
        <v>37658.377116216798</v>
      </c>
      <c r="M30" s="240">
        <f t="shared" si="0"/>
        <v>39959.378599711999</v>
      </c>
      <c r="N30" s="240">
        <f t="shared" si="0"/>
        <v>46087.463131805001</v>
      </c>
      <c r="O30" s="240">
        <f t="shared" si="0"/>
        <v>53239.636389662104</v>
      </c>
      <c r="P30" s="240">
        <f t="shared" si="0"/>
        <v>58764.115947737497</v>
      </c>
      <c r="Q30" s="240">
        <f t="shared" si="0"/>
        <v>66417.409985292601</v>
      </c>
      <c r="R30" s="240">
        <f t="shared" si="0"/>
        <v>77223.594865233899</v>
      </c>
      <c r="S30" s="240">
        <f t="shared" si="0"/>
        <v>73579.8426807426</v>
      </c>
      <c r="T30" s="240">
        <f t="shared" si="0"/>
        <v>40562.178874851801</v>
      </c>
      <c r="U30" s="240">
        <f t="shared" si="0"/>
        <v>46909.595999999998</v>
      </c>
      <c r="V30" s="240">
        <f t="shared" si="0"/>
        <v>55849.335000000006</v>
      </c>
      <c r="W30" s="240">
        <f t="shared" si="0"/>
        <v>55021.766000000003</v>
      </c>
      <c r="X30" s="240">
        <f>AVERAGE(P30:W30)</f>
        <v>59290.979919232304</v>
      </c>
      <c r="Y30" s="348" t="s">
        <v>71</v>
      </c>
      <c r="DI30" s="167"/>
      <c r="DJ30" s="167"/>
      <c r="DK30" s="167"/>
      <c r="DL30" s="167"/>
      <c r="DM30" s="167"/>
      <c r="DN30" s="167"/>
      <c r="DO30" s="167"/>
      <c r="DP30" s="167"/>
      <c r="DQ30" s="167"/>
      <c r="DR30" s="167"/>
      <c r="EI30" s="167"/>
      <c r="EJ30" s="167"/>
      <c r="EK30" s="167"/>
      <c r="EL30" s="167"/>
      <c r="EM30" s="167"/>
      <c r="EN30" s="167"/>
      <c r="EO30" s="167"/>
      <c r="EP30" s="167"/>
      <c r="EQ30" s="167"/>
      <c r="ER30" s="167"/>
    </row>
    <row r="31" spans="1:190" outlineLevel="1">
      <c r="B31" s="320"/>
      <c r="C31" s="347"/>
      <c r="D31" s="81"/>
      <c r="I31" s="52" t="s">
        <v>1</v>
      </c>
      <c r="J31" s="240">
        <f t="shared" ref="J31:W42" si="1">SUMIFS($I$26:$GH$26,$I$25:$GH$25,$I31,$I$24:$GH$24,J$29)</f>
        <v>357834.496219308</v>
      </c>
      <c r="K31" s="240">
        <f t="shared" si="1"/>
        <v>316522.99188389303</v>
      </c>
      <c r="L31" s="240">
        <f t="shared" si="1"/>
        <v>467809.12217390706</v>
      </c>
      <c r="M31" s="240">
        <f t="shared" si="1"/>
        <v>441027.33814656798</v>
      </c>
      <c r="N31" s="240">
        <f t="shared" si="1"/>
        <v>511184.26885726303</v>
      </c>
      <c r="O31" s="240">
        <f t="shared" si="1"/>
        <v>506684.85404769296</v>
      </c>
      <c r="P31" s="240">
        <f t="shared" si="1"/>
        <v>577601.0955064391</v>
      </c>
      <c r="Q31" s="240">
        <f t="shared" si="1"/>
        <v>471121.68333051505</v>
      </c>
      <c r="R31" s="240">
        <f t="shared" si="1"/>
        <v>539569.59182207996</v>
      </c>
      <c r="S31" s="240">
        <f t="shared" si="1"/>
        <v>647227.97580349504</v>
      </c>
      <c r="T31" s="240">
        <f t="shared" si="1"/>
        <v>588178.86646726506</v>
      </c>
      <c r="U31" s="240">
        <f t="shared" si="1"/>
        <v>529666.46092261001</v>
      </c>
      <c r="V31" s="240">
        <f t="shared" si="1"/>
        <v>463137.071</v>
      </c>
      <c r="W31" s="240">
        <f t="shared" si="1"/>
        <v>445750.647</v>
      </c>
      <c r="X31" s="240">
        <f t="shared" ref="X31:X42" si="2">AVERAGE(P31:W31)</f>
        <v>532781.6739815505</v>
      </c>
      <c r="Y31" s="348" t="s">
        <v>71</v>
      </c>
    </row>
    <row r="32" spans="1:190" outlineLevel="1">
      <c r="B32" s="320"/>
      <c r="C32" s="347"/>
      <c r="D32" s="81"/>
      <c r="I32" s="51" t="s">
        <v>2</v>
      </c>
      <c r="J32" s="240">
        <f t="shared" si="1"/>
        <v>26412.589009526593</v>
      </c>
      <c r="K32" s="240">
        <f t="shared" si="1"/>
        <v>31329.710649259305</v>
      </c>
      <c r="L32" s="240">
        <f t="shared" si="1"/>
        <v>31120.531390019252</v>
      </c>
      <c r="M32" s="240">
        <f t="shared" si="1"/>
        <v>37629.540867755153</v>
      </c>
      <c r="N32" s="240">
        <f t="shared" si="1"/>
        <v>42279.50798262329</v>
      </c>
      <c r="O32" s="240">
        <f t="shared" si="1"/>
        <v>40682.50401969807</v>
      </c>
      <c r="P32" s="240">
        <f t="shared" si="1"/>
        <v>52808.972782802135</v>
      </c>
      <c r="Q32" s="240">
        <f t="shared" si="1"/>
        <v>52531.24811007821</v>
      </c>
      <c r="R32" s="240">
        <f t="shared" si="1"/>
        <v>55150.625983108068</v>
      </c>
      <c r="S32" s="240">
        <f t="shared" si="1"/>
        <v>54114.799686988088</v>
      </c>
      <c r="T32" s="240">
        <f t="shared" si="1"/>
        <v>55415.462309842202</v>
      </c>
      <c r="U32" s="240">
        <f t="shared" si="1"/>
        <v>54481.132864804596</v>
      </c>
      <c r="V32" s="240">
        <f t="shared" si="1"/>
        <v>48229.038177939598</v>
      </c>
      <c r="W32" s="240">
        <f t="shared" si="1"/>
        <v>55345.957048282602</v>
      </c>
      <c r="X32" s="240">
        <f t="shared" si="2"/>
        <v>53509.654620480687</v>
      </c>
      <c r="Y32" s="348" t="s">
        <v>72</v>
      </c>
    </row>
    <row r="33" spans="1:25" outlineLevel="1">
      <c r="B33" s="320"/>
      <c r="C33" s="347"/>
      <c r="D33" s="81"/>
      <c r="I33" s="52" t="s">
        <v>3</v>
      </c>
      <c r="J33" s="240">
        <f t="shared" si="1"/>
        <v>156824.91789216301</v>
      </c>
      <c r="K33" s="240">
        <f t="shared" si="1"/>
        <v>176841.394432931</v>
      </c>
      <c r="L33" s="240">
        <f t="shared" si="1"/>
        <v>224408.06001672801</v>
      </c>
      <c r="M33" s="240">
        <f t="shared" si="1"/>
        <v>214131.30026509601</v>
      </c>
      <c r="N33" s="240">
        <f t="shared" si="1"/>
        <v>210431.13798086398</v>
      </c>
      <c r="O33" s="240">
        <f t="shared" si="1"/>
        <v>229554.29065953402</v>
      </c>
      <c r="P33" s="240">
        <f t="shared" si="1"/>
        <v>240838.12724750797</v>
      </c>
      <c r="Q33" s="240">
        <f t="shared" si="1"/>
        <v>222645.27398422701</v>
      </c>
      <c r="R33" s="240">
        <f t="shared" si="1"/>
        <v>258321.99304766802</v>
      </c>
      <c r="S33" s="240">
        <f t="shared" si="1"/>
        <v>270954.43519109796</v>
      </c>
      <c r="T33" s="240">
        <f t="shared" si="1"/>
        <v>295663.49812986702</v>
      </c>
      <c r="U33" s="240">
        <f t="shared" si="1"/>
        <v>276143.80499999999</v>
      </c>
      <c r="V33" s="240">
        <f t="shared" si="1"/>
        <v>257322.89818438003</v>
      </c>
      <c r="W33" s="240">
        <f t="shared" si="1"/>
        <v>248955.63635370001</v>
      </c>
      <c r="X33" s="240">
        <f t="shared" si="2"/>
        <v>258855.708392306</v>
      </c>
      <c r="Y33" s="348" t="s">
        <v>71</v>
      </c>
    </row>
    <row r="34" spans="1:25" outlineLevel="1">
      <c r="B34" s="320"/>
      <c r="C34" s="347"/>
      <c r="D34" s="81"/>
      <c r="I34" s="51" t="s">
        <v>4</v>
      </c>
      <c r="J34" s="240">
        <f t="shared" si="1"/>
        <v>189286.786515969</v>
      </c>
      <c r="K34" s="240">
        <f t="shared" si="1"/>
        <v>229999.82498122202</v>
      </c>
      <c r="L34" s="240">
        <f t="shared" si="1"/>
        <v>249220.28103108701</v>
      </c>
      <c r="M34" s="240">
        <f t="shared" si="1"/>
        <v>269392.65438000002</v>
      </c>
      <c r="N34" s="240">
        <f t="shared" si="1"/>
        <v>278759.46135</v>
      </c>
      <c r="O34" s="240">
        <f t="shared" si="1"/>
        <v>317627.73702</v>
      </c>
      <c r="P34" s="240">
        <f t="shared" si="1"/>
        <v>350958.66492000007</v>
      </c>
      <c r="Q34" s="240">
        <f t="shared" si="1"/>
        <v>387877.9989499998</v>
      </c>
      <c r="R34" s="240">
        <f t="shared" si="1"/>
        <v>365738.55767000001</v>
      </c>
      <c r="S34" s="240">
        <f t="shared" si="1"/>
        <v>381461.5461299998</v>
      </c>
      <c r="T34" s="240">
        <f t="shared" si="1"/>
        <v>344893.63842298696</v>
      </c>
      <c r="U34" s="240">
        <f t="shared" si="1"/>
        <v>353346.31027999998</v>
      </c>
      <c r="V34" s="240">
        <f t="shared" si="1"/>
        <v>362234.78839999996</v>
      </c>
      <c r="W34" s="240">
        <f t="shared" si="1"/>
        <v>350114.929</v>
      </c>
      <c r="X34" s="240">
        <f t="shared" si="2"/>
        <v>362078.30422162329</v>
      </c>
      <c r="Y34" s="348" t="s">
        <v>71</v>
      </c>
    </row>
    <row r="35" spans="1:25" outlineLevel="1">
      <c r="B35" s="320"/>
      <c r="C35" s="347"/>
      <c r="D35" s="81"/>
      <c r="I35" s="52" t="s">
        <v>5</v>
      </c>
      <c r="J35" s="240">
        <f t="shared" si="1"/>
        <v>259957.891</v>
      </c>
      <c r="K35" s="240">
        <f t="shared" si="1"/>
        <v>241890.48055000001</v>
      </c>
      <c r="L35" s="240">
        <f t="shared" si="1"/>
        <v>269457.2365</v>
      </c>
      <c r="M35" s="240">
        <f t="shared" si="1"/>
        <v>270466.59799000004</v>
      </c>
      <c r="N35" s="240">
        <f t="shared" si="1"/>
        <v>270621.21470000001</v>
      </c>
      <c r="O35" s="240">
        <f t="shared" si="1"/>
        <v>345122.06182</v>
      </c>
      <c r="P35" s="240">
        <f t="shared" si="1"/>
        <v>363976.48437000008</v>
      </c>
      <c r="Q35" s="240">
        <f t="shared" si="1"/>
        <v>298481.04830000014</v>
      </c>
      <c r="R35" s="240">
        <f t="shared" si="1"/>
        <v>308046.36037000001</v>
      </c>
      <c r="S35" s="240">
        <f t="shared" si="1"/>
        <v>362830.15773000004</v>
      </c>
      <c r="T35" s="240">
        <f t="shared" si="1"/>
        <v>371607.978</v>
      </c>
      <c r="U35" s="240">
        <f t="shared" si="1"/>
        <v>341013.31</v>
      </c>
      <c r="V35" s="240">
        <f t="shared" si="1"/>
        <v>357962.68099999998</v>
      </c>
      <c r="W35" s="240">
        <f t="shared" si="1"/>
        <v>368947.33100000001</v>
      </c>
      <c r="X35" s="240">
        <f t="shared" si="2"/>
        <v>346608.16884625005</v>
      </c>
      <c r="Y35" s="348" t="s">
        <v>71</v>
      </c>
    </row>
    <row r="36" spans="1:25" outlineLevel="1">
      <c r="C36" s="347"/>
      <c r="D36" s="81"/>
      <c r="I36" s="51" t="s">
        <v>6</v>
      </c>
      <c r="J36" s="240">
        <f t="shared" si="1"/>
        <v>198507.61938633298</v>
      </c>
      <c r="K36" s="240">
        <f t="shared" si="1"/>
        <v>249199.63407414002</v>
      </c>
      <c r="L36" s="240">
        <f t="shared" si="1"/>
        <v>304612.28626150603</v>
      </c>
      <c r="M36" s="240">
        <f t="shared" si="1"/>
        <v>296582.84979402204</v>
      </c>
      <c r="N36" s="240">
        <f t="shared" si="1"/>
        <v>324946.11772000004</v>
      </c>
      <c r="O36" s="240">
        <f t="shared" si="1"/>
        <v>336208.00537622103</v>
      </c>
      <c r="P36" s="240">
        <f t="shared" si="1"/>
        <v>429455.71274000197</v>
      </c>
      <c r="Q36" s="240">
        <f t="shared" si="1"/>
        <v>401260.42950844707</v>
      </c>
      <c r="R36" s="240">
        <f t="shared" si="1"/>
        <v>390948.49645502307</v>
      </c>
      <c r="S36" s="240">
        <f t="shared" si="1"/>
        <v>391299.86702397501</v>
      </c>
      <c r="T36" s="240">
        <f t="shared" si="1"/>
        <v>313936.839553856</v>
      </c>
      <c r="U36" s="240">
        <f t="shared" si="1"/>
        <v>321942.69254999899</v>
      </c>
      <c r="V36" s="240">
        <f t="shared" si="1"/>
        <v>345390.71399999998</v>
      </c>
      <c r="W36" s="240">
        <f t="shared" si="1"/>
        <v>401766.886</v>
      </c>
      <c r="X36" s="240">
        <f t="shared" si="2"/>
        <v>374500.20472891279</v>
      </c>
      <c r="Y36" s="348" t="s">
        <v>71</v>
      </c>
    </row>
    <row r="37" spans="1:25" outlineLevel="1">
      <c r="C37" s="347"/>
      <c r="D37" s="81"/>
      <c r="I37" s="52" t="s">
        <v>7</v>
      </c>
      <c r="J37" s="240">
        <f t="shared" si="1"/>
        <v>46756.092287101899</v>
      </c>
      <c r="K37" s="240">
        <f t="shared" si="1"/>
        <v>51252.352222211397</v>
      </c>
      <c r="L37" s="240">
        <f t="shared" si="1"/>
        <v>43220.358648427202</v>
      </c>
      <c r="M37" s="240">
        <f t="shared" si="1"/>
        <v>48349.725749867001</v>
      </c>
      <c r="N37" s="240">
        <f t="shared" si="1"/>
        <v>58605.575110382997</v>
      </c>
      <c r="O37" s="240">
        <f t="shared" si="1"/>
        <v>59886.898408099398</v>
      </c>
      <c r="P37" s="240">
        <f t="shared" si="1"/>
        <v>70098.067766092601</v>
      </c>
      <c r="Q37" s="240">
        <f t="shared" si="1"/>
        <v>69150.303926688197</v>
      </c>
      <c r="R37" s="240">
        <f t="shared" si="1"/>
        <v>69918.556613006105</v>
      </c>
      <c r="S37" s="240">
        <f t="shared" si="1"/>
        <v>73079.730390022902</v>
      </c>
      <c r="T37" s="240">
        <f t="shared" si="1"/>
        <v>78683.548999999999</v>
      </c>
      <c r="U37" s="240">
        <f t="shared" si="1"/>
        <v>84039.021999999997</v>
      </c>
      <c r="V37" s="240">
        <f t="shared" si="1"/>
        <v>79198.771999999997</v>
      </c>
      <c r="W37" s="240">
        <f t="shared" si="1"/>
        <v>84456.982650000005</v>
      </c>
      <c r="X37" s="240">
        <f t="shared" si="2"/>
        <v>76078.123043226224</v>
      </c>
      <c r="Y37" s="348" t="s">
        <v>72</v>
      </c>
    </row>
    <row r="38" spans="1:25" outlineLevel="1">
      <c r="C38" s="347"/>
      <c r="D38" s="81"/>
      <c r="I38" s="51" t="s">
        <v>8</v>
      </c>
      <c r="J38" s="240">
        <f t="shared" si="1"/>
        <v>116861.47857915258</v>
      </c>
      <c r="K38" s="240">
        <f t="shared" si="1"/>
        <v>106359.56772461215</v>
      </c>
      <c r="L38" s="240">
        <f t="shared" si="1"/>
        <v>113514.72915098233</v>
      </c>
      <c r="M38" s="240">
        <f t="shared" si="1"/>
        <v>128379.6119855967</v>
      </c>
      <c r="N38" s="240">
        <f t="shared" si="1"/>
        <v>127280.19704758523</v>
      </c>
      <c r="O38" s="240">
        <f t="shared" si="1"/>
        <v>137174.04028031268</v>
      </c>
      <c r="P38" s="240">
        <f t="shared" si="1"/>
        <v>167745.95206778086</v>
      </c>
      <c r="Q38" s="240">
        <f t="shared" si="1"/>
        <v>183726.35284227453</v>
      </c>
      <c r="R38" s="240">
        <f t="shared" si="1"/>
        <v>171080.18289509552</v>
      </c>
      <c r="S38" s="240">
        <f t="shared" si="1"/>
        <v>186774.27334163259</v>
      </c>
      <c r="T38" s="240">
        <f t="shared" si="1"/>
        <v>161157.56975476799</v>
      </c>
      <c r="U38" s="240">
        <f t="shared" si="1"/>
        <v>177216.06576257499</v>
      </c>
      <c r="V38" s="240">
        <f t="shared" si="1"/>
        <v>186388.80132767701</v>
      </c>
      <c r="W38" s="240">
        <f t="shared" si="1"/>
        <v>184353.73967465901</v>
      </c>
      <c r="X38" s="240">
        <f t="shared" si="2"/>
        <v>177305.36720830781</v>
      </c>
      <c r="Y38" s="348" t="s">
        <v>72</v>
      </c>
    </row>
    <row r="39" spans="1:25" outlineLevel="1">
      <c r="C39" s="347"/>
      <c r="D39" s="81"/>
      <c r="I39" s="52" t="s">
        <v>9</v>
      </c>
      <c r="J39" s="240">
        <f t="shared" si="1"/>
        <v>112506.535</v>
      </c>
      <c r="K39" s="240">
        <f t="shared" si="1"/>
        <v>108991.583</v>
      </c>
      <c r="L39" s="240">
        <f t="shared" si="1"/>
        <v>126897.568</v>
      </c>
      <c r="M39" s="240">
        <f t="shared" si="1"/>
        <v>145514.894</v>
      </c>
      <c r="N39" s="240">
        <f t="shared" si="1"/>
        <v>147956.514</v>
      </c>
      <c r="O39" s="240">
        <f t="shared" si="1"/>
        <v>191519.79500000001</v>
      </c>
      <c r="P39" s="240">
        <f t="shared" si="1"/>
        <v>203371.86</v>
      </c>
      <c r="Q39" s="240">
        <f t="shared" si="1"/>
        <v>222412.64300000001</v>
      </c>
      <c r="R39" s="240">
        <f t="shared" si="1"/>
        <v>233849.701</v>
      </c>
      <c r="S39" s="240">
        <f t="shared" si="1"/>
        <v>248377.486889666</v>
      </c>
      <c r="T39" s="240">
        <f t="shared" si="1"/>
        <v>211867.16309531001</v>
      </c>
      <c r="U39" s="240">
        <f t="shared" si="1"/>
        <v>248667.39895521599</v>
      </c>
      <c r="V39" s="240">
        <f t="shared" si="1"/>
        <v>249010.83126000001</v>
      </c>
      <c r="W39" s="240">
        <f t="shared" si="1"/>
        <v>261706.81672</v>
      </c>
      <c r="X39" s="240">
        <f t="shared" si="2"/>
        <v>234907.98761502403</v>
      </c>
      <c r="Y39" s="349" t="s">
        <v>71</v>
      </c>
    </row>
    <row r="40" spans="1:25" outlineLevel="1">
      <c r="C40" s="347"/>
      <c r="D40" s="81"/>
      <c r="I40" s="51" t="s">
        <v>66</v>
      </c>
      <c r="J40" s="240">
        <f t="shared" si="1"/>
        <v>81250.614026765543</v>
      </c>
      <c r="K40" s="240">
        <f t="shared" si="1"/>
        <v>103209.38645113776</v>
      </c>
      <c r="L40" s="240">
        <f t="shared" si="1"/>
        <v>116017.52463473017</v>
      </c>
      <c r="M40" s="240">
        <f t="shared" si="1"/>
        <v>137883.29635850366</v>
      </c>
      <c r="N40" s="240">
        <f t="shared" si="1"/>
        <v>137860.36087647689</v>
      </c>
      <c r="O40" s="240">
        <f t="shared" si="1"/>
        <v>143839.81850797526</v>
      </c>
      <c r="P40" s="240">
        <f t="shared" si="1"/>
        <v>157205.91921771257</v>
      </c>
      <c r="Q40" s="240">
        <f t="shared" si="1"/>
        <v>179574.56650939499</v>
      </c>
      <c r="R40" s="240">
        <f t="shared" si="1"/>
        <v>189806.67514137062</v>
      </c>
      <c r="S40" s="240">
        <f t="shared" si="1"/>
        <v>204651.59938180444</v>
      </c>
      <c r="T40" s="240">
        <f t="shared" si="1"/>
        <v>229428.02527883899</v>
      </c>
      <c r="U40" s="240">
        <f t="shared" si="1"/>
        <v>204947.924709871</v>
      </c>
      <c r="V40" s="240">
        <f t="shared" si="1"/>
        <v>193557.933375539</v>
      </c>
      <c r="W40" s="240">
        <f t="shared" si="1"/>
        <v>204177.44023405801</v>
      </c>
      <c r="X40" s="240">
        <f t="shared" si="2"/>
        <v>195418.76048107372</v>
      </c>
      <c r="Y40" s="348" t="s">
        <v>72</v>
      </c>
    </row>
    <row r="41" spans="1:25" outlineLevel="1">
      <c r="I41" s="52" t="s">
        <v>11</v>
      </c>
      <c r="J41" s="240">
        <f t="shared" si="1"/>
        <v>48648.823897879505</v>
      </c>
      <c r="K41" s="240">
        <f t="shared" si="1"/>
        <v>50748.109417397798</v>
      </c>
      <c r="L41" s="240">
        <f t="shared" si="1"/>
        <v>53289.0230297776</v>
      </c>
      <c r="M41" s="240">
        <f t="shared" si="1"/>
        <v>61973.7059213752</v>
      </c>
      <c r="N41" s="240">
        <f t="shared" si="1"/>
        <v>75037.978098049192</v>
      </c>
      <c r="O41" s="240">
        <f t="shared" si="1"/>
        <v>74900.179665433403</v>
      </c>
      <c r="P41" s="240">
        <f t="shared" si="1"/>
        <v>84369.777789408996</v>
      </c>
      <c r="Q41" s="240">
        <f t="shared" si="1"/>
        <v>70674.63604085501</v>
      </c>
      <c r="R41" s="240">
        <f t="shared" si="1"/>
        <v>74075.862810526407</v>
      </c>
      <c r="S41" s="240">
        <f t="shared" si="1"/>
        <v>64088.129960287195</v>
      </c>
      <c r="T41" s="240">
        <f t="shared" si="1"/>
        <v>69929.810763066795</v>
      </c>
      <c r="U41" s="240">
        <f t="shared" si="1"/>
        <v>93577.683630547996</v>
      </c>
      <c r="V41" s="240">
        <f t="shared" si="1"/>
        <v>86416.346934444198</v>
      </c>
      <c r="W41" s="240">
        <f t="shared" si="1"/>
        <v>78404.001088851903</v>
      </c>
      <c r="X41" s="240">
        <f t="shared" si="2"/>
        <v>77692.031127248571</v>
      </c>
      <c r="Y41" s="348" t="s">
        <v>71</v>
      </c>
    </row>
    <row r="42" spans="1:25" outlineLevel="1">
      <c r="I42" s="51" t="s">
        <v>12</v>
      </c>
      <c r="J42" s="240">
        <f t="shared" si="1"/>
        <v>83237</v>
      </c>
      <c r="K42" s="240">
        <f t="shared" si="1"/>
        <v>81473</v>
      </c>
      <c r="L42" s="240">
        <f t="shared" si="1"/>
        <v>85413.886309046997</v>
      </c>
      <c r="M42" s="240">
        <f t="shared" si="1"/>
        <v>89047.922493129998</v>
      </c>
      <c r="N42" s="240">
        <f t="shared" si="1"/>
        <v>96130.066559793398</v>
      </c>
      <c r="O42" s="240">
        <f t="shared" si="1"/>
        <v>121992.755514909</v>
      </c>
      <c r="P42" s="240">
        <f t="shared" si="1"/>
        <v>126519.882999029</v>
      </c>
      <c r="Q42" s="240">
        <f t="shared" si="1"/>
        <v>116175.49106407601</v>
      </c>
      <c r="R42" s="240">
        <f t="shared" si="1"/>
        <v>121867.70902049799</v>
      </c>
      <c r="S42" s="240">
        <f t="shared" si="1"/>
        <v>117721.494565381</v>
      </c>
      <c r="T42" s="240">
        <f t="shared" si="1"/>
        <v>138427.94329502599</v>
      </c>
      <c r="U42" s="240">
        <f t="shared" si="1"/>
        <v>132835.09312937901</v>
      </c>
      <c r="V42" s="240">
        <f t="shared" si="1"/>
        <v>108242.14191396099</v>
      </c>
      <c r="W42" s="240">
        <f t="shared" si="1"/>
        <v>110815.785</v>
      </c>
      <c r="X42" s="240">
        <f t="shared" si="2"/>
        <v>121575.69262341876</v>
      </c>
      <c r="Y42" s="348" t="s">
        <v>72</v>
      </c>
    </row>
    <row r="43" spans="1:25" outlineLevel="1">
      <c r="H43" s="335"/>
      <c r="J43" s="335">
        <v>1</v>
      </c>
      <c r="K43" s="335">
        <v>2</v>
      </c>
      <c r="L43" s="335">
        <v>3</v>
      </c>
      <c r="M43" s="335">
        <v>4</v>
      </c>
      <c r="N43" s="335">
        <v>5</v>
      </c>
      <c r="O43" s="335">
        <v>6</v>
      </c>
      <c r="P43" s="335">
        <v>7</v>
      </c>
      <c r="Q43" s="335">
        <v>8</v>
      </c>
      <c r="R43" s="335">
        <v>9</v>
      </c>
      <c r="S43" s="335">
        <v>10</v>
      </c>
      <c r="T43" s="335">
        <v>11</v>
      </c>
      <c r="U43" s="335">
        <v>12</v>
      </c>
      <c r="V43" s="335">
        <v>13</v>
      </c>
      <c r="W43" s="335">
        <v>14</v>
      </c>
      <c r="X43" s="335">
        <v>14</v>
      </c>
    </row>
    <row r="44" spans="1:25">
      <c r="A44" s="80"/>
      <c r="B44" s="80"/>
      <c r="C44" s="80"/>
      <c r="D44" s="80"/>
      <c r="E44" s="80"/>
      <c r="F44" s="80"/>
      <c r="G44" s="80"/>
      <c r="H44" s="335"/>
      <c r="I44" s="80"/>
      <c r="J44" s="80" t="s">
        <v>133</v>
      </c>
      <c r="K44" s="80" t="s">
        <v>134</v>
      </c>
      <c r="L44" s="80" t="s">
        <v>135</v>
      </c>
      <c r="M44" s="80" t="s">
        <v>136</v>
      </c>
      <c r="N44" s="80" t="s">
        <v>137</v>
      </c>
      <c r="O44" s="80" t="s">
        <v>138</v>
      </c>
      <c r="P44" s="80" t="s">
        <v>139</v>
      </c>
      <c r="Q44" s="80" t="s">
        <v>140</v>
      </c>
      <c r="R44" s="80" t="s">
        <v>141</v>
      </c>
      <c r="S44" s="80" t="s">
        <v>145</v>
      </c>
      <c r="T44" s="80" t="s">
        <v>146</v>
      </c>
      <c r="U44" s="350" t="s">
        <v>306</v>
      </c>
      <c r="V44" s="350" t="s">
        <v>307</v>
      </c>
      <c r="W44" s="350" t="s">
        <v>308</v>
      </c>
    </row>
    <row r="45" spans="1:25">
      <c r="A45" s="80"/>
      <c r="B45" s="80"/>
      <c r="C45" s="80"/>
      <c r="D45" s="80"/>
      <c r="E45" s="80"/>
      <c r="F45" s="80"/>
      <c r="G45" s="80"/>
      <c r="H45" s="335"/>
      <c r="I45" s="80"/>
      <c r="J45" s="62">
        <v>2006</v>
      </c>
      <c r="K45" s="62">
        <v>2007</v>
      </c>
      <c r="L45" s="62">
        <v>2008</v>
      </c>
      <c r="M45" s="62">
        <v>2009</v>
      </c>
      <c r="N45" s="62">
        <v>2010</v>
      </c>
      <c r="O45" s="62">
        <v>2011</v>
      </c>
      <c r="P45" s="62">
        <v>2012</v>
      </c>
      <c r="Q45" s="62">
        <v>2013</v>
      </c>
      <c r="R45" s="62">
        <v>2014</v>
      </c>
      <c r="S45" s="62">
        <v>2015</v>
      </c>
      <c r="T45" s="62">
        <v>2016</v>
      </c>
      <c r="U45" s="62">
        <v>2017</v>
      </c>
      <c r="V45" s="62">
        <v>2018</v>
      </c>
      <c r="W45" s="62">
        <v>2019</v>
      </c>
    </row>
    <row r="46" spans="1:25">
      <c r="A46" s="80"/>
      <c r="B46" s="80"/>
      <c r="C46" s="80"/>
      <c r="D46" s="80"/>
      <c r="E46" s="80"/>
      <c r="F46" s="80"/>
      <c r="G46" s="80"/>
      <c r="H46" s="335"/>
      <c r="I46" s="63" t="str">
        <f>'[34]CPI-master'!A8</f>
        <v>Multiplication factor to convert $1 in the financial year to June 2015 $</v>
      </c>
      <c r="J46" s="143">
        <f>'[34]CPI-master'!C8</f>
        <v>1.2828162291169452</v>
      </c>
      <c r="K46" s="143">
        <f>'[34]CPI-master'!D8</f>
        <v>1.2413394919168592</v>
      </c>
      <c r="L46" s="143">
        <f>'[34]CPI-master'!E8</f>
        <v>1.2065095398428733</v>
      </c>
      <c r="M46" s="143">
        <f>'[34]CPI-master'!F8</f>
        <v>1.1634199134199132</v>
      </c>
      <c r="N46" s="143">
        <f>'[34]CPI-master'!G8</f>
        <v>1.1399787910922587</v>
      </c>
      <c r="O46" s="143">
        <f>'[34]CPI-master'!H8</f>
        <v>1.1093911248710009</v>
      </c>
      <c r="P46" s="143">
        <f>'[34]CPI-master'!I8</f>
        <v>1.0771543086172346</v>
      </c>
      <c r="Q46" s="143">
        <f>'[34]CPI-master'!J8</f>
        <v>1.053921568627451</v>
      </c>
      <c r="R46" s="143">
        <f>'[34]CPI-master'!K8</f>
        <v>1.0257633587786259</v>
      </c>
      <c r="S46" s="143">
        <f>'[34]CPI-master'!L8</f>
        <v>1.0084427767354598</v>
      </c>
      <c r="T46" s="143">
        <f>'[34]CPI-master'!M8</f>
        <v>0.99169741697416969</v>
      </c>
      <c r="U46" s="143">
        <f>'[34]CPI-master'!N8</f>
        <v>0.97727272727272729</v>
      </c>
      <c r="V46" s="143">
        <f>'[34]CPI-master'!O8</f>
        <v>0.95896520963425513</v>
      </c>
      <c r="W46" s="143">
        <f>'[34]CPI-master'!P8</f>
        <v>0.94215600350569684</v>
      </c>
    </row>
    <row r="47" spans="1:25">
      <c r="A47" s="80"/>
      <c r="B47" s="80"/>
      <c r="C47" s="80"/>
      <c r="D47" s="80"/>
      <c r="E47" s="80"/>
      <c r="F47" s="80"/>
      <c r="G47" s="80"/>
      <c r="H47" s="335"/>
      <c r="I47" s="63" t="str">
        <f>'[34]CPI-master'!A9</f>
        <v>Multiplication factor to convert $1 in the calendar year to June 2015 $</v>
      </c>
      <c r="J47" s="143">
        <f>'[34]CPI-master'!C9</f>
        <v>1.2514551804423748</v>
      </c>
      <c r="K47" s="143">
        <f>'[34]CPI-master'!D9</f>
        <v>1.225769669327252</v>
      </c>
      <c r="L47" s="143">
        <f>'[34]CPI-master'!E9</f>
        <v>1.1735807860262009</v>
      </c>
      <c r="M47" s="143">
        <f>'[34]CPI-master'!F9</f>
        <v>1.1571582346609257</v>
      </c>
      <c r="N47" s="143">
        <f>'[34]CPI-master'!G9</f>
        <v>1.1221294363256786</v>
      </c>
      <c r="O47" s="143">
        <f>'[34]CPI-master'!H9</f>
        <v>1.0836693548387097</v>
      </c>
      <c r="P47" s="143">
        <f>'[34]CPI-master'!I9</f>
        <v>1.0707171314741035</v>
      </c>
      <c r="Q47" s="143">
        <f>'[34]CPI-master'!J9</f>
        <v>1.0457198443579767</v>
      </c>
      <c r="R47" s="143">
        <f>'[34]CPI-master'!K9</f>
        <v>1.0151085930122756</v>
      </c>
      <c r="S47" s="143">
        <f>'[34]CPI-master'!L9</f>
        <v>1</v>
      </c>
      <c r="T47" s="143">
        <f>'[34]CPI-master'!M9</f>
        <v>0.98987108655616951</v>
      </c>
      <c r="U47" s="143">
        <f>'[34]CPI-master'!N9</f>
        <v>0.97109304426377596</v>
      </c>
      <c r="V47" s="143">
        <f>'[34]CPI-master'!O9</f>
        <v>0.95132743362831862</v>
      </c>
      <c r="W47" s="143">
        <f>'[34]CPI-master'!P9</f>
        <v>0.93641114982578399</v>
      </c>
    </row>
    <row r="48" spans="1:25" ht="15.75" thickBot="1">
      <c r="A48" s="81"/>
      <c r="B48" s="55" t="s">
        <v>68</v>
      </c>
      <c r="C48" s="55"/>
      <c r="E48" s="184" t="s">
        <v>65</v>
      </c>
      <c r="F48" s="184" t="s">
        <v>69</v>
      </c>
      <c r="G48" s="80"/>
      <c r="H48" s="184" t="s">
        <v>180</v>
      </c>
      <c r="I48" s="184"/>
      <c r="J48" s="184">
        <v>2006</v>
      </c>
      <c r="K48" s="184">
        <v>2007</v>
      </c>
      <c r="L48" s="184">
        <v>2008</v>
      </c>
      <c r="M48" s="184">
        <v>2009</v>
      </c>
      <c r="N48" s="184">
        <v>2010</v>
      </c>
      <c r="O48" s="184">
        <v>2011</v>
      </c>
      <c r="P48" s="184">
        <v>2012</v>
      </c>
      <c r="Q48" s="184">
        <v>2013</v>
      </c>
      <c r="R48" s="184">
        <v>2014</v>
      </c>
      <c r="S48" s="184">
        <v>2015</v>
      </c>
      <c r="T48" s="184">
        <v>2016</v>
      </c>
      <c r="U48" s="184">
        <v>2017</v>
      </c>
      <c r="V48" s="184">
        <v>2018</v>
      </c>
      <c r="W48" s="184">
        <v>2019</v>
      </c>
      <c r="X48" s="184" t="s">
        <v>330</v>
      </c>
    </row>
    <row r="49" spans="1:24">
      <c r="A49" s="335" t="s">
        <v>40</v>
      </c>
      <c r="B49" s="57">
        <f t="shared" ref="B49:B61" si="3">MIN(B7/$O$21,1)</f>
        <v>0.61103723346256833</v>
      </c>
      <c r="E49" s="58">
        <f t="shared" ref="E49:E61" ca="1" si="4">OFFSET($H48,1,$E$25)</f>
        <v>59772.061219189978</v>
      </c>
      <c r="F49" s="59">
        <f ca="1">B49*E49</f>
        <v>36522.954925729115</v>
      </c>
      <c r="G49" s="80"/>
      <c r="H49" s="80"/>
      <c r="I49" s="51" t="s">
        <v>0</v>
      </c>
      <c r="J49" s="240">
        <f t="shared" ref="J49:W61" ca="1" si="5">J30*OFFSET($I$45,MATCH($Y30,$I$46:$I$47,0),J$43)</f>
        <v>41876.730782665822</v>
      </c>
      <c r="K49" s="240">
        <f t="shared" ca="1" si="5"/>
        <v>42192.860810932165</v>
      </c>
      <c r="L49" s="240">
        <f t="shared" ca="1" si="5"/>
        <v>45435.191245716123</v>
      </c>
      <c r="M49" s="240">
        <f t="shared" ca="1" si="5"/>
        <v>46489.536790790466</v>
      </c>
      <c r="N49" s="240">
        <f t="shared" ca="1" si="5"/>
        <v>52538.730505504114</v>
      </c>
      <c r="O49" s="240">
        <f t="shared" ca="1" si="5"/>
        <v>59063.580102050313</v>
      </c>
      <c r="P49" s="240">
        <f t="shared" ca="1" si="5"/>
        <v>63298.020685188196</v>
      </c>
      <c r="Q49" s="240">
        <f t="shared" ca="1" si="5"/>
        <v>69998.740915872113</v>
      </c>
      <c r="R49" s="240">
        <f t="shared" ca="1" si="5"/>
        <v>79213.134045922168</v>
      </c>
      <c r="S49" s="240">
        <f t="shared" ca="1" si="5"/>
        <v>74201.060864726358</v>
      </c>
      <c r="T49" s="240">
        <f t="shared" ca="1" si="5"/>
        <v>40225.408017034766</v>
      </c>
      <c r="U49" s="240">
        <f t="shared" ca="1" si="5"/>
        <v>45843.46881818182</v>
      </c>
      <c r="V49" s="240">
        <f t="shared" ca="1" si="5"/>
        <v>53557.569246208746</v>
      </c>
      <c r="W49" s="240">
        <f t="shared" ca="1" si="5"/>
        <v>51839.087160385636</v>
      </c>
      <c r="X49" s="240">
        <f ca="1">AVERAGE(P49:W49)</f>
        <v>59772.061219189978</v>
      </c>
    </row>
    <row r="50" spans="1:24">
      <c r="A50" s="335" t="s">
        <v>41</v>
      </c>
      <c r="B50" s="57">
        <f t="shared" si="3"/>
        <v>0.59831531499726587</v>
      </c>
      <c r="E50" s="58">
        <f t="shared" ca="1" si="4"/>
        <v>536234.61775286216</v>
      </c>
      <c r="F50" s="59">
        <f t="shared" ref="F50:F61" ca="1" si="6">B50*E50</f>
        <v>320837.38423324219</v>
      </c>
      <c r="G50" s="80"/>
      <c r="H50" s="80"/>
      <c r="I50" s="52" t="s">
        <v>1</v>
      </c>
      <c r="J50" s="240">
        <f t="shared" ca="1" si="5"/>
        <v>459035.89908801444</v>
      </c>
      <c r="K50" s="240">
        <f t="shared" ca="1" si="5"/>
        <v>392912.48992515594</v>
      </c>
      <c r="L50" s="240">
        <f t="shared" ca="1" si="5"/>
        <v>564416.16872833914</v>
      </c>
      <c r="M50" s="240">
        <f t="shared" ca="1" si="5"/>
        <v>513099.98756229493</v>
      </c>
      <c r="N50" s="240">
        <f t="shared" ca="1" si="5"/>
        <v>582739.22483728291</v>
      </c>
      <c r="O50" s="240">
        <f t="shared" ca="1" si="5"/>
        <v>562111.680187069</v>
      </c>
      <c r="P50" s="240">
        <f t="shared" ca="1" si="5"/>
        <v>622165.50868679571</v>
      </c>
      <c r="Q50" s="240">
        <f t="shared" ca="1" si="5"/>
        <v>496525.30351010169</v>
      </c>
      <c r="R50" s="240">
        <f t="shared" ca="1" si="5"/>
        <v>553470.71680222894</v>
      </c>
      <c r="S50" s="240">
        <f t="shared" ca="1" si="5"/>
        <v>652692.37710014754</v>
      </c>
      <c r="T50" s="240">
        <f t="shared" ca="1" si="5"/>
        <v>583295.46259438188</v>
      </c>
      <c r="U50" s="240">
        <f t="shared" ca="1" si="5"/>
        <v>517628.58681073255</v>
      </c>
      <c r="V50" s="240">
        <f t="shared" ca="1" si="5"/>
        <v>444132.33838090987</v>
      </c>
      <c r="W50" s="240">
        <f t="shared" ca="1" si="5"/>
        <v>419966.64813759865</v>
      </c>
      <c r="X50" s="240">
        <f t="shared" ref="X50:X61" ca="1" si="7">AVERAGE(P50:W50)</f>
        <v>536234.61775286216</v>
      </c>
    </row>
    <row r="51" spans="1:24">
      <c r="A51" s="335" t="s">
        <v>43</v>
      </c>
      <c r="B51" s="57">
        <f t="shared" si="3"/>
        <v>1</v>
      </c>
      <c r="E51" s="58">
        <f t="shared" ca="1" si="4"/>
        <v>53380.463241924357</v>
      </c>
      <c r="F51" s="59">
        <f t="shared" ca="1" si="6"/>
        <v>53380.463241924357</v>
      </c>
      <c r="G51" s="80"/>
      <c r="H51" s="80"/>
      <c r="I51" s="51" t="s">
        <v>2</v>
      </c>
      <c r="J51" s="240">
        <f t="shared" ca="1" si="5"/>
        <v>33054.171344867391</v>
      </c>
      <c r="K51" s="240">
        <f t="shared" ca="1" si="5"/>
        <v>38403.009062661062</v>
      </c>
      <c r="L51" s="240">
        <f t="shared" ca="1" si="5"/>
        <v>36522.457690251853</v>
      </c>
      <c r="M51" s="240">
        <f t="shared" ca="1" si="5"/>
        <v>43543.333081632714</v>
      </c>
      <c r="N51" s="240">
        <f t="shared" ca="1" si="5"/>
        <v>47443.080460668105</v>
      </c>
      <c r="O51" s="240">
        <f t="shared" ca="1" si="5"/>
        <v>44086.382884249426</v>
      </c>
      <c r="P51" s="240">
        <f t="shared" ca="1" si="5"/>
        <v>56543.471854095907</v>
      </c>
      <c r="Q51" s="240">
        <f t="shared" ca="1" si="5"/>
        <v>54932.968597601241</v>
      </c>
      <c r="R51" s="240">
        <f t="shared" ca="1" si="5"/>
        <v>55983.87434545908</v>
      </c>
      <c r="S51" s="240">
        <f t="shared" ca="1" si="5"/>
        <v>54114.799686988088</v>
      </c>
      <c r="T51" s="240">
        <f t="shared" ca="1" si="5"/>
        <v>54854.163888655959</v>
      </c>
      <c r="U51" s="240">
        <f t="shared" ca="1" si="5"/>
        <v>52906.249168622351</v>
      </c>
      <c r="V51" s="240">
        <f t="shared" ca="1" si="5"/>
        <v>45881.607116181476</v>
      </c>
      <c r="W51" s="240">
        <f t="shared" ca="1" si="5"/>
        <v>51826.571277790768</v>
      </c>
      <c r="X51" s="240">
        <f t="shared" ca="1" si="7"/>
        <v>53380.463241924357</v>
      </c>
    </row>
    <row r="52" spans="1:24">
      <c r="A52" s="335" t="s">
        <v>44</v>
      </c>
      <c r="B52" s="57">
        <f t="shared" si="3"/>
        <v>0.80836046882157719</v>
      </c>
      <c r="E52" s="58">
        <f t="shared" ca="1" si="4"/>
        <v>259585.63153697751</v>
      </c>
      <c r="F52" s="59">
        <f t="shared" ca="1" si="6"/>
        <v>209838.76280857634</v>
      </c>
      <c r="G52" s="80"/>
      <c r="H52" s="80"/>
      <c r="I52" s="52" t="s">
        <v>3</v>
      </c>
      <c r="J52" s="240">
        <f t="shared" ca="1" si="5"/>
        <v>201177.54980199909</v>
      </c>
      <c r="K52" s="240">
        <f t="shared" ca="1" si="5"/>
        <v>219520.20671524346</v>
      </c>
      <c r="L52" s="240">
        <f t="shared" ca="1" si="5"/>
        <v>270750.46522781439</v>
      </c>
      <c r="M52" s="240">
        <f t="shared" ca="1" si="5"/>
        <v>249124.61881491146</v>
      </c>
      <c r="N52" s="240">
        <f t="shared" ca="1" si="5"/>
        <v>239887.03428359362</v>
      </c>
      <c r="O52" s="240">
        <f t="shared" ca="1" si="5"/>
        <v>254665.49273374514</v>
      </c>
      <c r="P52" s="240">
        <f t="shared" ca="1" si="5"/>
        <v>259419.82644395903</v>
      </c>
      <c r="Q52" s="240">
        <f t="shared" ca="1" si="5"/>
        <v>234650.65640494513</v>
      </c>
      <c r="R52" s="240">
        <f t="shared" ca="1" si="5"/>
        <v>264977.23523496481</v>
      </c>
      <c r="S52" s="240">
        <f t="shared" ca="1" si="5"/>
        <v>273242.04299289902</v>
      </c>
      <c r="T52" s="240">
        <f t="shared" ca="1" si="5"/>
        <v>293208.72738893639</v>
      </c>
      <c r="U52" s="240">
        <f t="shared" ca="1" si="5"/>
        <v>269867.8094318182</v>
      </c>
      <c r="V52" s="240">
        <f t="shared" ca="1" si="5"/>
        <v>246763.70700107809</v>
      </c>
      <c r="W52" s="240">
        <f t="shared" ca="1" si="5"/>
        <v>234555.04739721958</v>
      </c>
      <c r="X52" s="240">
        <f t="shared" ca="1" si="7"/>
        <v>259585.63153697751</v>
      </c>
    </row>
    <row r="53" spans="1:24">
      <c r="A53" s="335" t="s">
        <v>46</v>
      </c>
      <c r="B53" s="57">
        <f t="shared" si="3"/>
        <v>0.78940857208771276</v>
      </c>
      <c r="E53" s="58">
        <f t="shared" ca="1" si="4"/>
        <v>363906.53300566203</v>
      </c>
      <c r="F53" s="59">
        <f t="shared" ca="1" si="6"/>
        <v>287270.93659338978</v>
      </c>
      <c r="G53" s="80"/>
      <c r="H53" s="80"/>
      <c r="I53" s="51" t="s">
        <v>4</v>
      </c>
      <c r="J53" s="240">
        <f t="shared" ca="1" si="5"/>
        <v>242820.16170007957</v>
      </c>
      <c r="K53" s="240">
        <f t="shared" ca="1" si="5"/>
        <v>285507.86588315666</v>
      </c>
      <c r="L53" s="240">
        <f t="shared" ca="1" si="5"/>
        <v>300686.6465863284</v>
      </c>
      <c r="M53" s="240">
        <f t="shared" ca="1" si="5"/>
        <v>313416.77863474021</v>
      </c>
      <c r="N53" s="240">
        <f t="shared" ca="1" si="5"/>
        <v>317779.87375530222</v>
      </c>
      <c r="O53" s="240">
        <f t="shared" ca="1" si="5"/>
        <v>352373.39246284828</v>
      </c>
      <c r="P53" s="240">
        <f t="shared" ca="1" si="5"/>
        <v>378036.63806513039</v>
      </c>
      <c r="Q53" s="240">
        <f t="shared" ca="1" si="5"/>
        <v>408792.98908946058</v>
      </c>
      <c r="R53" s="240">
        <f t="shared" ca="1" si="5"/>
        <v>375161.2113504294</v>
      </c>
      <c r="S53" s="240">
        <f t="shared" ca="1" si="5"/>
        <v>384682.14079713868</v>
      </c>
      <c r="T53" s="240">
        <f t="shared" ca="1" si="5"/>
        <v>342030.13035489939</v>
      </c>
      <c r="U53" s="240">
        <f t="shared" ca="1" si="5"/>
        <v>345315.7123190909</v>
      </c>
      <c r="V53" s="240">
        <f t="shared" ca="1" si="5"/>
        <v>347370.55979482603</v>
      </c>
      <c r="W53" s="240">
        <f t="shared" ca="1" si="5"/>
        <v>329862.88227432081</v>
      </c>
      <c r="X53" s="240">
        <f t="shared" ca="1" si="7"/>
        <v>363906.53300566203</v>
      </c>
    </row>
    <row r="54" spans="1:24">
      <c r="A54" s="335" t="s">
        <v>48</v>
      </c>
      <c r="B54" s="57">
        <f t="shared" si="3"/>
        <v>0.84105439183602781</v>
      </c>
      <c r="E54" s="58">
        <f t="shared" ca="1" si="4"/>
        <v>347646.99421709025</v>
      </c>
      <c r="F54" s="59">
        <f t="shared" ca="1" si="6"/>
        <v>292390.03129487793</v>
      </c>
      <c r="G54" s="80"/>
      <c r="H54" s="80"/>
      <c r="I54" s="52" t="s">
        <v>5</v>
      </c>
      <c r="J54" s="240">
        <f t="shared" ca="1" si="5"/>
        <v>333478.20146181388</v>
      </c>
      <c r="K54" s="240">
        <f t="shared" ca="1" si="5"/>
        <v>300268.20622546191</v>
      </c>
      <c r="L54" s="240">
        <f t="shared" ca="1" si="5"/>
        <v>325102.72641694732</v>
      </c>
      <c r="M54" s="240">
        <f t="shared" ca="1" si="5"/>
        <v>314666.22601650434</v>
      </c>
      <c r="N54" s="240">
        <f t="shared" ca="1" si="5"/>
        <v>308502.44517762464</v>
      </c>
      <c r="O54" s="240">
        <f t="shared" ca="1" si="5"/>
        <v>382875.35238028894</v>
      </c>
      <c r="P54" s="240">
        <f t="shared" ca="1" si="5"/>
        <v>392058.83837449912</v>
      </c>
      <c r="Q54" s="240">
        <f t="shared" ca="1" si="5"/>
        <v>314575.61462990212</v>
      </c>
      <c r="R54" s="240">
        <f t="shared" ca="1" si="5"/>
        <v>315982.6692726622</v>
      </c>
      <c r="S54" s="240">
        <f t="shared" ca="1" si="5"/>
        <v>365893.45174460608</v>
      </c>
      <c r="T54" s="240">
        <f t="shared" ca="1" si="5"/>
        <v>368522.67190959409</v>
      </c>
      <c r="U54" s="240">
        <f t="shared" ca="1" si="5"/>
        <v>333263.00750000001</v>
      </c>
      <c r="V54" s="240">
        <f t="shared" ca="1" si="5"/>
        <v>343273.75742640498</v>
      </c>
      <c r="W54" s="240">
        <f t="shared" ca="1" si="5"/>
        <v>347605.94287905347</v>
      </c>
      <c r="X54" s="240">
        <f t="shared" ca="1" si="7"/>
        <v>347646.99421709025</v>
      </c>
    </row>
    <row r="55" spans="1:24">
      <c r="A55" s="335" t="s">
        <v>50</v>
      </c>
      <c r="B55" s="57">
        <f t="shared" si="3"/>
        <v>0.9344268143825506</v>
      </c>
      <c r="E55" s="58">
        <f t="shared" ca="1" si="4"/>
        <v>377101.5235085946</v>
      </c>
      <c r="F55" s="59">
        <f t="shared" ca="1" si="6"/>
        <v>352373.77531094255</v>
      </c>
      <c r="G55" s="80"/>
      <c r="H55" s="80"/>
      <c r="I55" s="51" t="s">
        <v>6</v>
      </c>
      <c r="J55" s="240">
        <f t="shared" ca="1" si="5"/>
        <v>254648.79575215749</v>
      </c>
      <c r="K55" s="240">
        <f t="shared" ca="1" si="5"/>
        <v>309341.34714746021</v>
      </c>
      <c r="L55" s="240">
        <f t="shared" ca="1" si="5"/>
        <v>367517.62932785525</v>
      </c>
      <c r="M55" s="240">
        <f t="shared" ca="1" si="5"/>
        <v>345050.39342919225</v>
      </c>
      <c r="N55" s="240">
        <f t="shared" ca="1" si="5"/>
        <v>370431.68244856846</v>
      </c>
      <c r="O55" s="240">
        <f t="shared" ca="1" si="5"/>
        <v>372986.17727496137</v>
      </c>
      <c r="P55" s="240">
        <f t="shared" ca="1" si="5"/>
        <v>462590.07133817853</v>
      </c>
      <c r="Q55" s="240">
        <f t="shared" ca="1" si="5"/>
        <v>422897.02129566728</v>
      </c>
      <c r="R55" s="240">
        <f t="shared" ca="1" si="5"/>
        <v>401020.6428331582</v>
      </c>
      <c r="S55" s="240">
        <f t="shared" ca="1" si="5"/>
        <v>394603.52443787351</v>
      </c>
      <c r="T55" s="240">
        <f t="shared" ca="1" si="5"/>
        <v>311330.35287859332</v>
      </c>
      <c r="U55" s="240">
        <f t="shared" ca="1" si="5"/>
        <v>314625.81317386264</v>
      </c>
      <c r="V55" s="240">
        <f t="shared" ca="1" si="5"/>
        <v>331217.67845673504</v>
      </c>
      <c r="W55" s="240">
        <f t="shared" ca="1" si="5"/>
        <v>378527.0836546889</v>
      </c>
      <c r="X55" s="240">
        <f t="shared" ca="1" si="7"/>
        <v>377101.5235085946</v>
      </c>
    </row>
    <row r="56" spans="1:24">
      <c r="A56" s="335" t="s">
        <v>52</v>
      </c>
      <c r="B56" s="57">
        <f t="shared" si="3"/>
        <v>0.79766799999011184</v>
      </c>
      <c r="E56" s="58">
        <f t="shared" ca="1" si="4"/>
        <v>75668.551214980631</v>
      </c>
      <c r="F56" s="59">
        <f t="shared" ca="1" si="6"/>
        <v>60358.381909802949</v>
      </c>
      <c r="G56" s="80"/>
      <c r="H56" s="80"/>
      <c r="I56" s="52" t="s">
        <v>7</v>
      </c>
      <c r="J56" s="240">
        <f t="shared" ca="1" si="5"/>
        <v>58513.153909935434</v>
      </c>
      <c r="K56" s="240">
        <f t="shared" ca="1" si="5"/>
        <v>62823.57883566391</v>
      </c>
      <c r="L56" s="240">
        <f t="shared" ca="1" si="5"/>
        <v>50722.582474955503</v>
      </c>
      <c r="M56" s="240">
        <f t="shared" ca="1" si="5"/>
        <v>55948.283295056004</v>
      </c>
      <c r="N56" s="240">
        <f t="shared" ca="1" si="5"/>
        <v>65763.040964156287</v>
      </c>
      <c r="O56" s="240">
        <f t="shared" ca="1" si="5"/>
        <v>64897.596561196428</v>
      </c>
      <c r="P56" s="240">
        <f t="shared" ca="1" si="5"/>
        <v>75055.202040387987</v>
      </c>
      <c r="Q56" s="240">
        <f t="shared" ca="1" si="5"/>
        <v>72311.84505952317</v>
      </c>
      <c r="R56" s="240">
        <f t="shared" ca="1" si="5"/>
        <v>70974.927628877762</v>
      </c>
      <c r="S56" s="240">
        <f t="shared" ca="1" si="5"/>
        <v>73079.730390022902</v>
      </c>
      <c r="T56" s="240">
        <f t="shared" ca="1" si="5"/>
        <v>77886.570142725599</v>
      </c>
      <c r="U56" s="240">
        <f t="shared" ca="1" si="5"/>
        <v>81609.709710930445</v>
      </c>
      <c r="V56" s="240">
        <f t="shared" ca="1" si="5"/>
        <v>75343.964513274332</v>
      </c>
      <c r="W56" s="240">
        <f t="shared" ca="1" si="5"/>
        <v>79086.460234102793</v>
      </c>
      <c r="X56" s="240">
        <f t="shared" ca="1" si="7"/>
        <v>75668.551214980631</v>
      </c>
    </row>
    <row r="57" spans="1:24">
      <c r="A57" s="335" t="s">
        <v>54</v>
      </c>
      <c r="B57" s="57">
        <f t="shared" si="3"/>
        <v>1</v>
      </c>
      <c r="E57" s="58">
        <f t="shared" ca="1" si="4"/>
        <v>176717.52245586566</v>
      </c>
      <c r="F57" s="59">
        <f t="shared" ca="1" si="6"/>
        <v>176717.52245586566</v>
      </c>
      <c r="G57" s="80"/>
      <c r="H57" s="80"/>
      <c r="I57" s="51" t="s">
        <v>8</v>
      </c>
      <c r="J57" s="240">
        <f t="shared" ca="1" si="5"/>
        <v>146246.9027620361</v>
      </c>
      <c r="K57" s="240">
        <f t="shared" ca="1" si="5"/>
        <v>130372.3321595873</v>
      </c>
      <c r="L57" s="240">
        <f t="shared" ca="1" si="5"/>
        <v>133218.70506256114</v>
      </c>
      <c r="M57" s="240">
        <f t="shared" ca="1" si="5"/>
        <v>148555.5251717077</v>
      </c>
      <c r="N57" s="240">
        <f t="shared" ca="1" si="5"/>
        <v>142824.85576842813</v>
      </c>
      <c r="O57" s="240">
        <f t="shared" ca="1" si="5"/>
        <v>148651.30373118562</v>
      </c>
      <c r="P57" s="240">
        <f t="shared" ca="1" si="5"/>
        <v>179608.46461440678</v>
      </c>
      <c r="Q57" s="240">
        <f t="shared" ca="1" si="5"/>
        <v>192126.29309868204</v>
      </c>
      <c r="R57" s="240">
        <f t="shared" ca="1" si="5"/>
        <v>173664.9637509232</v>
      </c>
      <c r="S57" s="240">
        <f t="shared" ca="1" si="5"/>
        <v>186774.27334163259</v>
      </c>
      <c r="T57" s="240">
        <f t="shared" ca="1" si="5"/>
        <v>159525.21867990386</v>
      </c>
      <c r="U57" s="240">
        <f t="shared" ca="1" si="5"/>
        <v>172093.28879382845</v>
      </c>
      <c r="V57" s="240">
        <f t="shared" ca="1" si="5"/>
        <v>177316.7800241175</v>
      </c>
      <c r="W57" s="240">
        <f t="shared" ca="1" si="5"/>
        <v>172630.8973434307</v>
      </c>
      <c r="X57" s="240">
        <f t="shared" ca="1" si="7"/>
        <v>176717.52245586566</v>
      </c>
    </row>
    <row r="58" spans="1:24">
      <c r="A58" s="335" t="s">
        <v>56</v>
      </c>
      <c r="B58" s="57">
        <f t="shared" si="3"/>
        <v>1</v>
      </c>
      <c r="E58" s="58">
        <f t="shared" ca="1" si="4"/>
        <v>235287.83152799599</v>
      </c>
      <c r="F58" s="59">
        <f t="shared" ca="1" si="6"/>
        <v>235287.83152799599</v>
      </c>
      <c r="G58" s="80"/>
      <c r="H58" s="80"/>
      <c r="I58" s="52" t="s">
        <v>9</v>
      </c>
      <c r="J58" s="240">
        <f t="shared" ca="1" si="5"/>
        <v>144325.20897971361</v>
      </c>
      <c r="K58" s="240">
        <f t="shared" ca="1" si="5"/>
        <v>135295.55626443418</v>
      </c>
      <c r="L58" s="240">
        <f t="shared" ca="1" si="5"/>
        <v>153103.12637485974</v>
      </c>
      <c r="M58" s="240">
        <f t="shared" ca="1" si="5"/>
        <v>169294.92537878786</v>
      </c>
      <c r="N58" s="240">
        <f t="shared" ca="1" si="5"/>
        <v>168667.28796394487</v>
      </c>
      <c r="O58" s="240">
        <f t="shared" ca="1" si="5"/>
        <v>212470.36081011352</v>
      </c>
      <c r="P58" s="240">
        <f t="shared" ca="1" si="5"/>
        <v>219062.87525050101</v>
      </c>
      <c r="Q58" s="240">
        <f t="shared" ca="1" si="5"/>
        <v>234405.48159313729</v>
      </c>
      <c r="R58" s="240">
        <f t="shared" ca="1" si="5"/>
        <v>239874.45474713738</v>
      </c>
      <c r="S58" s="240">
        <f t="shared" ca="1" si="5"/>
        <v>250474.48255759003</v>
      </c>
      <c r="T58" s="240">
        <f t="shared" ca="1" si="5"/>
        <v>210108.11838326405</v>
      </c>
      <c r="U58" s="240">
        <f t="shared" ca="1" si="5"/>
        <v>243015.86716077928</v>
      </c>
      <c r="V58" s="240">
        <f t="shared" ca="1" si="5"/>
        <v>238792.72400044603</v>
      </c>
      <c r="W58" s="240">
        <f t="shared" ca="1" si="5"/>
        <v>246568.64853111308</v>
      </c>
      <c r="X58" s="240">
        <f t="shared" ca="1" si="7"/>
        <v>235287.83152799599</v>
      </c>
    </row>
    <row r="59" spans="1:24">
      <c r="A59" s="335" t="s">
        <v>58</v>
      </c>
      <c r="B59" s="57">
        <f t="shared" si="3"/>
        <v>0.87403113258438125</v>
      </c>
      <c r="E59" s="58">
        <f t="shared" ca="1" si="4"/>
        <v>194361.55266639483</v>
      </c>
      <c r="F59" s="59">
        <f t="shared" ca="1" si="6"/>
        <v>169878.04800786794</v>
      </c>
      <c r="G59" s="80"/>
      <c r="H59" s="80"/>
      <c r="I59" s="51" t="s">
        <v>66</v>
      </c>
      <c r="J59" s="240">
        <f t="shared" ca="1" si="5"/>
        <v>101681.50183791963</v>
      </c>
      <c r="K59" s="240">
        <f t="shared" ca="1" si="5"/>
        <v>126510.93550167969</v>
      </c>
      <c r="L59" s="240">
        <f t="shared" ca="1" si="5"/>
        <v>136155.93775364076</v>
      </c>
      <c r="M59" s="240">
        <f t="shared" ca="1" si="5"/>
        <v>159552.79180343534</v>
      </c>
      <c r="N59" s="240">
        <f t="shared" ca="1" si="5"/>
        <v>154697.16904197563</v>
      </c>
      <c r="O59" s="240">
        <f t="shared" ca="1" si="5"/>
        <v>155874.80332265465</v>
      </c>
      <c r="P59" s="240">
        <f t="shared" ca="1" si="5"/>
        <v>168323.07087553883</v>
      </c>
      <c r="Q59" s="240">
        <f t="shared" ca="1" si="5"/>
        <v>187784.68774085568</v>
      </c>
      <c r="R59" s="240">
        <f t="shared" ca="1" si="5"/>
        <v>192674.38694709481</v>
      </c>
      <c r="S59" s="240">
        <f t="shared" ca="1" si="5"/>
        <v>204651.59938180444</v>
      </c>
      <c r="T59" s="240">
        <f t="shared" ca="1" si="5"/>
        <v>227104.16866920068</v>
      </c>
      <c r="U59" s="240">
        <f t="shared" ca="1" si="5"/>
        <v>199023.50412205179</v>
      </c>
      <c r="V59" s="240">
        <f t="shared" ca="1" si="5"/>
        <v>184136.97201655258</v>
      </c>
      <c r="W59" s="240">
        <f t="shared" ca="1" si="5"/>
        <v>191194.03157805954</v>
      </c>
      <c r="X59" s="240">
        <f t="shared" ca="1" si="7"/>
        <v>194361.55266639483</v>
      </c>
    </row>
    <row r="60" spans="1:24">
      <c r="A60" s="335" t="s">
        <v>59</v>
      </c>
      <c r="B60" s="57">
        <f t="shared" si="3"/>
        <v>1</v>
      </c>
      <c r="E60" s="58">
        <f t="shared" ca="1" si="4"/>
        <v>77939.688986304842</v>
      </c>
      <c r="F60" s="59">
        <f t="shared" ca="1" si="6"/>
        <v>77939.688986304842</v>
      </c>
      <c r="G60" s="80"/>
      <c r="H60" s="80"/>
      <c r="I60" s="52" t="s">
        <v>11</v>
      </c>
      <c r="J60" s="240">
        <f t="shared" ca="1" si="5"/>
        <v>62407.50082365211</v>
      </c>
      <c r="K60" s="240">
        <f t="shared" ca="1" si="5"/>
        <v>62995.632359933763</v>
      </c>
      <c r="L60" s="240">
        <f t="shared" ca="1" si="5"/>
        <v>64293.714654333249</v>
      </c>
      <c r="M60" s="240">
        <f t="shared" ca="1" si="5"/>
        <v>72101.443577357495</v>
      </c>
      <c r="N60" s="240">
        <f t="shared" ca="1" si="5"/>
        <v>85541.703558221503</v>
      </c>
      <c r="O60" s="240">
        <f t="shared" ca="1" si="5"/>
        <v>83093.594572075235</v>
      </c>
      <c r="P60" s="240">
        <f t="shared" ca="1" si="5"/>
        <v>90879.269662940569</v>
      </c>
      <c r="Q60" s="240">
        <f t="shared" ca="1" si="5"/>
        <v>74485.523278352091</v>
      </c>
      <c r="R60" s="240">
        <f t="shared" ca="1" si="5"/>
        <v>75984.30584095027</v>
      </c>
      <c r="S60" s="240">
        <f t="shared" ca="1" si="5"/>
        <v>64629.211732935029</v>
      </c>
      <c r="T60" s="240">
        <f t="shared" ca="1" si="5"/>
        <v>69349.212703225829</v>
      </c>
      <c r="U60" s="240">
        <f t="shared" ca="1" si="5"/>
        <v>91450.918093490094</v>
      </c>
      <c r="V60" s="240">
        <f t="shared" ca="1" si="5"/>
        <v>82870.270253815805</v>
      </c>
      <c r="W60" s="240">
        <f t="shared" ca="1" si="5"/>
        <v>73868.800324729018</v>
      </c>
      <c r="X60" s="240">
        <f t="shared" ca="1" si="7"/>
        <v>77939.688986304842</v>
      </c>
    </row>
    <row r="61" spans="1:24">
      <c r="A61" s="335" t="s">
        <v>61</v>
      </c>
      <c r="B61" s="57">
        <f t="shared" si="3"/>
        <v>1</v>
      </c>
      <c r="E61" s="58">
        <f t="shared" ca="1" si="4"/>
        <v>121393.54814688706</v>
      </c>
      <c r="F61" s="59">
        <f t="shared" ca="1" si="6"/>
        <v>121393.54814688706</v>
      </c>
      <c r="G61" s="80"/>
      <c r="H61" s="80"/>
      <c r="I61" s="51" t="s">
        <v>12</v>
      </c>
      <c r="J61" s="240">
        <f t="shared" ca="1" si="5"/>
        <v>104167.37485448195</v>
      </c>
      <c r="K61" s="240">
        <f t="shared" ca="1" si="5"/>
        <v>99867.132269099195</v>
      </c>
      <c r="L61" s="240">
        <f t="shared" ca="1" si="5"/>
        <v>100240.09583212393</v>
      </c>
      <c r="M61" s="240">
        <f t="shared" ca="1" si="5"/>
        <v>103042.53679237324</v>
      </c>
      <c r="N61" s="240">
        <f t="shared" ca="1" si="5"/>
        <v>107870.37740269094</v>
      </c>
      <c r="O61" s="240">
        <f t="shared" ca="1" si="5"/>
        <v>132199.81066383788</v>
      </c>
      <c r="P61" s="240">
        <f t="shared" ca="1" si="5"/>
        <v>135467.00619915951</v>
      </c>
      <c r="Q61" s="240">
        <f t="shared" ca="1" si="5"/>
        <v>121487.01643373708</v>
      </c>
      <c r="R61" s="240">
        <f t="shared" ca="1" si="5"/>
        <v>123708.95863742713</v>
      </c>
      <c r="S61" s="240">
        <f t="shared" ca="1" si="5"/>
        <v>117721.494565381</v>
      </c>
      <c r="T61" s="240">
        <f t="shared" ca="1" si="5"/>
        <v>137025.81863918321</v>
      </c>
      <c r="U61" s="240">
        <f t="shared" ca="1" si="5"/>
        <v>128995.23497207084</v>
      </c>
      <c r="V61" s="240">
        <f t="shared" ca="1" si="5"/>
        <v>102973.71907744078</v>
      </c>
      <c r="W61" s="240">
        <f t="shared" ca="1" si="5"/>
        <v>103769.13665069688</v>
      </c>
      <c r="X61" s="240">
        <f t="shared" ca="1" si="7"/>
        <v>121393.54814688706</v>
      </c>
    </row>
    <row r="62" spans="1:24">
      <c r="G62" s="80"/>
      <c r="H62" s="80"/>
      <c r="I62" s="80"/>
      <c r="J62" s="80"/>
      <c r="K62" s="80"/>
      <c r="L62" s="80"/>
      <c r="M62" s="80"/>
      <c r="N62" s="80"/>
      <c r="O62" s="80"/>
      <c r="P62" s="80"/>
      <c r="Q62" s="80"/>
      <c r="R62" s="80"/>
      <c r="S62" s="80"/>
      <c r="T62" s="80"/>
    </row>
    <row r="63" spans="1:24">
      <c r="G63" s="80"/>
      <c r="H63" s="80"/>
      <c r="I63" s="305" t="s">
        <v>313</v>
      </c>
      <c r="J63" s="80"/>
      <c r="K63" s="80"/>
      <c r="L63" s="80"/>
      <c r="M63" s="80"/>
      <c r="N63" s="80"/>
      <c r="O63" s="80"/>
      <c r="P63" s="80"/>
      <c r="Q63" s="80"/>
      <c r="R63" s="80"/>
      <c r="S63" s="80"/>
      <c r="T63" s="80"/>
    </row>
    <row r="64" spans="1:24">
      <c r="H64" s="335" t="s">
        <v>70</v>
      </c>
    </row>
    <row r="65" spans="1:190">
      <c r="H65" s="335" t="s">
        <v>331</v>
      </c>
      <c r="I65" s="61">
        <v>154510</v>
      </c>
      <c r="J65" s="61">
        <v>156360</v>
      </c>
      <c r="K65" s="61">
        <v>158455</v>
      </c>
      <c r="L65" s="61">
        <v>161092</v>
      </c>
      <c r="M65" s="61">
        <v>164900</v>
      </c>
      <c r="N65" s="61">
        <v>168937</v>
      </c>
      <c r="O65" s="61">
        <v>173186</v>
      </c>
      <c r="P65" s="61">
        <v>177255</v>
      </c>
      <c r="Q65" s="61">
        <v>178710</v>
      </c>
      <c r="R65" s="61">
        <v>181851</v>
      </c>
      <c r="S65" s="61">
        <v>184961.5</v>
      </c>
      <c r="T65" s="61">
        <v>191482</v>
      </c>
      <c r="U65" s="61">
        <v>197537</v>
      </c>
      <c r="V65" s="61">
        <v>198432</v>
      </c>
      <c r="W65" s="61">
        <v>1546194.5</v>
      </c>
      <c r="X65" s="61">
        <v>1561613.99999999</v>
      </c>
      <c r="Y65" s="61">
        <v>1574317.99999999</v>
      </c>
      <c r="Z65" s="61">
        <v>1586138</v>
      </c>
      <c r="AA65" s="61">
        <v>1596897.5</v>
      </c>
      <c r="AB65" s="61">
        <v>1608734.5</v>
      </c>
      <c r="AC65" s="61">
        <v>1621658.49999999</v>
      </c>
      <c r="AD65" s="61">
        <v>1635052.5</v>
      </c>
      <c r="AE65" s="61">
        <v>1651159.5</v>
      </c>
      <c r="AF65" s="61">
        <v>1669558.5</v>
      </c>
      <c r="AG65" s="61">
        <v>1688281.7206584599</v>
      </c>
      <c r="AH65" s="61">
        <v>1706913.49999999</v>
      </c>
      <c r="AI65" s="61">
        <v>1727294</v>
      </c>
      <c r="AJ65" s="61">
        <v>1746274</v>
      </c>
      <c r="AK65" s="61">
        <v>294971.65817282</v>
      </c>
      <c r="AL65" s="61">
        <v>299951.29418557999</v>
      </c>
      <c r="AM65" s="61">
        <v>303151.80398685997</v>
      </c>
      <c r="AN65" s="61">
        <v>305984.98426971998</v>
      </c>
      <c r="AO65" s="61">
        <v>310174.96273257001</v>
      </c>
      <c r="AP65" s="61">
        <v>314439.61807552999</v>
      </c>
      <c r="AQ65" s="61">
        <v>318643.22002328001</v>
      </c>
      <c r="AR65" s="61">
        <v>322735.81579785002</v>
      </c>
      <c r="AS65" s="61">
        <v>325917.15180559002</v>
      </c>
      <c r="AT65" s="61">
        <v>327907.17472150002</v>
      </c>
      <c r="AU65" s="61">
        <v>336070</v>
      </c>
      <c r="AV65" s="61">
        <v>339400</v>
      </c>
      <c r="AW65" s="61">
        <v>342668.99999999994</v>
      </c>
      <c r="AX65" s="61">
        <v>345009</v>
      </c>
      <c r="AY65" s="61">
        <v>849548.29330194998</v>
      </c>
      <c r="AZ65" s="61">
        <v>859722.30529924994</v>
      </c>
      <c r="BA65" s="61">
        <v>869654.53679640999</v>
      </c>
      <c r="BB65" s="61">
        <v>878612.20779661997</v>
      </c>
      <c r="BC65" s="61">
        <v>886064.29272154998</v>
      </c>
      <c r="BD65" s="61">
        <v>895088.26980019</v>
      </c>
      <c r="BE65" s="61">
        <v>903746.68839344999</v>
      </c>
      <c r="BF65" s="61">
        <v>919384.82389899995</v>
      </c>
      <c r="BG65" s="61">
        <v>940028.5</v>
      </c>
      <c r="BH65" s="61">
        <v>955832.5</v>
      </c>
      <c r="BI65" s="61">
        <v>968354.5</v>
      </c>
      <c r="BJ65" s="61">
        <v>984229.5</v>
      </c>
      <c r="BK65" s="61">
        <v>1005561.9999999999</v>
      </c>
      <c r="BL65" s="61">
        <v>1027585.5</v>
      </c>
      <c r="BM65" s="61">
        <v>1212063.56238094</v>
      </c>
      <c r="BN65" s="61">
        <v>1236100.97666665</v>
      </c>
      <c r="BO65" s="61">
        <v>1263762.9433333301</v>
      </c>
      <c r="BP65" s="61">
        <v>1287435.6833333101</v>
      </c>
      <c r="BQ65" s="61">
        <v>1307554.33333332</v>
      </c>
      <c r="BR65" s="61">
        <v>1326563.49999999</v>
      </c>
      <c r="BS65" s="61">
        <v>1343864.49999999</v>
      </c>
      <c r="BT65" s="61">
        <v>1359711.49999999</v>
      </c>
      <c r="BU65" s="61">
        <v>1376483</v>
      </c>
      <c r="BV65" s="61">
        <v>1397191</v>
      </c>
      <c r="BW65" s="61">
        <v>1421522</v>
      </c>
      <c r="BX65" s="61">
        <v>1448247</v>
      </c>
      <c r="BY65" s="61">
        <v>1473805</v>
      </c>
      <c r="BZ65" s="61">
        <v>1496317</v>
      </c>
      <c r="CA65" s="61">
        <v>624130</v>
      </c>
      <c r="CB65" s="61">
        <v>635123</v>
      </c>
      <c r="CC65" s="61">
        <v>647729</v>
      </c>
      <c r="CD65" s="61">
        <v>663216</v>
      </c>
      <c r="CE65" s="61">
        <v>676960</v>
      </c>
      <c r="CF65" s="61">
        <v>688959</v>
      </c>
      <c r="CG65" s="61">
        <v>699264</v>
      </c>
      <c r="CH65" s="61">
        <v>710431</v>
      </c>
      <c r="CI65" s="61">
        <v>721930</v>
      </c>
      <c r="CJ65" s="61">
        <v>728290.5</v>
      </c>
      <c r="CK65" s="61">
        <v>739353.5</v>
      </c>
      <c r="CL65" s="61">
        <v>745501</v>
      </c>
      <c r="CM65" s="61">
        <v>760121.99999999988</v>
      </c>
      <c r="CN65" s="61">
        <v>765924</v>
      </c>
      <c r="CO65" s="61">
        <v>799028</v>
      </c>
      <c r="CP65" s="61">
        <v>805190</v>
      </c>
      <c r="CQ65" s="61">
        <v>814865</v>
      </c>
      <c r="CR65" s="61">
        <v>821578</v>
      </c>
      <c r="CS65" s="61">
        <v>825215</v>
      </c>
      <c r="CT65" s="61">
        <v>834417</v>
      </c>
      <c r="CU65" s="61">
        <v>838385</v>
      </c>
      <c r="CV65" s="61">
        <v>844244</v>
      </c>
      <c r="CW65" s="61">
        <v>854231</v>
      </c>
      <c r="CX65" s="61">
        <v>867001</v>
      </c>
      <c r="CY65" s="61">
        <v>879064.5</v>
      </c>
      <c r="CZ65" s="61">
        <v>891934.5</v>
      </c>
      <c r="DA65" s="61">
        <v>905969.99999999988</v>
      </c>
      <c r="DB65" s="61">
        <v>916470.5</v>
      </c>
      <c r="DC65" s="61">
        <v>293175.49999997998</v>
      </c>
      <c r="DD65" s="61">
        <v>299118.49999998999</v>
      </c>
      <c r="DE65" s="61">
        <v>302627.49999998999</v>
      </c>
      <c r="DF65" s="61">
        <v>305242.99999997998</v>
      </c>
      <c r="DG65" s="61">
        <v>309597.99999998999</v>
      </c>
      <c r="DH65" s="61">
        <v>307191</v>
      </c>
      <c r="DI65" s="61">
        <v>312839</v>
      </c>
      <c r="DJ65" s="61">
        <v>319591</v>
      </c>
      <c r="DK65" s="61">
        <v>325927.00000000006</v>
      </c>
      <c r="DL65" s="61">
        <v>332267</v>
      </c>
      <c r="DM65" s="61">
        <v>339467</v>
      </c>
      <c r="DN65" s="61">
        <v>346887</v>
      </c>
      <c r="DO65" s="61">
        <v>353729</v>
      </c>
      <c r="DP65" s="61">
        <v>360430.99999999994</v>
      </c>
      <c r="DQ65" s="61">
        <v>663966.35730240005</v>
      </c>
      <c r="DR65" s="61">
        <v>675821.59009509999</v>
      </c>
      <c r="DS65" s="61">
        <v>688356.43188220996</v>
      </c>
      <c r="DT65" s="61">
        <v>701004.54183501995</v>
      </c>
      <c r="DU65" s="61">
        <v>715219.69663429004</v>
      </c>
      <c r="DV65" s="61">
        <v>731281.52706412005</v>
      </c>
      <c r="DW65" s="61">
        <v>743561.51547831995</v>
      </c>
      <c r="DX65" s="61">
        <v>753913.41676781001</v>
      </c>
      <c r="DY65" s="61">
        <v>765240.73900238005</v>
      </c>
      <c r="DZ65" s="61">
        <v>777161.00874875998</v>
      </c>
      <c r="EA65" s="61">
        <v>799540</v>
      </c>
      <c r="EB65" s="61">
        <v>816349</v>
      </c>
      <c r="EC65" s="61">
        <v>835781</v>
      </c>
      <c r="ED65" s="61">
        <v>853771</v>
      </c>
      <c r="EE65" s="61">
        <v>778839</v>
      </c>
      <c r="EF65" s="61">
        <v>779426</v>
      </c>
      <c r="EG65" s="61">
        <v>781110</v>
      </c>
      <c r="EH65" s="61">
        <v>814467</v>
      </c>
      <c r="EI65" s="61">
        <v>826964</v>
      </c>
      <c r="EJ65" s="61">
        <v>836055</v>
      </c>
      <c r="EK65" s="61">
        <v>844153</v>
      </c>
      <c r="EL65" s="61">
        <v>847766</v>
      </c>
      <c r="EM65" s="61">
        <v>851766.5</v>
      </c>
      <c r="EN65" s="61">
        <v>853939</v>
      </c>
      <c r="EO65" s="61">
        <v>858646.5</v>
      </c>
      <c r="EP65" s="61">
        <v>878299.5</v>
      </c>
      <c r="EQ65" s="61">
        <v>894397</v>
      </c>
      <c r="ER65" s="61">
        <v>906197.49999999977</v>
      </c>
      <c r="ES65" s="61">
        <v>605407.99999997998</v>
      </c>
      <c r="ET65" s="61">
        <v>616585.49999997998</v>
      </c>
      <c r="EU65" s="61">
        <v>627552.49999997998</v>
      </c>
      <c r="EV65" s="61">
        <v>638613.49999996996</v>
      </c>
      <c r="EW65" s="61">
        <v>645694.49999998999</v>
      </c>
      <c r="EX65" s="61">
        <v>654640.99999997998</v>
      </c>
      <c r="EY65" s="61">
        <v>668702.99999996996</v>
      </c>
      <c r="EZ65" s="61">
        <v>681298.99999996996</v>
      </c>
      <c r="FA65" s="61">
        <v>685193.99999998999</v>
      </c>
      <c r="FB65" s="61">
        <v>706424</v>
      </c>
      <c r="FC65" s="61">
        <v>712767</v>
      </c>
      <c r="FD65" s="61">
        <v>734644</v>
      </c>
      <c r="FE65" s="61">
        <v>741836</v>
      </c>
      <c r="FF65" s="61">
        <v>762382</v>
      </c>
      <c r="FG65" s="61">
        <v>250642.5242013</v>
      </c>
      <c r="FH65" s="61">
        <v>255484.38545674999</v>
      </c>
      <c r="FI65" s="61">
        <v>260424.25945124001</v>
      </c>
      <c r="FJ65" s="61">
        <v>265464.13023523003</v>
      </c>
      <c r="FK65" s="61">
        <v>270606.02202186</v>
      </c>
      <c r="FL65" s="61">
        <v>275851.99999998999</v>
      </c>
      <c r="FM65" s="61">
        <v>278391.99999998999</v>
      </c>
      <c r="FN65" s="61">
        <v>279867.99999998999</v>
      </c>
      <c r="FO65" s="61">
        <v>280750</v>
      </c>
      <c r="FP65" s="61">
        <v>283059</v>
      </c>
      <c r="FQ65" s="61">
        <v>285325</v>
      </c>
      <c r="FR65" s="61">
        <v>287651.5001</v>
      </c>
      <c r="FS65" s="61">
        <v>287936</v>
      </c>
      <c r="FT65" s="61">
        <v>290446</v>
      </c>
      <c r="FU65" s="61">
        <v>612728</v>
      </c>
      <c r="FV65" s="61">
        <v>618250</v>
      </c>
      <c r="FW65" s="61">
        <v>624094</v>
      </c>
      <c r="FX65" s="61">
        <v>628120</v>
      </c>
      <c r="FY65" s="61">
        <v>633823</v>
      </c>
      <c r="FZ65" s="61">
        <v>641129.77419353998</v>
      </c>
      <c r="GA65" s="61">
        <v>647892</v>
      </c>
      <c r="GB65" s="61">
        <v>656516</v>
      </c>
      <c r="GC65" s="61">
        <v>658453</v>
      </c>
      <c r="GD65" s="61">
        <v>664549</v>
      </c>
      <c r="GE65" s="61">
        <v>669826</v>
      </c>
      <c r="GF65" s="61">
        <v>676807</v>
      </c>
      <c r="GG65" s="61">
        <v>685025</v>
      </c>
      <c r="GH65" s="61">
        <v>697594</v>
      </c>
    </row>
    <row r="66" spans="1:190" ht="15.75" thickBot="1">
      <c r="E66" s="184" t="s">
        <v>70</v>
      </c>
      <c r="F66" s="297" t="s">
        <v>328</v>
      </c>
      <c r="J66" s="184">
        <v>2006</v>
      </c>
      <c r="K66" s="184">
        <v>2007</v>
      </c>
      <c r="L66" s="184">
        <v>2008</v>
      </c>
      <c r="M66" s="184">
        <v>2009</v>
      </c>
      <c r="N66" s="184">
        <v>2010</v>
      </c>
      <c r="O66" s="184">
        <v>2011</v>
      </c>
      <c r="P66" s="184">
        <v>2012</v>
      </c>
      <c r="Q66" s="184">
        <v>2013</v>
      </c>
      <c r="R66" s="184">
        <v>2014</v>
      </c>
      <c r="S66" s="184">
        <v>2015</v>
      </c>
      <c r="T66" s="184">
        <v>2016</v>
      </c>
      <c r="U66" s="184">
        <v>2017</v>
      </c>
      <c r="V66" s="184">
        <v>2018</v>
      </c>
      <c r="W66" s="184">
        <v>2019</v>
      </c>
      <c r="X66" s="184" t="s">
        <v>64</v>
      </c>
    </row>
    <row r="67" spans="1:190">
      <c r="A67" s="335" t="s">
        <v>40</v>
      </c>
      <c r="C67" s="353"/>
      <c r="D67" s="51" t="s">
        <v>0</v>
      </c>
      <c r="E67" s="61">
        <f ca="1">OFFSET($H66,1,$E$25)</f>
        <v>175987.8</v>
      </c>
      <c r="F67" s="335" t="s">
        <v>337</v>
      </c>
      <c r="I67" s="51" t="s">
        <v>0</v>
      </c>
      <c r="J67" s="110">
        <f>SUMIFS($I$65:$GH$65,$I$25:$GH$25,$I30,$I$24:$GH$24,J$29)</f>
        <v>154510</v>
      </c>
      <c r="K67" s="110">
        <f>SUMIFS($I$65:$GH$65,$I$25:$GH$25,$I30,$I$24:$GH$24,K$29)</f>
        <v>156360</v>
      </c>
      <c r="L67" s="110">
        <f t="shared" ref="L67:W79" si="8">SUMIFS($I$65:$GH$65,$I$25:$GH$25,$I30,$I$24:$GH$24,L$29)</f>
        <v>158455</v>
      </c>
      <c r="M67" s="110">
        <f t="shared" si="8"/>
        <v>161092</v>
      </c>
      <c r="N67" s="110">
        <f t="shared" si="8"/>
        <v>164900</v>
      </c>
      <c r="O67" s="110">
        <f t="shared" si="8"/>
        <v>168937</v>
      </c>
      <c r="P67" s="110">
        <f t="shared" si="8"/>
        <v>173186</v>
      </c>
      <c r="Q67" s="110">
        <f t="shared" si="8"/>
        <v>177255</v>
      </c>
      <c r="R67" s="110">
        <f t="shared" si="8"/>
        <v>178710</v>
      </c>
      <c r="S67" s="110">
        <f t="shared" si="8"/>
        <v>181851</v>
      </c>
      <c r="T67" s="110">
        <f t="shared" si="8"/>
        <v>184961.5</v>
      </c>
      <c r="U67" s="110">
        <f t="shared" si="8"/>
        <v>191482</v>
      </c>
      <c r="V67" s="110">
        <f t="shared" si="8"/>
        <v>197537</v>
      </c>
      <c r="W67" s="110">
        <f t="shared" si="8"/>
        <v>198432</v>
      </c>
      <c r="X67" s="110">
        <f t="shared" ref="X67:X79" si="9">AVERAGE(O67:S67)</f>
        <v>175987.8</v>
      </c>
    </row>
    <row r="68" spans="1:190">
      <c r="A68" s="335" t="s">
        <v>41</v>
      </c>
      <c r="C68" s="353"/>
      <c r="D68" s="52" t="s">
        <v>1</v>
      </c>
      <c r="E68" s="61">
        <f t="shared" ref="E68:E79" ca="1" si="10">OFFSET($H67,1,$E$25)</f>
        <v>1637232.6999999979</v>
      </c>
      <c r="F68" s="335" t="s">
        <v>337</v>
      </c>
      <c r="I68" s="52" t="s">
        <v>1</v>
      </c>
      <c r="J68" s="110">
        <f t="shared" ref="J68:K79" si="11">SUMIFS($I$65:$GH$65,$I$25:$GH$25,$I31,$I$24:$GH$24,J$29)</f>
        <v>1546194.5</v>
      </c>
      <c r="K68" s="110">
        <f t="shared" si="11"/>
        <v>1561613.99999999</v>
      </c>
      <c r="L68" s="110">
        <f t="shared" si="8"/>
        <v>1574317.99999999</v>
      </c>
      <c r="M68" s="110">
        <f t="shared" si="8"/>
        <v>1586138</v>
      </c>
      <c r="N68" s="110">
        <f t="shared" si="8"/>
        <v>1596897.5</v>
      </c>
      <c r="O68" s="110">
        <f t="shared" si="8"/>
        <v>1608734.5</v>
      </c>
      <c r="P68" s="110">
        <f t="shared" si="8"/>
        <v>1621658.49999999</v>
      </c>
      <c r="Q68" s="110">
        <f t="shared" si="8"/>
        <v>1635052.5</v>
      </c>
      <c r="R68" s="110">
        <f t="shared" si="8"/>
        <v>1651159.5</v>
      </c>
      <c r="S68" s="110">
        <f t="shared" si="8"/>
        <v>1669558.5</v>
      </c>
      <c r="T68" s="110">
        <f t="shared" si="8"/>
        <v>1688281.7206584599</v>
      </c>
      <c r="U68" s="110">
        <f t="shared" si="8"/>
        <v>1706913.49999999</v>
      </c>
      <c r="V68" s="110">
        <f t="shared" si="8"/>
        <v>1727294</v>
      </c>
      <c r="W68" s="110">
        <f t="shared" si="8"/>
        <v>1746274</v>
      </c>
      <c r="X68" s="110">
        <f t="shared" si="9"/>
        <v>1637232.6999999979</v>
      </c>
    </row>
    <row r="69" spans="1:190">
      <c r="A69" s="335" t="s">
        <v>43</v>
      </c>
      <c r="C69" s="353"/>
      <c r="D69" s="51" t="s">
        <v>2</v>
      </c>
      <c r="E69" s="61">
        <f t="shared" ca="1" si="10"/>
        <v>321928.59608474997</v>
      </c>
      <c r="F69" s="335">
        <v>1</v>
      </c>
      <c r="I69" s="51" t="s">
        <v>2</v>
      </c>
      <c r="J69" s="110">
        <f t="shared" si="11"/>
        <v>294971.65817282</v>
      </c>
      <c r="K69" s="110">
        <f t="shared" si="11"/>
        <v>299951.29418557999</v>
      </c>
      <c r="L69" s="110">
        <f t="shared" si="8"/>
        <v>303151.80398685997</v>
      </c>
      <c r="M69" s="110">
        <f t="shared" si="8"/>
        <v>305984.98426971998</v>
      </c>
      <c r="N69" s="110">
        <f t="shared" si="8"/>
        <v>310174.96273257001</v>
      </c>
      <c r="O69" s="110">
        <f t="shared" si="8"/>
        <v>314439.61807552999</v>
      </c>
      <c r="P69" s="110">
        <f t="shared" si="8"/>
        <v>318643.22002328001</v>
      </c>
      <c r="Q69" s="110">
        <f t="shared" si="8"/>
        <v>322735.81579785002</v>
      </c>
      <c r="R69" s="110">
        <f t="shared" si="8"/>
        <v>325917.15180559002</v>
      </c>
      <c r="S69" s="110">
        <f t="shared" si="8"/>
        <v>327907.17472150002</v>
      </c>
      <c r="T69" s="110">
        <f t="shared" si="8"/>
        <v>336070</v>
      </c>
      <c r="U69" s="110">
        <f t="shared" si="8"/>
        <v>339400</v>
      </c>
      <c r="V69" s="110">
        <f t="shared" si="8"/>
        <v>342668.99999999994</v>
      </c>
      <c r="W69" s="110">
        <f t="shared" si="8"/>
        <v>345009</v>
      </c>
      <c r="X69" s="110">
        <f t="shared" si="9"/>
        <v>321928.59608474997</v>
      </c>
    </row>
    <row r="70" spans="1:190">
      <c r="A70" s="335" t="s">
        <v>44</v>
      </c>
      <c r="C70" s="353"/>
      <c r="D70" s="52" t="s">
        <v>3</v>
      </c>
      <c r="E70" s="61">
        <f t="shared" ca="1" si="10"/>
        <v>922816.15641852806</v>
      </c>
      <c r="F70" s="335" t="s">
        <v>337</v>
      </c>
      <c r="I70" s="52" t="s">
        <v>3</v>
      </c>
      <c r="J70" s="110">
        <f t="shared" si="11"/>
        <v>849548.29330194998</v>
      </c>
      <c r="K70" s="110">
        <f t="shared" si="11"/>
        <v>859722.30529924994</v>
      </c>
      <c r="L70" s="110">
        <f t="shared" si="8"/>
        <v>869654.53679640999</v>
      </c>
      <c r="M70" s="110">
        <f t="shared" si="8"/>
        <v>878612.20779661997</v>
      </c>
      <c r="N70" s="110">
        <f t="shared" si="8"/>
        <v>886064.29272154998</v>
      </c>
      <c r="O70" s="110">
        <f t="shared" si="8"/>
        <v>895088.26980019</v>
      </c>
      <c r="P70" s="110">
        <f t="shared" si="8"/>
        <v>903746.68839344999</v>
      </c>
      <c r="Q70" s="110">
        <f t="shared" si="8"/>
        <v>919384.82389899995</v>
      </c>
      <c r="R70" s="110">
        <f t="shared" si="8"/>
        <v>940028.5</v>
      </c>
      <c r="S70" s="110">
        <f t="shared" si="8"/>
        <v>955832.5</v>
      </c>
      <c r="T70" s="110">
        <f t="shared" si="8"/>
        <v>968354.5</v>
      </c>
      <c r="U70" s="110">
        <f t="shared" si="8"/>
        <v>984229.5</v>
      </c>
      <c r="V70" s="110">
        <f t="shared" si="8"/>
        <v>1005561.9999999999</v>
      </c>
      <c r="W70" s="110">
        <f t="shared" si="8"/>
        <v>1027585.5</v>
      </c>
      <c r="X70" s="110">
        <f t="shared" si="9"/>
        <v>922816.15641852806</v>
      </c>
    </row>
    <row r="71" spans="1:190">
      <c r="A71" s="335" t="s">
        <v>46</v>
      </c>
      <c r="C71" s="353"/>
      <c r="D71" s="51" t="s">
        <v>4</v>
      </c>
      <c r="E71" s="61">
        <f t="shared" ca="1" si="10"/>
        <v>1360762.6999999941</v>
      </c>
      <c r="F71" s="335" t="s">
        <v>337</v>
      </c>
      <c r="I71" s="51" t="s">
        <v>4</v>
      </c>
      <c r="J71" s="110">
        <f t="shared" si="11"/>
        <v>1212063.56238094</v>
      </c>
      <c r="K71" s="110">
        <f t="shared" si="11"/>
        <v>1236100.97666665</v>
      </c>
      <c r="L71" s="110">
        <f t="shared" si="8"/>
        <v>1263762.9433333301</v>
      </c>
      <c r="M71" s="110">
        <f t="shared" si="8"/>
        <v>1287435.6833333101</v>
      </c>
      <c r="N71" s="110">
        <f t="shared" si="8"/>
        <v>1307554.33333332</v>
      </c>
      <c r="O71" s="110">
        <f t="shared" si="8"/>
        <v>1326563.49999999</v>
      </c>
      <c r="P71" s="110">
        <f t="shared" si="8"/>
        <v>1343864.49999999</v>
      </c>
      <c r="Q71" s="110">
        <f t="shared" si="8"/>
        <v>1359711.49999999</v>
      </c>
      <c r="R71" s="110">
        <f t="shared" si="8"/>
        <v>1376483</v>
      </c>
      <c r="S71" s="110">
        <f t="shared" si="8"/>
        <v>1397191</v>
      </c>
      <c r="T71" s="110">
        <f t="shared" si="8"/>
        <v>1421522</v>
      </c>
      <c r="U71" s="110">
        <f t="shared" si="8"/>
        <v>1448247</v>
      </c>
      <c r="V71" s="110">
        <f t="shared" si="8"/>
        <v>1473805</v>
      </c>
      <c r="W71" s="110">
        <f t="shared" si="8"/>
        <v>1496317</v>
      </c>
      <c r="X71" s="110">
        <f t="shared" si="9"/>
        <v>1360762.6999999941</v>
      </c>
    </row>
    <row r="72" spans="1:190">
      <c r="A72" s="335" t="s">
        <v>48</v>
      </c>
      <c r="C72" s="353"/>
      <c r="D72" s="52" t="s">
        <v>5</v>
      </c>
      <c r="E72" s="61">
        <f t="shared" ca="1" si="10"/>
        <v>709774.9</v>
      </c>
      <c r="F72" s="335" t="s">
        <v>337</v>
      </c>
      <c r="I72" s="52" t="s">
        <v>5</v>
      </c>
      <c r="J72" s="110">
        <f t="shared" si="11"/>
        <v>624130</v>
      </c>
      <c r="K72" s="110">
        <f t="shared" si="11"/>
        <v>635123</v>
      </c>
      <c r="L72" s="110">
        <f t="shared" si="8"/>
        <v>647729</v>
      </c>
      <c r="M72" s="110">
        <f t="shared" si="8"/>
        <v>663216</v>
      </c>
      <c r="N72" s="110">
        <f t="shared" si="8"/>
        <v>676960</v>
      </c>
      <c r="O72" s="110">
        <f t="shared" si="8"/>
        <v>688959</v>
      </c>
      <c r="P72" s="110">
        <f t="shared" si="8"/>
        <v>699264</v>
      </c>
      <c r="Q72" s="110">
        <f t="shared" si="8"/>
        <v>710431</v>
      </c>
      <c r="R72" s="110">
        <f t="shared" si="8"/>
        <v>721930</v>
      </c>
      <c r="S72" s="110">
        <f t="shared" si="8"/>
        <v>728290.5</v>
      </c>
      <c r="T72" s="110">
        <f t="shared" si="8"/>
        <v>739353.5</v>
      </c>
      <c r="U72" s="110">
        <f t="shared" si="8"/>
        <v>745501</v>
      </c>
      <c r="V72" s="110">
        <f t="shared" si="8"/>
        <v>760121.99999999988</v>
      </c>
      <c r="W72" s="110">
        <f t="shared" si="8"/>
        <v>765924</v>
      </c>
      <c r="X72" s="110">
        <f t="shared" si="9"/>
        <v>709774.9</v>
      </c>
    </row>
    <row r="73" spans="1:190">
      <c r="A73" s="335" t="s">
        <v>50</v>
      </c>
      <c r="C73" s="353"/>
      <c r="D73" s="51" t="s">
        <v>6</v>
      </c>
      <c r="E73" s="61">
        <f t="shared" ca="1" si="10"/>
        <v>847655.6</v>
      </c>
      <c r="F73" s="335" t="s">
        <v>337</v>
      </c>
      <c r="I73" s="51" t="s">
        <v>6</v>
      </c>
      <c r="J73" s="110">
        <f t="shared" si="11"/>
        <v>799028</v>
      </c>
      <c r="K73" s="110">
        <f t="shared" si="11"/>
        <v>805190</v>
      </c>
      <c r="L73" s="110">
        <f t="shared" si="8"/>
        <v>814865</v>
      </c>
      <c r="M73" s="110">
        <f t="shared" si="8"/>
        <v>821578</v>
      </c>
      <c r="N73" s="110">
        <f t="shared" si="8"/>
        <v>825215</v>
      </c>
      <c r="O73" s="110">
        <f t="shared" si="8"/>
        <v>834417</v>
      </c>
      <c r="P73" s="110">
        <f t="shared" si="8"/>
        <v>838385</v>
      </c>
      <c r="Q73" s="110">
        <f t="shared" si="8"/>
        <v>844244</v>
      </c>
      <c r="R73" s="110">
        <f t="shared" si="8"/>
        <v>854231</v>
      </c>
      <c r="S73" s="110">
        <f t="shared" si="8"/>
        <v>867001</v>
      </c>
      <c r="T73" s="110">
        <f t="shared" si="8"/>
        <v>879064.5</v>
      </c>
      <c r="U73" s="110">
        <f t="shared" si="8"/>
        <v>891934.5</v>
      </c>
      <c r="V73" s="110">
        <f t="shared" si="8"/>
        <v>905969.99999999988</v>
      </c>
      <c r="W73" s="110">
        <f t="shared" si="8"/>
        <v>916470.5</v>
      </c>
      <c r="X73" s="110">
        <f t="shared" si="9"/>
        <v>847655.6</v>
      </c>
    </row>
    <row r="74" spans="1:190">
      <c r="A74" s="335" t="s">
        <v>52</v>
      </c>
      <c r="C74" s="353"/>
      <c r="D74" s="52" t="s">
        <v>7</v>
      </c>
      <c r="E74" s="61">
        <f t="shared" ca="1" si="10"/>
        <v>319563</v>
      </c>
      <c r="F74" s="335" t="s">
        <v>337</v>
      </c>
      <c r="I74" s="52" t="s">
        <v>7</v>
      </c>
      <c r="J74" s="110">
        <f t="shared" si="11"/>
        <v>293175.49999997998</v>
      </c>
      <c r="K74" s="110">
        <f t="shared" si="11"/>
        <v>299118.49999998999</v>
      </c>
      <c r="L74" s="110">
        <f t="shared" si="8"/>
        <v>302627.49999998999</v>
      </c>
      <c r="M74" s="110">
        <f t="shared" si="8"/>
        <v>305242.99999997998</v>
      </c>
      <c r="N74" s="110">
        <f t="shared" si="8"/>
        <v>309597.99999998999</v>
      </c>
      <c r="O74" s="110">
        <f t="shared" si="8"/>
        <v>307191</v>
      </c>
      <c r="P74" s="110">
        <f t="shared" si="8"/>
        <v>312839</v>
      </c>
      <c r="Q74" s="110">
        <f t="shared" si="8"/>
        <v>319591</v>
      </c>
      <c r="R74" s="110">
        <f t="shared" si="8"/>
        <v>325927.00000000006</v>
      </c>
      <c r="S74" s="110">
        <f t="shared" si="8"/>
        <v>332267</v>
      </c>
      <c r="T74" s="110">
        <f t="shared" si="8"/>
        <v>339467</v>
      </c>
      <c r="U74" s="110">
        <f t="shared" si="8"/>
        <v>346887</v>
      </c>
      <c r="V74" s="110">
        <f t="shared" si="8"/>
        <v>353729</v>
      </c>
      <c r="W74" s="110">
        <f t="shared" si="8"/>
        <v>360430.99999999994</v>
      </c>
      <c r="X74" s="110">
        <f t="shared" si="9"/>
        <v>319563</v>
      </c>
    </row>
    <row r="75" spans="1:190">
      <c r="A75" s="335" t="s">
        <v>54</v>
      </c>
      <c r="C75" s="353"/>
      <c r="D75" s="51" t="s">
        <v>8</v>
      </c>
      <c r="E75" s="61">
        <f t="shared" ca="1" si="10"/>
        <v>754231.64141227794</v>
      </c>
      <c r="F75" s="335">
        <v>1</v>
      </c>
      <c r="I75" s="51" t="s">
        <v>8</v>
      </c>
      <c r="J75" s="110">
        <f t="shared" si="11"/>
        <v>663966.35730240005</v>
      </c>
      <c r="K75" s="110">
        <f t="shared" si="11"/>
        <v>675821.59009509999</v>
      </c>
      <c r="L75" s="110">
        <f t="shared" si="8"/>
        <v>688356.43188220996</v>
      </c>
      <c r="M75" s="110">
        <f t="shared" si="8"/>
        <v>701004.54183501995</v>
      </c>
      <c r="N75" s="110">
        <f t="shared" si="8"/>
        <v>715219.69663429004</v>
      </c>
      <c r="O75" s="110">
        <f t="shared" si="8"/>
        <v>731281.52706412005</v>
      </c>
      <c r="P75" s="110">
        <f t="shared" si="8"/>
        <v>743561.51547831995</v>
      </c>
      <c r="Q75" s="110">
        <f t="shared" si="8"/>
        <v>753913.41676781001</v>
      </c>
      <c r="R75" s="110">
        <f t="shared" si="8"/>
        <v>765240.73900238005</v>
      </c>
      <c r="S75" s="110">
        <f t="shared" si="8"/>
        <v>777161.00874875998</v>
      </c>
      <c r="T75" s="110">
        <f t="shared" si="8"/>
        <v>799540</v>
      </c>
      <c r="U75" s="110">
        <f t="shared" si="8"/>
        <v>816349</v>
      </c>
      <c r="V75" s="110">
        <f t="shared" si="8"/>
        <v>835781</v>
      </c>
      <c r="W75" s="110">
        <f t="shared" si="8"/>
        <v>853771</v>
      </c>
      <c r="X75" s="110">
        <f t="shared" si="9"/>
        <v>754231.64141227794</v>
      </c>
    </row>
    <row r="76" spans="1:190">
      <c r="A76" s="335" t="s">
        <v>56</v>
      </c>
      <c r="C76" s="353"/>
      <c r="D76" s="52" t="s">
        <v>9</v>
      </c>
      <c r="E76" s="61">
        <f t="shared" ca="1" si="10"/>
        <v>846735.9</v>
      </c>
      <c r="F76" s="335">
        <v>1</v>
      </c>
      <c r="I76" s="52" t="s">
        <v>9</v>
      </c>
      <c r="J76" s="110">
        <f t="shared" si="11"/>
        <v>778839</v>
      </c>
      <c r="K76" s="110">
        <f t="shared" si="11"/>
        <v>779426</v>
      </c>
      <c r="L76" s="110">
        <f t="shared" si="8"/>
        <v>781110</v>
      </c>
      <c r="M76" s="110">
        <f t="shared" si="8"/>
        <v>814467</v>
      </c>
      <c r="N76" s="110">
        <f t="shared" si="8"/>
        <v>826964</v>
      </c>
      <c r="O76" s="110">
        <f t="shared" si="8"/>
        <v>836055</v>
      </c>
      <c r="P76" s="110">
        <f t="shared" si="8"/>
        <v>844153</v>
      </c>
      <c r="Q76" s="110">
        <f t="shared" si="8"/>
        <v>847766</v>
      </c>
      <c r="R76" s="110">
        <f t="shared" si="8"/>
        <v>851766.5</v>
      </c>
      <c r="S76" s="110">
        <f t="shared" si="8"/>
        <v>853939</v>
      </c>
      <c r="T76" s="110">
        <f t="shared" si="8"/>
        <v>858646.5</v>
      </c>
      <c r="U76" s="110">
        <f t="shared" si="8"/>
        <v>878299.5</v>
      </c>
      <c r="V76" s="110">
        <f t="shared" si="8"/>
        <v>894397</v>
      </c>
      <c r="W76" s="110">
        <f t="shared" si="8"/>
        <v>906197.49999999977</v>
      </c>
      <c r="X76" s="110">
        <f t="shared" si="9"/>
        <v>846735.9</v>
      </c>
    </row>
    <row r="77" spans="1:190">
      <c r="A77" s="335" t="s">
        <v>58</v>
      </c>
      <c r="C77" s="353"/>
      <c r="D77" s="51" t="s">
        <v>66</v>
      </c>
      <c r="E77" s="61">
        <f t="shared" ca="1" si="10"/>
        <v>679252.19999998191</v>
      </c>
      <c r="F77" s="335" t="s">
        <v>337</v>
      </c>
      <c r="I77" s="51" t="s">
        <v>66</v>
      </c>
      <c r="J77" s="110">
        <f t="shared" si="11"/>
        <v>605407.99999997998</v>
      </c>
      <c r="K77" s="110">
        <f t="shared" si="11"/>
        <v>616585.49999997998</v>
      </c>
      <c r="L77" s="110">
        <f t="shared" si="8"/>
        <v>627552.49999997998</v>
      </c>
      <c r="M77" s="110">
        <f t="shared" si="8"/>
        <v>638613.49999996996</v>
      </c>
      <c r="N77" s="110">
        <f t="shared" si="8"/>
        <v>645694.49999998999</v>
      </c>
      <c r="O77" s="110">
        <f t="shared" si="8"/>
        <v>654640.99999997998</v>
      </c>
      <c r="P77" s="110">
        <f t="shared" si="8"/>
        <v>668702.99999996996</v>
      </c>
      <c r="Q77" s="110">
        <f t="shared" si="8"/>
        <v>681298.99999996996</v>
      </c>
      <c r="R77" s="110">
        <f t="shared" si="8"/>
        <v>685193.99999998999</v>
      </c>
      <c r="S77" s="110">
        <f t="shared" si="8"/>
        <v>706424</v>
      </c>
      <c r="T77" s="110">
        <f t="shared" si="8"/>
        <v>712767</v>
      </c>
      <c r="U77" s="110">
        <f t="shared" si="8"/>
        <v>734644</v>
      </c>
      <c r="V77" s="110">
        <f t="shared" si="8"/>
        <v>741836</v>
      </c>
      <c r="W77" s="110">
        <f t="shared" si="8"/>
        <v>762382</v>
      </c>
      <c r="X77" s="110">
        <f t="shared" si="9"/>
        <v>679252.19999998191</v>
      </c>
    </row>
    <row r="78" spans="1:190">
      <c r="A78" s="335" t="s">
        <v>59</v>
      </c>
      <c r="C78" s="353"/>
      <c r="D78" s="52" t="s">
        <v>11</v>
      </c>
      <c r="E78" s="61">
        <f t="shared" ca="1" si="10"/>
        <v>279584.19999999402</v>
      </c>
      <c r="F78" s="335">
        <v>1</v>
      </c>
      <c r="I78" s="52" t="s">
        <v>11</v>
      </c>
      <c r="J78" s="110">
        <f t="shared" si="11"/>
        <v>250642.5242013</v>
      </c>
      <c r="K78" s="110">
        <f t="shared" si="11"/>
        <v>255484.38545674999</v>
      </c>
      <c r="L78" s="110">
        <f t="shared" si="8"/>
        <v>260424.25945124001</v>
      </c>
      <c r="M78" s="110">
        <f t="shared" si="8"/>
        <v>265464.13023523003</v>
      </c>
      <c r="N78" s="110">
        <f t="shared" si="8"/>
        <v>270606.02202186</v>
      </c>
      <c r="O78" s="110">
        <f t="shared" si="8"/>
        <v>275851.99999998999</v>
      </c>
      <c r="P78" s="110">
        <f t="shared" si="8"/>
        <v>278391.99999998999</v>
      </c>
      <c r="Q78" s="110">
        <f t="shared" si="8"/>
        <v>279867.99999998999</v>
      </c>
      <c r="R78" s="110">
        <f t="shared" si="8"/>
        <v>280750</v>
      </c>
      <c r="S78" s="110">
        <f t="shared" si="8"/>
        <v>283059</v>
      </c>
      <c r="T78" s="110">
        <f t="shared" si="8"/>
        <v>285325</v>
      </c>
      <c r="U78" s="110">
        <f t="shared" si="8"/>
        <v>287651.5001</v>
      </c>
      <c r="V78" s="110">
        <f t="shared" si="8"/>
        <v>287936</v>
      </c>
      <c r="W78" s="110">
        <f t="shared" si="8"/>
        <v>290446</v>
      </c>
      <c r="X78" s="110">
        <f t="shared" si="9"/>
        <v>279584.19999999402</v>
      </c>
    </row>
    <row r="79" spans="1:190">
      <c r="A79" s="335" t="s">
        <v>61</v>
      </c>
      <c r="C79" s="353"/>
      <c r="D79" s="51" t="s">
        <v>12</v>
      </c>
      <c r="E79" s="61">
        <f t="shared" ca="1" si="10"/>
        <v>653707.95483870804</v>
      </c>
      <c r="F79" s="335">
        <v>1</v>
      </c>
      <c r="I79" s="51" t="s">
        <v>12</v>
      </c>
      <c r="J79" s="110">
        <f t="shared" si="11"/>
        <v>612728</v>
      </c>
      <c r="K79" s="110">
        <f t="shared" si="11"/>
        <v>618250</v>
      </c>
      <c r="L79" s="110">
        <f t="shared" si="8"/>
        <v>624094</v>
      </c>
      <c r="M79" s="110">
        <f t="shared" si="8"/>
        <v>628120</v>
      </c>
      <c r="N79" s="110">
        <f t="shared" si="8"/>
        <v>633823</v>
      </c>
      <c r="O79" s="110">
        <f t="shared" si="8"/>
        <v>641129.77419353998</v>
      </c>
      <c r="P79" s="110">
        <f t="shared" si="8"/>
        <v>647892</v>
      </c>
      <c r="Q79" s="110">
        <f t="shared" si="8"/>
        <v>656516</v>
      </c>
      <c r="R79" s="110">
        <f t="shared" si="8"/>
        <v>658453</v>
      </c>
      <c r="S79" s="110">
        <f t="shared" si="8"/>
        <v>664549</v>
      </c>
      <c r="T79" s="110">
        <f t="shared" si="8"/>
        <v>669826</v>
      </c>
      <c r="U79" s="110">
        <f t="shared" si="8"/>
        <v>676807</v>
      </c>
      <c r="V79" s="110">
        <f t="shared" si="8"/>
        <v>685025</v>
      </c>
      <c r="W79" s="110">
        <f t="shared" si="8"/>
        <v>697594</v>
      </c>
      <c r="X79" s="110">
        <f t="shared" si="9"/>
        <v>653707.95483870804</v>
      </c>
    </row>
    <row r="81" spans="1:190">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row>
    <row r="82" spans="1:190">
      <c r="A82" s="297" t="s">
        <v>310</v>
      </c>
    </row>
    <row r="83" spans="1:190">
      <c r="A83" s="193" t="s">
        <v>332</v>
      </c>
    </row>
    <row r="84" spans="1:190">
      <c r="A84" s="193" t="s">
        <v>327</v>
      </c>
    </row>
    <row r="85" spans="1:190">
      <c r="A85" s="193" t="s">
        <v>326</v>
      </c>
    </row>
  </sheetData>
  <dataConsolidate/>
  <conditionalFormatting sqref="O21">
    <cfRule type="cellIs" dxfId="0" priority="1" operator="greaterThan">
      <formula>0</formula>
    </cfRule>
  </conditionalFormatting>
  <dataValidations count="1">
    <dataValidation type="list" allowBlank="1" showInputMessage="1" showErrorMessage="1" sqref="E24">
      <formula1>$N$29:$X$29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zoomScale="70" zoomScaleNormal="70" workbookViewId="0">
      <selection activeCell="G2" sqref="G2"/>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38</v>
      </c>
      <c r="F1" s="35" t="s">
        <v>279</v>
      </c>
      <c r="G1" s="34" t="s">
        <v>31</v>
      </c>
      <c r="I1" s="6"/>
      <c r="J1" s="6"/>
      <c r="L1" s="6"/>
      <c r="M1" s="6"/>
      <c r="N1" s="6"/>
      <c r="O1" s="193"/>
      <c r="P1" s="153"/>
      <c r="Q1" s="153"/>
      <c r="R1" s="153"/>
      <c r="S1" s="153"/>
      <c r="T1" s="153"/>
      <c r="U1" s="153"/>
      <c r="W1" s="163"/>
      <c r="AA1" s="6"/>
      <c r="AB1" s="6"/>
    </row>
    <row r="2" spans="1:44" customFormat="1" ht="16.5" thickTop="1" thickBot="1">
      <c r="A2" s="150" t="s">
        <v>12</v>
      </c>
      <c r="B2" s="19">
        <f ca="1">VLOOKUP(A2,'Subtransmission Calcs'!$A$5:$AE$17,$B$10,FALSE)</f>
        <v>653707.95483870804</v>
      </c>
      <c r="C2" s="13">
        <f>VLOOKUP(A2,'Subtransmission Calcs'!$A$5:$AE$17,$C$10,FALSE)*$K$5</f>
        <v>1277.2520706565415</v>
      </c>
      <c r="D2" s="13">
        <f>VLOOKUP(A2,'Subtransmission Calcs'!$A$5:$AE$17,$D$10,FALSE)*$K$5</f>
        <v>1165.275262647094</v>
      </c>
      <c r="E2" s="36">
        <f>VLOOKUP(A2,'Subtransmission Calcs'!$A$5:$AE$17,$E$10,FALSE)*$K$5</f>
        <v>744.65825360122278</v>
      </c>
      <c r="F2" s="197">
        <f>VLOOKUP(A2,'Subtransmission Calcs'!$A$5:$AF$17,$F$10,FALSE)*$K$5</f>
        <v>23327.851829161384</v>
      </c>
      <c r="G2" s="62">
        <f ca="1">B2</f>
        <v>653707.95483870804</v>
      </c>
      <c r="H2" s="253"/>
      <c r="I2" s="143">
        <f t="shared" ref="I2:I7" ca="1" si="0">E2/$E$7</f>
        <v>0.50106799511920441</v>
      </c>
      <c r="J2" s="143">
        <f t="shared" ref="J2:J7" ca="1" si="1">F2/$F$7</f>
        <v>0.583185433958326</v>
      </c>
      <c r="L2" s="6"/>
      <c r="M2" s="6"/>
      <c r="N2" s="6"/>
      <c r="O2" s="193"/>
      <c r="P2" s="153"/>
      <c r="Q2" s="153"/>
      <c r="R2" s="153"/>
      <c r="S2" s="153"/>
      <c r="T2" s="153"/>
      <c r="U2" s="153"/>
      <c r="W2" s="163"/>
      <c r="Y2" s="6"/>
      <c r="Z2" s="6"/>
      <c r="AA2" s="6"/>
      <c r="AB2" s="6"/>
    </row>
    <row r="3" spans="1:44" customFormat="1" ht="16.5" thickTop="1" thickBot="1">
      <c r="A3" s="150" t="s">
        <v>8</v>
      </c>
      <c r="B3" s="19">
        <f ca="1">VLOOKUP(A3,'Subtransmission Calcs'!$A$5:$AE$17,$B$10,FALSE)</f>
        <v>754231.64141227794</v>
      </c>
      <c r="C3" s="13">
        <f>VLOOKUP(A3,'Subtransmission Calcs'!$A$5:$AE$17,$C$10,FALSE)*$K$5</f>
        <v>761.63288927132737</v>
      </c>
      <c r="D3" s="13">
        <f>VLOOKUP(A3,'Subtransmission Calcs'!$A$5:$AE$17,$D$10,FALSE)*$K$5</f>
        <v>189.54506631235978</v>
      </c>
      <c r="E3" s="197">
        <f>VLOOKUP(A3,'Subtransmission Calcs'!$A$5:$AE$17,$E$10,FALSE)*$K$5</f>
        <v>2532.4785001870632</v>
      </c>
      <c r="F3" s="197">
        <f>VLOOKUP(A3,'Subtransmission Calcs'!$A$5:$AF$17,$F$10,FALSE)*$K$5</f>
        <v>57830.955464986007</v>
      </c>
      <c r="G3" s="62">
        <f ca="1">B3</f>
        <v>754231.64141227794</v>
      </c>
      <c r="H3" s="253"/>
      <c r="I3" s="143">
        <f t="shared" ca="1" si="0"/>
        <v>1.704062123308933</v>
      </c>
      <c r="J3" s="143">
        <f t="shared" ca="1" si="1"/>
        <v>1.4457469597313075</v>
      </c>
      <c r="K3" s="308">
        <v>2015</v>
      </c>
      <c r="L3" s="3"/>
      <c r="M3" s="6"/>
      <c r="N3" s="6"/>
      <c r="O3" s="193"/>
      <c r="P3" s="307"/>
      <c r="Q3" s="153"/>
      <c r="R3" s="193"/>
      <c r="S3" s="153"/>
      <c r="T3" s="153"/>
      <c r="U3" s="153"/>
      <c r="W3" s="163"/>
      <c r="Y3" s="6"/>
      <c r="Z3" s="6"/>
      <c r="AA3" s="6"/>
      <c r="AB3" s="6"/>
    </row>
    <row r="4" spans="1:44" customFormat="1" ht="16.5" thickTop="1" thickBot="1">
      <c r="A4" s="150" t="s">
        <v>9</v>
      </c>
      <c r="B4" s="19">
        <f ca="1">VLOOKUP(A4,'Subtransmission Calcs'!$A$5:$AE$17,$B$10,FALSE)</f>
        <v>846735.9</v>
      </c>
      <c r="C4" s="22"/>
      <c r="D4" s="22"/>
      <c r="E4" s="197">
        <f>VLOOKUP(A4,'Subtransmission Calcs'!$A$5:$AE$17,$E$10,FALSE)*$K$4</f>
        <v>978.36755880645092</v>
      </c>
      <c r="F4" s="197">
        <f>VLOOKUP(A4,'Subtransmission Calcs'!$A$5:$AF$17,$F$10,FALSE)*$K$4</f>
        <v>22570.208850708044</v>
      </c>
      <c r="G4" s="62"/>
      <c r="H4" s="253"/>
      <c r="I4" s="143">
        <f t="shared" ca="1" si="0"/>
        <v>0.65832704977086653</v>
      </c>
      <c r="J4" s="143">
        <f t="shared" ca="1" si="1"/>
        <v>0.56424471226605033</v>
      </c>
      <c r="K4" s="313">
        <f>HLOOKUP(K3,'base OPEX'!$J$45:$T$47,2)</f>
        <v>1.0084427767354598</v>
      </c>
      <c r="L4" s="64" t="s">
        <v>71</v>
      </c>
      <c r="M4" s="6"/>
      <c r="N4" s="6"/>
      <c r="O4" s="193"/>
      <c r="P4" s="153"/>
      <c r="Q4" s="153"/>
      <c r="R4" s="193"/>
      <c r="S4" s="153"/>
      <c r="T4" s="153"/>
      <c r="U4" s="153"/>
      <c r="W4" s="163"/>
      <c r="Y4" s="6"/>
      <c r="Z4" s="6"/>
      <c r="AA4" s="6"/>
      <c r="AB4" s="6"/>
    </row>
    <row r="5" spans="1:44" s="6" customFormat="1" ht="16.5" thickTop="1" thickBot="1">
      <c r="A5" s="150" t="s">
        <v>10</v>
      </c>
      <c r="B5" s="19">
        <f ca="1">VLOOKUP(A5,'Subtransmission Calcs'!$A$5:$AE$17,$B$10,FALSE)</f>
        <v>679252.19999998191</v>
      </c>
      <c r="C5" s="13">
        <f>VLOOKUP(A5,'Subtransmission Calcs'!$A$5:$AE$17,$C$10,FALSE)*$K$5</f>
        <v>878.2537185552618</v>
      </c>
      <c r="D5" s="13">
        <f>VLOOKUP(A5,'Subtransmission Calcs'!$A$5:$AE$17,$D$10,FALSE)*$K$5</f>
        <v>310.93738408622579</v>
      </c>
      <c r="E5" s="197">
        <f>VLOOKUP(A5,'Subtransmission Calcs'!$A$5:$AE$17,$E$10,FALSE)*$K$5</f>
        <v>927.16917890342791</v>
      </c>
      <c r="F5" s="197">
        <f>VLOOKUP(A5,'Subtransmission Calcs'!$A$5:$AF$17,$F$10,FALSE)*$K$5</f>
        <v>23317.325937769274</v>
      </c>
      <c r="G5" s="62">
        <f t="shared" ref="G5:G6" ca="1" si="2">B5</f>
        <v>679252.19999998191</v>
      </c>
      <c r="H5" s="253"/>
      <c r="I5" s="143">
        <f t="shared" ca="1" si="0"/>
        <v>0.62387652236813496</v>
      </c>
      <c r="J5" s="143">
        <f t="shared" ca="1" si="1"/>
        <v>0.58292229157452402</v>
      </c>
      <c r="K5" s="65">
        <f>HLOOKUP(K3,'base OPEX'!$J$45:$T$47,3)</f>
        <v>1</v>
      </c>
      <c r="L5" s="199" t="s">
        <v>72</v>
      </c>
      <c r="O5" s="193"/>
      <c r="P5" s="153"/>
      <c r="Q5" s="153"/>
      <c r="R5" s="153"/>
      <c r="S5" s="153"/>
      <c r="T5" s="153"/>
      <c r="U5" s="153"/>
      <c r="W5" s="163"/>
    </row>
    <row r="6" spans="1:44" s="6" customFormat="1" ht="16.5" thickTop="1" thickBot="1">
      <c r="A6" s="150" t="s">
        <v>2</v>
      </c>
      <c r="B6" s="19">
        <f ca="1">VLOOKUP(A6,'Subtransmission Calcs'!$A$5:$AE$17,$B$10,FALSE)</f>
        <v>321928.59608474997</v>
      </c>
      <c r="C6" s="13">
        <f>VLOOKUP(A6,'Subtransmission Calcs'!$A$5:$AE$17,$C$10,FALSE)*$K$5</f>
        <v>4100.2137802808238</v>
      </c>
      <c r="D6" s="13">
        <f>VLOOKUP(A6,'Subtransmission Calcs'!$A$5:$AE$17,$D$10,FALSE)*$K$5</f>
        <v>250.28727316497699</v>
      </c>
      <c r="E6" s="197">
        <f>VLOOKUP(A6,'Subtransmission Calcs'!$A$5:$AE$17,$E$10,FALSE)*$K$5</f>
        <v>3055.3362192558361</v>
      </c>
      <c r="F6" s="197">
        <f>VLOOKUP(A6,'Subtransmission Calcs'!$A$5:$AF$17,$F$10,FALSE)*$K$5</f>
        <v>113130.01676704042</v>
      </c>
      <c r="G6" s="62">
        <f t="shared" ca="1" si="2"/>
        <v>321928.59608474997</v>
      </c>
      <c r="H6" s="253"/>
      <c r="I6" s="143">
        <f t="shared" ca="1" si="0"/>
        <v>2.0558842749595732</v>
      </c>
      <c r="J6" s="143">
        <f t="shared" ca="1" si="1"/>
        <v>2.8281977442742932</v>
      </c>
      <c r="O6" s="193"/>
      <c r="P6" s="153"/>
      <c r="Q6" s="153"/>
      <c r="R6" s="153"/>
      <c r="S6" s="153"/>
      <c r="T6" s="153"/>
      <c r="U6" s="153"/>
      <c r="W6" s="163"/>
    </row>
    <row r="7" spans="1:44" customFormat="1" ht="16.5" thickTop="1" thickBot="1">
      <c r="A7" s="37" t="s">
        <v>34</v>
      </c>
      <c r="B7" s="38"/>
      <c r="C7" s="39">
        <f ca="1">+SUMPRODUCT($G$2:$G$6,C2:C6)/SUM($G$2:$G$6)</f>
        <v>1380.5575305211155</v>
      </c>
      <c r="D7" s="39">
        <f ca="1">+SUMPRODUCT($G$2:$G$6,D2:D6)/SUM($G$2:$G$6)</f>
        <v>496.65020134846617</v>
      </c>
      <c r="E7" s="40">
        <f ca="1">+SUMPRODUCT($B$2:$B$6,E2:E6)/SUM($B$2:$B$6)</f>
        <v>1486.1421221366734</v>
      </c>
      <c r="F7" s="40">
        <f ca="1">+SUMPRODUCT($B$2:$B$6,F2:F6)/SUM($B$2:$B$6)</f>
        <v>40000.744996021924</v>
      </c>
      <c r="I7" s="143">
        <f t="shared" ca="1" si="0"/>
        <v>1</v>
      </c>
      <c r="J7" s="143">
        <f t="shared" ca="1" si="1"/>
        <v>1</v>
      </c>
      <c r="L7" s="6"/>
      <c r="M7" s="6"/>
      <c r="N7" s="6"/>
      <c r="O7" s="193"/>
      <c r="P7" s="153"/>
      <c r="Q7" s="153"/>
      <c r="R7" s="153"/>
      <c r="S7" s="153"/>
      <c r="T7" s="153"/>
      <c r="U7" s="153"/>
      <c r="W7" s="163"/>
      <c r="Y7" s="6"/>
      <c r="Z7" s="6"/>
      <c r="AA7" s="6"/>
      <c r="AB7" s="6"/>
    </row>
    <row r="8" spans="1:44" s="146" customFormat="1" ht="15.75" thickBot="1">
      <c r="A8" s="148"/>
      <c r="B8" s="148"/>
      <c r="C8" s="239">
        <v>0.5</v>
      </c>
      <c r="D8" s="239">
        <v>0.5</v>
      </c>
      <c r="E8" s="239">
        <v>1</v>
      </c>
      <c r="F8" s="239">
        <v>1</v>
      </c>
      <c r="H8" s="253"/>
      <c r="I8" s="253"/>
      <c r="L8" s="190"/>
      <c r="M8" s="190"/>
      <c r="O8" s="193"/>
      <c r="P8" s="153"/>
      <c r="Q8" s="153"/>
      <c r="R8" s="153"/>
      <c r="S8" s="153"/>
      <c r="T8" s="153"/>
      <c r="U8" s="153"/>
      <c r="W8" s="163"/>
    </row>
    <row r="9" spans="1:44" s="146" customFormat="1">
      <c r="A9" s="148"/>
      <c r="B9" s="148"/>
      <c r="C9" s="152">
        <f ca="1">C8*C7</f>
        <v>690.27876526055775</v>
      </c>
      <c r="D9" s="152">
        <f ca="1">D8*D7</f>
        <v>248.32510067423308</v>
      </c>
      <c r="E9" s="152">
        <f ca="1">E8*E7</f>
        <v>1486.1421221366734</v>
      </c>
      <c r="F9" s="196">
        <f ca="1">F8*F7</f>
        <v>40000.744996021924</v>
      </c>
      <c r="H9" s="253"/>
      <c r="L9" s="190"/>
      <c r="M9" s="190"/>
      <c r="O9" s="193"/>
      <c r="P9" s="153"/>
      <c r="Q9" s="153"/>
      <c r="R9" s="153"/>
      <c r="S9" s="153"/>
      <c r="T9" s="153"/>
      <c r="U9" s="153"/>
      <c r="W9" s="163"/>
    </row>
    <row r="10" spans="1:44" s="146" customFormat="1">
      <c r="A10" s="192" t="s">
        <v>244</v>
      </c>
      <c r="B10" s="202">
        <f>COLUMN('Subtransmission Calcs'!C4)</f>
        <v>3</v>
      </c>
      <c r="C10" s="202">
        <v>12</v>
      </c>
      <c r="D10" s="202">
        <v>21</v>
      </c>
      <c r="E10" s="202">
        <f>COLUMN('Subtransmission Calcs'!AE3)</f>
        <v>31</v>
      </c>
      <c r="F10" s="202">
        <f>COLUMN('Subtransmission Calcs'!AF3)</f>
        <v>32</v>
      </c>
      <c r="G10" s="149"/>
      <c r="L10" s="190"/>
      <c r="M10" s="190"/>
      <c r="O10" s="193"/>
      <c r="P10" s="153"/>
      <c r="Q10" s="153"/>
      <c r="R10" s="153"/>
      <c r="S10" s="153"/>
      <c r="T10" s="153"/>
      <c r="U10" s="153"/>
      <c r="W10" s="163"/>
    </row>
    <row r="11" spans="1:44" s="146" customFormat="1">
      <c r="A11" s="148"/>
      <c r="B11" s="148"/>
      <c r="C11" s="195"/>
      <c r="D11" s="149"/>
      <c r="E11" s="149"/>
      <c r="F11" s="149"/>
      <c r="G11" s="149"/>
      <c r="H11" s="196"/>
      <c r="I11" s="196"/>
      <c r="J11" s="196"/>
      <c r="K11" s="196"/>
      <c r="L11" s="196"/>
      <c r="M11" s="190"/>
      <c r="O11" s="193"/>
      <c r="P11" s="153"/>
      <c r="Q11" s="153"/>
      <c r="R11" s="153"/>
      <c r="S11" s="153"/>
      <c r="T11" s="153"/>
      <c r="U11" s="153"/>
      <c r="W11" s="163"/>
    </row>
    <row r="12" spans="1:44" s="6" customFormat="1">
      <c r="C12" s="31"/>
      <c r="D12" s="31"/>
      <c r="K12" s="153"/>
      <c r="L12" s="268"/>
      <c r="M12" s="163"/>
      <c r="N12" s="153" t="s">
        <v>289</v>
      </c>
      <c r="O12" s="153"/>
      <c r="P12" s="193"/>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row>
    <row r="13" spans="1:44" s="10" customFormat="1" ht="60">
      <c r="A13" s="18"/>
      <c r="B13" s="187" t="s">
        <v>275</v>
      </c>
      <c r="C13" s="187" t="s">
        <v>227</v>
      </c>
      <c r="D13" s="187" t="s">
        <v>229</v>
      </c>
      <c r="E13" s="187" t="s">
        <v>291</v>
      </c>
      <c r="F13" s="187" t="s">
        <v>226</v>
      </c>
      <c r="G13" s="187" t="s">
        <v>230</v>
      </c>
      <c r="H13" s="187" t="s">
        <v>276</v>
      </c>
      <c r="I13" s="187" t="s">
        <v>228</v>
      </c>
      <c r="J13" s="189" t="s">
        <v>281</v>
      </c>
      <c r="K13" s="189" t="s">
        <v>290</v>
      </c>
      <c r="L13" s="268"/>
      <c r="M13" s="187" t="s">
        <v>280</v>
      </c>
      <c r="N13" s="187" t="s">
        <v>285</v>
      </c>
      <c r="O13" s="275" t="s">
        <v>282</v>
      </c>
      <c r="P13" s="189" t="s">
        <v>290</v>
      </c>
      <c r="Q13" s="190"/>
      <c r="R13" s="164"/>
      <c r="S13" s="256"/>
      <c r="T13" s="190"/>
      <c r="U13" s="190"/>
      <c r="V13" s="190"/>
      <c r="W13" s="190"/>
      <c r="X13" s="190"/>
      <c r="Y13" s="190"/>
      <c r="Z13" s="190"/>
      <c r="AA13" s="190"/>
      <c r="AB13" s="190"/>
      <c r="AC13" s="190"/>
      <c r="AD13" s="190"/>
      <c r="AE13" s="190"/>
      <c r="AF13" s="190"/>
      <c r="AG13" s="190"/>
      <c r="AH13" s="190"/>
      <c r="AI13" s="190"/>
      <c r="AJ13" s="190"/>
      <c r="AK13" s="190"/>
      <c r="AL13" s="190"/>
      <c r="AM13" s="190"/>
      <c r="AN13" s="190"/>
    </row>
    <row r="14" spans="1:44" customFormat="1">
      <c r="A14" s="5" t="s">
        <v>0</v>
      </c>
      <c r="B14" s="19">
        <f>+'Subtransmission Calcs'!H5</f>
        <v>196.238</v>
      </c>
      <c r="C14" s="191">
        <f ca="1">+B14*$C$9</f>
        <v>135458.92433720134</v>
      </c>
      <c r="D14" s="279">
        <f t="shared" ref="D14:D27" ca="1" si="3">C14/$J14</f>
        <v>6.0038865022642086E-2</v>
      </c>
      <c r="E14" s="19">
        <f>+'Subtransmission Calcs'!Q5</f>
        <v>5.9989999999999997</v>
      </c>
      <c r="F14" s="191">
        <f ca="1">+E14*$D$9</f>
        <v>1489.7022789447242</v>
      </c>
      <c r="G14" s="278">
        <f t="shared" ref="G14:G27" ca="1" si="4">F14/$J14</f>
        <v>6.6027420848876117E-4</v>
      </c>
      <c r="H14" s="20">
        <f>+'Subtransmission Calcs'!Z5</f>
        <v>1426</v>
      </c>
      <c r="I14" s="191">
        <f ca="1">+H14*$E$9</f>
        <v>2119238.6661668965</v>
      </c>
      <c r="J14" s="274">
        <f t="shared" ref="J14:J26" ca="1" si="5">(I14+F14+C14)</f>
        <v>2256187.2927830424</v>
      </c>
      <c r="K14" s="106">
        <f t="shared" ref="K14:K27" ca="1" si="6">I14/J14</f>
        <v>0.93930086076886921</v>
      </c>
      <c r="L14" s="143"/>
      <c r="M14" s="20">
        <f>+'Subtransmission Calcs'!AD5</f>
        <v>31</v>
      </c>
      <c r="N14" s="191">
        <f ca="1">+M14*$F$9</f>
        <v>1240023.0948766796</v>
      </c>
      <c r="O14" s="276">
        <f t="shared" ref="O14:O26" ca="1" si="7">(N14+F14+C14)</f>
        <v>1376971.7214928255</v>
      </c>
      <c r="P14" s="106">
        <f ca="1">N14/O14</f>
        <v>0.90054361721555554</v>
      </c>
      <c r="Q14" s="261"/>
      <c r="R14" s="255"/>
      <c r="S14" s="256"/>
      <c r="T14" s="190"/>
      <c r="U14" s="190"/>
      <c r="V14" s="190"/>
      <c r="W14" s="190"/>
      <c r="X14" s="190"/>
      <c r="Y14" s="190"/>
      <c r="Z14" s="190"/>
      <c r="AA14" s="190"/>
      <c r="AB14" s="190"/>
      <c r="AC14" s="190"/>
      <c r="AD14" s="190"/>
      <c r="AE14" s="190"/>
      <c r="AF14" s="190"/>
      <c r="AG14" s="190"/>
      <c r="AH14" s="190"/>
      <c r="AI14" s="190"/>
      <c r="AJ14" s="190"/>
      <c r="AK14" s="190"/>
      <c r="AL14" s="190"/>
      <c r="AM14" s="190"/>
      <c r="AN14" s="190"/>
    </row>
    <row r="15" spans="1:44" customFormat="1">
      <c r="A15" s="5" t="s">
        <v>1</v>
      </c>
      <c r="B15" s="19">
        <f>+'Subtransmission Calcs'!H6</f>
        <v>1546.9</v>
      </c>
      <c r="C15" s="191">
        <f t="shared" ref="C15:C26" ca="1" si="8">+B15*$C$9</f>
        <v>1067792.2219815569</v>
      </c>
      <c r="D15" s="279">
        <f t="shared" ca="1" si="3"/>
        <v>2.7898978661619635E-2</v>
      </c>
      <c r="E15" s="19">
        <f>+'Subtransmission Calcs'!Q6</f>
        <v>629.048</v>
      </c>
      <c r="F15" s="191">
        <f t="shared" ref="F15:F26" ca="1" si="9">+E15*$D$9</f>
        <v>156208.40792892498</v>
      </c>
      <c r="G15" s="278">
        <f t="shared" ca="1" si="4"/>
        <v>4.081369904986934E-3</v>
      </c>
      <c r="H15" s="20">
        <f>+'Subtransmission Calcs'!Z6</f>
        <v>24930</v>
      </c>
      <c r="I15" s="191">
        <f t="shared" ref="I15:I26" ca="1" si="10">+H15*$E$9</f>
        <v>37049523.104867265</v>
      </c>
      <c r="J15" s="274">
        <f t="shared" ca="1" si="5"/>
        <v>38273523.734777741</v>
      </c>
      <c r="K15" s="106">
        <f t="shared" ca="1" si="6"/>
        <v>0.96801965143339352</v>
      </c>
      <c r="L15" s="143"/>
      <c r="M15" s="20">
        <f>+'Subtransmission Calcs'!AD6</f>
        <v>508</v>
      </c>
      <c r="N15" s="191">
        <f t="shared" ref="N15:N26" ca="1" si="11">+M15*$F$9</f>
        <v>20320378.457979139</v>
      </c>
      <c r="O15" s="276">
        <f t="shared" ca="1" si="7"/>
        <v>21544379.087889619</v>
      </c>
      <c r="P15" s="106">
        <f t="shared" ref="P15:P27" ca="1" si="12">N15/O15</f>
        <v>0.94318700831816926</v>
      </c>
      <c r="Q15" s="261"/>
      <c r="R15" s="255"/>
      <c r="S15" s="256"/>
      <c r="T15" s="190"/>
      <c r="U15" s="190"/>
      <c r="V15" s="190"/>
      <c r="W15" s="190"/>
      <c r="X15" s="190"/>
      <c r="Y15" s="190"/>
      <c r="Z15" s="190"/>
      <c r="AA15" s="190"/>
      <c r="AB15" s="190"/>
      <c r="AC15" s="190"/>
      <c r="AD15" s="190"/>
      <c r="AE15" s="190"/>
      <c r="AF15" s="190"/>
      <c r="AG15" s="190"/>
      <c r="AH15" s="190"/>
      <c r="AI15" s="190"/>
      <c r="AJ15" s="190"/>
      <c r="AK15" s="190"/>
      <c r="AL15" s="190"/>
      <c r="AM15" s="190"/>
      <c r="AN15" s="190"/>
    </row>
    <row r="16" spans="1:44" customFormat="1">
      <c r="A16" s="5" t="s">
        <v>2</v>
      </c>
      <c r="B16" s="19">
        <f>+'Subtransmission Calcs'!H7</f>
        <v>137.92933042654818</v>
      </c>
      <c r="C16" s="191">
        <f t="shared" ca="1" si="8"/>
        <v>95209.687900053148</v>
      </c>
      <c r="D16" s="279">
        <f t="shared" ca="1" si="3"/>
        <v>2.2781342629089516E-2</v>
      </c>
      <c r="E16" s="19">
        <f>+'Subtransmission Calcs'!Q7</f>
        <v>48.502279604002773</v>
      </c>
      <c r="F16" s="191">
        <f t="shared" ca="1" si="9"/>
        <v>12044.333465593791</v>
      </c>
      <c r="G16" s="278">
        <f t="shared" ca="1" si="4"/>
        <v>2.8819135265598129E-3</v>
      </c>
      <c r="H16" s="20">
        <f>+'Subtransmission Calcs'!Z7</f>
        <v>2740</v>
      </c>
      <c r="I16" s="191">
        <f t="shared" ca="1" si="10"/>
        <v>4072029.414654485</v>
      </c>
      <c r="J16" s="274">
        <f t="shared" ca="1" si="5"/>
        <v>4179283.4360201322</v>
      </c>
      <c r="K16" s="106">
        <f t="shared" ca="1" si="6"/>
        <v>0.97433674384435065</v>
      </c>
      <c r="L16" s="143"/>
      <c r="M16" s="20">
        <f>+'Subtransmission Calcs'!AD7</f>
        <v>74</v>
      </c>
      <c r="N16" s="191">
        <f t="shared" ca="1" si="11"/>
        <v>2960055.1297056223</v>
      </c>
      <c r="O16" s="276">
        <f t="shared" ca="1" si="7"/>
        <v>3067309.1510712695</v>
      </c>
      <c r="P16" s="106">
        <f t="shared" ca="1" si="12"/>
        <v>0.96503318834745155</v>
      </c>
      <c r="Q16" s="261"/>
      <c r="R16" s="255"/>
      <c r="S16" s="256"/>
      <c r="T16" s="190"/>
      <c r="U16" s="190"/>
      <c r="V16" s="190"/>
      <c r="W16" s="190"/>
      <c r="X16" s="190"/>
      <c r="Y16" s="190"/>
      <c r="Z16" s="190"/>
      <c r="AA16" s="190"/>
      <c r="AB16" s="190"/>
      <c r="AC16" s="190"/>
      <c r="AD16" s="190"/>
      <c r="AE16" s="190"/>
      <c r="AF16" s="190"/>
      <c r="AG16" s="190"/>
      <c r="AH16" s="190"/>
      <c r="AI16" s="190"/>
      <c r="AJ16" s="190"/>
      <c r="AK16" s="190"/>
      <c r="AL16" s="190"/>
      <c r="AM16" s="190"/>
      <c r="AN16" s="190"/>
    </row>
    <row r="17" spans="1:50" customFormat="1">
      <c r="A17" s="5" t="s">
        <v>3</v>
      </c>
      <c r="B17" s="19">
        <f>+'Subtransmission Calcs'!H8</f>
        <v>1769.4859999999999</v>
      </c>
      <c r="C17" s="191">
        <f t="shared" ca="1" si="8"/>
        <v>1221438.6112258432</v>
      </c>
      <c r="D17" s="279">
        <f t="shared" ca="1" si="3"/>
        <v>5.1469287031334875E-2</v>
      </c>
      <c r="E17" s="19">
        <f>+'Subtransmission Calcs'!Q8</f>
        <v>153.07999999999998</v>
      </c>
      <c r="F17" s="191">
        <f t="shared" ca="1" si="9"/>
        <v>38013.6064112116</v>
      </c>
      <c r="G17" s="278">
        <f t="shared" ca="1" si="4"/>
        <v>1.6018268961640674E-3</v>
      </c>
      <c r="H17" s="20">
        <f>+'Subtransmission Calcs'!Z8</f>
        <v>15121</v>
      </c>
      <c r="I17" s="191">
        <f t="shared" ca="1" si="10"/>
        <v>22471955.02882864</v>
      </c>
      <c r="J17" s="274">
        <f t="shared" ca="1" si="5"/>
        <v>23731407.246465694</v>
      </c>
      <c r="K17" s="106">
        <f t="shared" ca="1" si="6"/>
        <v>0.94692888607250103</v>
      </c>
      <c r="L17" s="143"/>
      <c r="M17" s="20">
        <f>+'Subtransmission Calcs'!AD8</f>
        <v>388</v>
      </c>
      <c r="N17" s="191">
        <f t="shared" ca="1" si="11"/>
        <v>15520289.058456507</v>
      </c>
      <c r="O17" s="276">
        <f t="shared" ca="1" si="7"/>
        <v>16779741.276093561</v>
      </c>
      <c r="P17" s="106">
        <f t="shared" ca="1" si="12"/>
        <v>0.92494209553567897</v>
      </c>
      <c r="Q17" s="261"/>
      <c r="R17" s="255"/>
      <c r="S17" s="256"/>
      <c r="T17" s="190"/>
      <c r="U17" s="190"/>
      <c r="V17" s="190"/>
      <c r="W17" s="190"/>
      <c r="X17" s="190"/>
      <c r="Y17" s="190"/>
      <c r="Z17" s="190"/>
      <c r="AA17" s="190"/>
      <c r="AB17" s="190"/>
      <c r="AC17" s="190"/>
      <c r="AD17" s="190"/>
      <c r="AE17" s="190"/>
      <c r="AF17" s="190"/>
      <c r="AG17" s="190"/>
      <c r="AH17" s="190"/>
      <c r="AI17" s="190"/>
      <c r="AJ17" s="190"/>
      <c r="AK17" s="190"/>
      <c r="AL17" s="190"/>
      <c r="AM17" s="190"/>
      <c r="AN17" s="190"/>
    </row>
    <row r="18" spans="1:50" customFormat="1">
      <c r="A18" s="5" t="s">
        <v>4</v>
      </c>
      <c r="B18" s="19">
        <f>+'Subtransmission Calcs'!H9</f>
        <v>1132.2460000000001</v>
      </c>
      <c r="C18" s="191">
        <f t="shared" ca="1" si="8"/>
        <v>781565.37085120555</v>
      </c>
      <c r="D18" s="279">
        <f t="shared" ca="1" si="3"/>
        <v>2.6042294667249975E-2</v>
      </c>
      <c r="E18" s="19">
        <f>+'Subtransmission Calcs'!Q9</f>
        <v>151.73699999999999</v>
      </c>
      <c r="F18" s="191">
        <f t="shared" ca="1" si="9"/>
        <v>37680.105801006102</v>
      </c>
      <c r="G18" s="278">
        <f t="shared" ca="1" si="4"/>
        <v>1.2555269910362642E-3</v>
      </c>
      <c r="H18" s="20">
        <f>+'Subtransmission Calcs'!Z9</f>
        <v>19642.899960875508</v>
      </c>
      <c r="I18" s="191">
        <f t="shared" ca="1" si="10"/>
        <v>29192141.032773905</v>
      </c>
      <c r="J18" s="274">
        <f t="shared" ca="1" si="5"/>
        <v>30011386.509426113</v>
      </c>
      <c r="K18" s="106">
        <f t="shared" ca="1" si="6"/>
        <v>0.97270217834171391</v>
      </c>
      <c r="L18" s="143"/>
      <c r="M18" s="20">
        <f>+'Subtransmission Calcs'!AD9</f>
        <v>394</v>
      </c>
      <c r="N18" s="191">
        <f t="shared" ca="1" si="11"/>
        <v>15760293.528432637</v>
      </c>
      <c r="O18" s="276">
        <f t="shared" ca="1" si="7"/>
        <v>16579539.00508485</v>
      </c>
      <c r="P18" s="106">
        <f t="shared" ca="1" si="12"/>
        <v>0.95058695682666727</v>
      </c>
      <c r="Q18" s="261"/>
      <c r="R18" s="255"/>
      <c r="S18" s="256"/>
      <c r="T18" s="190"/>
      <c r="U18" s="190"/>
      <c r="V18" s="190"/>
      <c r="W18" s="190"/>
      <c r="X18" s="190"/>
      <c r="Y18" s="190"/>
      <c r="Z18" s="190"/>
      <c r="AA18" s="190"/>
      <c r="AB18" s="190"/>
      <c r="AC18" s="190"/>
      <c r="AD18" s="190"/>
      <c r="AE18" s="190"/>
      <c r="AF18" s="190"/>
      <c r="AG18" s="190"/>
      <c r="AH18" s="190"/>
      <c r="AI18" s="190"/>
      <c r="AJ18" s="190"/>
      <c r="AK18" s="190"/>
      <c r="AL18" s="190"/>
      <c r="AM18" s="190"/>
      <c r="AN18" s="190"/>
    </row>
    <row r="19" spans="1:50" customFormat="1">
      <c r="A19" s="5" t="s">
        <v>5</v>
      </c>
      <c r="B19" s="19">
        <f>+'Subtransmission Calcs'!H10</f>
        <v>11278.320088603108</v>
      </c>
      <c r="C19" s="191">
        <f t="shared" ca="1" si="8"/>
        <v>7785184.8649742976</v>
      </c>
      <c r="D19" s="279">
        <f t="shared" ca="1" si="3"/>
        <v>0.36545606220448801</v>
      </c>
      <c r="E19" s="19">
        <f>+'Subtransmission Calcs'!Q10</f>
        <v>26.86389099682691</v>
      </c>
      <c r="F19" s="191">
        <f t="shared" ca="1" si="9"/>
        <v>6670.9784362886667</v>
      </c>
      <c r="G19" s="278">
        <f t="shared" ca="1" si="4"/>
        <v>3.1315242382303502E-4</v>
      </c>
      <c r="H19" s="20">
        <f>+'Subtransmission Calcs'!Z10</f>
        <v>9091.19</v>
      </c>
      <c r="I19" s="191">
        <f t="shared" ca="1" si="10"/>
        <v>13510800.399347704</v>
      </c>
      <c r="J19" s="274">
        <f t="shared" ca="1" si="5"/>
        <v>21302656.242758289</v>
      </c>
      <c r="K19" s="106">
        <f t="shared" ca="1" si="6"/>
        <v>0.63423078537168909</v>
      </c>
      <c r="L19" s="143"/>
      <c r="M19" s="20">
        <f>+'Subtransmission Calcs'!AD10</f>
        <v>428.99999999999994</v>
      </c>
      <c r="N19" s="191">
        <f t="shared" ca="1" si="11"/>
        <v>17160319.603293404</v>
      </c>
      <c r="O19" s="276">
        <f t="shared" ca="1" si="7"/>
        <v>24952175.446703989</v>
      </c>
      <c r="P19" s="106">
        <f t="shared" ca="1" si="12"/>
        <v>0.68772839626535109</v>
      </c>
      <c r="Q19" s="261"/>
      <c r="R19" s="255"/>
      <c r="S19" s="256"/>
      <c r="T19" s="190"/>
      <c r="U19" s="190"/>
      <c r="V19" s="190"/>
      <c r="W19" s="190"/>
      <c r="X19" s="190"/>
      <c r="Y19" s="190"/>
      <c r="Z19" s="190"/>
      <c r="AA19" s="190"/>
      <c r="AB19" s="190"/>
      <c r="AC19" s="190"/>
      <c r="AD19" s="190"/>
      <c r="AE19" s="190"/>
      <c r="AF19" s="190"/>
      <c r="AG19" s="190"/>
      <c r="AH19" s="190"/>
      <c r="AI19" s="190"/>
      <c r="AJ19" s="190"/>
      <c r="AK19" s="190"/>
      <c r="AL19" s="190"/>
      <c r="AM19" s="190"/>
      <c r="AN19" s="190"/>
    </row>
    <row r="20" spans="1:50" customFormat="1">
      <c r="A20" s="5" t="s">
        <v>6</v>
      </c>
      <c r="B20" s="19">
        <f>+'Subtransmission Calcs'!H11</f>
        <v>9708.3719999999994</v>
      </c>
      <c r="C20" s="191">
        <f t="shared" ca="1" si="8"/>
        <v>6701483.0368501712</v>
      </c>
      <c r="D20" s="279">
        <f t="shared" ca="1" si="3"/>
        <v>0.2916634181564029</v>
      </c>
      <c r="E20" s="19">
        <f>+'Subtransmission Calcs'!Q11</f>
        <v>37.200000000000003</v>
      </c>
      <c r="F20" s="191">
        <f t="shared" ca="1" si="9"/>
        <v>9237.6937450814712</v>
      </c>
      <c r="G20" s="278">
        <f t="shared" ca="1" si="4"/>
        <v>4.02044938225921E-4</v>
      </c>
      <c r="H20" s="20">
        <f>+'Subtransmission Calcs'!Z11</f>
        <v>10945.15</v>
      </c>
      <c r="I20" s="191">
        <f t="shared" ca="1" si="10"/>
        <v>16266048.44810421</v>
      </c>
      <c r="J20" s="274">
        <f t="shared" ca="1" si="5"/>
        <v>22976769.178699464</v>
      </c>
      <c r="K20" s="106">
        <f t="shared" ca="1" si="6"/>
        <v>0.70793453690537111</v>
      </c>
      <c r="L20" s="143"/>
      <c r="M20" s="20">
        <f>+'Subtransmission Calcs'!AD11</f>
        <v>567</v>
      </c>
      <c r="N20" s="191">
        <f t="shared" ca="1" si="11"/>
        <v>22680422.412744429</v>
      </c>
      <c r="O20" s="276">
        <f t="shared" ca="1" si="7"/>
        <v>29391143.143339679</v>
      </c>
      <c r="P20" s="106">
        <f t="shared" ca="1" si="12"/>
        <v>0.7716754092255862</v>
      </c>
      <c r="Q20" s="261"/>
      <c r="R20" s="255"/>
      <c r="S20" s="256"/>
      <c r="T20" s="190"/>
      <c r="U20" s="190"/>
      <c r="V20" s="190"/>
      <c r="W20" s="190"/>
      <c r="X20" s="190"/>
      <c r="Y20" s="190"/>
      <c r="Z20" s="190"/>
      <c r="AA20" s="190"/>
      <c r="AB20" s="190"/>
      <c r="AC20" s="190"/>
      <c r="AD20" s="190"/>
      <c r="AE20" s="190"/>
      <c r="AF20" s="190"/>
      <c r="AG20" s="190"/>
      <c r="AH20" s="190"/>
      <c r="AI20" s="190"/>
      <c r="AJ20" s="190"/>
      <c r="AK20" s="190"/>
      <c r="AL20" s="190"/>
      <c r="AM20" s="190"/>
      <c r="AN20" s="190"/>
    </row>
    <row r="21" spans="1:50" customFormat="1">
      <c r="A21" s="5" t="s">
        <v>7</v>
      </c>
      <c r="B21" s="19">
        <f>+'Subtransmission Calcs'!H12</f>
        <v>293.41772374999999</v>
      </c>
      <c r="C21" s="191">
        <f t="shared" ca="1" si="8"/>
        <v>202540.02405571344</v>
      </c>
      <c r="D21" s="279">
        <f t="shared" ca="1" si="3"/>
        <v>7.6918751218551226E-2</v>
      </c>
      <c r="E21" s="19">
        <f>+'Subtransmission Calcs'!Q12</f>
        <v>13.339105</v>
      </c>
      <c r="F21" s="191">
        <f t="shared" ca="1" si="9"/>
        <v>3312.4345920291657</v>
      </c>
      <c r="G21" s="278">
        <f t="shared" ca="1" si="4"/>
        <v>1.2579653503049307E-3</v>
      </c>
      <c r="H21" s="20">
        <f>+'Subtransmission Calcs'!Z12</f>
        <v>1633.3</v>
      </c>
      <c r="I21" s="191">
        <f t="shared" ca="1" si="10"/>
        <v>2427315.9280858287</v>
      </c>
      <c r="J21" s="274">
        <f t="shared" ca="1" si="5"/>
        <v>2633168.3867335711</v>
      </c>
      <c r="K21" s="106">
        <f t="shared" ca="1" si="6"/>
        <v>0.92182328343114395</v>
      </c>
      <c r="L21" s="143"/>
      <c r="M21" s="20">
        <f>+'Subtransmission Calcs'!AD12</f>
        <v>61</v>
      </c>
      <c r="N21" s="191">
        <f t="shared" ca="1" si="11"/>
        <v>2440045.4447573372</v>
      </c>
      <c r="O21" s="276">
        <f t="shared" ca="1" si="7"/>
        <v>2645897.9034050796</v>
      </c>
      <c r="P21" s="106">
        <f t="shared" ca="1" si="12"/>
        <v>0.92219939462409906</v>
      </c>
      <c r="Q21" s="261"/>
      <c r="R21" s="255"/>
      <c r="S21" s="256"/>
      <c r="T21" s="190"/>
      <c r="U21" s="190"/>
      <c r="V21" s="190"/>
      <c r="W21" s="190"/>
      <c r="X21" s="190"/>
      <c r="Y21" s="190"/>
      <c r="Z21" s="190"/>
      <c r="AA21" s="190"/>
      <c r="AB21" s="190"/>
      <c r="AC21" s="190"/>
      <c r="AD21" s="190"/>
      <c r="AE21" s="190"/>
      <c r="AF21" s="190"/>
      <c r="AG21" s="190"/>
      <c r="AH21" s="190"/>
      <c r="AI21" s="190"/>
      <c r="AJ21" s="190"/>
      <c r="AK21" s="190"/>
      <c r="AL21" s="190"/>
      <c r="AM21" s="190"/>
      <c r="AN21" s="190"/>
    </row>
    <row r="22" spans="1:50" customFormat="1">
      <c r="A22" s="5" t="s">
        <v>8</v>
      </c>
      <c r="B22" s="19">
        <f>+'Subtransmission Calcs'!H13</f>
        <v>3158.4036523714585</v>
      </c>
      <c r="C22" s="191">
        <f t="shared" ca="1" si="8"/>
        <v>2180178.9733534064</v>
      </c>
      <c r="D22" s="279">
        <f t="shared" ca="1" si="3"/>
        <v>0.31450718991554544</v>
      </c>
      <c r="E22" s="19">
        <f>+'Subtransmission Calcs'!Q13</f>
        <v>2.7092640738164961</v>
      </c>
      <c r="F22" s="191">
        <f t="shared" ca="1" si="9"/>
        <v>672.77827388356422</v>
      </c>
      <c r="G22" s="278">
        <f t="shared" ca="1" si="4"/>
        <v>9.7053318530951501E-5</v>
      </c>
      <c r="H22" s="20">
        <f>+'Subtransmission Calcs'!Z13</f>
        <v>3197</v>
      </c>
      <c r="I22" s="191">
        <f t="shared" ca="1" si="10"/>
        <v>4751196.3644709447</v>
      </c>
      <c r="J22" s="274">
        <f t="shared" ca="1" si="5"/>
        <v>6932048.1160982344</v>
      </c>
      <c r="K22" s="106">
        <f t="shared" ca="1" si="6"/>
        <v>0.68539575676592368</v>
      </c>
      <c r="L22" s="143"/>
      <c r="M22" s="20">
        <f>+'Subtransmission Calcs'!AD13</f>
        <v>140</v>
      </c>
      <c r="N22" s="191">
        <f t="shared" ca="1" si="11"/>
        <v>5600104.2994430689</v>
      </c>
      <c r="O22" s="276">
        <f t="shared" ca="1" si="7"/>
        <v>7780956.0510703586</v>
      </c>
      <c r="P22" s="106">
        <f t="shared" ca="1" si="12"/>
        <v>0.71971930733019773</v>
      </c>
      <c r="Q22" s="261"/>
      <c r="R22" s="255"/>
      <c r="S22" s="256"/>
      <c r="T22" s="190"/>
      <c r="U22" s="190"/>
      <c r="V22" s="190"/>
      <c r="W22" s="190"/>
      <c r="X22" s="190"/>
      <c r="Y22" s="190"/>
      <c r="Z22" s="190"/>
      <c r="AA22" s="190"/>
      <c r="AB22" s="190"/>
      <c r="AC22" s="190"/>
      <c r="AD22" s="190"/>
      <c r="AE22" s="190"/>
      <c r="AF22" s="190"/>
      <c r="AG22" s="190"/>
      <c r="AH22" s="190"/>
      <c r="AI22" s="190"/>
      <c r="AJ22" s="190"/>
      <c r="AK22" s="190"/>
      <c r="AL22" s="190"/>
      <c r="AM22" s="190"/>
      <c r="AN22" s="190"/>
    </row>
    <row r="23" spans="1:50" customFormat="1">
      <c r="A23" s="5" t="s">
        <v>9</v>
      </c>
      <c r="B23" s="19">
        <f>+'Subtransmission Calcs'!H14</f>
        <v>1415.2460266288888</v>
      </c>
      <c r="C23" s="191">
        <f t="shared" ca="1" si="8"/>
        <v>976914.2798012998</v>
      </c>
      <c r="D23" s="279">
        <f t="shared" ca="1" si="3"/>
        <v>0.10561293650908639</v>
      </c>
      <c r="E23" s="19">
        <f>+'Subtransmission Calcs'!Q14</f>
        <v>42.465529608888886</v>
      </c>
      <c r="F23" s="191">
        <f t="shared" ca="1" si="9"/>
        <v>10545.256915311958</v>
      </c>
      <c r="G23" s="278">
        <f t="shared" ca="1" si="4"/>
        <v>1.1400340563098034E-3</v>
      </c>
      <c r="H23" s="20">
        <f>+'Subtransmission Calcs'!Z14</f>
        <v>5559.6900000000014</v>
      </c>
      <c r="I23" s="191">
        <f t="shared" ca="1" si="10"/>
        <v>8262489.4950220436</v>
      </c>
      <c r="J23" s="274">
        <f t="shared" ca="1" si="5"/>
        <v>9249949.0317386556</v>
      </c>
      <c r="K23" s="106">
        <f t="shared" ca="1" si="6"/>
        <v>0.89324702943460377</v>
      </c>
      <c r="L23" s="143"/>
      <c r="M23" s="20">
        <f>+'Subtransmission Calcs'!AD14</f>
        <v>241</v>
      </c>
      <c r="N23" s="191">
        <f t="shared" ca="1" si="11"/>
        <v>9640179.5440412834</v>
      </c>
      <c r="O23" s="276">
        <f t="shared" ca="1" si="7"/>
        <v>10627639.080757895</v>
      </c>
      <c r="P23" s="106">
        <f t="shared" ca="1" si="12"/>
        <v>0.907085710268005</v>
      </c>
      <c r="Q23" s="261"/>
      <c r="R23" s="255"/>
      <c r="S23" s="256"/>
      <c r="T23" s="190"/>
      <c r="U23" s="190"/>
      <c r="V23" s="190"/>
      <c r="W23" s="190"/>
      <c r="X23" s="190"/>
      <c r="Y23" s="190"/>
      <c r="Z23" s="190"/>
      <c r="AA23" s="190"/>
      <c r="AB23" s="190"/>
      <c r="AC23" s="190"/>
      <c r="AD23" s="190"/>
      <c r="AE23" s="190"/>
      <c r="AF23" s="190"/>
      <c r="AG23" s="190"/>
      <c r="AH23" s="190"/>
      <c r="AI23" s="190"/>
      <c r="AJ23" s="190"/>
      <c r="AK23" s="190"/>
      <c r="AL23" s="190"/>
      <c r="AM23" s="190"/>
      <c r="AN23" s="190"/>
    </row>
    <row r="24" spans="1:50" customFormat="1">
      <c r="A24" s="5" t="s">
        <v>10</v>
      </c>
      <c r="B24" s="19">
        <f>+'Subtransmission Calcs'!H15</f>
        <v>2386.9938749999997</v>
      </c>
      <c r="C24" s="191">
        <f t="shared" ca="1" si="8"/>
        <v>1647691.1847195139</v>
      </c>
      <c r="D24" s="279">
        <f t="shared" ca="1" si="3"/>
        <v>0.24946953224252702</v>
      </c>
      <c r="E24" s="19">
        <f>+'Subtransmission Calcs'!Q15</f>
        <v>4.7341250000000006</v>
      </c>
      <c r="F24" s="191">
        <f t="shared" ca="1" si="9"/>
        <v>1175.6020672294039</v>
      </c>
      <c r="G24" s="278">
        <f t="shared" ca="1" si="4"/>
        <v>1.7799263632340892E-4</v>
      </c>
      <c r="H24" s="20">
        <f>+'Subtransmission Calcs'!Z15</f>
        <v>3334.75</v>
      </c>
      <c r="I24" s="191">
        <f t="shared" ca="1" si="10"/>
        <v>4955912.4417952718</v>
      </c>
      <c r="J24" s="274">
        <f t="shared" ca="1" si="5"/>
        <v>6604779.2285820153</v>
      </c>
      <c r="K24" s="106">
        <f t="shared" ca="1" si="6"/>
        <v>0.75035247512114955</v>
      </c>
      <c r="L24" s="143"/>
      <c r="M24" s="20">
        <f>+'Subtransmission Calcs'!AD15</f>
        <v>132.60000000000002</v>
      </c>
      <c r="N24" s="191">
        <f t="shared" ca="1" si="11"/>
        <v>5304098.7864725078</v>
      </c>
      <c r="O24" s="276">
        <f t="shared" ca="1" si="7"/>
        <v>6952965.5732592512</v>
      </c>
      <c r="P24" s="106">
        <f t="shared" ca="1" si="12"/>
        <v>0.76285417072562522</v>
      </c>
      <c r="Q24" s="261"/>
      <c r="R24" s="255"/>
      <c r="S24" s="256"/>
      <c r="T24" s="190"/>
      <c r="U24" s="190"/>
      <c r="V24" s="190"/>
      <c r="W24" s="190"/>
      <c r="X24" s="190"/>
      <c r="Y24" s="190"/>
      <c r="Z24" s="190"/>
      <c r="AA24" s="190"/>
      <c r="AB24" s="190"/>
      <c r="AC24" s="190"/>
      <c r="AD24" s="190"/>
      <c r="AE24" s="190"/>
      <c r="AF24" s="190"/>
      <c r="AG24" s="190"/>
      <c r="AH24" s="190"/>
      <c r="AI24" s="190"/>
      <c r="AJ24" s="190"/>
      <c r="AK24" s="190"/>
      <c r="AL24" s="190"/>
      <c r="AM24" s="190"/>
      <c r="AN24" s="190"/>
    </row>
    <row r="25" spans="1:50" customFormat="1">
      <c r="A25" s="5" t="s">
        <v>11</v>
      </c>
      <c r="B25" s="19">
        <f>+'Subtransmission Calcs'!H16</f>
        <v>46.6</v>
      </c>
      <c r="C25" s="191">
        <f t="shared" ca="1" si="8"/>
        <v>32166.990461141992</v>
      </c>
      <c r="D25" s="279">
        <f t="shared" ca="1" si="3"/>
        <v>3.1069824156095698E-2</v>
      </c>
      <c r="E25" s="19">
        <f>+'Subtransmission Calcs'!Q16</f>
        <v>0</v>
      </c>
      <c r="F25" s="191">
        <f t="shared" ca="1" si="9"/>
        <v>0</v>
      </c>
      <c r="G25" s="278">
        <f t="shared" ca="1" si="4"/>
        <v>0</v>
      </c>
      <c r="H25" s="20">
        <f>+'Subtransmission Calcs'!Z16</f>
        <v>675</v>
      </c>
      <c r="I25" s="191">
        <f t="shared" ca="1" si="10"/>
        <v>1003145.9324422545</v>
      </c>
      <c r="J25" s="274">
        <f t="shared" ca="1" si="5"/>
        <v>1035312.9229033965</v>
      </c>
      <c r="K25" s="106">
        <f t="shared" ca="1" si="6"/>
        <v>0.96893017584390428</v>
      </c>
      <c r="L25" s="143"/>
      <c r="M25" s="20"/>
      <c r="N25" s="191">
        <f t="shared" ca="1" si="11"/>
        <v>0</v>
      </c>
      <c r="O25" s="276">
        <f t="shared" ca="1" si="7"/>
        <v>32166.990461141992</v>
      </c>
      <c r="P25" s="106">
        <f t="shared" ca="1" si="12"/>
        <v>0</v>
      </c>
      <c r="Q25" s="261"/>
      <c r="R25" s="255"/>
      <c r="S25" s="256"/>
      <c r="T25" s="190"/>
      <c r="U25" s="190"/>
      <c r="V25" s="190"/>
      <c r="W25" s="190"/>
      <c r="X25" s="190"/>
      <c r="Y25" s="190"/>
      <c r="Z25" s="190"/>
      <c r="AA25" s="190"/>
      <c r="AB25" s="190"/>
      <c r="AC25" s="190"/>
      <c r="AD25" s="190"/>
      <c r="AE25" s="190"/>
      <c r="AF25" s="190"/>
      <c r="AG25" s="190"/>
      <c r="AH25" s="190"/>
      <c r="AI25" s="190"/>
      <c r="AJ25" s="190"/>
      <c r="AK25" s="190"/>
      <c r="AL25" s="190"/>
      <c r="AM25" s="190"/>
      <c r="AN25" s="190"/>
    </row>
    <row r="26" spans="1:50" customFormat="1">
      <c r="A26" s="12" t="s">
        <v>12</v>
      </c>
      <c r="B26" s="19">
        <f>+'Subtransmission Calcs'!H17</f>
        <v>634.67500000000007</v>
      </c>
      <c r="C26" s="191">
        <f t="shared" ca="1" si="8"/>
        <v>438102.67534174456</v>
      </c>
      <c r="D26" s="279">
        <f t="shared" ca="1" si="3"/>
        <v>8.295920969501043E-2</v>
      </c>
      <c r="E26" s="19">
        <f>+'Subtransmission Calcs'!Q17</f>
        <v>3.9750000000000001</v>
      </c>
      <c r="F26" s="191">
        <f t="shared" ca="1" si="9"/>
        <v>987.09227518007651</v>
      </c>
      <c r="G26" s="279">
        <f t="shared" ca="1" si="4"/>
        <v>1.869159894563789E-4</v>
      </c>
      <c r="H26" s="20">
        <f>+'Subtransmission Calcs'!Z17</f>
        <v>3258</v>
      </c>
      <c r="I26" s="191">
        <f t="shared" ca="1" si="10"/>
        <v>4841851.0339212818</v>
      </c>
      <c r="J26" s="274">
        <f t="shared" ca="1" si="5"/>
        <v>5280940.8015382066</v>
      </c>
      <c r="K26" s="106">
        <f t="shared" ca="1" si="6"/>
        <v>0.91685387431553311</v>
      </c>
      <c r="L26" s="143"/>
      <c r="M26" s="20">
        <f>+'Subtransmission Calcs'!AD17</f>
        <v>104</v>
      </c>
      <c r="N26" s="191">
        <f t="shared" ca="1" si="11"/>
        <v>4160077.47958628</v>
      </c>
      <c r="O26" s="276">
        <f t="shared" ca="1" si="7"/>
        <v>4599167.2472032048</v>
      </c>
      <c r="P26" s="106">
        <f t="shared" ca="1" si="12"/>
        <v>0.90452841916459126</v>
      </c>
      <c r="Q26" s="261"/>
      <c r="R26" s="255"/>
      <c r="S26" s="256"/>
      <c r="T26" s="190"/>
      <c r="U26" s="190"/>
      <c r="V26" s="190"/>
      <c r="W26" s="190"/>
      <c r="X26" s="190"/>
      <c r="Y26" s="190"/>
      <c r="Z26" s="190"/>
      <c r="AA26" s="190"/>
      <c r="AB26" s="190"/>
      <c r="AC26" s="190"/>
      <c r="AD26" s="190"/>
      <c r="AE26" s="190"/>
      <c r="AF26" s="190"/>
      <c r="AG26" s="190"/>
      <c r="AH26" s="190"/>
      <c r="AI26" s="190"/>
      <c r="AJ26" s="190"/>
      <c r="AK26" s="190"/>
      <c r="AL26" s="190"/>
      <c r="AM26" s="190"/>
      <c r="AN26" s="190"/>
    </row>
    <row r="27" spans="1:50" customFormat="1">
      <c r="C27" s="191">
        <f ca="1">SUM(C14:C26)</f>
        <v>23265726.84585315</v>
      </c>
      <c r="D27" s="280">
        <f t="shared" ca="1" si="3"/>
        <v>0.13335285118297069</v>
      </c>
      <c r="F27" s="188">
        <f ca="1">SUM(F14:F26)</f>
        <v>278037.99219068547</v>
      </c>
      <c r="G27" s="280">
        <f t="shared" ca="1" si="4"/>
        <v>1.5936385414249384E-3</v>
      </c>
      <c r="H27" s="6"/>
      <c r="I27" s="191">
        <f ca="1">SUM(I14:I26)</f>
        <v>150923647.2904807</v>
      </c>
      <c r="J27" s="274">
        <f ca="1">SUM(J14:J26)</f>
        <v>174467412.12852454</v>
      </c>
      <c r="K27" s="106">
        <f t="shared" ca="1" si="6"/>
        <v>0.8650535102756044</v>
      </c>
      <c r="L27" s="143"/>
      <c r="M27" s="42"/>
      <c r="N27" s="188">
        <f ca="1">SUM(N14:N26)</f>
        <v>122786286.8397889</v>
      </c>
      <c r="O27" s="277">
        <f ca="1">SUM(O14:O26)</f>
        <v>146330051.67783275</v>
      </c>
      <c r="P27" s="106">
        <f t="shared" ca="1" si="12"/>
        <v>0.83910506032022092</v>
      </c>
      <c r="Q27" s="248"/>
      <c r="R27" s="257"/>
      <c r="S27" s="258"/>
      <c r="T27" s="190"/>
      <c r="U27" s="190"/>
      <c r="V27" s="190"/>
      <c r="W27" s="190"/>
      <c r="X27" s="190"/>
      <c r="Y27" s="190"/>
      <c r="Z27" s="190"/>
      <c r="AA27" s="190"/>
      <c r="AB27" s="190"/>
      <c r="AC27" s="190"/>
      <c r="AD27" s="190"/>
      <c r="AE27" s="190"/>
      <c r="AF27" s="190"/>
      <c r="AG27" s="190"/>
      <c r="AH27" s="190"/>
      <c r="AI27" s="190"/>
      <c r="AJ27" s="190"/>
      <c r="AK27" s="190"/>
      <c r="AL27" s="190"/>
      <c r="AM27" s="190"/>
      <c r="AN27" s="190"/>
    </row>
    <row r="28" spans="1:50" customFormat="1">
      <c r="A28" s="190"/>
      <c r="B28" s="190"/>
      <c r="C28" s="190"/>
      <c r="D28" s="190"/>
      <c r="E28" s="190"/>
      <c r="F28" s="190"/>
      <c r="G28" s="190"/>
      <c r="H28" s="190"/>
      <c r="I28" s="190"/>
      <c r="J28" s="6"/>
      <c r="L28" s="268"/>
      <c r="M28" s="6"/>
      <c r="N28" s="190"/>
      <c r="O28" s="190"/>
      <c r="P28" s="3"/>
      <c r="Q28" s="190"/>
      <c r="R28" s="190"/>
      <c r="S28" s="190"/>
      <c r="T28" s="190"/>
      <c r="U28" s="153"/>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row>
    <row r="29" spans="1:50" customFormat="1">
      <c r="A29" s="190"/>
      <c r="B29" s="190"/>
      <c r="C29" s="190"/>
      <c r="D29" s="190"/>
      <c r="E29" s="190"/>
      <c r="F29" s="190"/>
      <c r="G29" s="190"/>
      <c r="H29" s="190"/>
      <c r="I29" s="190"/>
      <c r="J29" s="6"/>
      <c r="K29" s="143"/>
      <c r="L29" s="143"/>
      <c r="M29" s="6"/>
      <c r="N29" s="190"/>
      <c r="O29" s="190"/>
      <c r="P29" s="272"/>
      <c r="Q29" s="190"/>
      <c r="R29" s="190"/>
      <c r="S29" s="190"/>
      <c r="T29" s="190"/>
      <c r="U29" s="153"/>
      <c r="V29" s="153"/>
      <c r="X29" s="163"/>
    </row>
    <row r="30" spans="1:50" customFormat="1">
      <c r="A30" s="3"/>
      <c r="B30" s="254"/>
      <c r="C30" s="3"/>
      <c r="D30" s="3"/>
      <c r="E30" s="254"/>
      <c r="F30" s="3"/>
      <c r="G30" s="3"/>
      <c r="H30" s="254"/>
      <c r="I30" s="3"/>
      <c r="J30" s="146"/>
      <c r="K30" s="143"/>
      <c r="L30" s="143"/>
      <c r="M30" s="6"/>
      <c r="N30" s="190"/>
      <c r="O30" s="190"/>
      <c r="P30" s="3"/>
      <c r="Q30" s="190"/>
      <c r="R30" s="190"/>
      <c r="S30" s="190"/>
      <c r="T30" s="190"/>
      <c r="U30" s="153"/>
      <c r="V30" s="153"/>
      <c r="X30" s="163"/>
    </row>
    <row r="31" spans="1:50">
      <c r="K31" s="271"/>
      <c r="L31" s="271"/>
    </row>
    <row r="32" spans="1:50">
      <c r="K32" s="271"/>
      <c r="L32" s="271"/>
    </row>
    <row r="33" spans="1:11">
      <c r="A33" s="69"/>
      <c r="K33" s="271"/>
    </row>
    <row r="34" spans="1:11">
      <c r="A34" s="69"/>
      <c r="K34" s="271"/>
    </row>
    <row r="35" spans="1:11">
      <c r="A35" s="69"/>
      <c r="K35" s="271"/>
    </row>
    <row r="36" spans="1:11">
      <c r="A36" s="69"/>
      <c r="K36" s="271"/>
    </row>
    <row r="37" spans="1:11">
      <c r="A37" s="69"/>
      <c r="K37" s="271"/>
    </row>
    <row r="38" spans="1:11">
      <c r="A38" s="69"/>
      <c r="K38" s="271"/>
    </row>
    <row r="39" spans="1:11">
      <c r="A39" s="69"/>
      <c r="K39" s="271"/>
    </row>
    <row r="40" spans="1:11">
      <c r="A40" s="69"/>
      <c r="K40" s="271"/>
    </row>
    <row r="41" spans="1:11">
      <c r="A41" s="69"/>
      <c r="K41" s="271"/>
    </row>
    <row r="42" spans="1:11">
      <c r="A42" s="69"/>
      <c r="E42" s="272"/>
      <c r="F42" s="203"/>
      <c r="G42" s="273"/>
    </row>
    <row r="43" spans="1:11">
      <c r="A43" s="69"/>
    </row>
    <row r="44" spans="1:11">
      <c r="A44" s="69"/>
    </row>
  </sheetData>
  <sortState ref="R7:R12">
    <sortCondition ref="R7:R12"/>
  </sortState>
  <dataValidations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C5" sqref="C5"/>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7.28515625" style="7" customWidth="1"/>
    <col min="9" max="9" width="15.28515625" style="7" customWidth="1"/>
    <col min="10" max="10" width="17.85546875" style="7" bestFit="1" customWidth="1"/>
    <col min="11"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8.42578125" style="7" bestFit="1" customWidth="1"/>
    <col min="18" max="20" width="12.28515625" style="7" customWidth="1"/>
    <col min="21" max="21" width="14.28515625" style="15" bestFit="1" customWidth="1"/>
    <col min="22" max="22" width="4.28515625" style="193" customWidth="1"/>
    <col min="23" max="23" width="19.42578125" style="7" bestFit="1" customWidth="1"/>
    <col min="24" max="25" width="14.7109375" style="7" bestFit="1" customWidth="1"/>
    <col min="26" max="26" width="17.85546875" style="7" bestFit="1" customWidth="1"/>
    <col min="27" max="27" width="17.28515625" style="7" bestFit="1" customWidth="1"/>
    <col min="28" max="28" width="11.5703125" style="7" bestFit="1" customWidth="1"/>
    <col min="29" max="30" width="11.5703125" style="193" customWidth="1"/>
    <col min="31" max="31" width="13.28515625" style="7" customWidth="1"/>
    <col min="32" max="32" width="13.42578125" style="147" bestFit="1" customWidth="1"/>
    <col min="33" max="34" width="12.28515625" style="193"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193">
        <f>B1+1</f>
        <v>3</v>
      </c>
      <c r="D1" s="193">
        <f t="shared" ref="D1:Z1" si="0">C1+1</f>
        <v>4</v>
      </c>
      <c r="E1" s="193">
        <f t="shared" si="0"/>
        <v>5</v>
      </c>
      <c r="F1" s="193">
        <f t="shared" si="0"/>
        <v>6</v>
      </c>
      <c r="G1" s="193">
        <f t="shared" si="0"/>
        <v>7</v>
      </c>
      <c r="H1" s="193">
        <f t="shared" si="0"/>
        <v>8</v>
      </c>
      <c r="I1" s="193">
        <f t="shared" si="0"/>
        <v>9</v>
      </c>
      <c r="J1" s="193">
        <f t="shared" si="0"/>
        <v>10</v>
      </c>
      <c r="K1" s="193">
        <f t="shared" si="0"/>
        <v>11</v>
      </c>
      <c r="L1" s="193">
        <f t="shared" si="0"/>
        <v>12</v>
      </c>
      <c r="M1" s="193">
        <f t="shared" si="0"/>
        <v>13</v>
      </c>
      <c r="N1" s="193">
        <f t="shared" si="0"/>
        <v>14</v>
      </c>
      <c r="O1" s="193">
        <f t="shared" si="0"/>
        <v>15</v>
      </c>
      <c r="P1" s="193">
        <f t="shared" si="0"/>
        <v>16</v>
      </c>
      <c r="Q1" s="193">
        <f t="shared" si="0"/>
        <v>17</v>
      </c>
      <c r="R1" s="193">
        <f t="shared" si="0"/>
        <v>18</v>
      </c>
      <c r="S1" s="193">
        <f t="shared" si="0"/>
        <v>19</v>
      </c>
      <c r="T1" s="193">
        <f t="shared" si="0"/>
        <v>20</v>
      </c>
      <c r="U1" s="15">
        <f t="shared" si="0"/>
        <v>21</v>
      </c>
      <c r="V1" s="193" t="s">
        <v>287</v>
      </c>
      <c r="W1" s="193">
        <f>U1+1</f>
        <v>22</v>
      </c>
      <c r="X1" s="193">
        <f t="shared" si="0"/>
        <v>23</v>
      </c>
      <c r="Y1" s="193">
        <f t="shared" si="0"/>
        <v>24</v>
      </c>
      <c r="Z1" s="193">
        <f t="shared" si="0"/>
        <v>25</v>
      </c>
      <c r="AA1" s="193">
        <f t="shared" ref="AA1" si="1">Z1+1</f>
        <v>26</v>
      </c>
      <c r="AB1" s="193">
        <f t="shared" ref="AB1" si="2">AA1+1</f>
        <v>27</v>
      </c>
      <c r="AC1" s="193">
        <f t="shared" ref="AC1" si="3">AB1+1</f>
        <v>28</v>
      </c>
      <c r="AD1" s="193">
        <f t="shared" ref="AD1" si="4">AC1+1</f>
        <v>29</v>
      </c>
      <c r="AE1" s="193">
        <f>AD1+1</f>
        <v>30</v>
      </c>
      <c r="AF1" s="193">
        <f t="shared" ref="AF1" si="5">AE1+1</f>
        <v>31</v>
      </c>
      <c r="AI1" s="147"/>
    </row>
    <row r="2" spans="1:45">
      <c r="A2" s="23"/>
      <c r="B2" s="24"/>
      <c r="C2" s="24"/>
      <c r="D2" s="24"/>
      <c r="E2" s="25" t="s">
        <v>22</v>
      </c>
      <c r="F2" s="25"/>
      <c r="G2" s="25"/>
      <c r="H2" s="25"/>
      <c r="I2" s="25"/>
      <c r="J2" s="25"/>
      <c r="K2" s="25"/>
      <c r="L2" s="25"/>
      <c r="M2" s="25"/>
      <c r="N2" s="25" t="s">
        <v>26</v>
      </c>
      <c r="O2" s="25"/>
      <c r="P2" s="25"/>
      <c r="Q2" s="25"/>
      <c r="R2" s="25"/>
      <c r="S2" s="25"/>
      <c r="T2" s="25"/>
      <c r="U2" s="269"/>
      <c r="V2" s="249"/>
      <c r="W2" s="25" t="s">
        <v>27</v>
      </c>
      <c r="X2" s="25"/>
      <c r="Y2" s="25"/>
      <c r="Z2" s="25"/>
      <c r="AA2" s="25"/>
      <c r="AB2" s="25"/>
      <c r="AC2" s="249"/>
      <c r="AD2" s="249"/>
      <c r="AE2" s="12"/>
      <c r="AF2" s="260"/>
      <c r="AG2" s="3"/>
      <c r="AH2" s="3"/>
      <c r="AI2" s="3"/>
      <c r="AJ2" s="3"/>
      <c r="AL2" s="193"/>
      <c r="AM2" s="193"/>
      <c r="AN2" s="193"/>
      <c r="AO2" s="193"/>
      <c r="AP2" s="193"/>
      <c r="AQ2" s="193"/>
      <c r="AR2" s="193"/>
      <c r="AS2" s="193"/>
    </row>
    <row r="3" spans="1:45" s="14" customFormat="1" ht="60.75" customHeight="1">
      <c r="A3" s="26"/>
      <c r="B3" s="27"/>
      <c r="C3" s="27"/>
      <c r="D3" s="27" t="s">
        <v>18</v>
      </c>
      <c r="E3" s="28" t="s">
        <v>14</v>
      </c>
      <c r="F3" s="28" t="s">
        <v>14</v>
      </c>
      <c r="G3" s="28" t="s">
        <v>14</v>
      </c>
      <c r="H3" s="29" t="s">
        <v>273</v>
      </c>
      <c r="I3" s="29" t="s">
        <v>273</v>
      </c>
      <c r="J3" s="29" t="s">
        <v>37</v>
      </c>
      <c r="K3" s="28" t="s">
        <v>39</v>
      </c>
      <c r="L3" s="29" t="s">
        <v>36</v>
      </c>
      <c r="M3" s="29"/>
      <c r="N3" s="28" t="s">
        <v>14</v>
      </c>
      <c r="O3" s="28" t="s">
        <v>14</v>
      </c>
      <c r="P3" s="28" t="s">
        <v>14</v>
      </c>
      <c r="Q3" s="29" t="s">
        <v>37</v>
      </c>
      <c r="R3" s="29" t="s">
        <v>274</v>
      </c>
      <c r="S3" s="28" t="s">
        <v>39</v>
      </c>
      <c r="T3" s="28" t="s">
        <v>39</v>
      </c>
      <c r="U3" s="270" t="s">
        <v>36</v>
      </c>
      <c r="V3" s="250"/>
      <c r="W3" s="28" t="s">
        <v>14</v>
      </c>
      <c r="X3" s="28" t="s">
        <v>14</v>
      </c>
      <c r="Y3" s="28" t="s">
        <v>14</v>
      </c>
      <c r="Z3" s="29" t="s">
        <v>37</v>
      </c>
      <c r="AA3" s="29" t="s">
        <v>37</v>
      </c>
      <c r="AB3" s="28" t="s">
        <v>39</v>
      </c>
      <c r="AC3" s="28" t="s">
        <v>14</v>
      </c>
      <c r="AD3" s="28" t="s">
        <v>14</v>
      </c>
      <c r="AE3" s="28" t="s">
        <v>39</v>
      </c>
      <c r="AF3" s="28" t="s">
        <v>39</v>
      </c>
      <c r="AG3" s="151"/>
      <c r="AH3" s="151"/>
      <c r="AI3" s="151"/>
      <c r="AJ3" s="203"/>
      <c r="AL3" s="193"/>
      <c r="AM3" s="193"/>
      <c r="AN3" s="193"/>
      <c r="AO3" s="193"/>
      <c r="AP3" s="193"/>
      <c r="AQ3" s="193"/>
      <c r="AR3" s="193"/>
      <c r="AS3" s="193"/>
    </row>
    <row r="4" spans="1:45" ht="75">
      <c r="A4" s="4" t="s">
        <v>28</v>
      </c>
      <c r="B4" s="8" t="s">
        <v>13</v>
      </c>
      <c r="C4" s="9" t="s">
        <v>29</v>
      </c>
      <c r="D4" s="9" t="s">
        <v>231</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288</v>
      </c>
      <c r="V4" s="260"/>
      <c r="W4" s="12" t="s">
        <v>15</v>
      </c>
      <c r="X4" s="12" t="s">
        <v>16</v>
      </c>
      <c r="Y4" s="12" t="s">
        <v>19</v>
      </c>
      <c r="Z4" s="29" t="s">
        <v>283</v>
      </c>
      <c r="AA4" s="29" t="s">
        <v>35</v>
      </c>
      <c r="AB4" s="29" t="s">
        <v>19</v>
      </c>
      <c r="AC4" s="250" t="s">
        <v>277</v>
      </c>
      <c r="AD4" s="250" t="s">
        <v>284</v>
      </c>
      <c r="AE4" s="250" t="s">
        <v>25</v>
      </c>
      <c r="AF4" s="250" t="s">
        <v>278</v>
      </c>
      <c r="AG4" s="203"/>
      <c r="AH4" s="203"/>
      <c r="AI4" s="203"/>
      <c r="AJ4" s="203"/>
      <c r="AK4" s="194"/>
      <c r="AL4" s="193"/>
      <c r="AM4" s="193"/>
      <c r="AN4" s="193"/>
      <c r="AO4" s="193"/>
      <c r="AP4" s="193"/>
      <c r="AQ4" s="193"/>
      <c r="AR4" s="193"/>
      <c r="AS4" s="193"/>
    </row>
    <row r="5" spans="1:45">
      <c r="A5" s="5" t="s">
        <v>0</v>
      </c>
      <c r="B5" s="22">
        <f ca="1">'base OPEX'!E49</f>
        <v>54698.079999369911</v>
      </c>
      <c r="C5" s="22">
        <f ca="1">'base OPEX'!E66</f>
        <v>175987.8</v>
      </c>
      <c r="D5" s="22">
        <f ca="1">'base OPEX'!F49</f>
        <v>32699.982941037575</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294">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260"/>
      <c r="W5" s="22">
        <v>1296936.97</v>
      </c>
      <c r="X5" s="22">
        <v>48489.94</v>
      </c>
      <c r="Y5" s="22">
        <v>1345426.91</v>
      </c>
      <c r="Z5" s="17">
        <v>1426</v>
      </c>
      <c r="AA5" s="17">
        <v>2052.4</v>
      </c>
      <c r="AB5" s="30">
        <f>+Z5+AA5</f>
        <v>3478.4</v>
      </c>
      <c r="AC5" s="251">
        <f>SUM('[35]5.2 Asset Age Profile'!$P$85:$DQ$91)</f>
        <v>31</v>
      </c>
      <c r="AD5" s="251">
        <f>SUM('[35]5.2 Asset Age Profile'!$P$83:$DQ$91)</f>
        <v>31</v>
      </c>
      <c r="AE5" s="252">
        <f>+Y5/Z5</f>
        <v>943.49713183730705</v>
      </c>
      <c r="AF5" s="263">
        <f>Y5/AD5</f>
        <v>43400.868064516129</v>
      </c>
      <c r="AG5" s="259"/>
      <c r="AH5" s="259"/>
      <c r="AI5" s="281"/>
      <c r="AJ5" s="203"/>
      <c r="AK5" s="194"/>
      <c r="AL5" s="193"/>
      <c r="AM5" s="193"/>
      <c r="AN5" s="193"/>
      <c r="AO5" s="193"/>
      <c r="AP5" s="193"/>
      <c r="AQ5" s="193"/>
      <c r="AR5" s="193"/>
      <c r="AS5" s="193"/>
    </row>
    <row r="6" spans="1:45">
      <c r="A6" s="5" t="s">
        <v>1</v>
      </c>
      <c r="B6" s="22">
        <f ca="1">'base OPEX'!E50</f>
        <v>526013.74231078941</v>
      </c>
      <c r="C6" s="22">
        <f ca="1">'base OPEX'!E67</f>
        <v>1637232.6999999979</v>
      </c>
      <c r="D6" s="22">
        <f ca="1">'base OPEX'!F50</f>
        <v>313242.10947821673</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294">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260"/>
      <c r="W6" s="22">
        <v>7101663</v>
      </c>
      <c r="X6" s="22">
        <v>6859932</v>
      </c>
      <c r="Y6" s="22">
        <v>13961595</v>
      </c>
      <c r="Z6" s="17">
        <v>24930</v>
      </c>
      <c r="AA6" s="17">
        <v>14765</v>
      </c>
      <c r="AB6" s="30">
        <f t="shared" ref="AB6:AB17" si="12">+Z6+AA6</f>
        <v>39695</v>
      </c>
      <c r="AC6" s="251">
        <f>SUM('[36]5.2 Asset Age Profile'!$P$85:$DP$91)</f>
        <v>299</v>
      </c>
      <c r="AD6" s="251">
        <f>SUM('[36]5.2 Asset Age Profile'!$P$83:$DP$91)</f>
        <v>508</v>
      </c>
      <c r="AE6" s="252">
        <f t="shared" ref="AE6:AE17" si="13">+Y6/Z6</f>
        <v>560.03188929001203</v>
      </c>
      <c r="AF6" s="263">
        <f t="shared" ref="AF6:AF17" si="14">Y6/AD6</f>
        <v>27483.45472440945</v>
      </c>
      <c r="AG6" s="259"/>
      <c r="AH6" s="259"/>
      <c r="AI6" s="281"/>
      <c r="AJ6" s="203"/>
      <c r="AK6" s="194"/>
      <c r="AL6" s="193"/>
      <c r="AM6" s="193"/>
      <c r="AN6" s="193"/>
      <c r="AO6" s="193"/>
      <c r="AP6" s="193"/>
      <c r="AQ6" s="193"/>
      <c r="AR6" s="193"/>
      <c r="AS6" s="193"/>
    </row>
    <row r="7" spans="1:45">
      <c r="A7" s="5" t="s">
        <v>2</v>
      </c>
      <c r="B7" s="22">
        <f ca="1">'base OPEX'!E51</f>
        <v>47864.010032837534</v>
      </c>
      <c r="C7" s="22">
        <f ca="1">'base OPEX'!E68</f>
        <v>321928.59608474997</v>
      </c>
      <c r="D7" s="22">
        <f ca="1">'base OPEX'!F51</f>
        <v>47864.010032837534</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294">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260"/>
      <c r="W7" s="22">
        <v>7361868.4668501839</v>
      </c>
      <c r="X7" s="22">
        <v>1009752.7739108072</v>
      </c>
      <c r="Y7" s="22">
        <v>8371621.2407609913</v>
      </c>
      <c r="Z7" s="17">
        <v>2740</v>
      </c>
      <c r="AA7" s="17">
        <v>4080.51</v>
      </c>
      <c r="AB7" s="30">
        <f t="shared" si="12"/>
        <v>6820.51</v>
      </c>
      <c r="AC7" s="251">
        <f>SUM('[37]5.2 Asset Age Profile'!$P$92:$DP$98)</f>
        <v>74</v>
      </c>
      <c r="AD7" s="251">
        <f>SUM('[37]5.2 Asset Age Profile'!$P$90:$DP$98)</f>
        <v>74</v>
      </c>
      <c r="AE7" s="252">
        <f t="shared" si="13"/>
        <v>3055.3362192558361</v>
      </c>
      <c r="AF7" s="263">
        <f t="shared" si="14"/>
        <v>113130.01676704042</v>
      </c>
      <c r="AG7" s="259"/>
      <c r="AH7" s="282"/>
      <c r="AI7" s="281"/>
      <c r="AJ7" s="203"/>
      <c r="AK7" s="194"/>
      <c r="AL7" s="193"/>
      <c r="AM7" s="193"/>
      <c r="AN7" s="193"/>
      <c r="AO7" s="193"/>
      <c r="AP7" s="193"/>
      <c r="AQ7" s="193"/>
      <c r="AR7" s="193"/>
      <c r="AS7" s="193"/>
    </row>
    <row r="8" spans="1:45">
      <c r="A8" s="5" t="s">
        <v>3</v>
      </c>
      <c r="B8" s="22">
        <f ca="1">'base OPEX'!E52</f>
        <v>250843.60141950913</v>
      </c>
      <c r="C8" s="22">
        <f ca="1">'base OPEX'!E69</f>
        <v>922816.15641852806</v>
      </c>
      <c r="D8" s="22">
        <f ca="1">'base OPEX'!F52</f>
        <v>194963.9559607463</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294">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260"/>
      <c r="W8" s="22">
        <v>6746346</v>
      </c>
      <c r="X8" s="22">
        <v>3053491</v>
      </c>
      <c r="Y8" s="22">
        <v>9799837</v>
      </c>
      <c r="Z8" s="17">
        <v>15121</v>
      </c>
      <c r="AA8" s="17">
        <v>9222.1629999999986</v>
      </c>
      <c r="AB8" s="30">
        <f t="shared" si="12"/>
        <v>24343.163</v>
      </c>
      <c r="AC8" s="251">
        <f>SUM('[38]5.2 Asset Age Profile'!$P$85:$DQ$91)</f>
        <v>201</v>
      </c>
      <c r="AD8" s="251">
        <f>SUM('[38]5.2 Asset Age Profile'!$P$83:$DQ$91)</f>
        <v>388</v>
      </c>
      <c r="AE8" s="252">
        <f t="shared" si="13"/>
        <v>648.09450433172412</v>
      </c>
      <c r="AF8" s="263">
        <f t="shared" si="14"/>
        <v>25257.311855670105</v>
      </c>
      <c r="AG8" s="259"/>
      <c r="AH8" s="259"/>
      <c r="AI8" s="281"/>
      <c r="AJ8" s="203"/>
      <c r="AK8" s="194"/>
      <c r="AL8" s="193"/>
      <c r="AM8" s="193"/>
      <c r="AN8" s="193"/>
      <c r="AO8" s="193"/>
      <c r="AP8" s="193"/>
      <c r="AQ8" s="193"/>
      <c r="AR8" s="193"/>
      <c r="AS8" s="193"/>
    </row>
    <row r="9" spans="1:45">
      <c r="A9" s="5" t="s">
        <v>4</v>
      </c>
      <c r="B9" s="22">
        <f ca="1">'base OPEX'!E53</f>
        <v>337416.92736198223</v>
      </c>
      <c r="C9" s="22">
        <f ca="1">'base OPEX'!E70</f>
        <v>1360762.6999999941</v>
      </c>
      <c r="D9" s="22">
        <f ca="1">'base OPEX'!F53</f>
        <v>275538.9740915678</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294">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260"/>
      <c r="W9" s="22">
        <v>2474857.6300000008</v>
      </c>
      <c r="X9" s="22">
        <v>12262725.98</v>
      </c>
      <c r="Y9" s="22">
        <v>14737583.610000001</v>
      </c>
      <c r="Z9" s="17">
        <v>19642.899960875508</v>
      </c>
      <c r="AA9" s="17">
        <v>13708.4</v>
      </c>
      <c r="AB9" s="30">
        <f t="shared" si="12"/>
        <v>33351.299960875505</v>
      </c>
      <c r="AC9" s="251">
        <f>SUM('[39]5.2 Asset Age Profile'!$P$85:$DQ$91)</f>
        <v>154</v>
      </c>
      <c r="AD9" s="251">
        <f>SUM('[39]5.2 Asset Age Profile'!$P$83:$DQ$91)</f>
        <v>394</v>
      </c>
      <c r="AE9" s="252">
        <f t="shared" si="13"/>
        <v>750.27534831181458</v>
      </c>
      <c r="AF9" s="263">
        <f t="shared" si="14"/>
        <v>37405.034543147209</v>
      </c>
      <c r="AG9" s="259"/>
      <c r="AH9" s="259"/>
      <c r="AI9" s="281"/>
      <c r="AJ9" s="203"/>
      <c r="AK9" s="194"/>
      <c r="AL9" s="193"/>
      <c r="AM9" s="193"/>
      <c r="AN9" s="193"/>
      <c r="AO9" s="193"/>
      <c r="AP9" s="193"/>
      <c r="AQ9" s="193"/>
      <c r="AR9" s="193"/>
      <c r="AS9" s="193"/>
    </row>
    <row r="10" spans="1:45">
      <c r="A10" s="5" t="s">
        <v>5</v>
      </c>
      <c r="B10" s="22">
        <f ca="1">'base OPEX'!E54</f>
        <v>339004.9365296688</v>
      </c>
      <c r="C10" s="22">
        <f ca="1">'base OPEX'!E71</f>
        <v>709774.9</v>
      </c>
      <c r="D10" s="22">
        <f ca="1">'base OPEX'!F54</f>
        <v>265369.06561191194</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294">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260"/>
      <c r="W10" s="22">
        <v>5194469</v>
      </c>
      <c r="X10" s="22">
        <v>9875703</v>
      </c>
      <c r="Y10" s="22">
        <v>15070172</v>
      </c>
      <c r="Z10" s="17">
        <v>9091.19</v>
      </c>
      <c r="AA10" s="17">
        <v>7500.52</v>
      </c>
      <c r="AB10" s="30">
        <f t="shared" si="12"/>
        <v>16591.71</v>
      </c>
      <c r="AC10" s="251">
        <f>SUM('[40]5.2 Asset Age Profile'!$P$85:$DQ$91)</f>
        <v>406.99999999999994</v>
      </c>
      <c r="AD10" s="251">
        <f>SUM('[40]5.2 Asset Age Profile'!$P$83:$DQ$91)</f>
        <v>428.99999999999994</v>
      </c>
      <c r="AE10" s="252">
        <f t="shared" si="13"/>
        <v>1657.6676980681295</v>
      </c>
      <c r="AF10" s="263">
        <f t="shared" si="14"/>
        <v>35128.606060606064</v>
      </c>
      <c r="AG10" s="259"/>
      <c r="AH10" s="259"/>
      <c r="AI10" s="281"/>
      <c r="AJ10" s="203"/>
      <c r="AK10" s="194"/>
      <c r="AL10" s="193"/>
      <c r="AM10" s="193"/>
      <c r="AN10" s="193"/>
      <c r="AO10" s="193"/>
      <c r="AP10" s="193"/>
      <c r="AQ10" s="193"/>
      <c r="AR10" s="193"/>
      <c r="AS10" s="193"/>
    </row>
    <row r="11" spans="1:45">
      <c r="A11" s="5" t="s">
        <v>6</v>
      </c>
      <c r="B11" s="22">
        <f ca="1">'base OPEX'!E55</f>
        <v>359770.58667492523</v>
      </c>
      <c r="C11" s="22">
        <f ca="1">'base OPEX'!E72</f>
        <v>847655.6</v>
      </c>
      <c r="D11" s="22">
        <f ca="1">'base OPEX'!F55</f>
        <v>314194.95387049322</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294">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260"/>
      <c r="W11" s="22">
        <v>9383663.0502793137</v>
      </c>
      <c r="X11" s="22">
        <v>6637835.0928855427</v>
      </c>
      <c r="Y11" s="22">
        <v>16021498.143164856</v>
      </c>
      <c r="Z11" s="17">
        <v>10945.15</v>
      </c>
      <c r="AA11" s="17">
        <v>10869.79</v>
      </c>
      <c r="AB11" s="30">
        <f t="shared" si="12"/>
        <v>21814.940000000002</v>
      </c>
      <c r="AC11" s="251">
        <f>SUM('[41]5.2 Asset Age Profile'!$P$92:$DQ$98)</f>
        <v>537</v>
      </c>
      <c r="AD11" s="251">
        <f>SUM('[41]5.2 Asset Age Profile'!$P$90:$DQ$98)</f>
        <v>567</v>
      </c>
      <c r="AE11" s="252">
        <f t="shared" si="13"/>
        <v>1463.7988646263282</v>
      </c>
      <c r="AF11" s="263">
        <f t="shared" si="14"/>
        <v>28256.610481772233</v>
      </c>
      <c r="AG11" s="259"/>
      <c r="AH11" s="259"/>
      <c r="AI11" s="281"/>
      <c r="AJ11" s="203"/>
      <c r="AK11" s="194"/>
      <c r="AL11" s="193"/>
      <c r="AM11" s="193"/>
      <c r="AN11" s="193"/>
      <c r="AO11" s="193"/>
      <c r="AP11" s="193"/>
      <c r="AQ11" s="193"/>
      <c r="AR11" s="193"/>
      <c r="AS11" s="193"/>
    </row>
    <row r="12" spans="1:45">
      <c r="A12" s="5" t="s">
        <v>7</v>
      </c>
      <c r="B12" s="22">
        <f ca="1">'base OPEX'!E56</f>
        <v>68858.331840057755</v>
      </c>
      <c r="C12" s="22">
        <f ca="1">'base OPEX'!E73</f>
        <v>319563</v>
      </c>
      <c r="D12" s="22">
        <f ca="1">'base OPEX'!F56</f>
        <v>54370.299786967422</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294">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260"/>
      <c r="W12" s="22">
        <v>1181137.4510713324</v>
      </c>
      <c r="X12" s="22">
        <v>478242</v>
      </c>
      <c r="Y12" s="22">
        <v>1659379.4510713324</v>
      </c>
      <c r="Z12" s="17">
        <v>1633.3</v>
      </c>
      <c r="AA12" s="17">
        <v>2463.049</v>
      </c>
      <c r="AB12" s="30">
        <f t="shared" si="12"/>
        <v>4096.3490000000002</v>
      </c>
      <c r="AC12" s="251">
        <v>61</v>
      </c>
      <c r="AD12" s="251">
        <v>61</v>
      </c>
      <c r="AE12" s="252">
        <f t="shared" si="13"/>
        <v>1015.9673367240142</v>
      </c>
      <c r="AF12" s="263">
        <f t="shared" si="14"/>
        <v>27202.941820841515</v>
      </c>
      <c r="AG12" s="259"/>
      <c r="AH12" s="259"/>
      <c r="AI12" s="281"/>
      <c r="AJ12" s="203"/>
      <c r="AK12" s="194"/>
      <c r="AL12" s="193"/>
      <c r="AM12" s="193"/>
      <c r="AN12" s="193"/>
      <c r="AO12" s="193"/>
      <c r="AP12" s="193"/>
      <c r="AQ12" s="193"/>
      <c r="AR12" s="193"/>
      <c r="AS12" s="193"/>
    </row>
    <row r="13" spans="1:45">
      <c r="A13" s="5" t="s">
        <v>8</v>
      </c>
      <c r="B13" s="22">
        <f ca="1">'base OPEX'!E57</f>
        <v>161686.41459303079</v>
      </c>
      <c r="C13" s="22">
        <f ca="1">'base OPEX'!E74</f>
        <v>754231.64141227794</v>
      </c>
      <c r="D13" s="22">
        <f ca="1">'base OPEX'!F57</f>
        <v>161686.41459303079</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294">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260"/>
      <c r="W13" s="22">
        <v>4392016.456453437</v>
      </c>
      <c r="X13" s="22">
        <v>3704317.3086446044</v>
      </c>
      <c r="Y13" s="22">
        <v>8096333.7650980409</v>
      </c>
      <c r="Z13" s="17">
        <v>3197</v>
      </c>
      <c r="AA13" s="17">
        <v>6598.3270000000002</v>
      </c>
      <c r="AB13" s="30">
        <f t="shared" si="12"/>
        <v>9795.3270000000011</v>
      </c>
      <c r="AC13" s="251">
        <f>SUM('[42]5.2 Asset Age Profile'!$P$85:$DQ$91)</f>
        <v>140</v>
      </c>
      <c r="AD13" s="251">
        <f>SUM('[42]5.2 Asset Age Profile'!$P$83:$DQ$91)</f>
        <v>140</v>
      </c>
      <c r="AE13" s="252">
        <f t="shared" si="13"/>
        <v>2532.4785001870632</v>
      </c>
      <c r="AF13" s="263">
        <f t="shared" si="14"/>
        <v>57830.955464986007</v>
      </c>
      <c r="AG13" s="259"/>
      <c r="AH13" s="282"/>
      <c r="AI13" s="281"/>
      <c r="AJ13" s="203"/>
      <c r="AK13" s="194"/>
      <c r="AL13" s="193"/>
      <c r="AM13" s="193"/>
      <c r="AN13" s="193"/>
      <c r="AO13" s="193"/>
      <c r="AP13" s="193"/>
      <c r="AQ13" s="193"/>
      <c r="AR13" s="193"/>
      <c r="AS13" s="193"/>
    </row>
    <row r="14" spans="1:45">
      <c r="A14" s="5" t="s">
        <v>9</v>
      </c>
      <c r="B14" s="22">
        <f ca="1">'base OPEX'!E58</f>
        <v>204675.65128541589</v>
      </c>
      <c r="C14" s="22">
        <f ca="1">'base OPEX'!E75</f>
        <v>846735.9</v>
      </c>
      <c r="D14" s="22">
        <f ca="1">'base OPEX'!F58</f>
        <v>204675.65128541589</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294">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260"/>
      <c r="W14" s="22">
        <v>2725740</v>
      </c>
      <c r="X14" s="22">
        <v>2668141</v>
      </c>
      <c r="Y14" s="22">
        <v>5393881</v>
      </c>
      <c r="Z14" s="17">
        <v>5559.6900000000014</v>
      </c>
      <c r="AA14" s="17">
        <v>8498.0999999999985</v>
      </c>
      <c r="AB14" s="30">
        <f t="shared" si="12"/>
        <v>14057.79</v>
      </c>
      <c r="AC14" s="251">
        <f>SUM('[43]5.2 Asset Age Profile'!$P$92:$DQ$98)</f>
        <v>238</v>
      </c>
      <c r="AD14" s="251">
        <f>SUM('[43]5.2 Asset Age Profile'!$P$90:$DQ$98)</f>
        <v>241</v>
      </c>
      <c r="AE14" s="252">
        <f t="shared" si="13"/>
        <v>970.17657459318752</v>
      </c>
      <c r="AF14" s="263">
        <f t="shared" si="14"/>
        <v>22381.248962655602</v>
      </c>
      <c r="AG14" s="259"/>
      <c r="AH14" s="282"/>
      <c r="AI14" s="281"/>
      <c r="AJ14" s="203"/>
      <c r="AK14" s="194"/>
      <c r="AL14" s="193"/>
      <c r="AM14" s="193"/>
      <c r="AN14" s="193"/>
      <c r="AO14" s="193"/>
      <c r="AP14" s="193"/>
      <c r="AQ14" s="193"/>
      <c r="AR14" s="193"/>
      <c r="AS14" s="193"/>
    </row>
    <row r="15" spans="1:45">
      <c r="A15" s="5" t="s">
        <v>10</v>
      </c>
      <c r="B15" s="22">
        <f ca="1">'base OPEX'!E59</f>
        <v>170668.96861374745</v>
      </c>
      <c r="C15" s="22">
        <f ca="1">'base OPEX'!E76</f>
        <v>679252.19999998191</v>
      </c>
      <c r="D15" s="22">
        <f ca="1">'base OPEX'!F59</f>
        <v>162057.00803760882</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294">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260"/>
      <c r="W15" s="22">
        <v>2285315.5057374202</v>
      </c>
      <c r="X15" s="22">
        <v>806561.91361078608</v>
      </c>
      <c r="Y15" s="22">
        <v>3091877.4193482064</v>
      </c>
      <c r="Z15" s="17">
        <v>3334.75</v>
      </c>
      <c r="AA15" s="17">
        <v>5881.4059999999999</v>
      </c>
      <c r="AB15" s="30">
        <f t="shared" si="12"/>
        <v>9216.155999999999</v>
      </c>
      <c r="AC15" s="251">
        <f>SUM('[44]5.2 Asset Age Profile'!$P$85:$DQ$91)</f>
        <v>132.60000000000002</v>
      </c>
      <c r="AD15" s="251">
        <f>SUM('[44]5.2 Asset Age Profile'!$P$83:$DQ$91)</f>
        <v>132.60000000000002</v>
      </c>
      <c r="AE15" s="252">
        <f t="shared" si="13"/>
        <v>927.16917890342791</v>
      </c>
      <c r="AF15" s="263">
        <f t="shared" si="14"/>
        <v>23317.325937769274</v>
      </c>
      <c r="AG15" s="259"/>
      <c r="AH15" s="282"/>
      <c r="AI15" s="281"/>
      <c r="AJ15" s="203"/>
      <c r="AK15" s="194"/>
      <c r="AL15" s="193"/>
      <c r="AM15" s="193"/>
      <c r="AN15" s="193"/>
      <c r="AO15" s="193"/>
      <c r="AP15" s="193"/>
      <c r="AQ15" s="193"/>
      <c r="AR15" s="193"/>
      <c r="AS15" s="193"/>
    </row>
    <row r="16" spans="1:45">
      <c r="A16" s="5" t="s">
        <v>11</v>
      </c>
      <c r="B16" s="22">
        <f ca="1">'base OPEX'!E60</f>
        <v>75282.221531143718</v>
      </c>
      <c r="C16" s="22">
        <f ca="1">'base OPEX'!E77</f>
        <v>279584.19999999402</v>
      </c>
      <c r="D16" s="22">
        <f ca="1">'base OPEX'!F60</f>
        <v>75282.221531143718</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294">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260"/>
      <c r="W16" s="22">
        <v>424551.09528274182</v>
      </c>
      <c r="X16" s="22">
        <v>28905.777287841145</v>
      </c>
      <c r="Y16" s="22">
        <v>453456.87257058296</v>
      </c>
      <c r="Z16" s="17">
        <v>675</v>
      </c>
      <c r="AA16" s="17">
        <v>3445.922</v>
      </c>
      <c r="AB16" s="30">
        <f t="shared" si="12"/>
        <v>4120.9220000000005</v>
      </c>
      <c r="AC16" s="251">
        <f>SUM('[45]5.2 Asset Age Profile'!$Q$85:$DQ$91)</f>
        <v>0</v>
      </c>
      <c r="AD16" s="251">
        <f>SUM('[45]5.2 Asset Age Profile'!$Q$83:$DQ$91)</f>
        <v>0</v>
      </c>
      <c r="AE16" s="252">
        <f t="shared" si="13"/>
        <v>671.78795936382664</v>
      </c>
      <c r="AF16" s="263"/>
      <c r="AG16" s="259"/>
      <c r="AH16" s="259"/>
      <c r="AI16" s="281"/>
      <c r="AJ16" s="203"/>
      <c r="AK16" s="194"/>
      <c r="AL16" s="193"/>
      <c r="AM16" s="193"/>
      <c r="AN16" s="193"/>
      <c r="AO16" s="193"/>
      <c r="AP16" s="193"/>
      <c r="AQ16" s="193"/>
      <c r="AR16" s="193"/>
      <c r="AS16" s="193"/>
    </row>
    <row r="17" spans="1:72">
      <c r="A17" s="5" t="s">
        <v>12</v>
      </c>
      <c r="B17" s="22">
        <f ca="1">'base OPEX'!E61</f>
        <v>115609.69378497882</v>
      </c>
      <c r="C17" s="22">
        <f ca="1">'base OPEX'!E78</f>
        <v>653707.95483870804</v>
      </c>
      <c r="D17" s="22">
        <f ca="1">'base OPEX'!F61</f>
        <v>115609.69378497882</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294">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260"/>
      <c r="W17" s="22">
        <v>1815405.5945725208</v>
      </c>
      <c r="X17" s="22">
        <v>610690.995660263</v>
      </c>
      <c r="Y17" s="22">
        <v>2426096.5902327839</v>
      </c>
      <c r="Z17" s="17">
        <v>3258</v>
      </c>
      <c r="AA17" s="17">
        <v>4619</v>
      </c>
      <c r="AB17" s="30">
        <f t="shared" si="12"/>
        <v>7877</v>
      </c>
      <c r="AC17" s="251">
        <f>SUM('[46]5.2 Asset Age Profile'!$P$85:$DQ$91)</f>
        <v>104</v>
      </c>
      <c r="AD17" s="251">
        <f>SUM('[46]5.2 Asset Age Profile'!$Q$83:$DQ$91)</f>
        <v>104</v>
      </c>
      <c r="AE17" s="252">
        <f t="shared" si="13"/>
        <v>744.65825360122278</v>
      </c>
      <c r="AF17" s="263">
        <f t="shared" si="14"/>
        <v>23327.851829161384</v>
      </c>
      <c r="AG17" s="259"/>
      <c r="AH17" s="282"/>
      <c r="AI17" s="281"/>
      <c r="AJ17" s="203"/>
      <c r="AK17" s="194"/>
      <c r="AL17" s="193"/>
      <c r="AM17" s="193"/>
      <c r="AN17" s="193"/>
      <c r="AO17" s="193"/>
      <c r="AP17" s="193"/>
      <c r="AQ17" s="193"/>
      <c r="AR17" s="193"/>
      <c r="AS17" s="193"/>
    </row>
    <row r="18" spans="1:72" s="147" customFormat="1">
      <c r="A18" s="175"/>
      <c r="B18" s="175"/>
      <c r="C18" s="175"/>
      <c r="D18" s="175"/>
      <c r="E18" s="175"/>
      <c r="F18" s="175"/>
      <c r="G18" s="175"/>
      <c r="H18" s="176"/>
      <c r="I18" s="176"/>
      <c r="J18" s="176"/>
      <c r="K18" s="175"/>
      <c r="L18" s="175"/>
      <c r="M18" s="175"/>
      <c r="N18" s="175"/>
      <c r="O18" s="175"/>
      <c r="P18" s="175"/>
      <c r="Q18" s="176"/>
      <c r="R18" s="176"/>
      <c r="S18" s="176"/>
      <c r="T18" s="175"/>
      <c r="U18" s="206"/>
      <c r="V18" s="206"/>
      <c r="W18" s="206"/>
      <c r="X18" s="177"/>
      <c r="Y18" s="177"/>
      <c r="Z18" s="178"/>
      <c r="AA18" s="178"/>
      <c r="AB18" s="176"/>
      <c r="AC18" s="176"/>
      <c r="AD18" s="176"/>
      <c r="AE18" s="203"/>
      <c r="AF18" s="266"/>
      <c r="AG18" s="203"/>
      <c r="AH18" s="203"/>
      <c r="AI18" s="3"/>
      <c r="AJ18" s="203"/>
      <c r="AK18" s="194"/>
      <c r="AL18" s="193"/>
      <c r="AM18" s="193"/>
      <c r="AN18" s="193"/>
      <c r="AO18" s="193"/>
      <c r="AP18" s="193"/>
      <c r="AQ18" s="193"/>
      <c r="AR18" s="193"/>
      <c r="AS18" s="193"/>
    </row>
    <row r="19" spans="1:72" s="194" customFormat="1" ht="45">
      <c r="A19" s="283"/>
      <c r="B19" s="283"/>
      <c r="C19" s="283"/>
      <c r="D19" s="283"/>
      <c r="E19" s="283"/>
      <c r="F19" s="283"/>
      <c r="G19" s="283"/>
      <c r="H19" s="284"/>
      <c r="I19" s="284"/>
      <c r="J19" s="284"/>
      <c r="K19" s="283"/>
      <c r="L19" s="283" t="s">
        <v>292</v>
      </c>
      <c r="M19" s="283"/>
      <c r="N19" s="283"/>
      <c r="O19" s="283"/>
      <c r="P19" s="283"/>
      <c r="Q19" s="284"/>
      <c r="R19" s="284"/>
      <c r="S19" s="284"/>
      <c r="T19" s="283"/>
      <c r="U19" s="283" t="s">
        <v>292</v>
      </c>
      <c r="V19" s="283"/>
      <c r="W19" s="283"/>
      <c r="X19" s="285"/>
      <c r="Y19" s="285"/>
      <c r="Z19" s="286"/>
      <c r="AA19" s="286"/>
      <c r="AB19" s="284"/>
      <c r="AC19" s="284"/>
      <c r="AD19" s="284"/>
      <c r="AE19" s="283" t="s">
        <v>292</v>
      </c>
      <c r="AF19" s="283" t="s">
        <v>292</v>
      </c>
      <c r="AG19" s="203"/>
      <c r="AH19" s="203"/>
      <c r="AI19" s="203"/>
      <c r="AJ19" s="203"/>
    </row>
    <row r="20" spans="1:72" s="147" customFormat="1">
      <c r="A20" s="175"/>
      <c r="B20" s="175"/>
      <c r="C20" s="175"/>
      <c r="D20" s="175"/>
      <c r="E20" s="175"/>
      <c r="F20" s="175"/>
      <c r="G20" s="175"/>
      <c r="H20" s="176"/>
      <c r="I20" s="176"/>
      <c r="J20" s="176"/>
      <c r="K20" s="264"/>
      <c r="L20" s="266">
        <f>+AVERAGE(L5:L17)</f>
        <v>1460.1415051022809</v>
      </c>
      <c r="M20" s="175"/>
      <c r="N20" s="175"/>
      <c r="O20" s="175"/>
      <c r="P20" s="175"/>
      <c r="Q20" s="176"/>
      <c r="R20" s="176"/>
      <c r="S20" s="176"/>
      <c r="T20" s="264"/>
      <c r="U20" s="266">
        <f>+AVERAGE(U5:U17)</f>
        <v>417.47661671323698</v>
      </c>
      <c r="V20" s="193"/>
      <c r="W20" s="266"/>
      <c r="X20" s="177"/>
      <c r="Y20" s="177"/>
      <c r="Z20" s="178"/>
      <c r="AA20" s="178"/>
      <c r="AB20" s="176"/>
      <c r="AC20" s="176"/>
      <c r="AD20" s="176"/>
      <c r="AE20" s="264">
        <f>AVERAGE(AE5:AE18)</f>
        <v>1226.2261122379919</v>
      </c>
      <c r="AF20" s="264">
        <f>AVERAGE(AF5:AF18)</f>
        <v>38676.852209381279</v>
      </c>
      <c r="AG20" s="266"/>
      <c r="AH20" s="203"/>
      <c r="AI20" s="3"/>
      <c r="AJ20" s="203"/>
      <c r="AK20" s="194"/>
      <c r="AL20" s="193"/>
      <c r="AM20" s="193"/>
      <c r="AN20" s="193"/>
      <c r="AO20" s="193"/>
      <c r="AP20" s="193"/>
      <c r="AQ20" s="193"/>
      <c r="AR20" s="193"/>
      <c r="AS20" s="193"/>
    </row>
    <row r="21" spans="1:72">
      <c r="A21" s="206"/>
      <c r="B21" s="206"/>
      <c r="C21" s="206"/>
      <c r="D21" s="11"/>
      <c r="G21" s="3"/>
      <c r="H21" s="193"/>
      <c r="I21" s="193"/>
      <c r="J21" s="193"/>
      <c r="K21" s="264"/>
      <c r="L21" s="264">
        <f>3*L20</f>
        <v>4380.4245153068423</v>
      </c>
      <c r="M21" s="193"/>
      <c r="N21" s="193"/>
      <c r="O21" s="193"/>
      <c r="P21" s="193"/>
      <c r="Q21" s="193"/>
      <c r="R21" s="16"/>
      <c r="S21" s="193"/>
      <c r="T21" s="264"/>
      <c r="U21" s="264">
        <f>3*U20</f>
        <v>1252.4298501397109</v>
      </c>
      <c r="W21" s="264"/>
      <c r="X21" s="193"/>
      <c r="Y21" s="193"/>
      <c r="Z21" s="193"/>
      <c r="AA21" s="193"/>
      <c r="AB21" s="193"/>
      <c r="AE21" s="264">
        <f>3*AE20</f>
        <v>3678.6783367139756</v>
      </c>
      <c r="AF21" s="264">
        <f>3*AF20</f>
        <v>116030.55662814384</v>
      </c>
      <c r="AG21" s="264"/>
      <c r="AH21" s="203"/>
      <c r="AI21" s="3"/>
      <c r="AJ21" s="203"/>
      <c r="AK21" s="194"/>
      <c r="AL21" s="193"/>
      <c r="AM21" s="193"/>
      <c r="AN21" s="193"/>
      <c r="AO21" s="193"/>
      <c r="AP21" s="193"/>
      <c r="AQ21" s="193"/>
      <c r="AR21" s="193"/>
      <c r="AS21" s="193"/>
    </row>
    <row r="22" spans="1:72">
      <c r="A22" s="206"/>
      <c r="B22" s="206"/>
      <c r="C22" s="206"/>
      <c r="K22" s="264"/>
      <c r="L22" s="264">
        <f>0.3*L20</f>
        <v>438.04245153068427</v>
      </c>
      <c r="Q22" s="16"/>
      <c r="T22" s="264"/>
      <c r="U22" s="264">
        <f>0.3*U20</f>
        <v>125.24298501397109</v>
      </c>
      <c r="W22" s="264"/>
      <c r="AE22" s="264">
        <f>0.3*AE20</f>
        <v>367.86783367139753</v>
      </c>
      <c r="AF22" s="264">
        <f>0.3*AF20</f>
        <v>11603.055662814384</v>
      </c>
      <c r="AG22" s="264"/>
      <c r="AH22" s="203"/>
      <c r="AI22" s="193"/>
      <c r="AJ22" s="194"/>
      <c r="AK22" s="194"/>
      <c r="AL22" s="193"/>
      <c r="AM22" s="193"/>
      <c r="AN22" s="193"/>
      <c r="AO22" s="193"/>
      <c r="AP22" s="193"/>
      <c r="AQ22" s="193"/>
      <c r="AR22" s="193"/>
      <c r="AS22" s="193"/>
    </row>
    <row r="23" spans="1:72">
      <c r="A23" s="206"/>
      <c r="B23" s="206"/>
      <c r="C23" s="206"/>
      <c r="K23" s="264"/>
      <c r="L23" s="264"/>
      <c r="T23" s="264"/>
      <c r="U23" s="264"/>
      <c r="W23" s="264"/>
      <c r="AE23" s="264"/>
      <c r="AF23" s="264"/>
      <c r="AG23" s="264"/>
      <c r="AH23" s="203"/>
      <c r="AI23" s="193"/>
      <c r="AJ23" s="194"/>
      <c r="AK23" s="194"/>
      <c r="AL23" s="193"/>
      <c r="AM23" s="193"/>
      <c r="AN23" s="193"/>
      <c r="AO23" s="193"/>
      <c r="AP23" s="193"/>
      <c r="AQ23" s="193"/>
      <c r="AR23" s="193"/>
      <c r="AS23" s="193"/>
    </row>
    <row r="24" spans="1:72">
      <c r="K24" s="134"/>
      <c r="L24" s="134"/>
      <c r="T24" s="134"/>
      <c r="U24" s="134"/>
      <c r="W24" s="134"/>
      <c r="AE24" s="134"/>
      <c r="AF24" s="134"/>
      <c r="AG24" s="134"/>
      <c r="AH24" s="203"/>
      <c r="AI24" s="193"/>
      <c r="AJ24" s="194"/>
      <c r="AK24" s="194"/>
      <c r="AL24" s="193"/>
      <c r="AM24" s="193"/>
      <c r="AR24" s="193"/>
      <c r="AS24" s="193"/>
      <c r="AT24" s="193"/>
      <c r="AU24" s="193"/>
    </row>
    <row r="25" spans="1:72">
      <c r="K25" s="267"/>
      <c r="L25" s="267"/>
      <c r="T25" s="267"/>
      <c r="U25" s="267"/>
      <c r="W25" s="267"/>
      <c r="AE25" s="267"/>
      <c r="AF25" s="267"/>
      <c r="AG25" s="267"/>
      <c r="AH25" s="203"/>
      <c r="AI25" s="193"/>
      <c r="AJ25" s="194"/>
      <c r="AK25" s="194"/>
      <c r="AL25" s="193"/>
      <c r="AM25" s="193"/>
      <c r="AR25" s="193"/>
      <c r="AS25" s="193"/>
      <c r="AT25" s="193"/>
      <c r="AU25" s="193"/>
    </row>
    <row r="26" spans="1:72">
      <c r="C26" s="193"/>
      <c r="D26" s="193"/>
      <c r="E26" s="193"/>
      <c r="F26" s="193"/>
      <c r="G26" s="193"/>
      <c r="H26" s="193"/>
      <c r="I26" s="193"/>
      <c r="J26" s="193"/>
      <c r="K26" s="193"/>
      <c r="L26" s="193"/>
      <c r="M26" s="193"/>
      <c r="P26" s="147"/>
      <c r="Q26" s="147"/>
      <c r="R26" s="147"/>
      <c r="AE26" s="193"/>
      <c r="AF26" s="203"/>
      <c r="AG26" s="203"/>
      <c r="AH26" s="203"/>
      <c r="AI26" s="193"/>
      <c r="AJ26" s="193"/>
      <c r="AK26" s="193"/>
      <c r="AL26" s="193"/>
      <c r="AM26" s="193"/>
      <c r="AR26" s="193"/>
      <c r="AS26" s="193"/>
      <c r="AT26" s="193"/>
      <c r="AU26" s="193"/>
    </row>
    <row r="27" spans="1:72">
      <c r="C27" s="201"/>
      <c r="D27" s="201"/>
      <c r="E27" s="201"/>
      <c r="F27" s="201"/>
      <c r="G27" s="201"/>
      <c r="H27" s="201"/>
      <c r="I27" s="201"/>
      <c r="J27" s="201"/>
      <c r="K27" s="201"/>
      <c r="L27" s="201"/>
      <c r="M27" s="201"/>
      <c r="N27" s="133"/>
      <c r="O27" s="133"/>
      <c r="P27" s="15"/>
      <c r="Q27" s="15"/>
      <c r="R27" s="15"/>
      <c r="AA27" s="193"/>
      <c r="AR27" s="193"/>
      <c r="AS27" s="193"/>
      <c r="AT27" s="193"/>
      <c r="AU27" s="193"/>
    </row>
    <row r="28" spans="1:72">
      <c r="C28" s="201"/>
      <c r="D28" s="201"/>
      <c r="E28" s="201"/>
      <c r="F28" s="201"/>
      <c r="G28" s="201"/>
      <c r="H28" s="201"/>
      <c r="I28" s="201"/>
      <c r="J28" s="201"/>
      <c r="K28" s="201"/>
      <c r="L28" s="201"/>
      <c r="M28" s="201"/>
      <c r="N28" s="133"/>
      <c r="O28" s="133"/>
      <c r="P28" s="15"/>
      <c r="Q28" s="15"/>
      <c r="R28" s="15"/>
      <c r="AA28" s="193"/>
      <c r="AB28" s="135"/>
      <c r="AC28" s="135"/>
      <c r="AD28" s="135"/>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row>
    <row r="29" spans="1:72">
      <c r="C29" s="201"/>
      <c r="D29" s="201"/>
      <c r="E29" s="201"/>
      <c r="F29" s="201"/>
      <c r="G29" s="201"/>
      <c r="H29" s="201"/>
      <c r="I29" s="201"/>
      <c r="J29" s="201"/>
      <c r="K29" s="201"/>
      <c r="L29" s="201"/>
      <c r="M29" s="201"/>
      <c r="N29" s="133"/>
      <c r="O29" s="133"/>
      <c r="P29" s="15"/>
      <c r="Q29" s="15"/>
      <c r="R29" s="15"/>
      <c r="AA29" s="193"/>
      <c r="AB29" s="135"/>
      <c r="AC29" s="135"/>
      <c r="AD29" s="135"/>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row>
    <row r="30" spans="1:72">
      <c r="C30" s="201"/>
      <c r="D30" s="201"/>
      <c r="E30" s="201"/>
      <c r="F30" s="201"/>
      <c r="G30" s="201"/>
      <c r="H30" s="201"/>
      <c r="I30" s="201"/>
      <c r="J30" s="201"/>
      <c r="K30" s="201"/>
      <c r="L30" s="201"/>
      <c r="M30" s="201"/>
      <c r="N30" s="133"/>
      <c r="O30" s="133"/>
      <c r="P30" s="15"/>
      <c r="Q30" s="15"/>
      <c r="R30" s="15"/>
      <c r="AA30" s="193"/>
      <c r="AB30" s="135"/>
      <c r="AC30" s="135"/>
      <c r="AD30" s="135"/>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row>
    <row r="31" spans="1:72">
      <c r="C31" s="201"/>
      <c r="D31" s="201"/>
      <c r="E31" s="201"/>
      <c r="F31" s="201"/>
      <c r="G31" s="201"/>
      <c r="H31" s="201"/>
      <c r="I31" s="201"/>
      <c r="J31" s="201"/>
      <c r="K31" s="201"/>
      <c r="L31" s="201"/>
      <c r="M31" s="201"/>
      <c r="N31" s="133"/>
      <c r="O31" s="133"/>
      <c r="P31" s="15"/>
      <c r="Q31" s="15"/>
      <c r="R31" s="15"/>
      <c r="AA31" s="193"/>
      <c r="AB31" s="135"/>
      <c r="AC31" s="135"/>
      <c r="AD31" s="135"/>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row>
    <row r="32" spans="1:72">
      <c r="C32" s="201"/>
      <c r="D32" s="201"/>
      <c r="E32" s="201"/>
      <c r="F32" s="201"/>
      <c r="G32" s="201"/>
      <c r="H32" s="201"/>
      <c r="I32" s="201"/>
      <c r="J32" s="201"/>
      <c r="K32" s="201"/>
      <c r="L32" s="201"/>
      <c r="M32" s="201"/>
      <c r="N32" s="133"/>
      <c r="O32" s="133"/>
      <c r="P32" s="15"/>
      <c r="Q32" s="15"/>
      <c r="R32" s="15"/>
      <c r="AA32" s="193"/>
      <c r="AB32" s="135"/>
      <c r="AC32" s="135"/>
      <c r="AD32" s="135"/>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row>
    <row r="33" spans="3:72">
      <c r="C33" s="201"/>
      <c r="D33" s="201"/>
      <c r="E33" s="201"/>
      <c r="F33" s="201"/>
      <c r="G33" s="201"/>
      <c r="H33" s="201"/>
      <c r="I33" s="201"/>
      <c r="J33" s="201"/>
      <c r="K33" s="201"/>
      <c r="L33" s="201"/>
      <c r="M33" s="201"/>
      <c r="N33" s="133"/>
      <c r="O33" s="133"/>
      <c r="P33" s="15"/>
      <c r="Q33" s="15"/>
      <c r="R33" s="15"/>
      <c r="AA33" s="193"/>
      <c r="AB33" s="135"/>
      <c r="AC33" s="135"/>
      <c r="AD33" s="135"/>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row>
    <row r="34" spans="3:72">
      <c r="C34" s="201"/>
      <c r="D34" s="201"/>
      <c r="E34" s="201"/>
      <c r="F34" s="201"/>
      <c r="G34" s="201"/>
      <c r="H34" s="201"/>
      <c r="I34" s="201"/>
      <c r="J34" s="201"/>
      <c r="K34" s="201"/>
      <c r="L34" s="201"/>
      <c r="M34" s="201"/>
      <c r="N34" s="133"/>
      <c r="O34" s="133"/>
      <c r="P34" s="15"/>
      <c r="Q34" s="15"/>
      <c r="R34" s="15"/>
      <c r="AA34" s="193"/>
      <c r="AB34" s="135"/>
      <c r="AC34" s="135"/>
      <c r="AD34" s="135"/>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row>
    <row r="35" spans="3:72">
      <c r="C35" s="201"/>
      <c r="D35" s="201"/>
      <c r="E35" s="201"/>
      <c r="F35" s="201"/>
      <c r="G35" s="201"/>
      <c r="H35" s="201"/>
      <c r="I35" s="201"/>
      <c r="J35" s="201"/>
      <c r="K35" s="201"/>
      <c r="L35" s="201"/>
      <c r="M35" s="201"/>
      <c r="N35" s="133"/>
      <c r="O35" s="133"/>
      <c r="P35" s="15"/>
      <c r="Q35" s="15"/>
      <c r="R35" s="15"/>
      <c r="AA35" s="193"/>
      <c r="AB35" s="135"/>
      <c r="AC35" s="135"/>
      <c r="AD35" s="135"/>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row>
    <row r="36" spans="3:72">
      <c r="C36" s="201"/>
      <c r="D36" s="201"/>
      <c r="E36" s="201"/>
      <c r="F36" s="201"/>
      <c r="G36" s="201"/>
      <c r="H36" s="201"/>
      <c r="I36" s="201"/>
      <c r="J36" s="201"/>
      <c r="K36" s="201"/>
      <c r="L36" s="201"/>
      <c r="M36" s="201"/>
      <c r="N36" s="133"/>
      <c r="O36" s="133"/>
      <c r="P36" s="15"/>
      <c r="Q36" s="15"/>
      <c r="R36" s="15"/>
      <c r="AA36" s="193"/>
      <c r="AB36" s="135"/>
      <c r="AC36" s="135"/>
      <c r="AD36" s="135"/>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row>
    <row r="37" spans="3:72">
      <c r="C37" s="201"/>
      <c r="D37" s="201"/>
      <c r="E37" s="201"/>
      <c r="F37" s="201"/>
      <c r="G37" s="201"/>
      <c r="H37" s="201"/>
      <c r="I37" s="201"/>
      <c r="J37" s="201"/>
      <c r="K37" s="201"/>
      <c r="L37" s="201"/>
      <c r="M37" s="201"/>
      <c r="N37" s="133"/>
      <c r="O37" s="133"/>
      <c r="P37" s="15"/>
      <c r="Q37" s="15"/>
      <c r="R37" s="15"/>
      <c r="AA37" s="193"/>
      <c r="AB37" s="135"/>
      <c r="AC37" s="135"/>
      <c r="AD37" s="135"/>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row>
    <row r="38" spans="3:72">
      <c r="C38" s="201"/>
      <c r="D38" s="201"/>
      <c r="E38" s="201"/>
      <c r="F38" s="201"/>
      <c r="G38" s="201"/>
      <c r="H38" s="201"/>
      <c r="I38" s="201"/>
      <c r="J38" s="201"/>
      <c r="K38" s="201"/>
      <c r="L38" s="201"/>
      <c r="M38" s="201"/>
      <c r="N38" s="133"/>
      <c r="O38" s="133"/>
      <c r="P38" s="15"/>
      <c r="Q38" s="15"/>
      <c r="R38" s="15"/>
      <c r="AA38" s="193"/>
      <c r="AB38" s="135"/>
      <c r="AC38" s="135"/>
      <c r="AD38" s="135"/>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row>
    <row r="39" spans="3:72">
      <c r="C39" s="201"/>
      <c r="D39" s="201"/>
      <c r="E39" s="201"/>
      <c r="F39" s="201"/>
      <c r="G39" s="201"/>
      <c r="H39" s="201"/>
      <c r="I39" s="201"/>
      <c r="J39" s="201"/>
      <c r="K39" s="201"/>
      <c r="L39" s="201"/>
      <c r="M39" s="201"/>
      <c r="N39" s="133"/>
      <c r="O39" s="133"/>
      <c r="P39" s="15"/>
      <c r="Q39" s="15"/>
      <c r="R39" s="15"/>
      <c r="AA39" s="193"/>
      <c r="AB39" s="135"/>
      <c r="AC39" s="135"/>
      <c r="AD39" s="135"/>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row>
    <row r="40" spans="3:72">
      <c r="C40" s="193"/>
      <c r="D40" s="193"/>
      <c r="E40" s="193"/>
      <c r="F40" s="193"/>
      <c r="G40" s="193"/>
      <c r="H40" s="193"/>
      <c r="I40" s="193"/>
      <c r="J40" s="193"/>
      <c r="K40" s="193"/>
      <c r="L40" s="193"/>
      <c r="M40" s="193"/>
      <c r="AA40" s="193"/>
      <c r="AB40" s="135"/>
      <c r="AC40" s="135"/>
      <c r="AD40" s="135"/>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row>
    <row r="41" spans="3:72">
      <c r="C41" s="193"/>
      <c r="D41" s="193"/>
      <c r="E41" s="193"/>
      <c r="F41" s="193"/>
      <c r="G41" s="193"/>
      <c r="H41" s="193"/>
      <c r="I41" s="193"/>
      <c r="J41" s="193"/>
      <c r="K41" s="193"/>
      <c r="L41" s="193"/>
      <c r="M41" s="193"/>
      <c r="AA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row>
    <row r="42" spans="3:72">
      <c r="C42" s="193"/>
      <c r="D42" s="193"/>
      <c r="E42" s="193"/>
      <c r="F42" s="193"/>
      <c r="G42" s="193"/>
      <c r="H42" s="193"/>
      <c r="I42" s="193"/>
      <c r="J42" s="193"/>
      <c r="K42" s="193"/>
      <c r="L42" s="193"/>
      <c r="M42" s="193"/>
      <c r="AA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row>
    <row r="43" spans="3:72">
      <c r="C43" s="193"/>
      <c r="D43" s="193"/>
      <c r="E43" s="193"/>
      <c r="F43" s="193"/>
      <c r="G43" s="193"/>
      <c r="H43" s="193"/>
      <c r="I43" s="193"/>
      <c r="J43" s="193"/>
      <c r="K43" s="193"/>
      <c r="L43" s="193"/>
      <c r="M43" s="193"/>
      <c r="AA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row>
    <row r="44" spans="3:72">
      <c r="C44" s="193"/>
      <c r="D44" s="193"/>
      <c r="E44" s="193"/>
      <c r="F44" s="193"/>
      <c r="G44" s="193"/>
      <c r="H44" s="193"/>
      <c r="I44" s="193"/>
      <c r="J44" s="193"/>
      <c r="K44" s="193"/>
      <c r="L44" s="193"/>
      <c r="M44" s="193"/>
      <c r="AA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row>
    <row r="45" spans="3:72">
      <c r="C45" s="193"/>
      <c r="D45" s="193"/>
      <c r="E45" s="193"/>
      <c r="F45" s="193"/>
      <c r="G45" s="193"/>
      <c r="H45" s="193"/>
      <c r="I45" s="193"/>
      <c r="J45" s="193"/>
      <c r="K45" s="193"/>
      <c r="L45" s="193"/>
      <c r="M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row>
    <row r="46" spans="3:72">
      <c r="C46" s="193"/>
      <c r="D46" s="193"/>
      <c r="E46" s="193"/>
      <c r="F46" s="193"/>
      <c r="G46" s="193"/>
      <c r="H46" s="193"/>
      <c r="I46" s="193"/>
      <c r="J46" s="193"/>
      <c r="K46" s="193"/>
      <c r="L46" s="193"/>
      <c r="M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row>
    <row r="47" spans="3:72">
      <c r="C47" s="193"/>
      <c r="D47" s="193"/>
      <c r="E47" s="193"/>
      <c r="F47" s="193"/>
      <c r="G47" s="193"/>
      <c r="H47" s="193"/>
      <c r="I47" s="193"/>
      <c r="J47" s="193"/>
      <c r="K47" s="193"/>
      <c r="L47" s="193"/>
      <c r="M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row>
    <row r="48" spans="3:72">
      <c r="C48" s="193"/>
      <c r="D48" s="193"/>
      <c r="E48" s="193"/>
      <c r="F48" s="193"/>
      <c r="G48" s="193"/>
      <c r="H48" s="193"/>
      <c r="I48" s="193"/>
      <c r="J48" s="193"/>
      <c r="K48" s="193"/>
      <c r="L48" s="193"/>
      <c r="M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row>
    <row r="49" spans="3:72">
      <c r="C49" s="193"/>
      <c r="D49" s="193"/>
      <c r="E49" s="193"/>
      <c r="F49" s="193"/>
      <c r="G49" s="193"/>
      <c r="H49" s="193"/>
      <c r="I49" s="193"/>
      <c r="J49" s="193"/>
      <c r="K49" s="193"/>
      <c r="L49" s="193"/>
      <c r="M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row>
    <row r="50" spans="3:72">
      <c r="C50" s="193"/>
      <c r="D50" s="193"/>
      <c r="E50" s="193"/>
      <c r="F50" s="193"/>
      <c r="G50" s="193"/>
      <c r="H50" s="193"/>
      <c r="I50" s="193"/>
      <c r="J50" s="193"/>
      <c r="K50" s="193"/>
      <c r="L50" s="193"/>
      <c r="M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row>
    <row r="51" spans="3:72">
      <c r="C51" s="193"/>
      <c r="D51" s="193"/>
      <c r="E51" s="193"/>
      <c r="F51" s="193"/>
      <c r="G51" s="193"/>
      <c r="H51" s="193"/>
      <c r="I51" s="193"/>
      <c r="J51" s="193"/>
      <c r="K51" s="193"/>
      <c r="L51" s="193"/>
      <c r="M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row>
    <row r="52" spans="3:72">
      <c r="C52" s="193"/>
      <c r="D52" s="193"/>
      <c r="E52" s="193"/>
      <c r="F52" s="193"/>
      <c r="G52" s="193"/>
      <c r="H52" s="193"/>
      <c r="I52" s="193"/>
      <c r="J52" s="193"/>
      <c r="K52" s="193"/>
      <c r="L52" s="193"/>
      <c r="M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row>
    <row r="53" spans="3:72">
      <c r="C53" s="193"/>
      <c r="D53" s="193"/>
      <c r="E53" s="193"/>
      <c r="F53" s="193"/>
      <c r="G53" s="193"/>
      <c r="H53" s="193"/>
      <c r="I53" s="193"/>
      <c r="J53" s="193"/>
      <c r="K53" s="193"/>
      <c r="L53" s="193"/>
      <c r="M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row>
    <row r="54" spans="3:72">
      <c r="C54" s="193"/>
      <c r="D54" s="193"/>
      <c r="E54" s="193"/>
      <c r="F54" s="193"/>
      <c r="G54" s="193"/>
      <c r="H54" s="193"/>
      <c r="I54" s="193"/>
      <c r="J54" s="193"/>
      <c r="K54" s="193"/>
      <c r="L54" s="193"/>
      <c r="M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row>
    <row r="55" spans="3:72">
      <c r="C55" s="193"/>
      <c r="D55" s="193"/>
      <c r="E55" s="193"/>
      <c r="F55" s="193"/>
      <c r="G55" s="193"/>
      <c r="H55" s="193"/>
      <c r="I55" s="193"/>
      <c r="J55" s="193"/>
      <c r="K55" s="193"/>
      <c r="L55" s="193"/>
      <c r="M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row>
    <row r="56" spans="3:72">
      <c r="C56" s="193"/>
      <c r="D56" s="193"/>
      <c r="E56" s="193"/>
      <c r="F56" s="193"/>
      <c r="G56" s="193"/>
      <c r="H56" s="193"/>
      <c r="I56" s="193"/>
      <c r="J56" s="193"/>
      <c r="K56" s="193"/>
      <c r="L56" s="193"/>
      <c r="M56" s="193"/>
    </row>
    <row r="57" spans="3:72">
      <c r="C57" s="193"/>
      <c r="D57" s="193"/>
      <c r="E57" s="193"/>
      <c r="F57" s="193"/>
      <c r="G57" s="193"/>
      <c r="H57" s="193"/>
      <c r="I57" s="193"/>
      <c r="J57" s="193"/>
      <c r="K57" s="193"/>
      <c r="L57" s="193"/>
      <c r="M57" s="193"/>
    </row>
    <row r="58" spans="3:72">
      <c r="C58" s="204"/>
      <c r="D58" s="205"/>
      <c r="E58" s="204"/>
      <c r="F58" s="205"/>
      <c r="G58" s="204"/>
      <c r="H58" s="205"/>
      <c r="I58" s="204"/>
      <c r="J58" s="205"/>
      <c r="K58" s="204"/>
      <c r="L58" s="205"/>
      <c r="M58" s="204"/>
      <c r="N58" s="154"/>
      <c r="P58" s="15"/>
      <c r="Q58" s="15"/>
      <c r="R58" s="133"/>
      <c r="S58" s="133"/>
    </row>
    <row r="59" spans="3:72">
      <c r="C59" s="204"/>
      <c r="D59" s="205"/>
      <c r="E59" s="204"/>
      <c r="F59" s="205"/>
      <c r="G59" s="204"/>
      <c r="H59" s="205"/>
      <c r="I59" s="204"/>
      <c r="J59" s="205"/>
      <c r="K59" s="204"/>
      <c r="L59" s="205"/>
      <c r="M59" s="204"/>
      <c r="N59" s="154"/>
      <c r="P59" s="15"/>
      <c r="Q59" s="15"/>
      <c r="R59" s="133"/>
      <c r="S59" s="133"/>
    </row>
    <row r="60" spans="3:72">
      <c r="C60" s="204"/>
      <c r="D60" s="205"/>
      <c r="E60" s="204"/>
      <c r="F60" s="205"/>
      <c r="G60" s="204"/>
      <c r="H60" s="205"/>
      <c r="I60" s="204"/>
      <c r="J60" s="205"/>
      <c r="K60" s="204"/>
      <c r="L60" s="205"/>
      <c r="M60" s="204"/>
      <c r="N60" s="154"/>
      <c r="P60" s="15"/>
      <c r="Q60" s="15"/>
      <c r="R60" s="133"/>
      <c r="S60" s="133"/>
    </row>
    <row r="61" spans="3:72">
      <c r="C61" s="204"/>
      <c r="D61" s="205"/>
      <c r="E61" s="204"/>
      <c r="F61" s="205"/>
      <c r="G61" s="204"/>
      <c r="H61" s="205"/>
      <c r="I61" s="204"/>
      <c r="J61" s="205"/>
      <c r="K61" s="204"/>
      <c r="L61" s="205"/>
      <c r="M61" s="204"/>
      <c r="N61" s="154"/>
      <c r="P61" s="15"/>
      <c r="Q61" s="15"/>
      <c r="R61" s="133"/>
      <c r="S61" s="133"/>
    </row>
    <row r="62" spans="3:72">
      <c r="C62" s="204"/>
      <c r="D62" s="205"/>
      <c r="E62" s="204"/>
      <c r="F62" s="205"/>
      <c r="G62" s="204"/>
      <c r="H62" s="205"/>
      <c r="I62" s="204"/>
      <c r="J62" s="205"/>
      <c r="K62" s="204"/>
      <c r="L62" s="205"/>
      <c r="M62" s="204"/>
      <c r="N62" s="154"/>
      <c r="P62" s="15"/>
      <c r="Q62" s="15"/>
      <c r="R62" s="133"/>
      <c r="S62" s="133"/>
    </row>
    <row r="63" spans="3:72">
      <c r="C63" s="204"/>
      <c r="D63" s="205"/>
      <c r="E63" s="204"/>
      <c r="F63" s="205"/>
      <c r="G63" s="204"/>
      <c r="H63" s="205"/>
      <c r="I63" s="204"/>
      <c r="J63" s="205"/>
      <c r="K63" s="204"/>
      <c r="L63" s="205"/>
      <c r="M63" s="204"/>
      <c r="N63" s="154"/>
      <c r="P63" s="15"/>
      <c r="Q63" s="15"/>
      <c r="R63" s="133"/>
      <c r="S63" s="133"/>
    </row>
    <row r="64" spans="3:72">
      <c r="C64" s="204"/>
      <c r="D64" s="205"/>
      <c r="E64" s="204"/>
      <c r="F64" s="205"/>
      <c r="G64" s="204"/>
      <c r="H64" s="205"/>
      <c r="I64" s="204"/>
      <c r="J64" s="205"/>
      <c r="K64" s="204"/>
      <c r="L64" s="205"/>
      <c r="M64" s="204"/>
      <c r="N64" s="154"/>
      <c r="P64" s="15"/>
      <c r="Q64" s="15"/>
      <c r="R64" s="133"/>
      <c r="S64" s="133"/>
    </row>
    <row r="65" spans="3:19">
      <c r="C65" s="204"/>
      <c r="D65" s="205"/>
      <c r="E65" s="204"/>
      <c r="F65" s="205"/>
      <c r="G65" s="204"/>
      <c r="H65" s="205"/>
      <c r="I65" s="204"/>
      <c r="J65" s="205"/>
      <c r="K65" s="204"/>
      <c r="L65" s="205"/>
      <c r="M65" s="204"/>
      <c r="N65" s="154"/>
      <c r="P65" s="15"/>
      <c r="Q65" s="15"/>
      <c r="R65" s="133"/>
      <c r="S65" s="133"/>
    </row>
    <row r="66" spans="3:19">
      <c r="C66" s="204"/>
      <c r="D66" s="205"/>
      <c r="E66" s="204"/>
      <c r="F66" s="205"/>
      <c r="G66" s="204"/>
      <c r="H66" s="205"/>
      <c r="I66" s="204"/>
      <c r="J66" s="205"/>
      <c r="K66" s="204"/>
      <c r="L66" s="205"/>
      <c r="M66" s="204"/>
      <c r="N66" s="154"/>
      <c r="P66" s="15"/>
      <c r="Q66" s="15"/>
      <c r="R66" s="133"/>
      <c r="S66" s="133"/>
    </row>
    <row r="67" spans="3:19">
      <c r="C67" s="204"/>
      <c r="D67" s="205"/>
      <c r="E67" s="204"/>
      <c r="F67" s="205"/>
      <c r="G67" s="204"/>
      <c r="H67" s="205"/>
      <c r="I67" s="204"/>
      <c r="J67" s="205"/>
      <c r="K67" s="204"/>
      <c r="L67" s="205"/>
      <c r="M67" s="204"/>
      <c r="N67" s="154"/>
      <c r="P67" s="15"/>
      <c r="Q67" s="15"/>
      <c r="R67" s="133"/>
      <c r="S67" s="133"/>
    </row>
    <row r="68" spans="3:19">
      <c r="C68" s="204"/>
      <c r="D68" s="205"/>
      <c r="E68" s="204"/>
      <c r="F68" s="205"/>
      <c r="G68" s="204"/>
      <c r="H68" s="205"/>
      <c r="I68" s="204"/>
      <c r="J68" s="205"/>
      <c r="K68" s="204"/>
      <c r="L68" s="205"/>
      <c r="M68" s="204"/>
      <c r="N68" s="154"/>
      <c r="P68" s="15"/>
      <c r="Q68" s="15"/>
      <c r="R68" s="133"/>
      <c r="S68" s="133"/>
    </row>
    <row r="69" spans="3:19">
      <c r="C69" s="204"/>
      <c r="D69" s="205"/>
      <c r="E69" s="204"/>
      <c r="F69" s="205"/>
      <c r="G69" s="204"/>
      <c r="H69" s="205"/>
      <c r="I69" s="204"/>
      <c r="J69" s="205"/>
      <c r="K69" s="204"/>
      <c r="L69" s="205"/>
      <c r="M69" s="204"/>
      <c r="N69" s="154"/>
      <c r="P69" s="15"/>
      <c r="Q69" s="15"/>
      <c r="R69" s="133"/>
      <c r="S69" s="133"/>
    </row>
    <row r="70" spans="3:19">
      <c r="C70" s="204"/>
      <c r="D70" s="205"/>
      <c r="E70" s="204"/>
      <c r="F70" s="205"/>
      <c r="G70" s="204"/>
      <c r="H70" s="205"/>
      <c r="I70" s="204"/>
      <c r="J70" s="205"/>
      <c r="K70" s="204"/>
      <c r="L70" s="205"/>
      <c r="M70" s="204"/>
      <c r="N70" s="154"/>
      <c r="P70" s="15"/>
      <c r="Q70" s="15"/>
      <c r="R70" s="133"/>
      <c r="S70" s="133"/>
    </row>
    <row r="71" spans="3:19">
      <c r="C71" s="193"/>
      <c r="D71" s="193"/>
      <c r="E71" s="193"/>
      <c r="F71" s="193"/>
      <c r="G71" s="193"/>
      <c r="H71" s="193"/>
      <c r="I71" s="193"/>
      <c r="J71" s="193"/>
      <c r="K71" s="193"/>
      <c r="L71" s="193"/>
      <c r="M71" s="193"/>
    </row>
    <row r="72" spans="3:19">
      <c r="C72" s="193"/>
      <c r="D72" s="193"/>
      <c r="E72" s="193"/>
      <c r="F72" s="193"/>
      <c r="G72" s="193"/>
      <c r="H72" s="193"/>
      <c r="I72" s="193"/>
      <c r="J72" s="193"/>
      <c r="K72" s="193"/>
      <c r="L72" s="193"/>
      <c r="M72" s="193"/>
    </row>
  </sheetData>
  <sortState ref="G24:J36">
    <sortCondition ref="G24:G36"/>
  </sortState>
  <dataConsolidate/>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zoomScale="90" zoomScaleNormal="90" workbookViewId="0">
      <selection activeCell="F17" sqref="F17"/>
    </sheetView>
  </sheetViews>
  <sheetFormatPr defaultColWidth="9.28515625" defaultRowHeight="15"/>
  <cols>
    <col min="1" max="2" width="9.28515625" style="118"/>
    <col min="3" max="8" width="13.5703125" style="118" customWidth="1"/>
    <col min="9" max="13" width="9.28515625" style="118"/>
    <col min="14" max="14" width="24.28515625" style="118" customWidth="1"/>
    <col min="15" max="15" width="9.28515625" style="118"/>
    <col min="16" max="16" width="19.5703125" style="118" bestFit="1" customWidth="1"/>
    <col min="17" max="16384" width="9.28515625" style="118"/>
  </cols>
  <sheetData>
    <row r="1" spans="1:16" s="108" customFormat="1">
      <c r="A1" s="108" t="s">
        <v>242</v>
      </c>
    </row>
    <row r="2" spans="1:16" s="93" customFormat="1" ht="33" customHeight="1" thickBot="1">
      <c r="C2" s="93" t="s">
        <v>215</v>
      </c>
      <c r="E2" s="168" t="s">
        <v>241</v>
      </c>
      <c r="F2" s="168" t="s">
        <v>240</v>
      </c>
    </row>
    <row r="3" spans="1:16">
      <c r="C3" s="140">
        <v>2</v>
      </c>
      <c r="D3" s="118" t="s">
        <v>42</v>
      </c>
      <c r="E3" s="77">
        <f>D12+D17</f>
        <v>5.0508822042377626E-3</v>
      </c>
      <c r="F3" s="145">
        <f>D12</f>
        <v>8.5180719485470225E-4</v>
      </c>
    </row>
    <row r="4" spans="1:16">
      <c r="D4" s="118" t="s">
        <v>45</v>
      </c>
      <c r="E4" s="77">
        <f>D18</f>
        <v>2.7728260607954771E-3</v>
      </c>
    </row>
    <row r="5" spans="1:16">
      <c r="D5" s="118" t="s">
        <v>47</v>
      </c>
      <c r="E5" s="77">
        <f>D19</f>
        <v>0</v>
      </c>
    </row>
    <row r="6" spans="1:16">
      <c r="D6" s="118" t="s">
        <v>49</v>
      </c>
      <c r="E6" s="77">
        <f>D20</f>
        <v>0</v>
      </c>
    </row>
    <row r="7" spans="1:16">
      <c r="D7" s="118" t="s">
        <v>51</v>
      </c>
      <c r="E7" s="77">
        <f>D21</f>
        <v>8.1560353661355185E-3</v>
      </c>
    </row>
    <row r="9" spans="1:16" s="108" customFormat="1">
      <c r="A9" s="108" t="s">
        <v>195</v>
      </c>
    </row>
    <row r="10" spans="1:16">
      <c r="C10" s="118" t="s">
        <v>196</v>
      </c>
      <c r="L10" s="118" t="s">
        <v>197</v>
      </c>
    </row>
    <row r="11" spans="1:16">
      <c r="F11" s="118" t="s">
        <v>199</v>
      </c>
      <c r="N11" s="118" t="s">
        <v>200</v>
      </c>
      <c r="P11" s="118" t="s">
        <v>198</v>
      </c>
    </row>
    <row r="12" spans="1:16">
      <c r="A12" s="118" t="s">
        <v>42</v>
      </c>
      <c r="C12" s="136">
        <f>F12/C35*(1-(1/(1+L12-C43)))</f>
        <v>3.0968630726358128E-3</v>
      </c>
      <c r="D12" s="111">
        <f>F12/C35*(1-(1/(1+L12-$C$3*C43)))</f>
        <v>8.5180719485470225E-4</v>
      </c>
      <c r="F12" s="110">
        <v>18702.563380000007</v>
      </c>
      <c r="L12" s="106">
        <f>(P12-N12)/N12</f>
        <v>0.17102665350444221</v>
      </c>
      <c r="N12" s="103">
        <v>12608.59430979979</v>
      </c>
      <c r="P12" s="103">
        <v>14765</v>
      </c>
    </row>
    <row r="14" spans="1:16" s="108" customFormat="1">
      <c r="A14" s="108" t="s">
        <v>201</v>
      </c>
    </row>
    <row r="15" spans="1:16">
      <c r="C15" s="118" t="s">
        <v>202</v>
      </c>
      <c r="L15" s="118" t="s">
        <v>203</v>
      </c>
    </row>
    <row r="16" spans="1:16">
      <c r="F16" s="118" t="s">
        <v>204</v>
      </c>
      <c r="N16" s="118" t="s">
        <v>200</v>
      </c>
      <c r="P16" s="118" t="s">
        <v>198</v>
      </c>
    </row>
    <row r="17" spans="1:21">
      <c r="A17" s="118" t="s">
        <v>42</v>
      </c>
      <c r="C17" s="111">
        <f>F17/C35*(1-(1/(1+L17-C43)))</f>
        <v>5.9658944020681655E-3</v>
      </c>
      <c r="D17" s="111">
        <f>MAX(F17/C35*(1-(1/(1+L17-$C$3*C43))),0)</f>
        <v>4.1990750093830603E-3</v>
      </c>
      <c r="F17" s="103">
        <v>18157.206300000005</v>
      </c>
      <c r="L17" s="106">
        <f>(P17-N17)/N17</f>
        <v>0.28840538515207109</v>
      </c>
      <c r="N17" s="137">
        <v>19349.5</v>
      </c>
      <c r="P17" s="137">
        <v>24930</v>
      </c>
    </row>
    <row r="18" spans="1:21">
      <c r="A18" s="118" t="s">
        <v>45</v>
      </c>
      <c r="C18" s="111">
        <f>F18/C36*(1-(1/(1+L18-C44)))</f>
        <v>5.6529965838730337E-3</v>
      </c>
      <c r="D18" s="111">
        <f>MAX(F18/C36*(1-(1/(1+L18-$C$3*C44))),0)</f>
        <v>2.7728260607954771E-3</v>
      </c>
      <c r="F18" s="103">
        <v>9405.8799999999992</v>
      </c>
      <c r="L18" s="106">
        <f>(P18-N18)/N18</f>
        <v>0.28514363420023797</v>
      </c>
      <c r="N18" s="137">
        <v>11766</v>
      </c>
      <c r="P18" s="137">
        <v>15121</v>
      </c>
    </row>
    <row r="19" spans="1:21">
      <c r="A19" s="118" t="s">
        <v>47</v>
      </c>
      <c r="C19" s="111">
        <f>MAX(F19/C37*(1-(1/(1+L19-C45))),0)</f>
        <v>0</v>
      </c>
      <c r="D19" s="111">
        <f>MAX(F19/C37*(1-(1/(1+L19-$C$3*C45))),0)</f>
        <v>0</v>
      </c>
      <c r="F19" s="103">
        <v>13924.778381964574</v>
      </c>
      <c r="L19" s="106">
        <f>(P19-N19)/N19</f>
        <v>0.20950838628741497</v>
      </c>
      <c r="N19" s="137">
        <v>16240.399970412254</v>
      </c>
      <c r="P19" s="137">
        <v>19642.899960875508</v>
      </c>
    </row>
    <row r="20" spans="1:21">
      <c r="A20" s="118" t="s">
        <v>49</v>
      </c>
      <c r="C20" s="111">
        <f t="shared" ref="C20:C21" si="0">MAX(F20/C38*(1-(1/(1+L20-C46))),0)</f>
        <v>4.984246143788936E-3</v>
      </c>
      <c r="D20" s="111">
        <f>MAX(F20/C38*(1-(1/(1+L20-$C$3*C46))),0)</f>
        <v>0</v>
      </c>
      <c r="F20" s="103">
        <v>15949.444547674946</v>
      </c>
      <c r="L20" s="106">
        <f>(P20-N20)/N20</f>
        <v>0.30592663692780547</v>
      </c>
      <c r="N20" s="137">
        <v>6961.4859999999999</v>
      </c>
      <c r="P20" s="137">
        <v>9091.19</v>
      </c>
    </row>
    <row r="21" spans="1:21">
      <c r="A21" s="118" t="s">
        <v>51</v>
      </c>
      <c r="C21" s="111">
        <f t="shared" si="0"/>
        <v>9.2755789077808501E-3</v>
      </c>
      <c r="D21" s="111">
        <f>MAX(F21/C39*(1-(1/(1+L21-$C$3*C47))),0)</f>
        <v>8.1560353661355185E-3</v>
      </c>
      <c r="F21" s="103">
        <v>15382.80498013553</v>
      </c>
      <c r="L21" s="106">
        <f>(P21-N21)/N21</f>
        <v>0.35541135458784051</v>
      </c>
      <c r="N21" s="137">
        <v>8075.15</v>
      </c>
      <c r="P21" s="137">
        <v>10945.15</v>
      </c>
    </row>
    <row r="23" spans="1:21" s="108" customFormat="1">
      <c r="A23" s="108" t="s">
        <v>205</v>
      </c>
    </row>
    <row r="24" spans="1:21">
      <c r="L24" s="118" t="s">
        <v>203</v>
      </c>
    </row>
    <row r="25" spans="1:21">
      <c r="F25" s="118" t="s">
        <v>207</v>
      </c>
      <c r="N25" s="118" t="s">
        <v>208</v>
      </c>
    </row>
    <row r="26" spans="1:21">
      <c r="A26" s="118" t="s">
        <v>42</v>
      </c>
      <c r="C26" s="111">
        <f>MAX(F26/C35*(1-(1/(1+L26-C43))),0)</f>
        <v>5.0589803689460127E-4</v>
      </c>
      <c r="D26" s="111">
        <f>MAX(F26/C35*(1-(1/(1+L26-$C$3*C43))),0)</f>
        <v>3.5607465718529122E-4</v>
      </c>
      <c r="F26" s="103">
        <f>N26*U28</f>
        <v>1539.7012423612348</v>
      </c>
      <c r="L26" s="106">
        <f>L17</f>
        <v>0.28840538515207109</v>
      </c>
      <c r="N26" s="138">
        <v>0.28531080607339387</v>
      </c>
    </row>
    <row r="27" spans="1:21">
      <c r="A27" s="118" t="s">
        <v>45</v>
      </c>
      <c r="C27" s="111">
        <f t="shared" ref="C27:C30" si="1">MAX(F27/C36*(1-(1/(1+L27-C44))),0)</f>
        <v>4.430264603463252E-4</v>
      </c>
      <c r="D27" s="111">
        <f>MAX(F27/C36*(1-(1/(1+L27-$C$3*C44))),0)</f>
        <v>2.1730692680316946E-4</v>
      </c>
      <c r="F27" s="103">
        <f>($F$26/$C$35)*C36</f>
        <v>737.14067592577987</v>
      </c>
      <c r="L27" s="106">
        <f>L18</f>
        <v>0.28514363420023797</v>
      </c>
      <c r="R27" s="118" t="s">
        <v>206</v>
      </c>
    </row>
    <row r="28" spans="1:21">
      <c r="A28" s="118" t="s">
        <v>47</v>
      </c>
      <c r="C28" s="111">
        <f t="shared" si="1"/>
        <v>0</v>
      </c>
      <c r="D28" s="111">
        <f>MAX(F28/C37*(1-(1/(1+L28-$C$3*C45))),0)</f>
        <v>0</v>
      </c>
      <c r="F28" s="103">
        <f>($F$26/$C$35)*C37</f>
        <v>1693.5658034158425</v>
      </c>
      <c r="L28" s="106">
        <f>L19</f>
        <v>0.20950838628741497</v>
      </c>
      <c r="U28" s="118">
        <v>5396.5752771563766</v>
      </c>
    </row>
    <row r="29" spans="1:21">
      <c r="A29" s="118" t="s">
        <v>49</v>
      </c>
      <c r="C29" s="111">
        <f t="shared" si="1"/>
        <v>3.7483188578253196E-4</v>
      </c>
      <c r="D29" s="111">
        <f>MAX(F29/C38*(1-(1/(1+L29-$C$3*C46))),0)</f>
        <v>0</v>
      </c>
      <c r="F29" s="103">
        <f>($F$26/$C$35)*C38</f>
        <v>1199.4512719719492</v>
      </c>
      <c r="L29" s="106">
        <f>L20</f>
        <v>0.30592663692780547</v>
      </c>
    </row>
    <row r="30" spans="1:21">
      <c r="A30" s="118" t="s">
        <v>51</v>
      </c>
      <c r="C30" s="111">
        <f t="shared" si="1"/>
        <v>6.7268854322481599E-4</v>
      </c>
      <c r="D30" s="111">
        <f>MAX(F30/C39*(1-(1/(1+L30-$C$3*C47))),0)</f>
        <v>5.9149640184004426E-4</v>
      </c>
      <c r="F30" s="103">
        <f>($F$26/$C$35)*C39</f>
        <v>1115.6000909138399</v>
      </c>
      <c r="L30" s="106">
        <f>L21</f>
        <v>0.35541135458784051</v>
      </c>
    </row>
    <row r="32" spans="1:21" s="108" customFormat="1">
      <c r="A32" s="108" t="s">
        <v>209</v>
      </c>
    </row>
    <row r="34" spans="1:9">
      <c r="C34" s="139">
        <v>2014</v>
      </c>
      <c r="D34" s="32"/>
    </row>
    <row r="35" spans="1:9">
      <c r="A35" s="118" t="s">
        <v>42</v>
      </c>
      <c r="C35" s="110">
        <v>539569.59182207973</v>
      </c>
      <c r="D35" s="141"/>
    </row>
    <row r="36" spans="1:9">
      <c r="A36" s="118" t="s">
        <v>45</v>
      </c>
      <c r="C36" s="110">
        <v>258321.99304766822</v>
      </c>
      <c r="D36" s="141"/>
    </row>
    <row r="37" spans="1:9">
      <c r="A37" s="118" t="s">
        <v>47</v>
      </c>
      <c r="C37" s="110">
        <v>593489.55767000001</v>
      </c>
      <c r="D37" s="141"/>
    </row>
    <row r="38" spans="1:9">
      <c r="A38" s="118" t="s">
        <v>49</v>
      </c>
      <c r="C38" s="110">
        <v>420333.12400000001</v>
      </c>
      <c r="D38" s="141"/>
    </row>
    <row r="39" spans="1:9">
      <c r="A39" s="118" t="s">
        <v>51</v>
      </c>
      <c r="C39" s="110">
        <v>390948.49645502295</v>
      </c>
      <c r="D39" s="141"/>
    </row>
    <row r="41" spans="1:9" s="108" customFormat="1">
      <c r="A41" s="108" t="s">
        <v>210</v>
      </c>
    </row>
    <row r="42" spans="1:9">
      <c r="C42" s="118" t="s">
        <v>211</v>
      </c>
      <c r="E42" s="118" t="s">
        <v>213</v>
      </c>
      <c r="G42" s="118" t="s">
        <v>212</v>
      </c>
    </row>
    <row r="43" spans="1:9">
      <c r="A43" s="118" t="s">
        <v>42</v>
      </c>
      <c r="C43" s="106">
        <f>(G43-E43)/E43</f>
        <v>7.2916428864229332E-2</v>
      </c>
      <c r="D43" s="142"/>
      <c r="E43" s="137">
        <v>6109.7635599999994</v>
      </c>
      <c r="G43" s="137">
        <v>6555.2656999999999</v>
      </c>
      <c r="H43" s="163"/>
      <c r="I43" s="144"/>
    </row>
    <row r="44" spans="1:9">
      <c r="A44" s="118" t="s">
        <v>45</v>
      </c>
      <c r="C44" s="106">
        <f>(G44-E44)/E44</f>
        <v>0.10135690988344813</v>
      </c>
      <c r="D44" s="142"/>
      <c r="E44" s="137">
        <v>3779.0286552165171</v>
      </c>
      <c r="G44" s="137">
        <v>4162.0593220702658</v>
      </c>
      <c r="H44" s="163"/>
      <c r="I44" s="144"/>
    </row>
    <row r="45" spans="1:9">
      <c r="A45" s="118" t="s">
        <v>47</v>
      </c>
      <c r="C45" s="106">
        <f>(G45-E45)/E45</f>
        <v>0.2537814498570895</v>
      </c>
      <c r="D45" s="142"/>
      <c r="E45" s="137">
        <v>4225.3853993415833</v>
      </c>
      <c r="G45" s="137">
        <v>5297.7098321914673</v>
      </c>
      <c r="H45" s="163"/>
      <c r="I45" s="144"/>
    </row>
    <row r="46" spans="1:9">
      <c r="A46" s="118" t="s">
        <v>49</v>
      </c>
      <c r="C46" s="106">
        <f>(G46-E46)/E46</f>
        <v>0.15470798926757315</v>
      </c>
      <c r="D46" s="142"/>
      <c r="E46" s="137">
        <v>2804.212</v>
      </c>
      <c r="G46" s="137">
        <v>3238.0459999999998</v>
      </c>
      <c r="H46" s="163"/>
      <c r="I46" s="144"/>
    </row>
    <row r="47" spans="1:9">
      <c r="A47" s="118" t="s">
        <v>51</v>
      </c>
      <c r="C47" s="106">
        <f>(G47-E47)/E47</f>
        <v>4.696377604163407E-2</v>
      </c>
      <c r="D47" s="142"/>
      <c r="E47" s="137">
        <v>2473.7940716784001</v>
      </c>
      <c r="G47" s="137">
        <v>2589.9727824338265</v>
      </c>
      <c r="H47" s="163"/>
      <c r="I47" s="144"/>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8"/>
  <sheetViews>
    <sheetView workbookViewId="0">
      <selection activeCell="O2" sqref="O2"/>
    </sheetView>
  </sheetViews>
  <sheetFormatPr defaultColWidth="8.7109375" defaultRowHeight="15"/>
  <cols>
    <col min="1" max="2" width="8.7109375" style="245"/>
    <col min="3" max="3" width="10.28515625" style="245" bestFit="1" customWidth="1"/>
    <col min="4" max="4" width="11.28515625" style="245" bestFit="1" customWidth="1"/>
    <col min="5" max="5" width="16.28515625" style="245" customWidth="1"/>
    <col min="6" max="8" width="8.7109375" style="245"/>
    <col min="9" max="11" width="9.140625" style="245" bestFit="1" customWidth="1"/>
    <col min="12" max="12" width="8.7109375" style="245"/>
    <col min="13" max="13" width="9.140625" style="245" bestFit="1" customWidth="1"/>
    <col min="14" max="14" width="8.7109375" style="245"/>
    <col min="15" max="15" width="11.28515625" style="245" bestFit="1" customWidth="1"/>
    <col min="16" max="16384" width="8.7109375" style="245"/>
  </cols>
  <sheetData>
    <row r="1" spans="2:15">
      <c r="C1" s="245" t="s">
        <v>256</v>
      </c>
      <c r="D1" s="245" t="s">
        <v>257</v>
      </c>
      <c r="E1" s="245" t="s">
        <v>258</v>
      </c>
      <c r="F1" s="245" t="s">
        <v>259</v>
      </c>
      <c r="G1" s="245" t="s">
        <v>260</v>
      </c>
      <c r="H1" s="245" t="s">
        <v>261</v>
      </c>
      <c r="I1" s="245" t="s">
        <v>262</v>
      </c>
      <c r="J1" s="245" t="s">
        <v>263</v>
      </c>
      <c r="K1" s="245" t="s">
        <v>264</v>
      </c>
      <c r="L1" s="245" t="s">
        <v>265</v>
      </c>
      <c r="M1" s="245" t="s">
        <v>266</v>
      </c>
      <c r="N1" s="245" t="s">
        <v>267</v>
      </c>
      <c r="O1" s="245" t="s">
        <v>19</v>
      </c>
    </row>
    <row r="2" spans="2:15">
      <c r="B2" s="245" t="s">
        <v>0</v>
      </c>
      <c r="C2" s="246">
        <v>0</v>
      </c>
      <c r="D2" s="246">
        <v>189.08099999999999</v>
      </c>
      <c r="E2" s="246">
        <v>0</v>
      </c>
      <c r="F2" s="246">
        <v>7.157</v>
      </c>
      <c r="G2" s="246">
        <v>0</v>
      </c>
      <c r="H2" s="246">
        <v>0</v>
      </c>
      <c r="I2" s="246">
        <v>33.81</v>
      </c>
      <c r="J2" s="246">
        <v>0</v>
      </c>
      <c r="K2" s="246">
        <v>969.274</v>
      </c>
      <c r="L2" s="246">
        <v>0</v>
      </c>
      <c r="M2" s="246">
        <v>1165.163</v>
      </c>
      <c r="N2" s="247">
        <f>O2-SUM(C2:M2)</f>
        <v>0</v>
      </c>
      <c r="O2" s="61">
        <v>2364.4850000000001</v>
      </c>
    </row>
    <row r="3" spans="2:15">
      <c r="B3" s="245" t="s">
        <v>1</v>
      </c>
      <c r="C3" s="246">
        <v>0</v>
      </c>
      <c r="D3" s="246">
        <v>1100</v>
      </c>
      <c r="E3" s="246">
        <v>0</v>
      </c>
      <c r="F3" s="246">
        <v>446.9</v>
      </c>
      <c r="G3" s="246">
        <v>0</v>
      </c>
      <c r="H3" s="246">
        <v>1322</v>
      </c>
      <c r="I3" s="246">
        <v>125.6</v>
      </c>
      <c r="J3" s="246">
        <v>124.6</v>
      </c>
      <c r="K3" s="246">
        <v>9842</v>
      </c>
      <c r="L3" s="246">
        <v>0</v>
      </c>
      <c r="M3" s="246">
        <v>13083</v>
      </c>
      <c r="N3" s="246">
        <f t="shared" ref="N3:N13" si="0">O3-SUM(C3:M3)</f>
        <v>0</v>
      </c>
      <c r="O3" s="61">
        <v>26044.1</v>
      </c>
    </row>
    <row r="4" spans="2:15">
      <c r="B4" s="245" t="s">
        <v>2</v>
      </c>
      <c r="C4" s="246">
        <v>0</v>
      </c>
      <c r="D4" s="246">
        <v>0</v>
      </c>
      <c r="E4" s="246">
        <v>0</v>
      </c>
      <c r="F4" s="246">
        <v>137.92933042654818</v>
      </c>
      <c r="G4" s="246">
        <v>0</v>
      </c>
      <c r="H4" s="246">
        <v>0</v>
      </c>
      <c r="I4" s="246">
        <v>19.545541187659001</v>
      </c>
      <c r="J4" s="246">
        <v>0</v>
      </c>
      <c r="K4" s="246">
        <v>448.89506783710249</v>
      </c>
      <c r="L4" s="246">
        <v>0</v>
      </c>
      <c r="M4" s="246">
        <v>1617.3591809053746</v>
      </c>
      <c r="N4" s="246">
        <f t="shared" si="0"/>
        <v>2.4431926484576252</v>
      </c>
      <c r="O4" s="61">
        <v>2226.1723130051419</v>
      </c>
    </row>
    <row r="5" spans="2:15">
      <c r="B5" s="245" t="s">
        <v>3</v>
      </c>
      <c r="C5" s="246">
        <v>0</v>
      </c>
      <c r="D5" s="246">
        <v>1229.172</v>
      </c>
      <c r="E5" s="246">
        <v>0</v>
      </c>
      <c r="F5" s="246">
        <v>540.31399999999996</v>
      </c>
      <c r="G5" s="246">
        <v>0</v>
      </c>
      <c r="H5" s="246">
        <v>1454.1849999999999</v>
      </c>
      <c r="I5" s="246">
        <v>1378.5150000000001</v>
      </c>
      <c r="J5" s="246">
        <v>484.84</v>
      </c>
      <c r="K5" s="246">
        <v>9450.5759999999991</v>
      </c>
      <c r="L5" s="246">
        <v>0</v>
      </c>
      <c r="M5" s="246">
        <v>8849.7170000000006</v>
      </c>
      <c r="N5" s="246">
        <f t="shared" si="0"/>
        <v>0</v>
      </c>
      <c r="O5" s="61">
        <v>23387.318999999996</v>
      </c>
    </row>
    <row r="6" spans="2:15">
      <c r="B6" s="245" t="s">
        <v>4</v>
      </c>
      <c r="C6" s="246">
        <v>0</v>
      </c>
      <c r="D6" s="246">
        <v>331.221</v>
      </c>
      <c r="E6" s="246">
        <v>801.02499999999998</v>
      </c>
      <c r="F6" s="246">
        <v>0</v>
      </c>
      <c r="G6" s="246">
        <v>0</v>
      </c>
      <c r="H6" s="246">
        <v>2195.8519999999999</v>
      </c>
      <c r="I6" s="246">
        <v>0</v>
      </c>
      <c r="J6" s="246">
        <v>38.892000000000003</v>
      </c>
      <c r="K6" s="246">
        <v>17494.732</v>
      </c>
      <c r="L6" s="246">
        <v>0</v>
      </c>
      <c r="M6" s="246">
        <v>14240.608</v>
      </c>
      <c r="N6" s="246">
        <f t="shared" si="0"/>
        <v>0</v>
      </c>
      <c r="O6" s="61">
        <v>35102.33</v>
      </c>
    </row>
    <row r="7" spans="2:15">
      <c r="B7" s="245" t="s">
        <v>5</v>
      </c>
      <c r="C7" s="246">
        <v>0</v>
      </c>
      <c r="D7" s="246">
        <v>2524.16302216129</v>
      </c>
      <c r="E7" s="246">
        <v>530.05465982925898</v>
      </c>
      <c r="F7" s="246">
        <v>8224.1024066125592</v>
      </c>
      <c r="G7" s="246">
        <v>0</v>
      </c>
      <c r="H7" s="246">
        <v>4260.29870671558</v>
      </c>
      <c r="I7" s="246">
        <v>15319.177769444001</v>
      </c>
      <c r="J7" s="246">
        <v>65527.9385257049</v>
      </c>
      <c r="K7" s="246">
        <v>36222.363397335699</v>
      </c>
      <c r="L7" s="246">
        <v>14.5631939736601</v>
      </c>
      <c r="M7" s="246">
        <v>18957.236372572599</v>
      </c>
      <c r="N7" s="246">
        <f t="shared" si="0"/>
        <v>2.4769736104644835E-2</v>
      </c>
      <c r="O7" s="61">
        <v>151579.92282408563</v>
      </c>
    </row>
    <row r="8" spans="2:15">
      <c r="B8" s="245" t="s">
        <v>6</v>
      </c>
      <c r="C8" s="246">
        <v>2.972</v>
      </c>
      <c r="D8" s="246">
        <v>1950.6</v>
      </c>
      <c r="E8" s="246">
        <v>21</v>
      </c>
      <c r="F8" s="246">
        <v>7733.8</v>
      </c>
      <c r="G8" s="246">
        <v>0</v>
      </c>
      <c r="H8" s="246">
        <v>5325.2</v>
      </c>
      <c r="I8" s="246">
        <v>42335.8</v>
      </c>
      <c r="J8" s="246">
        <v>29709</v>
      </c>
      <c r="K8" s="246">
        <v>70418</v>
      </c>
      <c r="L8" s="246">
        <v>18.8</v>
      </c>
      <c r="M8" s="246">
        <v>19109.809000000001</v>
      </c>
      <c r="N8" s="246">
        <f t="shared" si="0"/>
        <v>0</v>
      </c>
      <c r="O8" s="61">
        <v>176624.981</v>
      </c>
    </row>
    <row r="9" spans="2:15">
      <c r="B9" s="245" t="s">
        <v>7</v>
      </c>
      <c r="C9" s="246">
        <v>0</v>
      </c>
      <c r="D9" s="246">
        <v>0</v>
      </c>
      <c r="E9" s="246">
        <v>0</v>
      </c>
      <c r="F9" s="246">
        <v>293.41772374999999</v>
      </c>
      <c r="G9" s="246">
        <v>0</v>
      </c>
      <c r="H9" s="246">
        <v>0</v>
      </c>
      <c r="I9" s="246">
        <v>1408.2161620914187</v>
      </c>
      <c r="J9" s="246">
        <v>11.2027625</v>
      </c>
      <c r="K9" s="246">
        <v>205.62734499309875</v>
      </c>
      <c r="L9" s="246">
        <v>96.192371634462489</v>
      </c>
      <c r="M9" s="246">
        <v>2438.7199087499998</v>
      </c>
      <c r="N9" s="246">
        <f t="shared" si="0"/>
        <v>0</v>
      </c>
      <c r="O9" s="61">
        <v>4453.37627371898</v>
      </c>
    </row>
    <row r="10" spans="2:15">
      <c r="B10" s="245" t="s">
        <v>8</v>
      </c>
      <c r="C10" s="246">
        <v>0</v>
      </c>
      <c r="D10" s="246">
        <v>0</v>
      </c>
      <c r="E10" s="246">
        <v>0</v>
      </c>
      <c r="F10" s="246">
        <v>3158.4036523714585</v>
      </c>
      <c r="G10" s="246">
        <v>0</v>
      </c>
      <c r="H10" s="246">
        <v>0</v>
      </c>
      <c r="I10" s="246">
        <v>34062.277696228739</v>
      </c>
      <c r="J10" s="246">
        <v>21679.656322316361</v>
      </c>
      <c r="K10" s="246">
        <v>47.919246068235864</v>
      </c>
      <c r="L10" s="246">
        <v>0</v>
      </c>
      <c r="M10" s="246">
        <v>9565.5471612941583</v>
      </c>
      <c r="N10" s="246">
        <f t="shared" ref="N10:N12" si="1">O10-SUM(C10:M10)</f>
        <v>0</v>
      </c>
      <c r="O10" s="61">
        <v>68513.804078278947</v>
      </c>
    </row>
    <row r="11" spans="2:15">
      <c r="B11" s="245" t="s">
        <v>9</v>
      </c>
      <c r="C11" s="246">
        <v>0</v>
      </c>
      <c r="D11" s="246">
        <v>0</v>
      </c>
      <c r="E11" s="246">
        <v>0</v>
      </c>
      <c r="F11" s="246">
        <v>1415.2460266288888</v>
      </c>
      <c r="G11" s="246">
        <v>0</v>
      </c>
      <c r="H11" s="246">
        <v>3898.8402350993329</v>
      </c>
      <c r="I11" s="246">
        <v>0</v>
      </c>
      <c r="J11" s="246">
        <v>28927.053678166543</v>
      </c>
      <c r="K11" s="246">
        <v>17540.52843931222</v>
      </c>
      <c r="L11" s="246">
        <v>222.36374553355554</v>
      </c>
      <c r="M11" s="246">
        <v>19113.845353661211</v>
      </c>
      <c r="N11" s="246">
        <f t="shared" si="1"/>
        <v>0</v>
      </c>
      <c r="O11" s="61">
        <v>71117.877478401759</v>
      </c>
    </row>
    <row r="12" spans="2:15">
      <c r="B12" s="245" t="s">
        <v>10</v>
      </c>
      <c r="C12" s="246">
        <v>0</v>
      </c>
      <c r="D12" s="246">
        <v>0</v>
      </c>
      <c r="E12" s="246">
        <v>0</v>
      </c>
      <c r="F12" s="246">
        <v>2386.9938749999997</v>
      </c>
      <c r="G12" s="246">
        <v>0</v>
      </c>
      <c r="H12" s="246">
        <v>0</v>
      </c>
      <c r="I12" s="246">
        <v>22420.972125</v>
      </c>
      <c r="J12" s="246">
        <v>6418.4211249999989</v>
      </c>
      <c r="K12" s="246">
        <v>7.086125</v>
      </c>
      <c r="L12" s="246">
        <v>67.828249999999997</v>
      </c>
      <c r="M12" s="246">
        <v>6736.946750000001</v>
      </c>
      <c r="N12" s="246">
        <f t="shared" si="1"/>
        <v>1.2499999138526618E-4</v>
      </c>
      <c r="O12" s="61">
        <v>38038.248374999996</v>
      </c>
    </row>
    <row r="13" spans="2:15">
      <c r="B13" s="245" t="s">
        <v>11</v>
      </c>
      <c r="C13" s="246">
        <v>0</v>
      </c>
      <c r="D13" s="246">
        <v>0</v>
      </c>
      <c r="E13" s="246">
        <v>0</v>
      </c>
      <c r="F13" s="246">
        <v>0</v>
      </c>
      <c r="G13" s="246">
        <v>46.6</v>
      </c>
      <c r="H13" s="246">
        <v>87.6</v>
      </c>
      <c r="I13" s="246">
        <v>11506.3</v>
      </c>
      <c r="J13" s="246">
        <v>488.4</v>
      </c>
      <c r="K13" s="246">
        <v>2967.2</v>
      </c>
      <c r="L13" s="246">
        <v>6.1</v>
      </c>
      <c r="M13" s="246">
        <v>4960.8999999999996</v>
      </c>
      <c r="N13" s="246">
        <f t="shared" si="0"/>
        <v>0</v>
      </c>
      <c r="O13" s="61">
        <v>20063.099999999999</v>
      </c>
    </row>
    <row r="14" spans="2:15">
      <c r="B14" s="245" t="s">
        <v>12</v>
      </c>
      <c r="C14" s="246">
        <v>0</v>
      </c>
      <c r="D14" s="246">
        <v>0</v>
      </c>
      <c r="E14" s="246">
        <v>0</v>
      </c>
      <c r="F14" s="246">
        <v>634.67500000000007</v>
      </c>
      <c r="G14" s="246">
        <v>0</v>
      </c>
      <c r="H14" s="246">
        <v>0</v>
      </c>
      <c r="I14" s="246">
        <v>2936.5125000000003</v>
      </c>
      <c r="J14" s="246">
        <v>41</v>
      </c>
      <c r="K14" s="246">
        <v>615.33749999999998</v>
      </c>
      <c r="L14" s="246">
        <v>24.924999999999997</v>
      </c>
      <c r="M14" s="246">
        <v>5895.4125000000004</v>
      </c>
      <c r="N14" s="246">
        <f t="shared" ref="N14" si="2">O14-SUM(C14:M14)</f>
        <v>0</v>
      </c>
      <c r="O14" s="61">
        <v>10147.862499999999</v>
      </c>
    </row>
    <row r="16" spans="2:15">
      <c r="C16" s="245" t="s">
        <v>272</v>
      </c>
      <c r="D16" s="245" t="s">
        <v>268</v>
      </c>
      <c r="E16" s="245" t="s">
        <v>19</v>
      </c>
      <c r="G16" s="193" t="s">
        <v>269</v>
      </c>
      <c r="H16" s="193"/>
      <c r="I16" s="193"/>
      <c r="J16" s="193"/>
      <c r="K16" s="193"/>
      <c r="L16" s="193"/>
      <c r="M16" s="193"/>
      <c r="N16" s="193"/>
    </row>
    <row r="17" spans="2:14">
      <c r="B17" s="245" t="s">
        <v>270</v>
      </c>
      <c r="C17" s="61">
        <f>SUM(C2:G2)</f>
        <v>196.238</v>
      </c>
      <c r="D17" s="61">
        <f>SUM(H2:N2)</f>
        <v>2168.2470000000003</v>
      </c>
      <c r="E17" s="61">
        <f>O2</f>
        <v>2364.4850000000001</v>
      </c>
      <c r="G17" s="315">
        <f>C17/E17</f>
        <v>8.2993971203031522E-2</v>
      </c>
      <c r="H17" s="193" t="s">
        <v>270</v>
      </c>
      <c r="I17" s="314"/>
      <c r="J17" s="193"/>
      <c r="K17" s="315"/>
      <c r="L17" s="193"/>
      <c r="M17" s="314"/>
      <c r="N17" s="193"/>
    </row>
    <row r="18" spans="2:14">
      <c r="B18" s="245" t="s">
        <v>42</v>
      </c>
      <c r="C18" s="61">
        <f t="shared" ref="C18:C29" si="3">SUM(C3:G3)</f>
        <v>1546.9</v>
      </c>
      <c r="D18" s="61">
        <f t="shared" ref="D18:D29" si="4">SUM(H3:N3)</f>
        <v>24497.200000000001</v>
      </c>
      <c r="E18" s="61">
        <f t="shared" ref="E18:E29" si="5">O3</f>
        <v>26044.1</v>
      </c>
      <c r="G18" s="315">
        <f t="shared" ref="G18:G29" si="6">C18/E18</f>
        <v>5.9395410092880928E-2</v>
      </c>
      <c r="H18" s="193" t="s">
        <v>42</v>
      </c>
      <c r="I18" s="314"/>
      <c r="J18" s="193"/>
      <c r="K18" s="315"/>
      <c r="L18" s="193"/>
      <c r="M18" s="314"/>
      <c r="N18" s="193"/>
    </row>
    <row r="19" spans="2:14">
      <c r="B19" s="245" t="s">
        <v>297</v>
      </c>
      <c r="C19" s="61">
        <f t="shared" si="3"/>
        <v>137.92933042654818</v>
      </c>
      <c r="D19" s="61">
        <f t="shared" si="4"/>
        <v>2088.2429825785939</v>
      </c>
      <c r="E19" s="61">
        <f t="shared" si="5"/>
        <v>2226.1723130051419</v>
      </c>
      <c r="G19" s="315">
        <f t="shared" si="6"/>
        <v>6.1958065699036301E-2</v>
      </c>
      <c r="H19" s="193" t="s">
        <v>297</v>
      </c>
      <c r="I19" s="314"/>
      <c r="J19" s="193"/>
      <c r="K19" s="315"/>
      <c r="L19" s="193"/>
      <c r="M19" s="314"/>
      <c r="N19" s="193"/>
    </row>
    <row r="20" spans="2:14">
      <c r="B20" s="245" t="s">
        <v>45</v>
      </c>
      <c r="C20" s="61">
        <f t="shared" si="3"/>
        <v>1769.4859999999999</v>
      </c>
      <c r="D20" s="61">
        <f t="shared" si="4"/>
        <v>21617.832999999999</v>
      </c>
      <c r="E20" s="61">
        <f t="shared" si="5"/>
        <v>23387.318999999996</v>
      </c>
      <c r="G20" s="315">
        <f t="shared" si="6"/>
        <v>7.5660061762530373E-2</v>
      </c>
      <c r="H20" s="193" t="s">
        <v>45</v>
      </c>
      <c r="I20" s="314"/>
      <c r="J20" s="193"/>
      <c r="K20" s="315"/>
      <c r="L20" s="193"/>
      <c r="M20" s="314"/>
      <c r="N20" s="193"/>
    </row>
    <row r="21" spans="2:14">
      <c r="B21" s="245" t="s">
        <v>47</v>
      </c>
      <c r="C21" s="61">
        <f t="shared" si="3"/>
        <v>1132.2460000000001</v>
      </c>
      <c r="D21" s="61">
        <f t="shared" si="4"/>
        <v>33970.084000000003</v>
      </c>
      <c r="E21" s="61">
        <f t="shared" si="5"/>
        <v>35102.33</v>
      </c>
      <c r="G21" s="315">
        <f t="shared" si="6"/>
        <v>3.2255579615370261E-2</v>
      </c>
      <c r="H21" s="193" t="s">
        <v>47</v>
      </c>
      <c r="I21" s="314"/>
      <c r="J21" s="193"/>
      <c r="K21" s="315"/>
      <c r="L21" s="193"/>
      <c r="M21" s="314"/>
      <c r="N21" s="193"/>
    </row>
    <row r="22" spans="2:14">
      <c r="B22" s="245" t="s">
        <v>49</v>
      </c>
      <c r="C22" s="61">
        <f t="shared" si="3"/>
        <v>11278.320088603108</v>
      </c>
      <c r="D22" s="61">
        <f t="shared" si="4"/>
        <v>140301.60273548253</v>
      </c>
      <c r="E22" s="61">
        <f t="shared" si="5"/>
        <v>151579.92282408563</v>
      </c>
      <c r="G22" s="315">
        <f t="shared" si="6"/>
        <v>7.4405105098859531E-2</v>
      </c>
      <c r="H22" s="193" t="s">
        <v>49</v>
      </c>
      <c r="I22" s="314"/>
      <c r="J22" s="193"/>
      <c r="K22" s="315"/>
      <c r="L22" s="193"/>
      <c r="M22" s="314"/>
      <c r="N22" s="193"/>
    </row>
    <row r="23" spans="2:14">
      <c r="B23" s="245" t="s">
        <v>51</v>
      </c>
      <c r="C23" s="61">
        <f t="shared" si="3"/>
        <v>9708.3719999999994</v>
      </c>
      <c r="D23" s="61">
        <f t="shared" si="4"/>
        <v>166916.609</v>
      </c>
      <c r="E23" s="61">
        <f t="shared" si="5"/>
        <v>176624.981</v>
      </c>
      <c r="G23" s="315">
        <f t="shared" si="6"/>
        <v>5.4966018651687779E-2</v>
      </c>
      <c r="H23" s="193" t="s">
        <v>51</v>
      </c>
      <c r="I23" s="314"/>
      <c r="J23" s="193"/>
      <c r="K23" s="315"/>
      <c r="L23" s="193"/>
      <c r="M23" s="314"/>
      <c r="N23" s="193"/>
    </row>
    <row r="24" spans="2:14">
      <c r="B24" s="245" t="s">
        <v>53</v>
      </c>
      <c r="C24" s="61">
        <f t="shared" si="3"/>
        <v>293.41772374999999</v>
      </c>
      <c r="D24" s="61">
        <f t="shared" si="4"/>
        <v>4159.9585499689802</v>
      </c>
      <c r="E24" s="61">
        <f t="shared" si="5"/>
        <v>4453.37627371898</v>
      </c>
      <c r="G24" s="315">
        <f t="shared" si="6"/>
        <v>6.5886578118621253E-2</v>
      </c>
      <c r="H24" s="193" t="s">
        <v>53</v>
      </c>
      <c r="I24" s="314"/>
      <c r="J24" s="193"/>
      <c r="K24" s="315"/>
      <c r="L24" s="193"/>
      <c r="M24" s="314"/>
      <c r="N24" s="193"/>
    </row>
    <row r="25" spans="2:14">
      <c r="B25" s="245" t="s">
        <v>55</v>
      </c>
      <c r="C25" s="61">
        <f t="shared" si="3"/>
        <v>3158.4036523714585</v>
      </c>
      <c r="D25" s="61">
        <f t="shared" si="4"/>
        <v>65355.400425907501</v>
      </c>
      <c r="E25" s="61">
        <f t="shared" si="5"/>
        <v>68513.804078278947</v>
      </c>
      <c r="G25" s="315">
        <f t="shared" si="6"/>
        <v>4.6098792715740813E-2</v>
      </c>
      <c r="H25" s="193" t="s">
        <v>55</v>
      </c>
      <c r="I25" s="314"/>
      <c r="J25" s="193"/>
      <c r="K25" s="315"/>
      <c r="L25" s="193"/>
      <c r="M25" s="314"/>
      <c r="N25" s="193"/>
    </row>
    <row r="26" spans="2:14">
      <c r="B26" s="245" t="s">
        <v>57</v>
      </c>
      <c r="C26" s="61">
        <f t="shared" si="3"/>
        <v>1415.2460266288888</v>
      </c>
      <c r="D26" s="61">
        <f t="shared" si="4"/>
        <v>69702.631451772861</v>
      </c>
      <c r="E26" s="61">
        <f t="shared" si="5"/>
        <v>71117.877478401759</v>
      </c>
      <c r="G26" s="315">
        <f t="shared" si="6"/>
        <v>1.9900003723517957E-2</v>
      </c>
      <c r="H26" s="193" t="s">
        <v>57</v>
      </c>
      <c r="I26" s="314"/>
      <c r="J26" s="193"/>
      <c r="K26" s="315"/>
      <c r="L26" s="193"/>
      <c r="M26" s="314"/>
      <c r="N26" s="193"/>
    </row>
    <row r="27" spans="2:14">
      <c r="B27" s="245" t="s">
        <v>296</v>
      </c>
      <c r="C27" s="61">
        <f t="shared" si="3"/>
        <v>2386.9938749999997</v>
      </c>
      <c r="D27" s="61">
        <f t="shared" si="4"/>
        <v>35651.254499999995</v>
      </c>
      <c r="E27" s="61">
        <f t="shared" si="5"/>
        <v>38038.248374999996</v>
      </c>
      <c r="G27" s="315">
        <f t="shared" si="6"/>
        <v>6.2752465662136311E-2</v>
      </c>
      <c r="H27" s="193" t="s">
        <v>296</v>
      </c>
      <c r="I27" s="314"/>
      <c r="J27" s="193"/>
      <c r="K27" s="315"/>
      <c r="L27" s="193"/>
      <c r="M27" s="314"/>
      <c r="N27" s="193"/>
    </row>
    <row r="28" spans="2:14">
      <c r="B28" s="245" t="s">
        <v>271</v>
      </c>
      <c r="C28" s="61">
        <f t="shared" si="3"/>
        <v>46.6</v>
      </c>
      <c r="D28" s="61">
        <f t="shared" si="4"/>
        <v>20016.5</v>
      </c>
      <c r="E28" s="61">
        <f t="shared" si="5"/>
        <v>20063.099999999999</v>
      </c>
      <c r="G28" s="315">
        <f t="shared" si="6"/>
        <v>2.3226719699348556E-3</v>
      </c>
      <c r="H28" s="193" t="s">
        <v>271</v>
      </c>
      <c r="I28" s="314"/>
      <c r="J28" s="193"/>
      <c r="K28" s="315"/>
      <c r="L28" s="193"/>
      <c r="M28" s="314"/>
      <c r="N28" s="193"/>
    </row>
    <row r="29" spans="2:14">
      <c r="B29" s="245" t="s">
        <v>61</v>
      </c>
      <c r="C29" s="61">
        <f t="shared" si="3"/>
        <v>634.67500000000007</v>
      </c>
      <c r="D29" s="61">
        <f t="shared" si="4"/>
        <v>9513.1875</v>
      </c>
      <c r="E29" s="61">
        <f t="shared" si="5"/>
        <v>10147.862499999999</v>
      </c>
      <c r="G29" s="315">
        <f t="shared" si="6"/>
        <v>6.2542727594111586E-2</v>
      </c>
      <c r="H29" s="193" t="s">
        <v>61</v>
      </c>
      <c r="I29" s="314"/>
      <c r="J29" s="193"/>
      <c r="K29" s="315"/>
      <c r="L29" s="193"/>
      <c r="M29" s="314"/>
      <c r="N29" s="193"/>
    </row>
    <row r="30" spans="2:14">
      <c r="G30" s="314"/>
      <c r="H30" s="193"/>
      <c r="I30" s="193"/>
      <c r="J30" s="193"/>
      <c r="K30" s="314"/>
      <c r="L30" s="193"/>
      <c r="M30" s="193"/>
      <c r="N30" s="193"/>
    </row>
    <row r="31" spans="2:14">
      <c r="B31" s="193"/>
      <c r="C31" s="193"/>
      <c r="D31" s="193"/>
      <c r="E31" s="193"/>
      <c r="F31" s="193"/>
      <c r="G31" s="314"/>
      <c r="H31" s="193"/>
      <c r="I31" s="193"/>
      <c r="J31" s="193"/>
      <c r="K31" s="314"/>
      <c r="L31" s="193"/>
      <c r="M31" s="193"/>
      <c r="N31" s="193"/>
    </row>
    <row r="32" spans="2:14">
      <c r="B32" s="193"/>
      <c r="C32" s="193"/>
      <c r="D32" s="193"/>
      <c r="E32" s="193"/>
      <c r="F32" s="193"/>
      <c r="G32" s="316"/>
      <c r="H32" s="193"/>
      <c r="I32" s="193"/>
      <c r="J32" s="193"/>
      <c r="K32" s="314"/>
      <c r="L32" s="193"/>
      <c r="M32" s="193"/>
      <c r="N32" s="193"/>
    </row>
    <row r="33" spans="2:14">
      <c r="B33" s="193"/>
      <c r="C33" s="193"/>
      <c r="D33" s="193"/>
      <c r="E33" s="193"/>
      <c r="F33" s="193"/>
      <c r="G33" s="193"/>
      <c r="H33" s="193"/>
      <c r="I33" s="193"/>
      <c r="J33" s="193"/>
      <c r="K33" s="193"/>
      <c r="L33" s="193"/>
      <c r="M33" s="193"/>
      <c r="N33" s="193"/>
    </row>
    <row r="34" spans="2:14">
      <c r="B34" s="193"/>
      <c r="C34" s="193"/>
      <c r="D34" s="193"/>
      <c r="E34" s="193"/>
      <c r="F34" s="193"/>
      <c r="G34" s="316"/>
      <c r="H34" s="193"/>
      <c r="I34" s="193"/>
      <c r="J34" s="193"/>
    </row>
    <row r="35" spans="2:14">
      <c r="B35" s="193"/>
      <c r="C35" s="193"/>
      <c r="D35" s="193"/>
      <c r="E35" s="193"/>
      <c r="F35" s="193"/>
      <c r="G35" s="193"/>
      <c r="H35" s="193"/>
      <c r="I35" s="193"/>
      <c r="J35" s="193"/>
    </row>
    <row r="36" spans="2:14">
      <c r="B36" s="193"/>
      <c r="C36" s="193"/>
      <c r="D36" s="193"/>
      <c r="E36" s="193"/>
      <c r="F36" s="193"/>
      <c r="G36" s="193"/>
      <c r="H36" s="193"/>
      <c r="I36" s="193"/>
      <c r="J36" s="193"/>
    </row>
    <row r="37" spans="2:14">
      <c r="B37" s="193"/>
      <c r="C37" s="193"/>
      <c r="D37" s="193"/>
      <c r="E37" s="193"/>
      <c r="F37" s="193"/>
      <c r="G37" s="193"/>
      <c r="H37" s="193"/>
      <c r="I37" s="193"/>
      <c r="J37" s="193"/>
    </row>
    <row r="38" spans="2:14">
      <c r="B38" s="193"/>
      <c r="C38" s="316"/>
      <c r="D38" s="193"/>
      <c r="E38" s="205"/>
      <c r="F38" s="193"/>
      <c r="G38" s="316"/>
      <c r="H38" s="193"/>
      <c r="I38" s="193"/>
      <c r="J38" s="193"/>
    </row>
    <row r="39" spans="2:14">
      <c r="B39" s="193"/>
      <c r="C39" s="316"/>
      <c r="D39" s="193"/>
      <c r="E39" s="205"/>
      <c r="F39" s="193"/>
      <c r="G39" s="316"/>
      <c r="H39" s="193"/>
      <c r="I39" s="193"/>
      <c r="J39" s="193"/>
    </row>
    <row r="40" spans="2:14">
      <c r="B40" s="193"/>
      <c r="C40" s="316"/>
      <c r="D40" s="193"/>
      <c r="E40" s="205"/>
      <c r="F40" s="193"/>
      <c r="G40" s="316"/>
      <c r="H40" s="193"/>
      <c r="I40" s="193"/>
      <c r="J40" s="193"/>
    </row>
    <row r="41" spans="2:14">
      <c r="B41" s="193"/>
      <c r="C41" s="316"/>
      <c r="D41" s="193"/>
      <c r="E41" s="205"/>
      <c r="F41" s="193"/>
      <c r="G41" s="316"/>
      <c r="H41" s="193"/>
      <c r="I41" s="193"/>
      <c r="J41" s="193"/>
    </row>
    <row r="42" spans="2:14">
      <c r="B42" s="193"/>
      <c r="C42" s="316"/>
      <c r="D42" s="193"/>
      <c r="E42" s="205"/>
      <c r="F42" s="193"/>
      <c r="G42" s="316"/>
      <c r="H42" s="193"/>
      <c r="I42" s="193"/>
      <c r="J42" s="193"/>
    </row>
    <row r="43" spans="2:14">
      <c r="B43" s="193"/>
      <c r="C43" s="193"/>
      <c r="D43" s="193"/>
      <c r="E43" s="193"/>
      <c r="F43" s="193"/>
      <c r="G43" s="193"/>
      <c r="H43" s="193"/>
      <c r="I43" s="193"/>
      <c r="J43" s="193"/>
    </row>
    <row r="44" spans="2:14">
      <c r="B44" s="193"/>
      <c r="C44" s="193"/>
      <c r="D44" s="193"/>
      <c r="E44" s="205"/>
      <c r="F44" s="193"/>
      <c r="G44" s="316"/>
      <c r="H44" s="193"/>
      <c r="I44" s="193"/>
      <c r="J44" s="193"/>
    </row>
    <row r="45" spans="2:14">
      <c r="B45" s="193"/>
      <c r="C45" s="193"/>
      <c r="D45" s="193"/>
      <c r="E45" s="193"/>
      <c r="F45" s="193"/>
      <c r="G45" s="193"/>
      <c r="H45" s="193"/>
      <c r="I45" s="193"/>
      <c r="J45" s="193"/>
    </row>
    <row r="46" spans="2:14">
      <c r="B46" s="193"/>
      <c r="C46" s="193"/>
      <c r="D46" s="193"/>
      <c r="E46" s="193"/>
      <c r="F46" s="193"/>
      <c r="G46" s="193"/>
      <c r="H46" s="193"/>
      <c r="I46" s="193"/>
      <c r="J46" s="193"/>
    </row>
    <row r="47" spans="2:14">
      <c r="B47" s="193"/>
      <c r="C47" s="193"/>
      <c r="D47" s="193"/>
      <c r="E47" s="193"/>
      <c r="F47" s="193"/>
      <c r="G47" s="193"/>
      <c r="H47" s="193"/>
      <c r="I47" s="193"/>
      <c r="J47" s="193"/>
    </row>
    <row r="48" spans="2:14">
      <c r="B48" s="193"/>
      <c r="C48" s="193"/>
      <c r="D48" s="193"/>
      <c r="E48" s="193"/>
      <c r="F48" s="193"/>
      <c r="G48" s="193"/>
      <c r="H48" s="193"/>
      <c r="I48" s="193"/>
      <c r="J48" s="19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9"/>
  <sheetViews>
    <sheetView workbookViewId="0">
      <selection activeCell="J20" sqref="J20"/>
    </sheetView>
  </sheetViews>
  <sheetFormatPr defaultColWidth="8.7109375" defaultRowHeight="15"/>
  <cols>
    <col min="1" max="2" width="8.7109375" style="245"/>
    <col min="3" max="3" width="10.28515625" style="245" bestFit="1" customWidth="1"/>
    <col min="4" max="4" width="11.28515625" style="245" bestFit="1" customWidth="1"/>
    <col min="5" max="12" width="8.7109375" style="245"/>
    <col min="13" max="13" width="9.140625" style="245" bestFit="1" customWidth="1"/>
    <col min="14" max="14" width="8.7109375" style="245"/>
    <col min="15" max="15" width="11.28515625" style="245" bestFit="1" customWidth="1"/>
    <col min="16" max="16384" width="8.7109375" style="245"/>
  </cols>
  <sheetData>
    <row r="1" spans="2:15">
      <c r="C1" s="245" t="s">
        <v>256</v>
      </c>
      <c r="D1" s="245" t="s">
        <v>257</v>
      </c>
      <c r="E1" s="245" t="s">
        <v>258</v>
      </c>
      <c r="F1" s="245" t="s">
        <v>259</v>
      </c>
      <c r="G1" s="245" t="s">
        <v>260</v>
      </c>
      <c r="H1" s="245" t="s">
        <v>261</v>
      </c>
      <c r="I1" s="245" t="s">
        <v>262</v>
      </c>
      <c r="J1" s="245" t="s">
        <v>263</v>
      </c>
      <c r="K1" s="245" t="s">
        <v>264</v>
      </c>
      <c r="L1" s="245" t="s">
        <v>265</v>
      </c>
      <c r="M1" s="245" t="s">
        <v>266</v>
      </c>
      <c r="N1" s="245" t="s">
        <v>267</v>
      </c>
      <c r="O1" s="245" t="s">
        <v>19</v>
      </c>
    </row>
    <row r="2" spans="2:15">
      <c r="B2" s="245" t="s">
        <v>0</v>
      </c>
      <c r="C2" s="246">
        <v>0</v>
      </c>
      <c r="D2" s="246">
        <v>5.9989999999999997</v>
      </c>
      <c r="E2" s="246">
        <v>0</v>
      </c>
      <c r="F2" s="246">
        <v>0</v>
      </c>
      <c r="G2" s="246">
        <v>0</v>
      </c>
      <c r="H2" s="246">
        <v>0</v>
      </c>
      <c r="I2" s="246">
        <v>3.0019999999999998</v>
      </c>
      <c r="J2" s="246">
        <v>0</v>
      </c>
      <c r="K2" s="246">
        <v>1480.595</v>
      </c>
      <c r="L2" s="246">
        <v>0</v>
      </c>
      <c r="M2" s="246">
        <v>1296.704</v>
      </c>
      <c r="N2" s="247">
        <f>SUM(C2:M2)-O2</f>
        <v>0</v>
      </c>
      <c r="O2" s="61">
        <v>2786.2999999999997</v>
      </c>
    </row>
    <row r="3" spans="2:15">
      <c r="B3" s="245" t="s">
        <v>1</v>
      </c>
      <c r="C3" s="246">
        <v>0</v>
      </c>
      <c r="D3" s="246">
        <v>619.70000000000005</v>
      </c>
      <c r="E3" s="246">
        <v>0</v>
      </c>
      <c r="F3" s="246">
        <v>9.3480000000000008</v>
      </c>
      <c r="G3" s="246">
        <v>0</v>
      </c>
      <c r="H3" s="246">
        <v>797.6</v>
      </c>
      <c r="I3" s="246">
        <v>0.01</v>
      </c>
      <c r="J3" s="246">
        <v>0</v>
      </c>
      <c r="K3" s="246">
        <v>7928</v>
      </c>
      <c r="L3" s="246">
        <v>95.73</v>
      </c>
      <c r="M3" s="246">
        <v>5777</v>
      </c>
      <c r="N3" s="247">
        <f t="shared" ref="N3:N13" si="0">SUM(C3:M3)-O3</f>
        <v>0</v>
      </c>
      <c r="O3" s="61">
        <v>15227.388000000001</v>
      </c>
    </row>
    <row r="4" spans="2:15">
      <c r="B4" s="245" t="s">
        <v>2</v>
      </c>
      <c r="C4" s="246">
        <v>0</v>
      </c>
      <c r="D4" s="246">
        <v>0</v>
      </c>
      <c r="E4" s="246">
        <v>0</v>
      </c>
      <c r="F4" s="246">
        <v>48.502279604002773</v>
      </c>
      <c r="G4" s="246">
        <v>0</v>
      </c>
      <c r="H4" s="246">
        <v>0</v>
      </c>
      <c r="I4" s="246">
        <v>113.24935439787068</v>
      </c>
      <c r="J4" s="246">
        <v>0</v>
      </c>
      <c r="K4" s="246">
        <v>1162.7459527031351</v>
      </c>
      <c r="L4" s="246">
        <v>0</v>
      </c>
      <c r="M4" s="246">
        <v>568.59626442038245</v>
      </c>
      <c r="N4" s="247">
        <f t="shared" si="0"/>
        <v>0</v>
      </c>
      <c r="O4" s="61">
        <v>1893.0938511253912</v>
      </c>
    </row>
    <row r="5" spans="2:15">
      <c r="B5" s="245" t="s">
        <v>3</v>
      </c>
      <c r="C5" s="246">
        <v>0</v>
      </c>
      <c r="D5" s="246">
        <v>124.71599999999999</v>
      </c>
      <c r="E5" s="246">
        <v>0</v>
      </c>
      <c r="F5" s="246">
        <v>28.364000000000001</v>
      </c>
      <c r="G5" s="246">
        <v>0</v>
      </c>
      <c r="H5" s="246">
        <v>184.73099999999999</v>
      </c>
      <c r="I5" s="246">
        <v>352.77100000000002</v>
      </c>
      <c r="J5" s="246">
        <v>0</v>
      </c>
      <c r="K5" s="246">
        <v>3915.701</v>
      </c>
      <c r="L5" s="246">
        <v>0</v>
      </c>
      <c r="M5" s="246">
        <v>7498.3869999999997</v>
      </c>
      <c r="N5" s="247">
        <f t="shared" si="0"/>
        <v>0</v>
      </c>
      <c r="O5" s="61">
        <v>12104.67</v>
      </c>
    </row>
    <row r="6" spans="2:15">
      <c r="B6" s="245" t="s">
        <v>4</v>
      </c>
      <c r="C6" s="246">
        <v>0</v>
      </c>
      <c r="D6" s="246">
        <v>12.742000000000001</v>
      </c>
      <c r="E6" s="246">
        <v>138.995</v>
      </c>
      <c r="F6" s="246">
        <v>0</v>
      </c>
      <c r="G6" s="246">
        <v>0</v>
      </c>
      <c r="H6" s="246">
        <v>891.53099999999995</v>
      </c>
      <c r="I6" s="246">
        <v>0</v>
      </c>
      <c r="J6" s="246">
        <v>0</v>
      </c>
      <c r="K6" s="246">
        <v>5406.8280000000004</v>
      </c>
      <c r="L6" s="246">
        <v>0</v>
      </c>
      <c r="M6" s="246">
        <v>10544.615</v>
      </c>
      <c r="N6" s="247">
        <f t="shared" si="0"/>
        <v>0</v>
      </c>
      <c r="O6" s="61">
        <v>16994.710999999996</v>
      </c>
    </row>
    <row r="7" spans="2:15">
      <c r="B7" s="245" t="s">
        <v>5</v>
      </c>
      <c r="C7" s="246">
        <v>0</v>
      </c>
      <c r="D7" s="246">
        <v>9.17101891052301</v>
      </c>
      <c r="E7" s="246">
        <v>0</v>
      </c>
      <c r="F7" s="246">
        <v>17.6928720863039</v>
      </c>
      <c r="G7" s="246">
        <v>0</v>
      </c>
      <c r="H7" s="246">
        <v>52.0387651379624</v>
      </c>
      <c r="I7" s="246">
        <v>655.04883378813804</v>
      </c>
      <c r="J7" s="246">
        <v>16.478653233909601</v>
      </c>
      <c r="K7" s="246">
        <v>1651.3523659391899</v>
      </c>
      <c r="L7" s="246">
        <v>0.28232956183679903</v>
      </c>
      <c r="M7" s="246">
        <v>6101.4881657411197</v>
      </c>
      <c r="N7" s="247">
        <f t="shared" si="0"/>
        <v>0</v>
      </c>
      <c r="O7" s="61">
        <v>8503.553004398982</v>
      </c>
    </row>
    <row r="8" spans="2:15">
      <c r="B8" s="245" t="s">
        <v>6</v>
      </c>
      <c r="C8" s="246">
        <v>0</v>
      </c>
      <c r="D8" s="246">
        <v>9.8000000000000007</v>
      </c>
      <c r="E8" s="246">
        <v>0</v>
      </c>
      <c r="F8" s="246">
        <v>27.4</v>
      </c>
      <c r="G8" s="246">
        <v>0</v>
      </c>
      <c r="H8" s="246">
        <v>46.4</v>
      </c>
      <c r="I8" s="246">
        <v>300.10000000000002</v>
      </c>
      <c r="J8" s="246">
        <v>38.9</v>
      </c>
      <c r="K8" s="246">
        <v>1977.3</v>
      </c>
      <c r="L8" s="246">
        <v>0</v>
      </c>
      <c r="M8" s="246">
        <v>4455.8999999999996</v>
      </c>
      <c r="N8" s="247">
        <f t="shared" si="0"/>
        <v>0</v>
      </c>
      <c r="O8" s="61">
        <v>6855.7999999999993</v>
      </c>
    </row>
    <row r="9" spans="2:15">
      <c r="B9" s="245" t="s">
        <v>7</v>
      </c>
      <c r="C9" s="246">
        <v>0</v>
      </c>
      <c r="D9" s="246">
        <v>0</v>
      </c>
      <c r="E9" s="246">
        <v>0</v>
      </c>
      <c r="F9" s="246">
        <v>13.339105</v>
      </c>
      <c r="G9" s="246">
        <v>0</v>
      </c>
      <c r="H9" s="246">
        <v>0</v>
      </c>
      <c r="I9" s="246">
        <v>489.30326351031169</v>
      </c>
      <c r="J9" s="246">
        <v>0.41437374999999999</v>
      </c>
      <c r="K9" s="246">
        <v>51.354693851787509</v>
      </c>
      <c r="L9" s="246">
        <v>18.064295881497497</v>
      </c>
      <c r="M9" s="246">
        <v>915.80509999999992</v>
      </c>
      <c r="N9" s="247">
        <f t="shared" si="0"/>
        <v>0</v>
      </c>
      <c r="O9" s="61">
        <v>1488.2808319935966</v>
      </c>
    </row>
    <row r="10" spans="2:15">
      <c r="B10" s="245" t="s">
        <v>8</v>
      </c>
      <c r="C10" s="246">
        <v>0</v>
      </c>
      <c r="D10" s="246">
        <v>0</v>
      </c>
      <c r="E10" s="246">
        <v>0</v>
      </c>
      <c r="F10" s="246">
        <v>2.7092640738164961</v>
      </c>
      <c r="G10" s="246">
        <v>0</v>
      </c>
      <c r="H10" s="246">
        <v>0</v>
      </c>
      <c r="I10" s="246">
        <v>1263.4346341401315</v>
      </c>
      <c r="J10" s="246">
        <v>58.825721599357472</v>
      </c>
      <c r="K10" s="246">
        <v>17.26021647980723</v>
      </c>
      <c r="L10" s="246">
        <v>0</v>
      </c>
      <c r="M10" s="246">
        <v>2992.0410728044562</v>
      </c>
      <c r="N10" s="247">
        <f t="shared" ref="N10:N12" si="1">SUM(C10:M10)-O10</f>
        <v>0</v>
      </c>
      <c r="O10" s="61">
        <v>4334.2709090975695</v>
      </c>
    </row>
    <row r="11" spans="2:15">
      <c r="B11" s="245" t="s">
        <v>9</v>
      </c>
      <c r="C11" s="246">
        <v>0</v>
      </c>
      <c r="D11" s="246">
        <v>0</v>
      </c>
      <c r="E11" s="246">
        <v>0</v>
      </c>
      <c r="F11" s="246">
        <v>42.465529608888886</v>
      </c>
      <c r="G11" s="246">
        <v>0</v>
      </c>
      <c r="H11" s="246">
        <v>135.05376014422225</v>
      </c>
      <c r="I11" s="246">
        <v>0</v>
      </c>
      <c r="J11" s="246">
        <v>52.751943025666662</v>
      </c>
      <c r="K11" s="246">
        <v>3455.2932799706668</v>
      </c>
      <c r="L11" s="246">
        <v>89.946394113555542</v>
      </c>
      <c r="M11" s="246">
        <v>11841.950416723841</v>
      </c>
      <c r="N11" s="247">
        <f t="shared" si="1"/>
        <v>0</v>
      </c>
      <c r="O11" s="61">
        <v>15617.461323586838</v>
      </c>
    </row>
    <row r="12" spans="2:15">
      <c r="B12" s="245" t="s">
        <v>10</v>
      </c>
      <c r="C12" s="246">
        <v>0</v>
      </c>
      <c r="D12" s="246">
        <v>0</v>
      </c>
      <c r="E12" s="246">
        <v>0</v>
      </c>
      <c r="F12" s="246">
        <v>4.7341250000000006</v>
      </c>
      <c r="G12" s="246">
        <v>0</v>
      </c>
      <c r="H12" s="246">
        <v>0</v>
      </c>
      <c r="I12" s="246">
        <v>1464.53675</v>
      </c>
      <c r="J12" s="246">
        <v>21.600249999999999</v>
      </c>
      <c r="K12" s="246">
        <v>1.1956250000000002</v>
      </c>
      <c r="L12" s="246">
        <v>1.9001249999999998</v>
      </c>
      <c r="M12" s="246">
        <v>3201.79</v>
      </c>
      <c r="N12" s="247">
        <f t="shared" si="1"/>
        <v>0</v>
      </c>
      <c r="O12" s="61">
        <v>4695.756875</v>
      </c>
    </row>
    <row r="13" spans="2:15">
      <c r="B13" s="245" t="s">
        <v>11</v>
      </c>
      <c r="C13" s="246">
        <v>0</v>
      </c>
      <c r="D13" s="246">
        <v>0</v>
      </c>
      <c r="E13" s="246">
        <v>0</v>
      </c>
      <c r="F13" s="246">
        <v>0</v>
      </c>
      <c r="G13" s="246">
        <v>0</v>
      </c>
      <c r="H13" s="246">
        <v>68.8</v>
      </c>
      <c r="I13" s="246">
        <v>522.4</v>
      </c>
      <c r="J13" s="246">
        <v>5.9</v>
      </c>
      <c r="K13" s="246">
        <v>620.20000000000005</v>
      </c>
      <c r="L13" s="246">
        <v>0.1</v>
      </c>
      <c r="M13" s="246">
        <v>1215.4000000000001</v>
      </c>
      <c r="N13" s="247">
        <f t="shared" si="0"/>
        <v>-0.681999999999789</v>
      </c>
      <c r="O13" s="61">
        <v>2433.482</v>
      </c>
    </row>
    <row r="14" spans="2:15">
      <c r="B14" s="245" t="s">
        <v>12</v>
      </c>
      <c r="C14" s="246">
        <v>0</v>
      </c>
      <c r="D14" s="246">
        <v>0</v>
      </c>
      <c r="E14" s="246">
        <v>0</v>
      </c>
      <c r="F14" s="246">
        <v>3.9750000000000001</v>
      </c>
      <c r="G14" s="246">
        <v>0</v>
      </c>
      <c r="H14" s="246">
        <v>0</v>
      </c>
      <c r="I14" s="246">
        <v>723.40000000000009</v>
      </c>
      <c r="J14" s="246">
        <v>0</v>
      </c>
      <c r="K14" s="246">
        <v>167.5625</v>
      </c>
      <c r="L14" s="246">
        <v>2.5625</v>
      </c>
      <c r="M14" s="246">
        <v>1579.9625000000001</v>
      </c>
      <c r="N14" s="247">
        <f t="shared" ref="N14" si="2">SUM(C14:M14)-O14</f>
        <v>0</v>
      </c>
      <c r="O14" s="61">
        <v>2477.4624999999996</v>
      </c>
    </row>
    <row r="16" spans="2:15">
      <c r="C16" s="245" t="s">
        <v>272</v>
      </c>
      <c r="D16" s="245" t="s">
        <v>268</v>
      </c>
      <c r="E16" s="245" t="s">
        <v>19</v>
      </c>
      <c r="G16" s="193" t="s">
        <v>269</v>
      </c>
      <c r="H16" s="193"/>
      <c r="I16" s="193"/>
      <c r="J16" s="193"/>
      <c r="K16" s="193"/>
      <c r="L16" s="193"/>
      <c r="M16" s="193"/>
      <c r="N16" s="193"/>
    </row>
    <row r="17" spans="2:14">
      <c r="B17" s="245" t="s">
        <v>0</v>
      </c>
      <c r="C17" s="61">
        <f>SUM(C2:G2)</f>
        <v>5.9989999999999997</v>
      </c>
      <c r="D17" s="61">
        <f>SUM(H2:N2)</f>
        <v>2780.3009999999999</v>
      </c>
      <c r="E17" s="61">
        <f>O2</f>
        <v>2786.2999999999997</v>
      </c>
      <c r="G17" s="315">
        <f>C17/E17</f>
        <v>2.1530344901841154E-3</v>
      </c>
      <c r="H17" s="193"/>
      <c r="I17" s="314"/>
      <c r="J17" s="193"/>
      <c r="K17" s="315"/>
      <c r="L17" s="193"/>
      <c r="M17" s="314"/>
      <c r="N17" s="193"/>
    </row>
    <row r="18" spans="2:14">
      <c r="B18" s="245" t="s">
        <v>1</v>
      </c>
      <c r="C18" s="61">
        <f t="shared" ref="C18:C29" si="3">SUM(C3:G3)</f>
        <v>629.048</v>
      </c>
      <c r="D18" s="61">
        <f t="shared" ref="D18:D29" si="4">SUM(H3:N3)</f>
        <v>14598.34</v>
      </c>
      <c r="E18" s="61">
        <f t="shared" ref="E18:E29" si="5">O3</f>
        <v>15227.388000000001</v>
      </c>
      <c r="G18" s="315">
        <f t="shared" ref="G18:G29" si="6">C18/E18</f>
        <v>4.1310302200219758E-2</v>
      </c>
      <c r="H18" s="193"/>
      <c r="I18" s="314"/>
      <c r="J18" s="193"/>
      <c r="K18" s="315"/>
      <c r="L18" s="193"/>
      <c r="M18" s="314"/>
      <c r="N18" s="193"/>
    </row>
    <row r="19" spans="2:14">
      <c r="B19" s="245" t="s">
        <v>2</v>
      </c>
      <c r="C19" s="61">
        <f t="shared" si="3"/>
        <v>48.502279604002773</v>
      </c>
      <c r="D19" s="61">
        <f t="shared" si="4"/>
        <v>1844.5915715213882</v>
      </c>
      <c r="E19" s="61">
        <f t="shared" si="5"/>
        <v>1893.0938511253912</v>
      </c>
      <c r="G19" s="315">
        <f t="shared" si="6"/>
        <v>2.5620641879518825E-2</v>
      </c>
      <c r="H19" s="193"/>
      <c r="I19" s="314"/>
      <c r="J19" s="193"/>
      <c r="K19" s="315"/>
      <c r="L19" s="193"/>
      <c r="M19" s="314"/>
      <c r="N19" s="193"/>
    </row>
    <row r="20" spans="2:14">
      <c r="B20" s="245" t="s">
        <v>3</v>
      </c>
      <c r="C20" s="61">
        <f t="shared" si="3"/>
        <v>153.07999999999998</v>
      </c>
      <c r="D20" s="61">
        <f t="shared" si="4"/>
        <v>11951.59</v>
      </c>
      <c r="E20" s="61">
        <f t="shared" si="5"/>
        <v>12104.67</v>
      </c>
      <c r="G20" s="315">
        <f t="shared" si="6"/>
        <v>1.264635880201608E-2</v>
      </c>
      <c r="H20" s="193"/>
      <c r="I20" s="314"/>
      <c r="J20" s="193"/>
      <c r="K20" s="315"/>
      <c r="L20" s="193"/>
      <c r="M20" s="314"/>
      <c r="N20" s="193"/>
    </row>
    <row r="21" spans="2:14">
      <c r="B21" s="245" t="s">
        <v>4</v>
      </c>
      <c r="C21" s="61">
        <f t="shared" si="3"/>
        <v>151.73699999999999</v>
      </c>
      <c r="D21" s="61">
        <f t="shared" si="4"/>
        <v>16842.974000000002</v>
      </c>
      <c r="E21" s="61">
        <f t="shared" si="5"/>
        <v>16994.710999999996</v>
      </c>
      <c r="G21" s="315">
        <f t="shared" si="6"/>
        <v>8.9284836911907497E-3</v>
      </c>
      <c r="H21" s="193"/>
      <c r="I21" s="314"/>
      <c r="J21" s="193"/>
      <c r="K21" s="315"/>
      <c r="L21" s="193"/>
      <c r="M21" s="314"/>
      <c r="N21" s="193"/>
    </row>
    <row r="22" spans="2:14">
      <c r="B22" s="245" t="s">
        <v>5</v>
      </c>
      <c r="C22" s="61">
        <f t="shared" si="3"/>
        <v>26.86389099682691</v>
      </c>
      <c r="D22" s="61">
        <f t="shared" si="4"/>
        <v>8476.6891134021571</v>
      </c>
      <c r="E22" s="61">
        <f t="shared" si="5"/>
        <v>8503.553004398982</v>
      </c>
      <c r="G22" s="315">
        <f t="shared" si="6"/>
        <v>3.1591372433299259E-3</v>
      </c>
      <c r="H22" s="193"/>
      <c r="I22" s="314"/>
      <c r="J22" s="193"/>
      <c r="K22" s="315"/>
      <c r="L22" s="193"/>
      <c r="M22" s="314"/>
      <c r="N22" s="193"/>
    </row>
    <row r="23" spans="2:14">
      <c r="B23" s="245" t="s">
        <v>6</v>
      </c>
      <c r="C23" s="61">
        <f t="shared" si="3"/>
        <v>37.200000000000003</v>
      </c>
      <c r="D23" s="61">
        <f t="shared" si="4"/>
        <v>6818.5999999999995</v>
      </c>
      <c r="E23" s="61">
        <f t="shared" si="5"/>
        <v>6855.7999999999993</v>
      </c>
      <c r="G23" s="315">
        <f t="shared" si="6"/>
        <v>5.4260626039266029E-3</v>
      </c>
      <c r="H23" s="193"/>
      <c r="I23" s="314"/>
      <c r="J23" s="193"/>
      <c r="K23" s="315"/>
      <c r="L23" s="193"/>
      <c r="M23" s="314"/>
      <c r="N23" s="193"/>
    </row>
    <row r="24" spans="2:14">
      <c r="B24" s="245" t="s">
        <v>7</v>
      </c>
      <c r="C24" s="61">
        <f t="shared" si="3"/>
        <v>13.339105</v>
      </c>
      <c r="D24" s="61">
        <f t="shared" si="4"/>
        <v>1474.9417269935966</v>
      </c>
      <c r="E24" s="61">
        <f t="shared" si="5"/>
        <v>1488.2808319935966</v>
      </c>
      <c r="G24" s="315">
        <f t="shared" si="6"/>
        <v>8.9627607325506366E-3</v>
      </c>
      <c r="H24" s="193"/>
      <c r="I24" s="314"/>
      <c r="J24" s="193"/>
      <c r="K24" s="315"/>
      <c r="L24" s="193"/>
      <c r="M24" s="314"/>
      <c r="N24" s="193"/>
    </row>
    <row r="25" spans="2:14">
      <c r="B25" s="245" t="s">
        <v>8</v>
      </c>
      <c r="C25" s="61">
        <f t="shared" si="3"/>
        <v>2.7092640738164961</v>
      </c>
      <c r="D25" s="61">
        <f t="shared" si="4"/>
        <v>4331.5616450237521</v>
      </c>
      <c r="E25" s="61">
        <f t="shared" si="5"/>
        <v>4334.2709090975695</v>
      </c>
      <c r="G25" s="315">
        <f t="shared" si="6"/>
        <v>6.250795417817081E-4</v>
      </c>
      <c r="H25" s="193"/>
      <c r="I25" s="314"/>
      <c r="J25" s="193"/>
      <c r="K25" s="315"/>
      <c r="L25" s="193"/>
      <c r="M25" s="314"/>
      <c r="N25" s="193"/>
    </row>
    <row r="26" spans="2:14">
      <c r="B26" s="245" t="s">
        <v>9</v>
      </c>
      <c r="C26" s="61">
        <f t="shared" si="3"/>
        <v>42.465529608888886</v>
      </c>
      <c r="D26" s="61">
        <f t="shared" si="4"/>
        <v>15574.995793977952</v>
      </c>
      <c r="E26" s="61">
        <f t="shared" si="5"/>
        <v>15617.461323586838</v>
      </c>
      <c r="G26" s="315">
        <f t="shared" si="6"/>
        <v>2.7191057963277154E-3</v>
      </c>
      <c r="H26" s="193"/>
      <c r="I26" s="314"/>
      <c r="J26" s="193"/>
      <c r="K26" s="315"/>
      <c r="L26" s="193"/>
      <c r="M26" s="314"/>
      <c r="N26" s="193"/>
    </row>
    <row r="27" spans="2:14">
      <c r="B27" s="245" t="s">
        <v>10</v>
      </c>
      <c r="C27" s="61">
        <f t="shared" si="3"/>
        <v>4.7341250000000006</v>
      </c>
      <c r="D27" s="61">
        <f t="shared" si="4"/>
        <v>4691.0227500000001</v>
      </c>
      <c r="E27" s="61">
        <f t="shared" si="5"/>
        <v>4695.756875</v>
      </c>
      <c r="G27" s="315">
        <f t="shared" si="6"/>
        <v>1.0081708073951339E-3</v>
      </c>
      <c r="H27" s="193"/>
      <c r="I27" s="314"/>
      <c r="J27" s="193"/>
      <c r="K27" s="315"/>
      <c r="L27" s="193"/>
      <c r="M27" s="314"/>
      <c r="N27" s="193"/>
    </row>
    <row r="28" spans="2:14">
      <c r="B28" s="245" t="s">
        <v>11</v>
      </c>
      <c r="C28" s="61">
        <f t="shared" si="3"/>
        <v>0</v>
      </c>
      <c r="D28" s="61">
        <f t="shared" si="4"/>
        <v>2432.1180000000004</v>
      </c>
      <c r="E28" s="61">
        <f t="shared" si="5"/>
        <v>2433.482</v>
      </c>
      <c r="G28" s="315">
        <f t="shared" si="6"/>
        <v>0</v>
      </c>
      <c r="H28" s="193"/>
      <c r="I28" s="314"/>
      <c r="J28" s="193"/>
      <c r="K28" s="315"/>
      <c r="L28" s="193"/>
      <c r="M28" s="314"/>
      <c r="N28" s="193"/>
    </row>
    <row r="29" spans="2:14">
      <c r="B29" s="245" t="s">
        <v>12</v>
      </c>
      <c r="C29" s="61">
        <f t="shared" si="3"/>
        <v>3.9750000000000001</v>
      </c>
      <c r="D29" s="61">
        <f t="shared" si="4"/>
        <v>2473.4875000000002</v>
      </c>
      <c r="E29" s="61">
        <f t="shared" si="5"/>
        <v>2477.4624999999996</v>
      </c>
      <c r="G29" s="315">
        <f t="shared" si="6"/>
        <v>1.6044642451702098E-3</v>
      </c>
      <c r="H29" s="193"/>
      <c r="I29" s="314"/>
      <c r="J29" s="193"/>
      <c r="K29" s="315"/>
      <c r="L29" s="193"/>
      <c r="M29" s="314"/>
      <c r="N29" s="193"/>
    </row>
    <row r="30" spans="2:14">
      <c r="G30" s="314"/>
      <c r="H30" s="193"/>
      <c r="I30" s="193"/>
      <c r="J30" s="193"/>
      <c r="K30" s="314"/>
      <c r="L30" s="193"/>
      <c r="M30" s="193"/>
      <c r="N30" s="193"/>
    </row>
    <row r="31" spans="2:14">
      <c r="B31" s="193"/>
      <c r="C31" s="193"/>
      <c r="D31" s="193"/>
      <c r="E31" s="193"/>
      <c r="F31" s="193"/>
      <c r="G31" s="314"/>
      <c r="H31" s="193"/>
      <c r="I31" s="193"/>
      <c r="J31" s="193"/>
      <c r="K31" s="314"/>
      <c r="L31" s="193"/>
      <c r="M31" s="193"/>
      <c r="N31" s="193"/>
    </row>
    <row r="32" spans="2:14">
      <c r="B32" s="193"/>
      <c r="C32" s="193"/>
      <c r="D32" s="193"/>
      <c r="E32" s="193"/>
      <c r="F32" s="193"/>
      <c r="G32" s="314"/>
      <c r="H32" s="193"/>
      <c r="I32" s="193"/>
      <c r="J32" s="193"/>
      <c r="K32" s="314"/>
      <c r="L32" s="193"/>
      <c r="M32" s="193"/>
      <c r="N32" s="193"/>
    </row>
    <row r="33" spans="2:14">
      <c r="B33" s="193"/>
      <c r="C33" s="193"/>
      <c r="D33" s="193"/>
      <c r="E33" s="193"/>
      <c r="F33" s="193"/>
      <c r="G33" s="193"/>
      <c r="H33" s="193"/>
      <c r="I33" s="193"/>
      <c r="J33" s="193"/>
      <c r="K33" s="193"/>
      <c r="L33" s="193"/>
      <c r="M33" s="193"/>
      <c r="N33" s="193"/>
    </row>
    <row r="34" spans="2:14">
      <c r="B34" s="193"/>
      <c r="C34" s="193"/>
      <c r="D34" s="193"/>
      <c r="E34" s="193"/>
      <c r="F34" s="193"/>
      <c r="G34" s="316"/>
      <c r="H34" s="193"/>
      <c r="I34" s="193"/>
      <c r="J34" s="193"/>
      <c r="K34" s="193"/>
      <c r="L34" s="193"/>
      <c r="M34" s="193"/>
      <c r="N34" s="193"/>
    </row>
    <row r="35" spans="2:14">
      <c r="B35" s="193"/>
      <c r="C35" s="193"/>
      <c r="D35" s="193"/>
      <c r="E35" s="193"/>
      <c r="F35" s="193"/>
      <c r="G35" s="193"/>
      <c r="H35" s="193"/>
      <c r="I35" s="193"/>
      <c r="J35" s="193"/>
      <c r="K35" s="193"/>
      <c r="L35" s="193"/>
      <c r="M35" s="193"/>
      <c r="N35" s="193"/>
    </row>
    <row r="36" spans="2:14">
      <c r="B36" s="193"/>
      <c r="C36" s="193"/>
      <c r="D36" s="193"/>
      <c r="E36" s="193"/>
      <c r="F36" s="193"/>
      <c r="G36" s="193"/>
      <c r="H36" s="193"/>
      <c r="I36" s="193"/>
      <c r="J36" s="193"/>
      <c r="K36" s="193"/>
      <c r="L36" s="193"/>
      <c r="M36" s="193"/>
      <c r="N36" s="193"/>
    </row>
    <row r="37" spans="2:14">
      <c r="B37" s="193"/>
      <c r="C37" s="193"/>
      <c r="D37" s="193"/>
      <c r="E37" s="193"/>
      <c r="F37" s="193"/>
      <c r="G37" s="193"/>
      <c r="H37" s="193"/>
      <c r="I37" s="193"/>
    </row>
    <row r="38" spans="2:14">
      <c r="B38" s="193"/>
      <c r="C38" s="316"/>
      <c r="D38" s="193"/>
      <c r="E38" s="205"/>
      <c r="F38" s="193"/>
      <c r="G38" s="316"/>
      <c r="H38" s="193"/>
      <c r="I38" s="193"/>
    </row>
    <row r="39" spans="2:14">
      <c r="B39" s="193"/>
      <c r="C39" s="316"/>
      <c r="D39" s="193"/>
      <c r="E39" s="205"/>
      <c r="F39" s="193"/>
      <c r="G39" s="316"/>
      <c r="H39" s="193"/>
      <c r="I39" s="193"/>
    </row>
    <row r="40" spans="2:14">
      <c r="B40" s="193"/>
      <c r="C40" s="316"/>
      <c r="D40" s="193"/>
      <c r="E40" s="205"/>
      <c r="F40" s="193"/>
      <c r="G40" s="316"/>
      <c r="H40" s="193"/>
      <c r="I40" s="193"/>
    </row>
    <row r="41" spans="2:14">
      <c r="B41" s="193"/>
      <c r="C41" s="316"/>
      <c r="D41" s="193"/>
      <c r="E41" s="205"/>
      <c r="F41" s="193"/>
      <c r="G41" s="316"/>
      <c r="H41" s="193"/>
      <c r="I41" s="193"/>
    </row>
    <row r="42" spans="2:14">
      <c r="B42" s="193"/>
      <c r="C42" s="316"/>
      <c r="D42" s="193"/>
      <c r="E42" s="205"/>
      <c r="F42" s="193"/>
      <c r="G42" s="316"/>
      <c r="H42" s="193"/>
      <c r="I42" s="193"/>
    </row>
    <row r="43" spans="2:14">
      <c r="B43" s="193"/>
      <c r="C43" s="193"/>
      <c r="D43" s="193"/>
      <c r="E43" s="193"/>
      <c r="F43" s="193"/>
      <c r="G43" s="193"/>
      <c r="H43" s="193"/>
      <c r="I43" s="193"/>
    </row>
    <row r="44" spans="2:14">
      <c r="B44" s="193"/>
      <c r="C44" s="193"/>
      <c r="D44" s="193"/>
      <c r="E44" s="205"/>
      <c r="F44" s="193"/>
      <c r="G44" s="316"/>
      <c r="H44" s="193"/>
      <c r="I44" s="193"/>
    </row>
    <row r="45" spans="2:14">
      <c r="B45" s="193"/>
      <c r="C45" s="193"/>
      <c r="D45" s="193"/>
      <c r="E45" s="193"/>
      <c r="F45" s="193"/>
      <c r="G45" s="193"/>
      <c r="H45" s="193"/>
      <c r="I45" s="193"/>
    </row>
    <row r="46" spans="2:14">
      <c r="B46" s="193"/>
      <c r="C46" s="193"/>
      <c r="D46" s="193"/>
      <c r="E46" s="193"/>
      <c r="F46" s="193"/>
      <c r="G46" s="193"/>
      <c r="H46" s="193"/>
      <c r="I46" s="193"/>
    </row>
    <row r="47" spans="2:14">
      <c r="B47" s="193"/>
      <c r="C47" s="193"/>
      <c r="D47" s="193"/>
      <c r="E47" s="193"/>
      <c r="F47" s="193"/>
      <c r="G47" s="193"/>
      <c r="H47" s="193"/>
      <c r="I47" s="193"/>
    </row>
    <row r="48" spans="2:14">
      <c r="B48" s="193"/>
      <c r="C48" s="193"/>
      <c r="D48" s="193"/>
      <c r="E48" s="193"/>
      <c r="F48" s="193"/>
      <c r="G48" s="193"/>
      <c r="H48" s="193"/>
      <c r="I48" s="193"/>
    </row>
    <row r="49" spans="2:9">
      <c r="B49" s="193"/>
      <c r="C49" s="193"/>
      <c r="D49" s="193"/>
      <c r="E49" s="193"/>
      <c r="F49" s="193"/>
      <c r="G49" s="193"/>
      <c r="H49" s="193"/>
      <c r="I49" s="193"/>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workbookViewId="0">
      <selection activeCell="C32" sqref="C32"/>
    </sheetView>
  </sheetViews>
  <sheetFormatPr defaultColWidth="9.28515625" defaultRowHeight="15"/>
  <cols>
    <col min="1" max="1" width="9.28515625" style="6" customWidth="1"/>
    <col min="2" max="7" width="22.7109375" style="6" customWidth="1"/>
    <col min="8" max="8" width="12.7109375" style="6" customWidth="1"/>
    <col min="9" max="10" width="12.7109375" style="99" customWidth="1"/>
    <col min="11" max="11" width="10.5703125" style="6" bestFit="1" customWidth="1"/>
    <col min="12" max="16384" width="9.28515625" style="6"/>
  </cols>
  <sheetData>
    <row r="4" spans="1:16" ht="15.75" thickBot="1">
      <c r="A4" s="184"/>
      <c r="B4" s="184" t="str">
        <f>CONCATENATE(B5, " ", B7,", " )</f>
        <v xml:space="preserve">Larry 2005-06, </v>
      </c>
      <c r="C4" s="184" t="str">
        <f t="shared" ref="C4:K4" si="0">CONCATENATE(C5, " ", C7,", " )</f>
        <v xml:space="preserve">Ului 2009-10, </v>
      </c>
      <c r="D4" s="184" t="str">
        <f t="shared" si="0"/>
        <v xml:space="preserve">Tasha 2010-11, </v>
      </c>
      <c r="E4" s="184" t="str">
        <f t="shared" si="0"/>
        <v xml:space="preserve">Anthony 2010-11, </v>
      </c>
      <c r="F4" s="184" t="str">
        <f t="shared" si="0"/>
        <v xml:space="preserve">Yasi 2010-11, </v>
      </c>
      <c r="G4" s="184" t="str">
        <f t="shared" si="0"/>
        <v xml:space="preserve">Townsville mini tornado 2011-12, </v>
      </c>
      <c r="H4" s="184" t="str">
        <f t="shared" si="0"/>
        <v xml:space="preserve">Oswald 2012-2013, </v>
      </c>
      <c r="I4" s="184" t="str">
        <f t="shared" si="0"/>
        <v xml:space="preserve">Ita 2013-14, </v>
      </c>
      <c r="J4" s="184" t="str">
        <f t="shared" si="0"/>
        <v xml:space="preserve">Dylan 2013-14, </v>
      </c>
      <c r="K4" s="184" t="str">
        <f t="shared" si="0"/>
        <v xml:space="preserve">Marci 2014-15, </v>
      </c>
    </row>
    <row r="5" spans="1:16">
      <c r="A5" s="103" t="s">
        <v>88</v>
      </c>
      <c r="B5" s="223" t="s">
        <v>89</v>
      </c>
      <c r="C5" s="223" t="s">
        <v>90</v>
      </c>
      <c r="D5" s="223" t="s">
        <v>91</v>
      </c>
      <c r="E5" s="223" t="s">
        <v>92</v>
      </c>
      <c r="F5" s="223" t="s">
        <v>93</v>
      </c>
      <c r="G5" s="223" t="s">
        <v>94</v>
      </c>
      <c r="H5" s="223" t="s">
        <v>95</v>
      </c>
      <c r="I5" s="223" t="s">
        <v>153</v>
      </c>
      <c r="J5" s="223" t="s">
        <v>152</v>
      </c>
      <c r="K5" s="223" t="s">
        <v>151</v>
      </c>
    </row>
    <row r="6" spans="1:16">
      <c r="A6" s="103" t="s">
        <v>96</v>
      </c>
      <c r="B6" s="224">
        <v>38796</v>
      </c>
      <c r="C6" s="224">
        <v>40258</v>
      </c>
      <c r="D6" s="224">
        <v>40536</v>
      </c>
      <c r="E6" s="224">
        <v>40572</v>
      </c>
      <c r="F6" s="224">
        <v>40577</v>
      </c>
      <c r="G6" s="224">
        <v>40988</v>
      </c>
      <c r="H6" s="225">
        <v>41275</v>
      </c>
      <c r="I6" s="225">
        <v>41730</v>
      </c>
      <c r="J6" s="225">
        <v>41671</v>
      </c>
      <c r="K6" s="225">
        <v>42036</v>
      </c>
    </row>
    <row r="7" spans="1:16">
      <c r="A7" s="103" t="s">
        <v>97</v>
      </c>
      <c r="B7" s="223" t="s">
        <v>98</v>
      </c>
      <c r="C7" s="223" t="s">
        <v>99</v>
      </c>
      <c r="D7" s="223" t="s">
        <v>100</v>
      </c>
      <c r="E7" s="223" t="s">
        <v>100</v>
      </c>
      <c r="F7" s="223" t="s">
        <v>100</v>
      </c>
      <c r="G7" s="223" t="s">
        <v>101</v>
      </c>
      <c r="H7" s="223" t="s">
        <v>102</v>
      </c>
      <c r="I7" s="223" t="s">
        <v>130</v>
      </c>
      <c r="J7" s="223" t="s">
        <v>130</v>
      </c>
      <c r="K7" s="223" t="s">
        <v>17</v>
      </c>
    </row>
    <row r="8" spans="1:16">
      <c r="A8" s="103" t="s">
        <v>103</v>
      </c>
      <c r="B8" s="223" t="s">
        <v>104</v>
      </c>
      <c r="C8" s="223" t="s">
        <v>105</v>
      </c>
      <c r="D8" s="223" t="s">
        <v>106</v>
      </c>
      <c r="E8" s="223" t="s">
        <v>107</v>
      </c>
      <c r="F8" s="223" t="s">
        <v>104</v>
      </c>
      <c r="G8" s="223" t="s">
        <v>108</v>
      </c>
      <c r="H8" s="223" t="s">
        <v>109</v>
      </c>
      <c r="I8" s="103"/>
      <c r="J8" s="103"/>
      <c r="K8" s="103" t="s">
        <v>104</v>
      </c>
    </row>
    <row r="9" spans="1:16">
      <c r="A9" s="103" t="s">
        <v>110</v>
      </c>
      <c r="B9" s="226">
        <v>14</v>
      </c>
      <c r="C9" s="226">
        <v>5</v>
      </c>
      <c r="D9" s="226">
        <v>7</v>
      </c>
      <c r="E9" s="226">
        <v>1</v>
      </c>
      <c r="F9" s="226">
        <v>45</v>
      </c>
      <c r="G9" s="226">
        <v>2</v>
      </c>
      <c r="H9" s="103">
        <v>30.000000000000014</v>
      </c>
      <c r="I9" s="227">
        <v>3.5009999999999999</v>
      </c>
      <c r="J9" s="227">
        <v>1.66</v>
      </c>
      <c r="K9" s="227">
        <v>6.7</v>
      </c>
      <c r="L9" s="222">
        <f>+SUM(B9:H9)</f>
        <v>104.00000000000001</v>
      </c>
    </row>
    <row r="10" spans="1:16">
      <c r="A10" s="103" t="s">
        <v>111</v>
      </c>
      <c r="B10" s="226">
        <v>29</v>
      </c>
      <c r="C10" s="226">
        <v>9</v>
      </c>
      <c r="D10" s="223">
        <v>0</v>
      </c>
      <c r="E10" s="223">
        <v>0</v>
      </c>
      <c r="F10" s="226">
        <v>55</v>
      </c>
      <c r="G10" s="223">
        <v>0</v>
      </c>
      <c r="H10" s="103"/>
      <c r="I10" s="103"/>
      <c r="J10" s="103"/>
      <c r="K10" s="103"/>
    </row>
    <row r="11" spans="1:16">
      <c r="A11" s="103" t="s">
        <v>112</v>
      </c>
      <c r="B11" s="317">
        <f>B9+B10</f>
        <v>43</v>
      </c>
      <c r="C11" s="227">
        <f t="shared" ref="C11:H11" si="1">C9+C10</f>
        <v>14</v>
      </c>
      <c r="D11" s="227">
        <f t="shared" si="1"/>
        <v>7</v>
      </c>
      <c r="E11" s="227">
        <f t="shared" si="1"/>
        <v>1</v>
      </c>
      <c r="F11" s="227">
        <f t="shared" si="1"/>
        <v>100</v>
      </c>
      <c r="G11" s="227">
        <f t="shared" si="1"/>
        <v>2</v>
      </c>
      <c r="H11" s="227">
        <f t="shared" si="1"/>
        <v>30.000000000000014</v>
      </c>
      <c r="I11" s="227"/>
      <c r="J11" s="227"/>
      <c r="K11" s="227"/>
    </row>
    <row r="12" spans="1:16">
      <c r="F12" s="221"/>
    </row>
    <row r="13" spans="1:16" ht="15.75" thickBot="1">
      <c r="A13" s="184"/>
      <c r="B13" s="184" t="s">
        <v>113</v>
      </c>
      <c r="C13" s="184" t="s">
        <v>114</v>
      </c>
      <c r="D13" s="184" t="s">
        <v>115</v>
      </c>
      <c r="E13" s="221"/>
      <c r="F13" s="221"/>
      <c r="P13" s="76"/>
    </row>
    <row r="14" spans="1:16">
      <c r="A14" s="102" t="s">
        <v>98</v>
      </c>
      <c r="B14" s="72">
        <f>B9</f>
        <v>14</v>
      </c>
      <c r="C14" s="45">
        <f t="array" ref="C14:C24">TRANSPOSE('CPI-master'!C8:M8)</f>
        <v>1.2828162291169452</v>
      </c>
      <c r="D14" s="72">
        <f>C14*B14</f>
        <v>17.959427207637233</v>
      </c>
      <c r="E14" s="221"/>
      <c r="F14" s="221"/>
      <c r="G14" s="79"/>
      <c r="L14" s="118"/>
      <c r="M14" s="81"/>
      <c r="N14" s="81"/>
      <c r="O14" s="76"/>
    </row>
    <row r="15" spans="1:16">
      <c r="A15" s="102" t="s">
        <v>116</v>
      </c>
      <c r="B15" s="72">
        <v>0</v>
      </c>
      <c r="C15" s="45">
        <v>1.2413394919168592</v>
      </c>
      <c r="D15" s="72">
        <f t="shared" ref="D15:D22" si="2">C15*B15</f>
        <v>0</v>
      </c>
      <c r="E15" s="221"/>
      <c r="F15" s="221"/>
      <c r="G15" s="79"/>
      <c r="L15" s="118"/>
      <c r="M15" s="81"/>
      <c r="N15" s="81"/>
      <c r="O15" s="76"/>
    </row>
    <row r="16" spans="1:16">
      <c r="A16" s="102" t="s">
        <v>117</v>
      </c>
      <c r="B16" s="72">
        <v>0</v>
      </c>
      <c r="C16" s="45">
        <v>1.2065095398428733</v>
      </c>
      <c r="D16" s="72">
        <f t="shared" si="2"/>
        <v>0</v>
      </c>
      <c r="E16" s="221"/>
      <c r="F16" s="221"/>
      <c r="G16" s="79"/>
      <c r="L16" s="118"/>
      <c r="M16" s="81"/>
      <c r="N16" s="81"/>
      <c r="O16" s="76"/>
    </row>
    <row r="17" spans="1:17">
      <c r="A17" s="102" t="s">
        <v>118</v>
      </c>
      <c r="B17" s="72">
        <v>0</v>
      </c>
      <c r="C17" s="45">
        <v>1.1634199134199132</v>
      </c>
      <c r="D17" s="72">
        <f t="shared" si="2"/>
        <v>0</v>
      </c>
      <c r="E17" s="221"/>
      <c r="F17" s="221"/>
      <c r="G17" s="79"/>
      <c r="L17" s="118"/>
      <c r="M17" s="81"/>
      <c r="N17" s="81"/>
      <c r="O17" s="76"/>
      <c r="P17" s="75"/>
      <c r="Q17" s="78"/>
    </row>
    <row r="18" spans="1:17">
      <c r="A18" s="102" t="s">
        <v>99</v>
      </c>
      <c r="B18" s="72">
        <f>C9</f>
        <v>5</v>
      </c>
      <c r="C18" s="45">
        <v>1.1399787910922587</v>
      </c>
      <c r="D18" s="72">
        <f t="shared" si="2"/>
        <v>5.6998939554612935</v>
      </c>
      <c r="E18" s="221"/>
      <c r="F18" s="221"/>
      <c r="G18" s="79"/>
      <c r="L18" s="118"/>
      <c r="M18" s="81"/>
      <c r="N18" s="81"/>
      <c r="O18" s="76"/>
      <c r="P18" s="75"/>
      <c r="Q18" s="101"/>
    </row>
    <row r="19" spans="1:17">
      <c r="A19" s="102" t="s">
        <v>100</v>
      </c>
      <c r="B19" s="72">
        <f>SUM(D9:F9)</f>
        <v>53</v>
      </c>
      <c r="C19" s="45">
        <v>1.1093911248710009</v>
      </c>
      <c r="D19" s="72">
        <f t="shared" si="2"/>
        <v>58.797729618163046</v>
      </c>
      <c r="E19" s="221"/>
      <c r="F19" s="221"/>
      <c r="G19" s="79"/>
      <c r="L19" s="118"/>
      <c r="M19" s="81"/>
      <c r="N19" s="81"/>
      <c r="O19" s="76"/>
      <c r="P19" s="75"/>
      <c r="Q19" s="101"/>
    </row>
    <row r="20" spans="1:17">
      <c r="A20" s="102" t="s">
        <v>101</v>
      </c>
      <c r="B20" s="72">
        <f>G9</f>
        <v>2</v>
      </c>
      <c r="C20" s="45">
        <v>1.0771543086172346</v>
      </c>
      <c r="D20" s="72">
        <f t="shared" si="2"/>
        <v>2.1543086172344692</v>
      </c>
      <c r="E20" s="221"/>
      <c r="F20" s="221"/>
      <c r="G20" s="79"/>
      <c r="L20" s="118"/>
      <c r="M20" s="81"/>
      <c r="N20" s="81"/>
      <c r="O20" s="76"/>
      <c r="P20" s="75"/>
      <c r="Q20" s="101"/>
    </row>
    <row r="21" spans="1:17">
      <c r="A21" s="102" t="s">
        <v>119</v>
      </c>
      <c r="B21" s="72">
        <f>+H9</f>
        <v>30.000000000000014</v>
      </c>
      <c r="C21" s="45">
        <v>1.053921568627451</v>
      </c>
      <c r="D21" s="72">
        <f t="shared" si="2"/>
        <v>31.617647058823547</v>
      </c>
      <c r="E21" s="221"/>
      <c r="F21" s="221"/>
      <c r="G21" s="79"/>
      <c r="L21" s="118"/>
      <c r="M21" s="81"/>
      <c r="N21" s="81"/>
      <c r="O21" s="76"/>
      <c r="P21" s="75"/>
      <c r="Q21" s="101"/>
    </row>
    <row r="22" spans="1:17" s="76" customFormat="1">
      <c r="A22" s="102" t="s">
        <v>130</v>
      </c>
      <c r="B22" s="72">
        <f>SUM(I9:J9)</f>
        <v>5.1609999999999996</v>
      </c>
      <c r="C22" s="81">
        <v>1.0257633587786259</v>
      </c>
      <c r="D22" s="72">
        <f t="shared" si="2"/>
        <v>5.2939646946564878</v>
      </c>
      <c r="E22" s="221"/>
      <c r="F22" s="221"/>
      <c r="G22" s="21"/>
      <c r="I22" s="99"/>
      <c r="J22" s="99"/>
      <c r="L22" s="118"/>
      <c r="M22" s="81"/>
      <c r="N22" s="81"/>
      <c r="P22" s="75"/>
      <c r="Q22" s="101"/>
    </row>
    <row r="23" spans="1:17" s="76" customFormat="1">
      <c r="A23" s="102" t="s">
        <v>17</v>
      </c>
      <c r="B23" s="72">
        <f>K9</f>
        <v>6.7</v>
      </c>
      <c r="C23" s="81">
        <v>1.0084427767354598</v>
      </c>
      <c r="D23" s="72">
        <f>C23*B23</f>
        <v>6.7565666041275811</v>
      </c>
      <c r="E23" s="221"/>
      <c r="F23" s="221"/>
      <c r="I23" s="99"/>
      <c r="J23" s="99"/>
      <c r="L23" s="118"/>
      <c r="M23" s="81"/>
      <c r="N23" s="81"/>
      <c r="P23" s="75"/>
      <c r="Q23" s="101"/>
    </row>
    <row r="24" spans="1:17" s="76" customFormat="1">
      <c r="A24" s="76" t="s">
        <v>131</v>
      </c>
      <c r="B24" s="82"/>
      <c r="C24" s="81">
        <v>0.99169741697416969</v>
      </c>
      <c r="D24" s="72"/>
      <c r="E24" s="221"/>
      <c r="F24" s="221"/>
      <c r="I24" s="99"/>
      <c r="J24" s="99"/>
      <c r="L24" s="118"/>
      <c r="M24" s="81"/>
      <c r="N24" s="81"/>
      <c r="P24" s="75"/>
      <c r="Q24" s="101"/>
    </row>
    <row r="25" spans="1:17">
      <c r="A25" s="6" t="s">
        <v>19</v>
      </c>
      <c r="D25" s="73">
        <f>SUM(D14:D23)</f>
        <v>128.27953775610365</v>
      </c>
      <c r="E25" s="221"/>
      <c r="F25" s="221"/>
      <c r="G25" s="221"/>
      <c r="H25" s="221"/>
      <c r="L25" s="118"/>
    </row>
    <row r="26" spans="1:17" s="76" customFormat="1">
      <c r="D26" s="221"/>
      <c r="E26" s="221"/>
      <c r="F26" s="221"/>
      <c r="G26" s="221"/>
      <c r="H26" s="221"/>
      <c r="I26" s="100"/>
      <c r="J26" s="100"/>
      <c r="L26" s="118"/>
    </row>
    <row r="27" spans="1:17" s="76" customFormat="1">
      <c r="D27" s="221"/>
      <c r="E27" s="221"/>
      <c r="F27" s="221"/>
      <c r="G27" s="221"/>
      <c r="H27" s="221"/>
      <c r="I27" s="99"/>
      <c r="J27" s="99"/>
      <c r="L27" s="118"/>
    </row>
    <row r="28" spans="1:17" s="76" customFormat="1">
      <c r="A28" s="76" t="s">
        <v>132</v>
      </c>
      <c r="C28" s="181">
        <v>10</v>
      </c>
      <c r="D28" s="221"/>
      <c r="E28" s="221"/>
      <c r="F28" s="221"/>
      <c r="G28" s="221"/>
      <c r="H28" s="221"/>
      <c r="I28" s="99"/>
      <c r="J28" s="99"/>
    </row>
    <row r="29" spans="1:17">
      <c r="A29" s="6" t="s">
        <v>120</v>
      </c>
      <c r="C29" s="180">
        <f>D25/C28</f>
        <v>12.827953775610364</v>
      </c>
      <c r="D29" s="221"/>
      <c r="F29" s="181"/>
      <c r="G29" s="221"/>
      <c r="H29" s="221"/>
    </row>
    <row r="30" spans="1:17">
      <c r="A30" s="6" t="s">
        <v>121</v>
      </c>
      <c r="C30" s="185">
        <f ca="1">'base OPEX'!F54/1000</f>
        <v>265.36906561191194</v>
      </c>
      <c r="D30" s="221"/>
      <c r="F30" s="181"/>
      <c r="G30" s="221"/>
      <c r="H30" s="221"/>
    </row>
    <row r="31" spans="1:17">
      <c r="A31" s="6" t="s">
        <v>122</v>
      </c>
      <c r="C31" s="185"/>
      <c r="D31" s="221"/>
      <c r="F31" s="181"/>
      <c r="G31" s="221"/>
      <c r="H31" s="221"/>
    </row>
    <row r="32" spans="1:17">
      <c r="A32" s="6" t="s">
        <v>123</v>
      </c>
      <c r="C32" s="186">
        <f ca="1">C29/C30</f>
        <v>4.8340049530756386E-2</v>
      </c>
      <c r="D32" s="221"/>
      <c r="F32" s="181"/>
      <c r="G32" s="221"/>
      <c r="H32" s="221"/>
    </row>
    <row r="33" spans="1:5">
      <c r="A33" s="181"/>
      <c r="B33" s="181"/>
      <c r="C33" s="181"/>
      <c r="D33" s="181"/>
      <c r="E33" s="181"/>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zoomScaleNormal="100" workbookViewId="0">
      <selection activeCell="A40" sqref="A40:M42"/>
    </sheetView>
  </sheetViews>
  <sheetFormatPr defaultColWidth="9.28515625" defaultRowHeight="15"/>
  <cols>
    <col min="1" max="1" width="20.5703125" style="118" customWidth="1"/>
    <col min="2" max="2" width="15.42578125" style="115" bestFit="1" customWidth="1"/>
    <col min="3" max="12" width="14.5703125" style="118" customWidth="1"/>
    <col min="13" max="13" width="12.7109375" style="118" bestFit="1" customWidth="1"/>
    <col min="14" max="14" width="16.28515625" style="118" customWidth="1"/>
    <col min="15" max="15" width="15.28515625" style="118" customWidth="1"/>
    <col min="16" max="16" width="16" style="118" customWidth="1"/>
    <col min="17" max="17" width="18.42578125" style="118" customWidth="1"/>
    <col min="18" max="16384" width="9.28515625" style="118"/>
  </cols>
  <sheetData>
    <row r="1" spans="1:20" ht="15.75" thickBot="1">
      <c r="C1" s="83" t="s">
        <v>133</v>
      </c>
      <c r="D1" s="83" t="s">
        <v>134</v>
      </c>
      <c r="E1" s="83" t="s">
        <v>135</v>
      </c>
      <c r="F1" s="83" t="s">
        <v>136</v>
      </c>
      <c r="G1" s="83" t="s">
        <v>137</v>
      </c>
      <c r="H1" s="83" t="s">
        <v>138</v>
      </c>
      <c r="I1" s="83" t="s">
        <v>139</v>
      </c>
      <c r="J1" s="83" t="s">
        <v>140</v>
      </c>
      <c r="K1" s="83" t="s">
        <v>141</v>
      </c>
      <c r="L1" s="83" t="s">
        <v>145</v>
      </c>
      <c r="M1" s="221"/>
    </row>
    <row r="2" spans="1:20" ht="15.75" thickBot="1">
      <c r="C2" s="83">
        <v>2006</v>
      </c>
      <c r="D2" s="83">
        <v>2007</v>
      </c>
      <c r="E2" s="83">
        <v>2008</v>
      </c>
      <c r="F2" s="83">
        <v>2009</v>
      </c>
      <c r="G2" s="83">
        <v>2010</v>
      </c>
      <c r="H2" s="83">
        <v>2011</v>
      </c>
      <c r="I2" s="83">
        <v>2012</v>
      </c>
      <c r="J2" s="83">
        <v>2013</v>
      </c>
      <c r="K2" s="83">
        <v>2014</v>
      </c>
      <c r="L2" s="83">
        <v>2015</v>
      </c>
      <c r="M2" s="221"/>
    </row>
    <row r="3" spans="1:20" ht="15.75" thickBot="1">
      <c r="C3" s="179">
        <f>'CPI-master'!C8</f>
        <v>1.2828162291169452</v>
      </c>
      <c r="D3" s="179">
        <f>'CPI-master'!D8</f>
        <v>1.2413394919168592</v>
      </c>
      <c r="E3" s="179">
        <f>'CPI-master'!E8</f>
        <v>1.2065095398428733</v>
      </c>
      <c r="F3" s="179">
        <f>'CPI-master'!F8</f>
        <v>1.1634199134199132</v>
      </c>
      <c r="G3" s="179">
        <f>'CPI-master'!G8</f>
        <v>1.1399787910922587</v>
      </c>
      <c r="H3" s="179">
        <f>'CPI-master'!H8</f>
        <v>1.1093911248710009</v>
      </c>
      <c r="I3" s="179">
        <f>'CPI-master'!I8</f>
        <v>1.0771543086172346</v>
      </c>
      <c r="J3" s="179">
        <f>'CPI-master'!J8</f>
        <v>1.053921568627451</v>
      </c>
      <c r="K3" s="179">
        <f>'CPI-master'!K8</f>
        <v>1.0257633587786259</v>
      </c>
      <c r="L3" s="179">
        <f>'CPI-master'!L8</f>
        <v>1.0084427767354598</v>
      </c>
      <c r="M3" s="221"/>
      <c r="N3" s="115" t="s">
        <v>71</v>
      </c>
    </row>
    <row r="4" spans="1:20" ht="16.5" thickTop="1" thickBot="1">
      <c r="C4" s="179">
        <f>'CPI-master'!C9</f>
        <v>1.2514551804423748</v>
      </c>
      <c r="D4" s="179">
        <f>'CPI-master'!D9</f>
        <v>1.225769669327252</v>
      </c>
      <c r="E4" s="179">
        <f>'CPI-master'!E9</f>
        <v>1.1735807860262009</v>
      </c>
      <c r="F4" s="179">
        <f>'CPI-master'!F9</f>
        <v>1.1571582346609257</v>
      </c>
      <c r="G4" s="179">
        <f>'CPI-master'!G9</f>
        <v>1.1221294363256786</v>
      </c>
      <c r="H4" s="179">
        <f>'CPI-master'!H9</f>
        <v>1.0836693548387097</v>
      </c>
      <c r="I4" s="179">
        <f>'CPI-master'!I9</f>
        <v>1.0707171314741035</v>
      </c>
      <c r="J4" s="179">
        <f>'CPI-master'!J9</f>
        <v>1.0457198443579767</v>
      </c>
      <c r="K4" s="179">
        <f>'CPI-master'!K9</f>
        <v>1.0151085930122756</v>
      </c>
      <c r="L4" s="179">
        <f>'CPI-master'!L9</f>
        <v>1</v>
      </c>
      <c r="M4" s="221"/>
      <c r="N4" s="115" t="s">
        <v>72</v>
      </c>
    </row>
    <row r="5" spans="1:20" ht="16.5" thickTop="1" thickBot="1">
      <c r="A5" s="238" t="s">
        <v>237</v>
      </c>
      <c r="B5" s="171"/>
      <c r="C5" s="184"/>
      <c r="D5" s="184"/>
      <c r="E5" s="184"/>
      <c r="F5" s="184">
        <v>2009</v>
      </c>
      <c r="G5" s="184">
        <v>2010</v>
      </c>
      <c r="H5" s="184">
        <v>2011</v>
      </c>
      <c r="I5" s="184">
        <v>2012</v>
      </c>
      <c r="J5" s="184">
        <v>2013</v>
      </c>
      <c r="K5" s="184">
        <v>2014</v>
      </c>
      <c r="L5" s="184">
        <v>2015</v>
      </c>
      <c r="M5" s="184"/>
      <c r="N5" s="242"/>
    </row>
    <row r="6" spans="1:20">
      <c r="A6" s="118" t="s">
        <v>179</v>
      </c>
      <c r="N6" s="242" t="s">
        <v>303</v>
      </c>
    </row>
    <row r="7" spans="1:20">
      <c r="A7" s="69" t="s">
        <v>0</v>
      </c>
      <c r="B7" s="265" t="s">
        <v>294</v>
      </c>
      <c r="C7" s="227"/>
      <c r="D7" s="227"/>
      <c r="E7" s="227"/>
      <c r="F7" s="227"/>
      <c r="G7" s="227" t="s">
        <v>246</v>
      </c>
      <c r="H7" s="227" t="s">
        <v>246</v>
      </c>
      <c r="I7" s="227" t="s">
        <v>246</v>
      </c>
      <c r="J7" s="227" t="s">
        <v>246</v>
      </c>
      <c r="K7" s="227" t="s">
        <v>246</v>
      </c>
      <c r="L7" s="227" t="s">
        <v>246</v>
      </c>
      <c r="M7" s="265"/>
      <c r="N7" s="242"/>
    </row>
    <row r="8" spans="1:20">
      <c r="A8" s="104" t="s">
        <v>1</v>
      </c>
      <c r="B8" s="216" t="s">
        <v>42</v>
      </c>
      <c r="C8" s="227"/>
      <c r="D8" s="227"/>
      <c r="E8" s="227"/>
      <c r="F8" s="227"/>
      <c r="G8" s="227">
        <v>0</v>
      </c>
      <c r="H8" s="227">
        <v>0</v>
      </c>
      <c r="I8" s="227">
        <v>0</v>
      </c>
      <c r="J8" s="227">
        <v>0</v>
      </c>
      <c r="K8" s="227">
        <v>65000</v>
      </c>
      <c r="L8" s="227">
        <v>110000</v>
      </c>
      <c r="M8" s="265"/>
      <c r="N8" s="292" t="s">
        <v>305</v>
      </c>
    </row>
    <row r="9" spans="1:20">
      <c r="A9" s="104" t="s">
        <v>2</v>
      </c>
      <c r="B9" s="216" t="s">
        <v>297</v>
      </c>
      <c r="C9" s="227"/>
      <c r="D9" s="227"/>
      <c r="E9" s="227"/>
      <c r="F9" s="227"/>
      <c r="G9" s="227">
        <v>728379.43239999993</v>
      </c>
      <c r="H9" s="227">
        <v>609052.26359999995</v>
      </c>
      <c r="I9" s="227">
        <v>831543.5811999999</v>
      </c>
      <c r="J9" s="227">
        <v>934933.88</v>
      </c>
      <c r="K9" s="227">
        <v>960701.00959999999</v>
      </c>
      <c r="L9" s="227">
        <v>979521.59680000006</v>
      </c>
      <c r="M9" s="265"/>
      <c r="N9" s="292" t="s">
        <v>305</v>
      </c>
      <c r="T9" s="62"/>
    </row>
    <row r="10" spans="1:20">
      <c r="A10" s="104" t="s">
        <v>3</v>
      </c>
      <c r="B10" s="216" t="s">
        <v>45</v>
      </c>
      <c r="C10" s="227"/>
      <c r="D10" s="227"/>
      <c r="E10" s="227"/>
      <c r="F10" s="227"/>
      <c r="G10" s="227">
        <v>19342.969528787256</v>
      </c>
      <c r="H10" s="227">
        <v>20248.149951947395</v>
      </c>
      <c r="I10" s="227">
        <v>21769.339759592782</v>
      </c>
      <c r="J10" s="227">
        <v>22870.261791635108</v>
      </c>
      <c r="K10" s="227">
        <v>24864.550027963756</v>
      </c>
      <c r="L10" s="227">
        <v>21801.294181113706</v>
      </c>
      <c r="M10" s="265"/>
      <c r="N10" s="292" t="s">
        <v>305</v>
      </c>
    </row>
    <row r="11" spans="1:20">
      <c r="A11" s="104" t="s">
        <v>4</v>
      </c>
      <c r="B11" s="265" t="s">
        <v>47</v>
      </c>
      <c r="C11" s="227"/>
      <c r="D11" s="227"/>
      <c r="E11" s="227"/>
      <c r="F11" s="227">
        <v>6106000</v>
      </c>
      <c r="G11" s="227">
        <v>7761000</v>
      </c>
      <c r="H11" s="227">
        <v>8391000</v>
      </c>
      <c r="I11" s="227">
        <v>8307000</v>
      </c>
      <c r="J11" s="227">
        <v>8655000</v>
      </c>
      <c r="K11" s="227">
        <v>9118000</v>
      </c>
      <c r="L11" s="227" t="s">
        <v>246</v>
      </c>
      <c r="M11" s="265"/>
      <c r="N11" s="292" t="s">
        <v>304</v>
      </c>
      <c r="O11" s="70"/>
      <c r="P11" s="70"/>
      <c r="Q11" s="62"/>
      <c r="T11" s="62"/>
    </row>
    <row r="12" spans="1:20">
      <c r="A12" s="104" t="s">
        <v>5</v>
      </c>
      <c r="B12" s="265" t="s">
        <v>49</v>
      </c>
      <c r="C12" s="227"/>
      <c r="D12" s="227"/>
      <c r="E12" s="227"/>
      <c r="F12" s="227">
        <v>4259800</v>
      </c>
      <c r="G12" s="227">
        <v>4535399.9999999991</v>
      </c>
      <c r="H12" s="227">
        <v>4341600.0000000009</v>
      </c>
      <c r="I12" s="227">
        <v>4450500</v>
      </c>
      <c r="J12" s="227">
        <v>4688400</v>
      </c>
      <c r="K12" s="227">
        <v>4608200</v>
      </c>
      <c r="L12" s="227" t="s">
        <v>246</v>
      </c>
      <c r="M12" s="265"/>
      <c r="N12" s="292" t="s">
        <v>304</v>
      </c>
    </row>
    <row r="13" spans="1:20">
      <c r="A13" s="104" t="s">
        <v>6</v>
      </c>
      <c r="B13" s="216" t="s">
        <v>51</v>
      </c>
      <c r="C13" s="227"/>
      <c r="D13" s="227"/>
      <c r="E13" s="227"/>
      <c r="F13" s="227"/>
      <c r="G13" s="227">
        <v>0</v>
      </c>
      <c r="H13" s="227">
        <v>0</v>
      </c>
      <c r="I13" s="227">
        <v>0</v>
      </c>
      <c r="J13" s="227">
        <v>0</v>
      </c>
      <c r="K13" s="227">
        <v>0</v>
      </c>
      <c r="L13" s="227">
        <v>0</v>
      </c>
      <c r="M13" s="265"/>
      <c r="N13" s="292" t="s">
        <v>305</v>
      </c>
    </row>
    <row r="14" spans="1:20">
      <c r="A14" s="104" t="s">
        <v>7</v>
      </c>
      <c r="B14" s="216" t="s">
        <v>53</v>
      </c>
      <c r="C14" s="227"/>
      <c r="D14" s="227"/>
      <c r="E14" s="227"/>
      <c r="F14" s="227"/>
      <c r="G14" s="227">
        <v>450661</v>
      </c>
      <c r="H14" s="227">
        <v>502465.28000000003</v>
      </c>
      <c r="I14" s="227">
        <v>748010.26</v>
      </c>
      <c r="J14" s="227">
        <v>956799.97499999998</v>
      </c>
      <c r="K14" s="227">
        <v>983967.995</v>
      </c>
      <c r="L14" s="227">
        <v>1016580.3050000001</v>
      </c>
      <c r="M14" s="265"/>
      <c r="N14" s="292" t="s">
        <v>305</v>
      </c>
    </row>
    <row r="15" spans="1:20">
      <c r="A15" s="104" t="s">
        <v>8</v>
      </c>
      <c r="B15" s="216" t="s">
        <v>55</v>
      </c>
      <c r="C15" s="227"/>
      <c r="D15" s="227"/>
      <c r="E15" s="227"/>
      <c r="F15" s="227"/>
      <c r="G15" s="227">
        <v>1006985.6575999999</v>
      </c>
      <c r="H15" s="227">
        <v>970706.24640000006</v>
      </c>
      <c r="I15" s="227">
        <v>1446340.5888</v>
      </c>
      <c r="J15" s="227">
        <v>1951253.37</v>
      </c>
      <c r="K15" s="227">
        <v>1994104.2704</v>
      </c>
      <c r="L15" s="227">
        <v>2043246.1432000003</v>
      </c>
      <c r="M15" s="265"/>
      <c r="N15" s="292" t="s">
        <v>305</v>
      </c>
    </row>
    <row r="16" spans="1:20">
      <c r="A16" s="104" t="s">
        <v>9</v>
      </c>
      <c r="B16" s="216" t="s">
        <v>57</v>
      </c>
      <c r="C16" s="227"/>
      <c r="D16" s="227"/>
      <c r="E16" s="227"/>
      <c r="F16" s="227"/>
      <c r="G16" s="227">
        <v>3184000</v>
      </c>
      <c r="H16" s="227">
        <v>3320000</v>
      </c>
      <c r="I16" s="227">
        <v>3320000</v>
      </c>
      <c r="J16" s="227">
        <v>3320000</v>
      </c>
      <c r="K16" s="227">
        <v>3324000</v>
      </c>
      <c r="L16" s="227">
        <v>3326815.89</v>
      </c>
      <c r="M16" s="265"/>
      <c r="N16" s="292" t="s">
        <v>305</v>
      </c>
    </row>
    <row r="17" spans="1:17">
      <c r="A17" s="104" t="s">
        <v>10</v>
      </c>
      <c r="B17" s="216" t="s">
        <v>286</v>
      </c>
      <c r="C17" s="227"/>
      <c r="D17" s="227"/>
      <c r="E17" s="227"/>
      <c r="F17" s="227"/>
      <c r="G17" s="317">
        <v>197075.67</v>
      </c>
      <c r="H17" s="317">
        <v>221379</v>
      </c>
      <c r="I17" s="317">
        <v>213179.3</v>
      </c>
      <c r="J17" s="317">
        <v>99077.715000000011</v>
      </c>
      <c r="K17" s="317">
        <v>152937.11586900003</v>
      </c>
      <c r="L17" s="317">
        <v>208162.24029799999</v>
      </c>
      <c r="M17" s="265"/>
      <c r="N17" s="292" t="s">
        <v>305</v>
      </c>
    </row>
    <row r="18" spans="1:17">
      <c r="A18" s="104" t="s">
        <v>11</v>
      </c>
      <c r="B18" s="216" t="s">
        <v>60</v>
      </c>
      <c r="C18" s="227"/>
      <c r="D18" s="227"/>
      <c r="E18" s="227"/>
      <c r="F18" s="227"/>
      <c r="G18" s="227">
        <v>3390586.6331577166</v>
      </c>
      <c r="H18" s="227">
        <v>3433821.1443697228</v>
      </c>
      <c r="I18" s="227">
        <v>3754263</v>
      </c>
      <c r="J18" s="227">
        <v>4022939</v>
      </c>
      <c r="K18" s="227">
        <v>3586648.5</v>
      </c>
      <c r="L18" s="227">
        <v>3679071</v>
      </c>
      <c r="M18" s="265"/>
      <c r="N18" s="292" t="s">
        <v>305</v>
      </c>
    </row>
    <row r="19" spans="1:17">
      <c r="A19" s="104" t="s">
        <v>12</v>
      </c>
      <c r="B19" s="216" t="s">
        <v>235</v>
      </c>
      <c r="C19" s="227"/>
      <c r="D19" s="227"/>
      <c r="E19" s="227"/>
      <c r="F19" s="227"/>
      <c r="G19" s="227">
        <v>0</v>
      </c>
      <c r="H19" s="227">
        <v>0</v>
      </c>
      <c r="I19" s="227">
        <v>0</v>
      </c>
      <c r="J19" s="227">
        <v>935657.22000000009</v>
      </c>
      <c r="K19" s="227">
        <v>1899670.7399999998</v>
      </c>
      <c r="L19" s="227">
        <v>1953521.0400000007</v>
      </c>
      <c r="M19" s="265"/>
      <c r="N19" s="292" t="s">
        <v>305</v>
      </c>
    </row>
    <row r="22" spans="1:17" ht="15.75" thickBot="1">
      <c r="A22" s="83" t="s">
        <v>238</v>
      </c>
      <c r="F22" s="83">
        <v>2009</v>
      </c>
      <c r="G22" s="83">
        <v>2010</v>
      </c>
      <c r="H22" s="83">
        <v>2011</v>
      </c>
      <c r="I22" s="83">
        <v>2012</v>
      </c>
      <c r="J22" s="83">
        <v>2013</v>
      </c>
      <c r="K22" s="83">
        <v>2014</v>
      </c>
      <c r="L22" s="83">
        <v>2015</v>
      </c>
      <c r="O22" s="184" t="s">
        <v>253</v>
      </c>
    </row>
    <row r="23" spans="1:17">
      <c r="A23" s="69" t="s">
        <v>0</v>
      </c>
      <c r="B23" s="115" t="s">
        <v>294</v>
      </c>
      <c r="C23" s="227"/>
      <c r="D23" s="227"/>
      <c r="E23" s="227"/>
      <c r="F23" s="227"/>
      <c r="G23" s="241"/>
      <c r="H23" s="241"/>
      <c r="I23" s="241"/>
      <c r="J23" s="241"/>
      <c r="K23" s="241"/>
      <c r="L23" s="241"/>
      <c r="M23" s="265"/>
      <c r="N23" s="118" t="s">
        <v>294</v>
      </c>
      <c r="O23" s="71"/>
    </row>
    <row r="24" spans="1:17">
      <c r="A24" s="104" t="s">
        <v>1</v>
      </c>
      <c r="B24" s="115" t="s">
        <v>42</v>
      </c>
      <c r="C24" s="227"/>
      <c r="D24" s="227"/>
      <c r="E24" s="227"/>
      <c r="F24" s="227"/>
      <c r="G24" s="241">
        <f t="shared" ref="G24" si="0">G8*G$3</f>
        <v>0</v>
      </c>
      <c r="H24" s="241">
        <f t="shared" ref="H24:L24" si="1">H8*H$3</f>
        <v>0</v>
      </c>
      <c r="I24" s="241">
        <f t="shared" si="1"/>
        <v>0</v>
      </c>
      <c r="J24" s="241">
        <f t="shared" si="1"/>
        <v>0</v>
      </c>
      <c r="K24" s="241">
        <f t="shared" si="1"/>
        <v>66674.61832061068</v>
      </c>
      <c r="L24" s="241">
        <f t="shared" si="1"/>
        <v>110928.70544090058</v>
      </c>
      <c r="M24" s="265"/>
      <c r="N24" s="118" t="s">
        <v>42</v>
      </c>
      <c r="O24" s="71">
        <f t="shared" ref="O24:O29" si="2">AVERAGE(G24:L24)/1000</f>
        <v>29.600553960251872</v>
      </c>
      <c r="P24" s="287"/>
      <c r="Q24" s="287"/>
    </row>
    <row r="25" spans="1:17">
      <c r="A25" s="104" t="s">
        <v>2</v>
      </c>
      <c r="B25" s="115" t="s">
        <v>297</v>
      </c>
      <c r="C25" s="227"/>
      <c r="D25" s="227"/>
      <c r="E25" s="227"/>
      <c r="F25" s="227"/>
      <c r="G25" s="241">
        <f>G9*G$4</f>
        <v>817336.00191022968</v>
      </c>
      <c r="H25" s="241">
        <f t="shared" ref="H25:L25" si="3">H9*H$4</f>
        <v>660011.27355846774</v>
      </c>
      <c r="I25" s="241">
        <f t="shared" si="3"/>
        <v>890347.95795816719</v>
      </c>
      <c r="J25" s="241">
        <f t="shared" si="3"/>
        <v>977678.9114785993</v>
      </c>
      <c r="K25" s="241">
        <f t="shared" si="3"/>
        <v>975215.85016052867</v>
      </c>
      <c r="L25" s="241">
        <f t="shared" si="3"/>
        <v>979521.59680000006</v>
      </c>
      <c r="M25" s="265"/>
      <c r="N25" s="118" t="s">
        <v>297</v>
      </c>
      <c r="O25" s="71">
        <f t="shared" si="2"/>
        <v>883.35193197766557</v>
      </c>
      <c r="P25" s="287"/>
      <c r="Q25" s="287"/>
    </row>
    <row r="26" spans="1:17">
      <c r="A26" s="104" t="s">
        <v>3</v>
      </c>
      <c r="B26" s="115" t="s">
        <v>45</v>
      </c>
      <c r="C26" s="227"/>
      <c r="D26" s="227"/>
      <c r="E26" s="227"/>
      <c r="F26" s="227"/>
      <c r="G26" s="241">
        <f t="shared" ref="F26:G28" si="4">G10*G$3</f>
        <v>22050.575019561293</v>
      </c>
      <c r="H26" s="241">
        <f t="shared" ref="H26:L26" si="5">H10*H$3</f>
        <v>22463.117851747622</v>
      </c>
      <c r="I26" s="241">
        <f t="shared" si="5"/>
        <v>23448.938117797839</v>
      </c>
      <c r="J26" s="241">
        <f t="shared" si="5"/>
        <v>24103.46218236053</v>
      </c>
      <c r="K26" s="241">
        <f t="shared" si="5"/>
        <v>25505.144351203278</v>
      </c>
      <c r="L26" s="241">
        <f t="shared" si="5"/>
        <v>21985.357640428927</v>
      </c>
      <c r="M26" s="265"/>
      <c r="N26" s="118" t="s">
        <v>45</v>
      </c>
      <c r="O26" s="71">
        <f t="shared" si="2"/>
        <v>23.25943252718325</v>
      </c>
      <c r="P26" s="287"/>
      <c r="Q26" s="287"/>
    </row>
    <row r="27" spans="1:17">
      <c r="A27" s="104" t="s">
        <v>4</v>
      </c>
      <c r="B27" s="115" t="s">
        <v>47</v>
      </c>
      <c r="C27" s="227"/>
      <c r="D27" s="227"/>
      <c r="E27" s="227"/>
      <c r="F27" s="241">
        <f t="shared" si="4"/>
        <v>7103841.9913419904</v>
      </c>
      <c r="G27" s="241">
        <f t="shared" si="4"/>
        <v>8847375.3976670206</v>
      </c>
      <c r="H27" s="241">
        <f t="shared" ref="H27:K27" si="6">H11*H$3</f>
        <v>9308900.9287925679</v>
      </c>
      <c r="I27" s="241">
        <f t="shared" si="6"/>
        <v>8947920.8416833673</v>
      </c>
      <c r="J27" s="241">
        <f t="shared" si="6"/>
        <v>9121691.1764705889</v>
      </c>
      <c r="K27" s="241">
        <f t="shared" si="6"/>
        <v>9352910.3053435106</v>
      </c>
      <c r="L27" s="241"/>
      <c r="M27" s="265"/>
      <c r="N27" s="118" t="s">
        <v>47</v>
      </c>
      <c r="O27" s="71">
        <f>AVERAGE(F27:K27)/1000</f>
        <v>8780.4401068831739</v>
      </c>
      <c r="P27" s="287"/>
      <c r="Q27" s="287"/>
    </row>
    <row r="28" spans="1:17">
      <c r="A28" s="104" t="s">
        <v>5</v>
      </c>
      <c r="B28" s="115" t="s">
        <v>49</v>
      </c>
      <c r="C28" s="227"/>
      <c r="D28" s="227"/>
      <c r="E28" s="227"/>
      <c r="F28" s="241">
        <f t="shared" si="4"/>
        <v>4955936.1471861461</v>
      </c>
      <c r="G28" s="241">
        <f t="shared" si="4"/>
        <v>5170259.809119829</v>
      </c>
      <c r="H28" s="241">
        <f t="shared" ref="H28:K28" si="7">H12*H$3</f>
        <v>4816532.5077399388</v>
      </c>
      <c r="I28" s="241">
        <f t="shared" si="7"/>
        <v>4793875.2505010022</v>
      </c>
      <c r="J28" s="241">
        <f t="shared" si="7"/>
        <v>4941205.8823529417</v>
      </c>
      <c r="K28" s="241">
        <f t="shared" si="7"/>
        <v>4726922.7099236641</v>
      </c>
      <c r="L28" s="241"/>
      <c r="M28" s="265"/>
      <c r="N28" s="118" t="s">
        <v>49</v>
      </c>
      <c r="O28" s="289">
        <f>AVERAGE(F28:K28)/1000</f>
        <v>4900.7887178039209</v>
      </c>
      <c r="P28" s="287"/>
      <c r="Q28" s="287"/>
    </row>
    <row r="29" spans="1:17">
      <c r="A29" s="104" t="s">
        <v>6</v>
      </c>
      <c r="B29" s="115" t="s">
        <v>51</v>
      </c>
      <c r="C29" s="227"/>
      <c r="D29" s="227"/>
      <c r="E29" s="227"/>
      <c r="F29" s="227"/>
      <c r="G29" s="241">
        <f t="shared" ref="G29" si="8">G13*G$3</f>
        <v>0</v>
      </c>
      <c r="H29" s="241">
        <f t="shared" ref="H29:L29" si="9">H13*H$3</f>
        <v>0</v>
      </c>
      <c r="I29" s="241">
        <f t="shared" si="9"/>
        <v>0</v>
      </c>
      <c r="J29" s="241">
        <f t="shared" si="9"/>
        <v>0</v>
      </c>
      <c r="K29" s="241">
        <f t="shared" si="9"/>
        <v>0</v>
      </c>
      <c r="L29" s="241">
        <f t="shared" si="9"/>
        <v>0</v>
      </c>
      <c r="M29" s="265"/>
      <c r="N29" s="118" t="s">
        <v>51</v>
      </c>
      <c r="O29" s="71">
        <f t="shared" si="2"/>
        <v>0</v>
      </c>
      <c r="P29" s="287"/>
      <c r="Q29" s="287"/>
    </row>
    <row r="30" spans="1:17">
      <c r="A30" s="104" t="s">
        <v>7</v>
      </c>
      <c r="B30" s="115" t="s">
        <v>53</v>
      </c>
      <c r="C30" s="227"/>
      <c r="D30" s="227"/>
      <c r="E30" s="227"/>
      <c r="F30" s="227"/>
      <c r="G30" s="241">
        <f>G14*G$4</f>
        <v>505699.97390396666</v>
      </c>
      <c r="H30" s="241">
        <f t="shared" ref="H30:L30" si="10">H14*H$4</f>
        <v>544506.22580645164</v>
      </c>
      <c r="I30" s="241">
        <f t="shared" si="10"/>
        <v>800907.39990039833</v>
      </c>
      <c r="J30" s="241">
        <f t="shared" si="10"/>
        <v>1000544.720938716</v>
      </c>
      <c r="K30" s="241">
        <f t="shared" si="10"/>
        <v>998834.36697355984</v>
      </c>
      <c r="L30" s="241">
        <f t="shared" si="10"/>
        <v>1016580.3050000001</v>
      </c>
      <c r="M30" s="265"/>
      <c r="N30" s="118" t="s">
        <v>53</v>
      </c>
      <c r="O30" s="71">
        <f t="shared" ref="O30:O35" si="11">AVERAGE(G30:L30)/1000</f>
        <v>811.17883208718206</v>
      </c>
      <c r="P30" s="287"/>
      <c r="Q30" s="287"/>
    </row>
    <row r="31" spans="1:17">
      <c r="A31" s="104" t="s">
        <v>8</v>
      </c>
      <c r="B31" s="115" t="s">
        <v>55</v>
      </c>
      <c r="C31" s="227"/>
      <c r="D31" s="227"/>
      <c r="E31" s="227"/>
      <c r="F31" s="227"/>
      <c r="G31" s="241">
        <f>G15*G$4</f>
        <v>1129968.2483507306</v>
      </c>
      <c r="H31" s="241">
        <f t="shared" ref="H31:L31" si="12">H15*H$4</f>
        <v>1051924.6117741936</v>
      </c>
      <c r="I31" s="241">
        <f t="shared" si="12"/>
        <v>1548621.646374502</v>
      </c>
      <c r="J31" s="241">
        <f t="shared" si="12"/>
        <v>2040464.3703793776</v>
      </c>
      <c r="K31" s="241">
        <f t="shared" si="12"/>
        <v>2024232.3802455144</v>
      </c>
      <c r="L31" s="241">
        <f t="shared" si="12"/>
        <v>2043246.1432000003</v>
      </c>
      <c r="M31" s="265"/>
      <c r="N31" s="118" t="s">
        <v>55</v>
      </c>
      <c r="O31" s="71">
        <f t="shared" si="11"/>
        <v>1639.7429000540533</v>
      </c>
      <c r="P31" s="287"/>
      <c r="Q31" s="287"/>
    </row>
    <row r="32" spans="1:17">
      <c r="A32" s="104" t="s">
        <v>9</v>
      </c>
      <c r="B32" s="115" t="s">
        <v>57</v>
      </c>
      <c r="C32" s="227"/>
      <c r="D32" s="227"/>
      <c r="E32" s="227"/>
      <c r="F32" s="227"/>
      <c r="G32" s="241">
        <f t="shared" ref="G32" si="13">G16*G$3</f>
        <v>3629692.4708377519</v>
      </c>
      <c r="H32" s="241">
        <f t="shared" ref="H32:L32" si="14">H16*H$3</f>
        <v>3683178.5345717231</v>
      </c>
      <c r="I32" s="241">
        <f t="shared" si="14"/>
        <v>3576152.3046092191</v>
      </c>
      <c r="J32" s="241">
        <f t="shared" si="14"/>
        <v>3499019.6078431373</v>
      </c>
      <c r="K32" s="241">
        <f t="shared" si="14"/>
        <v>3409637.4045801526</v>
      </c>
      <c r="L32" s="241">
        <f t="shared" si="14"/>
        <v>3354903.4537992501</v>
      </c>
      <c r="M32" s="265"/>
      <c r="N32" s="118" t="s">
        <v>57</v>
      </c>
      <c r="O32" s="71">
        <f t="shared" si="11"/>
        <v>3525.4306293735394</v>
      </c>
      <c r="P32" s="287"/>
      <c r="Q32" s="287"/>
    </row>
    <row r="33" spans="1:17">
      <c r="A33" s="104" t="s">
        <v>10</v>
      </c>
      <c r="B33" s="115" t="s">
        <v>177</v>
      </c>
      <c r="C33" s="227"/>
      <c r="D33" s="227"/>
      <c r="E33" s="227"/>
      <c r="F33" s="227"/>
      <c r="G33" s="241">
        <f t="shared" ref="G33" si="15">G17*G$3</f>
        <v>224662.08404029693</v>
      </c>
      <c r="H33" s="241">
        <f t="shared" ref="H33:L33" si="16">H17*H$3</f>
        <v>245595.89783281731</v>
      </c>
      <c r="I33" s="241">
        <f t="shared" si="16"/>
        <v>229627.00150300603</v>
      </c>
      <c r="J33" s="241">
        <f t="shared" si="16"/>
        <v>104420.14080882355</v>
      </c>
      <c r="K33" s="241">
        <f t="shared" si="16"/>
        <v>156877.28965570134</v>
      </c>
      <c r="L33" s="241">
        <f t="shared" si="16"/>
        <v>209919.70761758913</v>
      </c>
      <c r="M33" s="265"/>
      <c r="N33" s="118" t="s">
        <v>177</v>
      </c>
      <c r="O33" s="71">
        <f t="shared" si="11"/>
        <v>195.18368690970573</v>
      </c>
      <c r="P33" s="287"/>
      <c r="Q33" s="287"/>
    </row>
    <row r="34" spans="1:17">
      <c r="A34" s="104" t="s">
        <v>11</v>
      </c>
      <c r="B34" s="115" t="s">
        <v>60</v>
      </c>
      <c r="C34" s="227"/>
      <c r="D34" s="227"/>
      <c r="E34" s="227"/>
      <c r="F34" s="227"/>
      <c r="G34" s="241">
        <f t="shared" ref="G34" si="17">G18*G$3</f>
        <v>3865196.8511607056</v>
      </c>
      <c r="H34" s="241">
        <f t="shared" ref="H34:L34" si="18">H18*H$3</f>
        <v>3809450.7019581543</v>
      </c>
      <c r="I34" s="241">
        <f t="shared" si="18"/>
        <v>4043920.5661322651</v>
      </c>
      <c r="J34" s="241">
        <f t="shared" si="18"/>
        <v>4239862.1813725494</v>
      </c>
      <c r="K34" s="241">
        <f t="shared" si="18"/>
        <v>3679052.6121183205</v>
      </c>
      <c r="L34" s="241">
        <f t="shared" si="18"/>
        <v>3710132.5750469049</v>
      </c>
      <c r="M34" s="265"/>
      <c r="N34" s="118" t="s">
        <v>60</v>
      </c>
      <c r="O34" s="71">
        <f t="shared" si="11"/>
        <v>3891.2692479648167</v>
      </c>
      <c r="P34" s="287"/>
      <c r="Q34" s="287"/>
    </row>
    <row r="35" spans="1:17">
      <c r="A35" s="104" t="s">
        <v>12</v>
      </c>
      <c r="B35" s="115" t="s">
        <v>62</v>
      </c>
      <c r="C35" s="227"/>
      <c r="D35" s="227"/>
      <c r="E35" s="227"/>
      <c r="F35" s="227"/>
      <c r="G35" s="241">
        <f>G19*G$4</f>
        <v>0</v>
      </c>
      <c r="H35" s="241">
        <f t="shared" ref="H35:L35" si="19">H19*H$4</f>
        <v>0</v>
      </c>
      <c r="I35" s="241">
        <f t="shared" si="19"/>
        <v>0</v>
      </c>
      <c r="J35" s="241">
        <f t="shared" si="19"/>
        <v>978435.32247081725</v>
      </c>
      <c r="K35" s="241">
        <f t="shared" si="19"/>
        <v>1928372.0920679881</v>
      </c>
      <c r="L35" s="241">
        <f t="shared" si="19"/>
        <v>1953521.0400000007</v>
      </c>
      <c r="M35" s="265"/>
      <c r="N35" s="118" t="s">
        <v>62</v>
      </c>
      <c r="O35" s="71">
        <f t="shared" si="11"/>
        <v>810.05474242313437</v>
      </c>
      <c r="P35" s="287"/>
      <c r="Q35" s="287"/>
    </row>
    <row r="36" spans="1:17">
      <c r="M36" s="265"/>
      <c r="P36" s="287"/>
      <c r="Q36" s="287"/>
    </row>
    <row r="37" spans="1:17">
      <c r="B37" s="163"/>
      <c r="C37" s="163"/>
      <c r="D37" s="163"/>
      <c r="E37" s="163"/>
      <c r="F37" s="163"/>
      <c r="G37" s="163"/>
      <c r="H37" s="163"/>
      <c r="I37" s="163"/>
      <c r="J37" s="163"/>
      <c r="K37" s="163"/>
      <c r="L37" s="163"/>
      <c r="P37" s="287"/>
    </row>
    <row r="38" spans="1:17">
      <c r="P38" s="287"/>
    </row>
    <row r="40" spans="1:17">
      <c r="A40" s="3"/>
      <c r="B40" s="355"/>
      <c r="C40" s="3"/>
      <c r="D40" s="3"/>
      <c r="E40" s="3"/>
      <c r="F40" s="3"/>
      <c r="G40" s="3"/>
      <c r="H40" s="3"/>
      <c r="I40" s="3"/>
      <c r="J40" s="3"/>
      <c r="K40" s="3"/>
      <c r="L40" s="3"/>
      <c r="M40" s="3"/>
    </row>
    <row r="41" spans="1:17">
      <c r="A41" s="3"/>
      <c r="B41" s="355"/>
      <c r="C41" s="3"/>
      <c r="D41" s="3"/>
      <c r="E41" s="3"/>
      <c r="F41" s="3"/>
      <c r="G41" s="3"/>
      <c r="H41" s="3"/>
      <c r="I41" s="3"/>
      <c r="J41" s="3"/>
      <c r="K41" s="3"/>
      <c r="L41" s="3"/>
      <c r="M41" s="3"/>
    </row>
    <row r="42" spans="1:17">
      <c r="A42" s="69"/>
      <c r="B42" s="85"/>
      <c r="C42" s="356"/>
      <c r="D42" s="356"/>
      <c r="E42" s="356"/>
      <c r="F42" s="356"/>
      <c r="G42" s="356"/>
      <c r="H42" s="356"/>
      <c r="I42" s="356"/>
      <c r="J42" s="356"/>
      <c r="K42" s="356"/>
      <c r="L42" s="356"/>
      <c r="M42" s="3"/>
    </row>
    <row r="45" spans="1:17">
      <c r="H45" s="6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topLeftCell="F1" workbookViewId="0">
      <selection activeCell="N12" sqref="N12"/>
    </sheetView>
  </sheetViews>
  <sheetFormatPr defaultColWidth="9.28515625" defaultRowHeight="15"/>
  <cols>
    <col min="1" max="1" width="10.5703125" style="99" bestFit="1" customWidth="1"/>
    <col min="2" max="2" width="18" style="99" customWidth="1"/>
    <col min="3" max="4" width="15" style="99" bestFit="1" customWidth="1"/>
    <col min="5" max="5" width="13.28515625" style="99" customWidth="1"/>
    <col min="6" max="6" width="11.7109375" style="99" customWidth="1"/>
    <col min="7" max="7" width="11.7109375" style="221" customWidth="1"/>
    <col min="8" max="8" width="18.5703125" style="99" bestFit="1" customWidth="1"/>
    <col min="9" max="10" width="9.28515625" style="99"/>
    <col min="11" max="11" width="52.28515625" style="99" bestFit="1" customWidth="1"/>
    <col min="12" max="12" width="9.28515625" style="99"/>
    <col min="13" max="13" width="13.28515625" style="99" customWidth="1"/>
    <col min="14" max="14" width="13.42578125" style="99" customWidth="1"/>
    <col min="15" max="15" width="15.28515625" style="99" customWidth="1"/>
    <col min="16" max="16384" width="9.28515625" style="99"/>
  </cols>
  <sheetData>
    <row r="1" spans="1:15" s="163" customFormat="1" ht="45.75" thickBot="1">
      <c r="A1" s="184" t="s">
        <v>18</v>
      </c>
      <c r="B1" s="184"/>
      <c r="C1" s="184" t="s">
        <v>154</v>
      </c>
      <c r="D1" s="184" t="s">
        <v>154</v>
      </c>
      <c r="E1" s="214" t="s">
        <v>155</v>
      </c>
      <c r="F1" s="184" t="s">
        <v>39</v>
      </c>
      <c r="G1" s="184"/>
    </row>
    <row r="2" spans="1:15" s="163" customFormat="1" ht="45.75" thickBot="1">
      <c r="A2" s="214"/>
      <c r="B2" s="184"/>
      <c r="C2" s="214" t="s">
        <v>156</v>
      </c>
      <c r="D2" s="184" t="s">
        <v>157</v>
      </c>
      <c r="E2" s="214" t="s">
        <v>239</v>
      </c>
      <c r="F2" s="236" t="s">
        <v>158</v>
      </c>
      <c r="G2" s="236"/>
      <c r="K2" s="237" t="s">
        <v>18</v>
      </c>
      <c r="L2" s="237"/>
      <c r="M2" s="214" t="s">
        <v>166</v>
      </c>
      <c r="N2" s="214" t="s">
        <v>154</v>
      </c>
      <c r="O2" s="214" t="s">
        <v>154</v>
      </c>
    </row>
    <row r="3" spans="1:15" s="163" customFormat="1">
      <c r="A3" s="104" t="s">
        <v>0</v>
      </c>
      <c r="B3" s="103" t="s">
        <v>40</v>
      </c>
      <c r="C3" s="103">
        <v>31477</v>
      </c>
      <c r="D3" s="105">
        <f>VLOOKUP(B3,$H$4:$I$11,2)</f>
        <v>0.20599999999999999</v>
      </c>
      <c r="E3" s="113">
        <f>+D3*Termites!$N$15+Termites!$O$15</f>
        <v>1.4564494254616227</v>
      </c>
      <c r="F3" s="162">
        <f>+E3*$C3</f>
        <v>45844.6585652555</v>
      </c>
      <c r="G3" s="162"/>
      <c r="H3" s="163" t="s">
        <v>157</v>
      </c>
      <c r="K3" s="228" t="s">
        <v>167</v>
      </c>
      <c r="L3" s="228" t="s">
        <v>97</v>
      </c>
      <c r="M3" s="228" t="s">
        <v>174</v>
      </c>
      <c r="N3" s="228" t="s">
        <v>176</v>
      </c>
      <c r="O3" s="228" t="s">
        <v>49</v>
      </c>
    </row>
    <row r="4" spans="1:15" s="163" customFormat="1">
      <c r="A4" s="104" t="s">
        <v>1</v>
      </c>
      <c r="B4" s="103" t="s">
        <v>159</v>
      </c>
      <c r="C4" s="103">
        <v>81735</v>
      </c>
      <c r="D4" s="105">
        <f>VLOOKUP(B4,$H$4:$I$11,2)</f>
        <v>0.35</v>
      </c>
      <c r="E4" s="113">
        <f>+D4*Termites!$N$15+Termites!$O$15</f>
        <v>2.6049149866756078</v>
      </c>
      <c r="F4" s="162">
        <f t="shared" ref="F4:F15" si="0">+E4*C4</f>
        <v>212912.72643593082</v>
      </c>
      <c r="G4" s="162"/>
      <c r="H4" s="103" t="s">
        <v>40</v>
      </c>
      <c r="I4" s="105">
        <v>0.20599999999999999</v>
      </c>
      <c r="K4" s="228" t="s">
        <v>168</v>
      </c>
      <c r="L4" s="228"/>
      <c r="M4" s="229">
        <v>0</v>
      </c>
      <c r="N4" s="230">
        <f>I11</f>
        <v>0.221</v>
      </c>
      <c r="O4" s="230">
        <f>I8</f>
        <v>0.45100000000000001</v>
      </c>
    </row>
    <row r="5" spans="1:15" s="163" customFormat="1">
      <c r="A5" s="104" t="s">
        <v>2</v>
      </c>
      <c r="C5" s="103">
        <v>36215</v>
      </c>
      <c r="D5" s="106">
        <f>(I6+I7)/2</f>
        <v>9.1999999999999998E-2</v>
      </c>
      <c r="E5" s="113">
        <f>+D5*Termites!$N$15+Termites!$O$15</f>
        <v>0.54724752283388467</v>
      </c>
      <c r="F5" s="162">
        <f t="shared" si="0"/>
        <v>19818.569039429134</v>
      </c>
      <c r="G5" s="162"/>
      <c r="H5" s="103" t="s">
        <v>163</v>
      </c>
      <c r="I5" s="105">
        <v>0.36099999999999999</v>
      </c>
      <c r="K5" s="228" t="s">
        <v>169</v>
      </c>
      <c r="L5" s="228">
        <v>2010</v>
      </c>
      <c r="M5" s="228">
        <v>0</v>
      </c>
      <c r="N5" s="231">
        <v>299880</v>
      </c>
      <c r="O5" s="231">
        <v>2220086.3868551911</v>
      </c>
    </row>
    <row r="6" spans="1:15" s="163" customFormat="1">
      <c r="A6" s="104" t="s">
        <v>3</v>
      </c>
      <c r="B6" s="103" t="s">
        <v>159</v>
      </c>
      <c r="C6" s="103">
        <v>285515</v>
      </c>
      <c r="D6" s="105">
        <f t="shared" ref="D6:D15" si="1">VLOOKUP(B6,$H$4:$I$11,2)</f>
        <v>0.35</v>
      </c>
      <c r="E6" s="113">
        <f>+D6*Termites!$N$15+Termites!$O$15</f>
        <v>2.6049149866756078</v>
      </c>
      <c r="F6" s="162">
        <f t="shared" si="0"/>
        <v>743742.30242068612</v>
      </c>
      <c r="G6" s="162"/>
      <c r="H6" s="103" t="s">
        <v>161</v>
      </c>
      <c r="I6" s="105">
        <v>0.115</v>
      </c>
      <c r="K6" s="228" t="s">
        <v>170</v>
      </c>
      <c r="L6" s="228">
        <v>2010</v>
      </c>
      <c r="M6" s="228">
        <v>0</v>
      </c>
      <c r="N6" s="232">
        <f>+(O6/O5)*N5</f>
        <v>68058.808670578015</v>
      </c>
      <c r="O6" s="231">
        <v>503856.32464696642</v>
      </c>
    </row>
    <row r="7" spans="1:15" s="163" customFormat="1">
      <c r="A7" s="104" t="s">
        <v>4</v>
      </c>
      <c r="B7" s="103" t="s">
        <v>164</v>
      </c>
      <c r="C7" s="103">
        <v>396698</v>
      </c>
      <c r="D7" s="105">
        <f t="shared" si="1"/>
        <v>0.45100000000000001</v>
      </c>
      <c r="E7" s="113">
        <f>+D7*Termites!$N$15+Termites!$O$15</f>
        <v>3.4104359705826393</v>
      </c>
      <c r="F7" s="162">
        <f t="shared" si="0"/>
        <v>1352913.1286581918</v>
      </c>
      <c r="G7" s="162"/>
      <c r="H7" s="103" t="s">
        <v>160</v>
      </c>
      <c r="I7" s="105">
        <v>6.9000000000000006E-2</v>
      </c>
      <c r="K7" s="228"/>
      <c r="L7" s="228"/>
      <c r="M7" s="228"/>
      <c r="N7" s="228"/>
      <c r="O7" s="228"/>
    </row>
    <row r="8" spans="1:15" s="163" customFormat="1">
      <c r="A8" s="104" t="s">
        <v>5</v>
      </c>
      <c r="B8" s="103" t="s">
        <v>164</v>
      </c>
      <c r="C8" s="103">
        <v>865057</v>
      </c>
      <c r="D8" s="105">
        <f t="shared" si="1"/>
        <v>0.45100000000000001</v>
      </c>
      <c r="E8" s="113">
        <f>+D8*Termites!$N$15+Termites!$O$15</f>
        <v>3.4104359705826393</v>
      </c>
      <c r="F8" s="162">
        <f t="shared" si="0"/>
        <v>2950221.5094043063</v>
      </c>
      <c r="G8" s="162"/>
      <c r="H8" s="103" t="s">
        <v>164</v>
      </c>
      <c r="I8" s="105">
        <v>0.45100000000000001</v>
      </c>
      <c r="K8" s="228" t="s">
        <v>169</v>
      </c>
      <c r="L8" s="228" t="s">
        <v>175</v>
      </c>
      <c r="M8" s="231">
        <f>+M5*'CPI-master'!G8</f>
        <v>0</v>
      </c>
      <c r="N8" s="231">
        <f>+N5*$L$18</f>
        <v>336504.1753653445</v>
      </c>
      <c r="O8" s="231">
        <f>+O5*$L$19</f>
        <v>2530851.3954075612</v>
      </c>
    </row>
    <row r="9" spans="1:15" s="163" customFormat="1">
      <c r="A9" s="104" t="s">
        <v>6</v>
      </c>
      <c r="B9" s="103" t="s">
        <v>159</v>
      </c>
      <c r="C9" s="103">
        <v>1162622</v>
      </c>
      <c r="D9" s="105">
        <f t="shared" si="1"/>
        <v>0.35</v>
      </c>
      <c r="E9" s="113">
        <f>+D9*Termites!$N$15+Termites!$O$15</f>
        <v>2.6049149866756078</v>
      </c>
      <c r="F9" s="162">
        <f t="shared" si="0"/>
        <v>3028531.4716387684</v>
      </c>
      <c r="G9" s="162"/>
      <c r="H9" s="103" t="s">
        <v>159</v>
      </c>
      <c r="I9" s="105">
        <v>0.35</v>
      </c>
      <c r="K9" s="228" t="s">
        <v>170</v>
      </c>
      <c r="L9" s="228" t="s">
        <v>175</v>
      </c>
      <c r="M9" s="231">
        <f>+M6*'CPI-master'!G8</f>
        <v>0</v>
      </c>
      <c r="N9" s="231">
        <f>+N6*$L$18</f>
        <v>76370.792610512915</v>
      </c>
      <c r="O9" s="231">
        <f>+O6*$L$19</f>
        <v>574385.52385523741</v>
      </c>
    </row>
    <row r="10" spans="1:15" s="163" customFormat="1">
      <c r="A10" s="104" t="s">
        <v>7</v>
      </c>
      <c r="B10" s="103" t="s">
        <v>160</v>
      </c>
      <c r="C10" s="103">
        <v>51470</v>
      </c>
      <c r="D10" s="105">
        <f t="shared" si="1"/>
        <v>6.9000000000000006E-2</v>
      </c>
      <c r="E10" s="113">
        <f>+D10*Termites!$N$15+Termites!$O$15</f>
        <v>0.3638120512510955</v>
      </c>
      <c r="F10" s="162">
        <f t="shared" si="0"/>
        <v>18725.406277893886</v>
      </c>
      <c r="G10" s="162"/>
      <c r="H10" s="103" t="s">
        <v>165</v>
      </c>
      <c r="I10" s="107">
        <v>0.01</v>
      </c>
      <c r="K10" s="228" t="s">
        <v>171</v>
      </c>
      <c r="L10" s="228" t="s">
        <v>175</v>
      </c>
      <c r="M10" s="232">
        <f>SUM(M8:M9)</f>
        <v>0</v>
      </c>
      <c r="N10" s="232">
        <f t="shared" ref="N10:O10" si="2">SUM(N8:N9)</f>
        <v>412874.96797585743</v>
      </c>
      <c r="O10" s="232">
        <f t="shared" si="2"/>
        <v>3105236.9192627985</v>
      </c>
    </row>
    <row r="11" spans="1:15" s="163" customFormat="1">
      <c r="A11" s="104" t="s">
        <v>8</v>
      </c>
      <c r="B11" s="103" t="s">
        <v>162</v>
      </c>
      <c r="C11" s="103">
        <v>341109</v>
      </c>
      <c r="D11" s="105">
        <f t="shared" si="1"/>
        <v>0.221</v>
      </c>
      <c r="E11" s="113">
        <f>+D11*Termites!$N$15+Termites!$O$15</f>
        <v>1.5760812547547463</v>
      </c>
      <c r="F11" s="162">
        <f t="shared" si="0"/>
        <v>537615.50072813674</v>
      </c>
      <c r="G11" s="162"/>
      <c r="H11" s="103" t="s">
        <v>162</v>
      </c>
      <c r="I11" s="105">
        <v>0.221</v>
      </c>
      <c r="K11" s="228"/>
      <c r="L11" s="228"/>
      <c r="M11" s="228"/>
      <c r="N11" s="228"/>
      <c r="O11" s="228"/>
    </row>
    <row r="12" spans="1:15" s="163" customFormat="1">
      <c r="A12" s="104" t="s">
        <v>9</v>
      </c>
      <c r="B12" s="103" t="s">
        <v>163</v>
      </c>
      <c r="C12" s="103">
        <v>0</v>
      </c>
      <c r="D12" s="105">
        <f t="shared" si="1"/>
        <v>0.36099999999999999</v>
      </c>
      <c r="E12" s="113">
        <f>+D12*Termites!$N$15+Termites!$O$15</f>
        <v>2.6926449948238984</v>
      </c>
      <c r="F12" s="162">
        <f t="shared" si="0"/>
        <v>0</v>
      </c>
      <c r="G12" s="162"/>
      <c r="K12" s="228" t="s">
        <v>156</v>
      </c>
      <c r="L12" s="228"/>
      <c r="M12" s="233">
        <f>C14</f>
        <v>205576</v>
      </c>
      <c r="N12" s="228">
        <f>C11</f>
        <v>341109</v>
      </c>
      <c r="O12" s="228">
        <f>C8</f>
        <v>865057</v>
      </c>
    </row>
    <row r="13" spans="1:15" s="163" customFormat="1">
      <c r="A13" s="104" t="s">
        <v>10</v>
      </c>
      <c r="B13" s="103" t="s">
        <v>162</v>
      </c>
      <c r="C13" s="103">
        <v>173539</v>
      </c>
      <c r="D13" s="105">
        <f t="shared" si="1"/>
        <v>0.221</v>
      </c>
      <c r="E13" s="113">
        <f>+D13*Termites!$N$15+Termites!$O$15</f>
        <v>1.5760812547547463</v>
      </c>
      <c r="F13" s="162">
        <f t="shared" si="0"/>
        <v>273511.56486888393</v>
      </c>
      <c r="G13" s="162"/>
      <c r="K13" s="228" t="s">
        <v>172</v>
      </c>
      <c r="L13" s="228"/>
      <c r="M13" s="228">
        <f>+M10/M12</f>
        <v>0</v>
      </c>
      <c r="N13" s="228">
        <f t="shared" ref="N13:O13" si="3">+N10/N12</f>
        <v>1.2103901332883549</v>
      </c>
      <c r="O13" s="228">
        <f t="shared" si="3"/>
        <v>3.5896327285517584</v>
      </c>
    </row>
    <row r="14" spans="1:15" s="163" customFormat="1">
      <c r="A14" s="104" t="s">
        <v>11</v>
      </c>
      <c r="B14" s="103" t="s">
        <v>165</v>
      </c>
      <c r="C14" s="103">
        <v>205576</v>
      </c>
      <c r="D14" s="105">
        <f t="shared" si="1"/>
        <v>0.01</v>
      </c>
      <c r="E14" s="113">
        <f>+D14*Termites!$N$15+Termites!$O$15</f>
        <v>-0.10673981063519014</v>
      </c>
      <c r="F14" s="162">
        <v>0</v>
      </c>
      <c r="G14" s="162"/>
      <c r="K14" s="228" t="s">
        <v>173</v>
      </c>
      <c r="L14" s="228"/>
      <c r="M14" s="228"/>
      <c r="N14" s="228"/>
      <c r="O14" s="228"/>
    </row>
    <row r="15" spans="1:15" s="163" customFormat="1">
      <c r="A15" s="104" t="s">
        <v>12</v>
      </c>
      <c r="B15" s="103" t="s">
        <v>161</v>
      </c>
      <c r="C15" s="103">
        <v>92977</v>
      </c>
      <c r="D15" s="105">
        <f t="shared" si="1"/>
        <v>0.115</v>
      </c>
      <c r="E15" s="113">
        <f>+D15*Termites!$N$15+Termites!$O$15</f>
        <v>0.73068299441667406</v>
      </c>
      <c r="F15" s="162">
        <f t="shared" si="0"/>
        <v>67936.712771879102</v>
      </c>
      <c r="G15" s="162"/>
      <c r="K15" s="234"/>
      <c r="L15" s="234"/>
      <c r="M15" s="234"/>
      <c r="N15" s="235">
        <f t="array" ref="N15:O15">LINEST(M13:O13,M4:O4,TRUE,)</f>
        <v>7.9754552862082297</v>
      </c>
      <c r="O15" s="234">
        <v>-0.18649436349727244</v>
      </c>
    </row>
    <row r="16" spans="1:15" s="163" customFormat="1">
      <c r="G16" s="221"/>
      <c r="K16" s="234"/>
      <c r="L16" s="234"/>
      <c r="M16" s="234"/>
      <c r="N16" s="235">
        <f t="array" ref="N16:O16">LINEST(M13:O13,M4:O4,FALSE)</f>
        <v>7.4786141088065001</v>
      </c>
      <c r="O16" s="234">
        <v>0</v>
      </c>
    </row>
    <row r="17" spans="5:15" s="163" customFormat="1">
      <c r="G17" s="221"/>
      <c r="K17" s="234"/>
      <c r="L17" s="234"/>
      <c r="M17" s="234"/>
      <c r="N17" s="235">
        <f t="array" ref="N17:O17">LINEST(M13:N13,M4:N4,FALSE)</f>
        <v>5.476878431169026</v>
      </c>
      <c r="O17" s="234">
        <v>0</v>
      </c>
    </row>
    <row r="18" spans="5:15">
      <c r="E18" s="10"/>
      <c r="L18" s="99">
        <f>'CPI-master'!G9</f>
        <v>1.1221294363256786</v>
      </c>
      <c r="M18" s="115" t="s">
        <v>72</v>
      </c>
    </row>
    <row r="19" spans="5:15">
      <c r="L19" s="99">
        <f>'CPI-master'!G8</f>
        <v>1.1399787910922587</v>
      </c>
      <c r="M19" s="115" t="s">
        <v>71</v>
      </c>
    </row>
    <row r="33" spans="6:8">
      <c r="H33" s="114"/>
    </row>
    <row r="37" spans="6:8">
      <c r="F37" s="90"/>
      <c r="G37" s="90"/>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Q77"/>
  <sheetViews>
    <sheetView zoomScaleNormal="100" workbookViewId="0">
      <selection activeCell="N4" sqref="N4"/>
    </sheetView>
  </sheetViews>
  <sheetFormatPr defaultColWidth="9.28515625" defaultRowHeight="15"/>
  <cols>
    <col min="1" max="1" width="59" style="90" bestFit="1" customWidth="1"/>
    <col min="2" max="4" width="10.28515625" style="87" bestFit="1" customWidth="1"/>
    <col min="5" max="9" width="11.5703125" style="87" bestFit="1" customWidth="1"/>
    <col min="10" max="10" width="11.7109375" style="87" customWidth="1"/>
    <col min="11" max="11" width="8.7109375" style="87" bestFit="1" customWidth="1"/>
    <col min="12" max="14" width="9.28515625" style="87"/>
    <col min="15" max="15" width="7" style="87" customWidth="1"/>
    <col min="16" max="16384" width="9.28515625" style="87"/>
  </cols>
  <sheetData>
    <row r="1" spans="1:17" ht="15.75" thickBot="1">
      <c r="A1" s="89"/>
      <c r="B1" s="83">
        <v>2005</v>
      </c>
      <c r="C1" s="83">
        <v>2006</v>
      </c>
      <c r="D1" s="83">
        <v>2007</v>
      </c>
      <c r="E1" s="83">
        <v>2008</v>
      </c>
      <c r="F1" s="83">
        <v>2009</v>
      </c>
      <c r="G1" s="83">
        <v>2010</v>
      </c>
      <c r="H1" s="83">
        <v>2011</v>
      </c>
      <c r="I1" s="83">
        <v>2012</v>
      </c>
      <c r="J1" s="83">
        <v>2013</v>
      </c>
      <c r="K1" s="83">
        <v>2014</v>
      </c>
      <c r="L1" s="83">
        <v>2015</v>
      </c>
      <c r="M1" s="83">
        <v>2016</v>
      </c>
      <c r="N1" s="184">
        <v>2017</v>
      </c>
      <c r="O1" s="184">
        <v>2018</v>
      </c>
      <c r="P1" s="184">
        <v>2019</v>
      </c>
    </row>
    <row r="2" spans="1:17">
      <c r="A2" s="90" t="s">
        <v>142</v>
      </c>
      <c r="B2" s="193">
        <f>SUMIFS($C$13:$C$76,$D$13:$D$76,B$1,$E$13:$E$76,$Q2)</f>
        <v>83.8</v>
      </c>
      <c r="C2" s="193">
        <f t="shared" ref="C2:P3" si="0">SUMIFS($C$13:$C$76,$D$13:$D$76,C$1,$E$13:$E$76,$Q2)</f>
        <v>86.6</v>
      </c>
      <c r="D2" s="193">
        <f t="shared" si="0"/>
        <v>89.1</v>
      </c>
      <c r="E2" s="193">
        <f t="shared" si="0"/>
        <v>92.4</v>
      </c>
      <c r="F2" s="193">
        <f t="shared" si="0"/>
        <v>94.3</v>
      </c>
      <c r="G2" s="193">
        <f t="shared" si="0"/>
        <v>96.9</v>
      </c>
      <c r="H2" s="193">
        <f t="shared" si="0"/>
        <v>99.8</v>
      </c>
      <c r="I2" s="193">
        <f t="shared" si="0"/>
        <v>102</v>
      </c>
      <c r="J2" s="193">
        <f t="shared" si="0"/>
        <v>104.8</v>
      </c>
      <c r="K2" s="193">
        <f t="shared" si="0"/>
        <v>106.6</v>
      </c>
      <c r="L2" s="193">
        <f t="shared" si="0"/>
        <v>108.4</v>
      </c>
      <c r="M2" s="193">
        <f t="shared" si="0"/>
        <v>110</v>
      </c>
      <c r="N2" s="193">
        <f t="shared" si="0"/>
        <v>112.1</v>
      </c>
      <c r="O2" s="193">
        <f t="shared" si="0"/>
        <v>114.1</v>
      </c>
      <c r="P2" s="193"/>
      <c r="Q2" s="91">
        <v>12</v>
      </c>
    </row>
    <row r="3" spans="1:17">
      <c r="A3" s="90" t="s">
        <v>143</v>
      </c>
      <c r="B3" s="193">
        <f>SUMIFS($C$13:$C$76,$D$13:$D$76,B$1,$E$13:$E$76,$Q3)</f>
        <v>82.6</v>
      </c>
      <c r="C3" s="193">
        <f t="shared" si="0"/>
        <v>85.9</v>
      </c>
      <c r="D3" s="193">
        <f t="shared" si="0"/>
        <v>87.7</v>
      </c>
      <c r="E3" s="193">
        <f t="shared" si="0"/>
        <v>91.6</v>
      </c>
      <c r="F3" s="193">
        <f t="shared" si="0"/>
        <v>92.9</v>
      </c>
      <c r="G3" s="193">
        <f t="shared" si="0"/>
        <v>95.8</v>
      </c>
      <c r="H3" s="193">
        <f t="shared" si="0"/>
        <v>99.2</v>
      </c>
      <c r="I3" s="193">
        <f t="shared" si="0"/>
        <v>100.4</v>
      </c>
      <c r="J3" s="193">
        <f t="shared" si="0"/>
        <v>102.8</v>
      </c>
      <c r="K3" s="193">
        <f t="shared" si="0"/>
        <v>105.9</v>
      </c>
      <c r="L3" s="193">
        <f t="shared" si="0"/>
        <v>107.5</v>
      </c>
      <c r="M3" s="193">
        <f t="shared" si="0"/>
        <v>108.6</v>
      </c>
      <c r="N3" s="193">
        <f t="shared" si="0"/>
        <v>110.7</v>
      </c>
      <c r="O3" s="193">
        <f t="shared" si="0"/>
        <v>113</v>
      </c>
      <c r="P3" s="193">
        <f t="shared" si="0"/>
        <v>114.8</v>
      </c>
      <c r="Q3" s="91">
        <v>6</v>
      </c>
    </row>
    <row r="4" spans="1:17">
      <c r="A4" s="90" t="s">
        <v>144</v>
      </c>
      <c r="B4" s="193">
        <f>SUMIFS($C$13:$C$76,$D$13:$D$76,B$1-1,$E$13:$E$76,$Q4)</f>
        <v>81.5</v>
      </c>
      <c r="C4" s="193">
        <f t="shared" ref="C4:P4" si="1">SUMIFS($C$13:$C$76,$D$13:$D$76,C$1-1,$E$13:$E$76,$Q4)</f>
        <v>83.8</v>
      </c>
      <c r="D4" s="193">
        <f t="shared" si="1"/>
        <v>86.6</v>
      </c>
      <c r="E4" s="193">
        <f t="shared" si="1"/>
        <v>89.1</v>
      </c>
      <c r="F4" s="193">
        <f t="shared" si="1"/>
        <v>92.4</v>
      </c>
      <c r="G4" s="193">
        <f t="shared" si="1"/>
        <v>94.3</v>
      </c>
      <c r="H4" s="193">
        <f t="shared" si="1"/>
        <v>96.9</v>
      </c>
      <c r="I4" s="193">
        <f t="shared" si="1"/>
        <v>99.8</v>
      </c>
      <c r="J4" s="193">
        <f t="shared" si="1"/>
        <v>102</v>
      </c>
      <c r="K4" s="193">
        <f t="shared" si="1"/>
        <v>104.8</v>
      </c>
      <c r="L4" s="193">
        <f t="shared" si="1"/>
        <v>106.6</v>
      </c>
      <c r="M4" s="193">
        <f t="shared" si="1"/>
        <v>108.4</v>
      </c>
      <c r="N4" s="193">
        <f t="shared" si="1"/>
        <v>110</v>
      </c>
      <c r="O4" s="193">
        <f t="shared" si="1"/>
        <v>112.1</v>
      </c>
      <c r="P4" s="193">
        <f t="shared" si="1"/>
        <v>114.1</v>
      </c>
      <c r="Q4" s="91">
        <v>12</v>
      </c>
    </row>
    <row r="6" spans="1:17">
      <c r="C6" s="87" t="s">
        <v>133</v>
      </c>
      <c r="D6" s="87" t="s">
        <v>134</v>
      </c>
      <c r="E6" s="87" t="s">
        <v>135</v>
      </c>
      <c r="F6" s="87" t="s">
        <v>136</v>
      </c>
      <c r="G6" s="87" t="s">
        <v>137</v>
      </c>
      <c r="H6" s="87" t="s">
        <v>138</v>
      </c>
      <c r="I6" s="87" t="s">
        <v>139</v>
      </c>
      <c r="J6" s="87" t="s">
        <v>140</v>
      </c>
      <c r="K6" s="87" t="s">
        <v>141</v>
      </c>
      <c r="L6" s="92" t="s">
        <v>145</v>
      </c>
      <c r="M6" s="92" t="s">
        <v>146</v>
      </c>
      <c r="N6" s="193" t="s">
        <v>306</v>
      </c>
      <c r="O6" s="193" t="s">
        <v>307</v>
      </c>
      <c r="P6" s="193" t="s">
        <v>308</v>
      </c>
    </row>
    <row r="7" spans="1:17">
      <c r="C7" s="87">
        <v>2006</v>
      </c>
      <c r="D7" s="87">
        <v>2007</v>
      </c>
      <c r="E7" s="87">
        <v>2008</v>
      </c>
      <c r="F7" s="87">
        <v>2009</v>
      </c>
      <c r="G7" s="87">
        <v>2010</v>
      </c>
      <c r="H7" s="87">
        <v>2011</v>
      </c>
      <c r="I7" s="87">
        <v>2012</v>
      </c>
      <c r="J7" s="87">
        <v>2013</v>
      </c>
      <c r="K7" s="87">
        <v>2014</v>
      </c>
      <c r="L7" s="87">
        <v>2015</v>
      </c>
      <c r="M7" s="87">
        <v>2016</v>
      </c>
      <c r="N7" s="295">
        <v>2017</v>
      </c>
      <c r="O7" s="295">
        <v>2018</v>
      </c>
      <c r="P7" s="295">
        <v>2019</v>
      </c>
    </row>
    <row r="8" spans="1:17">
      <c r="A8" s="90" t="s">
        <v>71</v>
      </c>
      <c r="C8" s="301">
        <f t="shared" ref="C8:P8" si="2">$L$3/B2</f>
        <v>1.2828162291169452</v>
      </c>
      <c r="D8" s="301">
        <f t="shared" si="2"/>
        <v>1.2413394919168592</v>
      </c>
      <c r="E8" s="301">
        <f t="shared" si="2"/>
        <v>1.2065095398428733</v>
      </c>
      <c r="F8" s="301">
        <f t="shared" si="2"/>
        <v>1.1634199134199132</v>
      </c>
      <c r="G8" s="301">
        <f t="shared" si="2"/>
        <v>1.1399787910922587</v>
      </c>
      <c r="H8" s="301">
        <f t="shared" si="2"/>
        <v>1.1093911248710009</v>
      </c>
      <c r="I8" s="301">
        <f t="shared" si="2"/>
        <v>1.0771543086172346</v>
      </c>
      <c r="J8" s="301">
        <f t="shared" si="2"/>
        <v>1.053921568627451</v>
      </c>
      <c r="K8" s="301">
        <f t="shared" si="2"/>
        <v>1.0257633587786259</v>
      </c>
      <c r="L8" s="301">
        <f t="shared" si="2"/>
        <v>1.0084427767354598</v>
      </c>
      <c r="M8" s="301">
        <f t="shared" si="2"/>
        <v>0.99169741697416969</v>
      </c>
      <c r="N8" s="301">
        <f t="shared" si="2"/>
        <v>0.97727272727272729</v>
      </c>
      <c r="O8" s="301">
        <f t="shared" si="2"/>
        <v>0.95896520963425513</v>
      </c>
      <c r="P8" s="301">
        <f t="shared" si="2"/>
        <v>0.94215600350569684</v>
      </c>
    </row>
    <row r="9" spans="1:17">
      <c r="A9" s="90" t="s">
        <v>72</v>
      </c>
      <c r="C9" s="301">
        <f t="shared" ref="C9:P9" si="3">$L$3/C3</f>
        <v>1.2514551804423748</v>
      </c>
      <c r="D9" s="301">
        <f t="shared" si="3"/>
        <v>1.225769669327252</v>
      </c>
      <c r="E9" s="301">
        <f t="shared" si="3"/>
        <v>1.1735807860262009</v>
      </c>
      <c r="F9" s="301">
        <f t="shared" si="3"/>
        <v>1.1571582346609257</v>
      </c>
      <c r="G9" s="301">
        <f t="shared" si="3"/>
        <v>1.1221294363256786</v>
      </c>
      <c r="H9" s="301">
        <f t="shared" si="3"/>
        <v>1.0836693548387097</v>
      </c>
      <c r="I9" s="301">
        <f t="shared" si="3"/>
        <v>1.0707171314741035</v>
      </c>
      <c r="J9" s="301">
        <f t="shared" si="3"/>
        <v>1.0457198443579767</v>
      </c>
      <c r="K9" s="301">
        <f t="shared" si="3"/>
        <v>1.0151085930122756</v>
      </c>
      <c r="L9" s="301">
        <f t="shared" si="3"/>
        <v>1</v>
      </c>
      <c r="M9" s="301">
        <f t="shared" si="3"/>
        <v>0.98987108655616951</v>
      </c>
      <c r="N9" s="301">
        <f t="shared" si="3"/>
        <v>0.97109304426377596</v>
      </c>
      <c r="O9" s="301">
        <f t="shared" si="3"/>
        <v>0.95132743362831862</v>
      </c>
      <c r="P9" s="301">
        <f t="shared" si="3"/>
        <v>0.93641114982578399</v>
      </c>
    </row>
    <row r="11" spans="1:17" ht="15.75" thickBot="1">
      <c r="B11" s="83" t="s">
        <v>147</v>
      </c>
      <c r="C11" s="83"/>
      <c r="D11" s="83"/>
      <c r="E11" s="83"/>
      <c r="F11" s="83"/>
      <c r="G11" s="83"/>
      <c r="H11" s="83"/>
      <c r="I11" s="83"/>
      <c r="J11" s="83"/>
      <c r="K11" s="83"/>
      <c r="L11" s="83"/>
      <c r="M11" s="83"/>
    </row>
    <row r="12" spans="1:17">
      <c r="C12" s="93"/>
      <c r="G12" s="87" t="s">
        <v>124</v>
      </c>
    </row>
    <row r="13" spans="1:17">
      <c r="B13" s="94">
        <v>37986</v>
      </c>
      <c r="C13" s="221">
        <v>79.5</v>
      </c>
      <c r="D13" s="87">
        <f t="shared" ref="D13:D76" si="4">YEAR(B13)</f>
        <v>2003</v>
      </c>
      <c r="E13" s="87">
        <f t="shared" ref="E13:E76" si="5">MONTH(B13)</f>
        <v>12</v>
      </c>
      <c r="G13" s="87" t="s">
        <v>125</v>
      </c>
    </row>
    <row r="14" spans="1:17">
      <c r="B14" s="94">
        <v>38077</v>
      </c>
      <c r="C14" s="221">
        <v>80.2</v>
      </c>
      <c r="D14" s="87">
        <f t="shared" si="4"/>
        <v>2004</v>
      </c>
      <c r="E14" s="87">
        <f t="shared" si="5"/>
        <v>3</v>
      </c>
      <c r="G14" s="87" t="s">
        <v>126</v>
      </c>
    </row>
    <row r="15" spans="1:17">
      <c r="B15" s="94">
        <v>38168</v>
      </c>
      <c r="C15" s="221">
        <v>80.599999999999994</v>
      </c>
      <c r="D15" s="87">
        <f t="shared" si="4"/>
        <v>2004</v>
      </c>
      <c r="E15" s="87">
        <f t="shared" si="5"/>
        <v>6</v>
      </c>
      <c r="G15" s="87" t="s">
        <v>127</v>
      </c>
    </row>
    <row r="16" spans="1:17">
      <c r="B16" s="94">
        <v>38260</v>
      </c>
      <c r="C16" s="221">
        <v>80.900000000000006</v>
      </c>
      <c r="D16" s="87">
        <f t="shared" si="4"/>
        <v>2004</v>
      </c>
      <c r="E16" s="87">
        <f t="shared" si="5"/>
        <v>9</v>
      </c>
      <c r="G16" s="87" t="s">
        <v>128</v>
      </c>
    </row>
    <row r="17" spans="2:7">
      <c r="B17" s="94">
        <v>38352</v>
      </c>
      <c r="C17" s="221">
        <v>81.5</v>
      </c>
      <c r="D17" s="87">
        <f t="shared" si="4"/>
        <v>2004</v>
      </c>
      <c r="E17" s="87">
        <f t="shared" si="5"/>
        <v>12</v>
      </c>
      <c r="G17" s="87">
        <v>3</v>
      </c>
    </row>
    <row r="18" spans="2:7">
      <c r="B18" s="94">
        <v>38442</v>
      </c>
      <c r="C18" s="221">
        <v>82.1</v>
      </c>
      <c r="D18" s="87">
        <f t="shared" si="4"/>
        <v>2005</v>
      </c>
      <c r="E18" s="87">
        <f t="shared" si="5"/>
        <v>3</v>
      </c>
      <c r="G18" s="95">
        <v>17777</v>
      </c>
    </row>
    <row r="19" spans="2:7">
      <c r="B19" s="94">
        <v>38533</v>
      </c>
      <c r="C19" s="221">
        <v>82.6</v>
      </c>
      <c r="D19" s="87">
        <f t="shared" si="4"/>
        <v>2005</v>
      </c>
      <c r="E19" s="87">
        <f t="shared" si="5"/>
        <v>6</v>
      </c>
      <c r="G19" s="95">
        <v>42887</v>
      </c>
    </row>
    <row r="20" spans="2:7">
      <c r="B20" s="94">
        <v>38625</v>
      </c>
      <c r="C20" s="221">
        <v>83.4</v>
      </c>
      <c r="D20" s="87">
        <f t="shared" si="4"/>
        <v>2005</v>
      </c>
      <c r="E20" s="87">
        <f t="shared" si="5"/>
        <v>9</v>
      </c>
      <c r="G20" s="87">
        <v>276</v>
      </c>
    </row>
    <row r="21" spans="2:7">
      <c r="B21" s="94">
        <v>38717</v>
      </c>
      <c r="C21" s="221">
        <v>83.8</v>
      </c>
      <c r="D21" s="87">
        <f t="shared" si="4"/>
        <v>2005</v>
      </c>
      <c r="E21" s="87">
        <f t="shared" si="5"/>
        <v>12</v>
      </c>
      <c r="G21" s="87" t="s">
        <v>129</v>
      </c>
    </row>
    <row r="22" spans="2:7">
      <c r="B22" s="94">
        <v>38807</v>
      </c>
      <c r="C22" s="221">
        <v>84.5</v>
      </c>
      <c r="D22" s="87">
        <f t="shared" si="4"/>
        <v>2006</v>
      </c>
      <c r="E22" s="87">
        <f t="shared" si="5"/>
        <v>3</v>
      </c>
    </row>
    <row r="23" spans="2:7">
      <c r="B23" s="94">
        <v>38898</v>
      </c>
      <c r="C23" s="221">
        <v>85.9</v>
      </c>
      <c r="D23" s="87">
        <f t="shared" si="4"/>
        <v>2006</v>
      </c>
      <c r="E23" s="87">
        <f t="shared" si="5"/>
        <v>6</v>
      </c>
    </row>
    <row r="24" spans="2:7">
      <c r="B24" s="94">
        <v>38990</v>
      </c>
      <c r="C24" s="221">
        <v>86.7</v>
      </c>
      <c r="D24" s="87">
        <f t="shared" si="4"/>
        <v>2006</v>
      </c>
      <c r="E24" s="87">
        <f t="shared" si="5"/>
        <v>9</v>
      </c>
    </row>
    <row r="25" spans="2:7">
      <c r="B25" s="94">
        <v>39082</v>
      </c>
      <c r="C25" s="221">
        <v>86.6</v>
      </c>
      <c r="D25" s="87">
        <f t="shared" si="4"/>
        <v>2006</v>
      </c>
      <c r="E25" s="87">
        <f t="shared" si="5"/>
        <v>12</v>
      </c>
    </row>
    <row r="26" spans="2:7">
      <c r="B26" s="94">
        <v>39172</v>
      </c>
      <c r="C26" s="221">
        <v>86.6</v>
      </c>
      <c r="D26" s="87">
        <f t="shared" si="4"/>
        <v>2007</v>
      </c>
      <c r="E26" s="87">
        <f t="shared" si="5"/>
        <v>3</v>
      </c>
    </row>
    <row r="27" spans="2:7">
      <c r="B27" s="94">
        <v>39263</v>
      </c>
      <c r="C27" s="221">
        <v>87.7</v>
      </c>
      <c r="D27" s="87">
        <f t="shared" si="4"/>
        <v>2007</v>
      </c>
      <c r="E27" s="87">
        <f t="shared" si="5"/>
        <v>6</v>
      </c>
    </row>
    <row r="28" spans="2:7">
      <c r="B28" s="94">
        <v>39355</v>
      </c>
      <c r="C28" s="221">
        <v>88.3</v>
      </c>
      <c r="D28" s="87">
        <f t="shared" si="4"/>
        <v>2007</v>
      </c>
      <c r="E28" s="87">
        <f t="shared" si="5"/>
        <v>9</v>
      </c>
    </row>
    <row r="29" spans="2:7">
      <c r="B29" s="94">
        <v>39447</v>
      </c>
      <c r="C29" s="221">
        <v>89.1</v>
      </c>
      <c r="D29" s="87">
        <f t="shared" si="4"/>
        <v>2007</v>
      </c>
      <c r="E29" s="87">
        <f t="shared" si="5"/>
        <v>12</v>
      </c>
    </row>
    <row r="30" spans="2:7">
      <c r="B30" s="94">
        <v>39538</v>
      </c>
      <c r="C30" s="221">
        <v>90.3</v>
      </c>
      <c r="D30" s="87">
        <f t="shared" si="4"/>
        <v>2008</v>
      </c>
      <c r="E30" s="87">
        <f t="shared" si="5"/>
        <v>3</v>
      </c>
    </row>
    <row r="31" spans="2:7">
      <c r="B31" s="94">
        <v>39629</v>
      </c>
      <c r="C31" s="221">
        <v>91.6</v>
      </c>
      <c r="D31" s="87">
        <f t="shared" si="4"/>
        <v>2008</v>
      </c>
      <c r="E31" s="87">
        <f t="shared" si="5"/>
        <v>6</v>
      </c>
    </row>
    <row r="32" spans="2:7">
      <c r="B32" s="94">
        <v>39721</v>
      </c>
      <c r="C32" s="221">
        <v>92.7</v>
      </c>
      <c r="D32" s="87">
        <f t="shared" si="4"/>
        <v>2008</v>
      </c>
      <c r="E32" s="87">
        <f t="shared" si="5"/>
        <v>9</v>
      </c>
    </row>
    <row r="33" spans="2:5">
      <c r="B33" s="94">
        <v>39813</v>
      </c>
      <c r="C33" s="221">
        <v>92.4</v>
      </c>
      <c r="D33" s="87">
        <f t="shared" si="4"/>
        <v>2008</v>
      </c>
      <c r="E33" s="87">
        <f t="shared" si="5"/>
        <v>12</v>
      </c>
    </row>
    <row r="34" spans="2:5">
      <c r="B34" s="94">
        <v>39903</v>
      </c>
      <c r="C34" s="221">
        <v>92.5</v>
      </c>
      <c r="D34" s="87">
        <f t="shared" si="4"/>
        <v>2009</v>
      </c>
      <c r="E34" s="87">
        <f t="shared" si="5"/>
        <v>3</v>
      </c>
    </row>
    <row r="35" spans="2:5">
      <c r="B35" s="94">
        <v>39994</v>
      </c>
      <c r="C35" s="221">
        <v>92.9</v>
      </c>
      <c r="D35" s="87">
        <f t="shared" si="4"/>
        <v>2009</v>
      </c>
      <c r="E35" s="87">
        <f t="shared" si="5"/>
        <v>6</v>
      </c>
    </row>
    <row r="36" spans="2:5">
      <c r="B36" s="94">
        <v>40086</v>
      </c>
      <c r="C36" s="221">
        <v>93.8</v>
      </c>
      <c r="D36" s="87">
        <f t="shared" si="4"/>
        <v>2009</v>
      </c>
      <c r="E36" s="87">
        <f t="shared" si="5"/>
        <v>9</v>
      </c>
    </row>
    <row r="37" spans="2:5">
      <c r="B37" s="94">
        <v>40178</v>
      </c>
      <c r="C37" s="221">
        <v>94.3</v>
      </c>
      <c r="D37" s="87">
        <f t="shared" si="4"/>
        <v>2009</v>
      </c>
      <c r="E37" s="87">
        <f t="shared" si="5"/>
        <v>12</v>
      </c>
    </row>
    <row r="38" spans="2:5">
      <c r="B38" s="94">
        <v>40268</v>
      </c>
      <c r="C38" s="221">
        <v>95.2</v>
      </c>
      <c r="D38" s="87">
        <f t="shared" si="4"/>
        <v>2010</v>
      </c>
      <c r="E38" s="87">
        <f t="shared" si="5"/>
        <v>3</v>
      </c>
    </row>
    <row r="39" spans="2:5">
      <c r="B39" s="94">
        <v>40359</v>
      </c>
      <c r="C39" s="221">
        <v>95.8</v>
      </c>
      <c r="D39" s="87">
        <f t="shared" si="4"/>
        <v>2010</v>
      </c>
      <c r="E39" s="87">
        <f t="shared" si="5"/>
        <v>6</v>
      </c>
    </row>
    <row r="40" spans="2:5">
      <c r="B40" s="94">
        <v>40451</v>
      </c>
      <c r="C40" s="221">
        <v>96.5</v>
      </c>
      <c r="D40" s="87">
        <f t="shared" si="4"/>
        <v>2010</v>
      </c>
      <c r="E40" s="87">
        <f t="shared" si="5"/>
        <v>9</v>
      </c>
    </row>
    <row r="41" spans="2:5">
      <c r="B41" s="94">
        <v>40543</v>
      </c>
      <c r="C41" s="221">
        <v>96.9</v>
      </c>
      <c r="D41" s="87">
        <f t="shared" si="4"/>
        <v>2010</v>
      </c>
      <c r="E41" s="87">
        <f t="shared" si="5"/>
        <v>12</v>
      </c>
    </row>
    <row r="42" spans="2:5">
      <c r="B42" s="94">
        <v>40633</v>
      </c>
      <c r="C42" s="221">
        <v>98.3</v>
      </c>
      <c r="D42" s="87">
        <f t="shared" si="4"/>
        <v>2011</v>
      </c>
      <c r="E42" s="87">
        <f t="shared" si="5"/>
        <v>3</v>
      </c>
    </row>
    <row r="43" spans="2:5">
      <c r="B43" s="94">
        <v>40724</v>
      </c>
      <c r="C43" s="221">
        <v>99.2</v>
      </c>
      <c r="D43" s="87">
        <f t="shared" si="4"/>
        <v>2011</v>
      </c>
      <c r="E43" s="87">
        <f t="shared" si="5"/>
        <v>6</v>
      </c>
    </row>
    <row r="44" spans="2:5">
      <c r="B44" s="94">
        <v>40816</v>
      </c>
      <c r="C44" s="221">
        <v>99.8</v>
      </c>
      <c r="D44" s="87">
        <f t="shared" si="4"/>
        <v>2011</v>
      </c>
      <c r="E44" s="87">
        <f t="shared" si="5"/>
        <v>9</v>
      </c>
    </row>
    <row r="45" spans="2:5">
      <c r="B45" s="94">
        <v>40908</v>
      </c>
      <c r="C45" s="221">
        <v>99.8</v>
      </c>
      <c r="D45" s="87">
        <f t="shared" si="4"/>
        <v>2011</v>
      </c>
      <c r="E45" s="87">
        <f t="shared" si="5"/>
        <v>12</v>
      </c>
    </row>
    <row r="46" spans="2:5">
      <c r="B46" s="94">
        <v>40999</v>
      </c>
      <c r="C46" s="221">
        <v>99.9</v>
      </c>
      <c r="D46" s="87">
        <f t="shared" si="4"/>
        <v>2012</v>
      </c>
      <c r="E46" s="87">
        <f t="shared" si="5"/>
        <v>3</v>
      </c>
    </row>
    <row r="47" spans="2:5">
      <c r="B47" s="94">
        <v>41090</v>
      </c>
      <c r="C47" s="221">
        <v>100.4</v>
      </c>
      <c r="D47" s="87">
        <f t="shared" si="4"/>
        <v>2012</v>
      </c>
      <c r="E47" s="87">
        <f t="shared" si="5"/>
        <v>6</v>
      </c>
    </row>
    <row r="48" spans="2:5">
      <c r="B48" s="94">
        <v>41182</v>
      </c>
      <c r="C48" s="221">
        <v>101.8</v>
      </c>
      <c r="D48" s="87">
        <f t="shared" si="4"/>
        <v>2012</v>
      </c>
      <c r="E48" s="87">
        <f t="shared" si="5"/>
        <v>9</v>
      </c>
    </row>
    <row r="49" spans="2:5">
      <c r="B49" s="94">
        <v>41274</v>
      </c>
      <c r="C49" s="221">
        <v>102</v>
      </c>
      <c r="D49" s="87">
        <f t="shared" si="4"/>
        <v>2012</v>
      </c>
      <c r="E49" s="87">
        <f t="shared" si="5"/>
        <v>12</v>
      </c>
    </row>
    <row r="50" spans="2:5">
      <c r="B50" s="94">
        <v>41364</v>
      </c>
      <c r="C50" s="221">
        <v>102.4</v>
      </c>
      <c r="D50" s="87">
        <f t="shared" si="4"/>
        <v>2013</v>
      </c>
      <c r="E50" s="87">
        <f t="shared" si="5"/>
        <v>3</v>
      </c>
    </row>
    <row r="51" spans="2:5">
      <c r="B51" s="94">
        <v>41455</v>
      </c>
      <c r="C51" s="221">
        <v>102.8</v>
      </c>
      <c r="D51" s="87">
        <f t="shared" si="4"/>
        <v>2013</v>
      </c>
      <c r="E51" s="87">
        <f t="shared" si="5"/>
        <v>6</v>
      </c>
    </row>
    <row r="52" spans="2:5">
      <c r="B52" s="94">
        <v>41547</v>
      </c>
      <c r="C52" s="221">
        <v>104</v>
      </c>
      <c r="D52" s="87">
        <f t="shared" si="4"/>
        <v>2013</v>
      </c>
      <c r="E52" s="87">
        <f t="shared" si="5"/>
        <v>9</v>
      </c>
    </row>
    <row r="53" spans="2:5">
      <c r="B53" s="94">
        <v>41639</v>
      </c>
      <c r="C53" s="221">
        <v>104.8</v>
      </c>
      <c r="D53" s="87">
        <f t="shared" si="4"/>
        <v>2013</v>
      </c>
      <c r="E53" s="87">
        <f t="shared" si="5"/>
        <v>12</v>
      </c>
    </row>
    <row r="54" spans="2:5">
      <c r="B54" s="94">
        <v>41729</v>
      </c>
      <c r="C54" s="221">
        <v>105.4</v>
      </c>
      <c r="D54" s="87">
        <f t="shared" si="4"/>
        <v>2014</v>
      </c>
      <c r="E54" s="87">
        <f t="shared" si="5"/>
        <v>3</v>
      </c>
    </row>
    <row r="55" spans="2:5">
      <c r="B55" s="94">
        <v>41820</v>
      </c>
      <c r="C55" s="221">
        <v>105.9</v>
      </c>
      <c r="D55" s="87">
        <f t="shared" si="4"/>
        <v>2014</v>
      </c>
      <c r="E55" s="87">
        <f t="shared" si="5"/>
        <v>6</v>
      </c>
    </row>
    <row r="56" spans="2:5">
      <c r="B56" s="94">
        <v>41912</v>
      </c>
      <c r="C56" s="221">
        <v>106.4</v>
      </c>
      <c r="D56" s="87">
        <f t="shared" si="4"/>
        <v>2014</v>
      </c>
      <c r="E56" s="87">
        <f t="shared" si="5"/>
        <v>9</v>
      </c>
    </row>
    <row r="57" spans="2:5">
      <c r="B57" s="94">
        <v>42004</v>
      </c>
      <c r="C57" s="221">
        <v>106.6</v>
      </c>
      <c r="D57" s="87">
        <f t="shared" si="4"/>
        <v>2014</v>
      </c>
      <c r="E57" s="87">
        <f t="shared" si="5"/>
        <v>12</v>
      </c>
    </row>
    <row r="58" spans="2:5">
      <c r="B58" s="94">
        <v>42094</v>
      </c>
      <c r="C58" s="221">
        <v>106.8</v>
      </c>
      <c r="D58" s="87">
        <f t="shared" si="4"/>
        <v>2015</v>
      </c>
      <c r="E58" s="87">
        <f t="shared" si="5"/>
        <v>3</v>
      </c>
    </row>
    <row r="59" spans="2:5">
      <c r="B59" s="94">
        <v>42185</v>
      </c>
      <c r="C59" s="221">
        <v>107.5</v>
      </c>
      <c r="D59" s="87">
        <f t="shared" si="4"/>
        <v>2015</v>
      </c>
      <c r="E59" s="87">
        <f t="shared" si="5"/>
        <v>6</v>
      </c>
    </row>
    <row r="60" spans="2:5">
      <c r="B60" s="94">
        <v>42277</v>
      </c>
      <c r="C60" s="221">
        <v>108</v>
      </c>
      <c r="D60" s="87">
        <f t="shared" si="4"/>
        <v>2015</v>
      </c>
      <c r="E60" s="87">
        <f t="shared" si="5"/>
        <v>9</v>
      </c>
    </row>
    <row r="61" spans="2:5">
      <c r="B61" s="94">
        <v>42369</v>
      </c>
      <c r="C61" s="221">
        <v>108.4</v>
      </c>
      <c r="D61" s="87">
        <f t="shared" si="4"/>
        <v>2015</v>
      </c>
      <c r="E61" s="87">
        <f t="shared" si="5"/>
        <v>12</v>
      </c>
    </row>
    <row r="62" spans="2:5">
      <c r="B62" s="94">
        <v>42460</v>
      </c>
      <c r="C62" s="221">
        <v>108.2</v>
      </c>
      <c r="D62" s="87">
        <f t="shared" si="4"/>
        <v>2016</v>
      </c>
      <c r="E62" s="87">
        <f t="shared" si="5"/>
        <v>3</v>
      </c>
    </row>
    <row r="63" spans="2:5">
      <c r="B63" s="94">
        <v>42551</v>
      </c>
      <c r="C63" s="221">
        <v>108.6</v>
      </c>
      <c r="D63" s="87">
        <f t="shared" si="4"/>
        <v>2016</v>
      </c>
      <c r="E63" s="87">
        <f t="shared" si="5"/>
        <v>6</v>
      </c>
    </row>
    <row r="64" spans="2:5">
      <c r="B64" s="94">
        <v>42643</v>
      </c>
      <c r="C64" s="221">
        <v>109.4</v>
      </c>
      <c r="D64" s="87">
        <f t="shared" si="4"/>
        <v>2016</v>
      </c>
      <c r="E64" s="87">
        <f t="shared" si="5"/>
        <v>9</v>
      </c>
    </row>
    <row r="65" spans="2:5">
      <c r="B65" s="94">
        <v>42735</v>
      </c>
      <c r="C65" s="221">
        <v>110</v>
      </c>
      <c r="D65" s="87">
        <f t="shared" si="4"/>
        <v>2016</v>
      </c>
      <c r="E65" s="87">
        <f t="shared" si="5"/>
        <v>12</v>
      </c>
    </row>
    <row r="66" spans="2:5">
      <c r="B66" s="94">
        <v>42825</v>
      </c>
      <c r="C66" s="221">
        <v>110.5</v>
      </c>
      <c r="D66" s="87">
        <f t="shared" si="4"/>
        <v>2017</v>
      </c>
      <c r="E66" s="87">
        <f t="shared" si="5"/>
        <v>3</v>
      </c>
    </row>
    <row r="67" spans="2:5">
      <c r="B67" s="94">
        <v>42916</v>
      </c>
      <c r="C67" s="221">
        <v>110.7</v>
      </c>
      <c r="D67" s="87">
        <f t="shared" si="4"/>
        <v>2017</v>
      </c>
      <c r="E67" s="87">
        <f t="shared" si="5"/>
        <v>6</v>
      </c>
    </row>
    <row r="68" spans="2:5">
      <c r="B68" s="94">
        <v>42979</v>
      </c>
      <c r="C68" s="295">
        <v>111.4</v>
      </c>
      <c r="D68" s="295">
        <f t="shared" si="4"/>
        <v>2017</v>
      </c>
      <c r="E68" s="295">
        <f t="shared" si="5"/>
        <v>9</v>
      </c>
    </row>
    <row r="69" spans="2:5">
      <c r="B69" s="94">
        <v>43070</v>
      </c>
      <c r="C69" s="295">
        <v>112.1</v>
      </c>
      <c r="D69" s="295">
        <f t="shared" si="4"/>
        <v>2017</v>
      </c>
      <c r="E69" s="295">
        <f t="shared" si="5"/>
        <v>12</v>
      </c>
    </row>
    <row r="70" spans="2:5">
      <c r="B70" s="94">
        <v>43160</v>
      </c>
      <c r="C70" s="295">
        <v>112.6</v>
      </c>
      <c r="D70" s="295">
        <f t="shared" si="4"/>
        <v>2018</v>
      </c>
      <c r="E70" s="295">
        <f t="shared" si="5"/>
        <v>3</v>
      </c>
    </row>
    <row r="71" spans="2:5">
      <c r="B71" s="94">
        <v>43252</v>
      </c>
      <c r="C71" s="295">
        <v>113</v>
      </c>
      <c r="D71" s="295">
        <f t="shared" si="4"/>
        <v>2018</v>
      </c>
      <c r="E71" s="295">
        <f t="shared" si="5"/>
        <v>6</v>
      </c>
    </row>
    <row r="72" spans="2:5">
      <c r="B72" s="94">
        <v>43344</v>
      </c>
      <c r="C72" s="295">
        <v>113.5</v>
      </c>
      <c r="D72" s="295">
        <f t="shared" si="4"/>
        <v>2018</v>
      </c>
      <c r="E72" s="295">
        <f t="shared" si="5"/>
        <v>9</v>
      </c>
    </row>
    <row r="73" spans="2:5">
      <c r="B73" s="94">
        <v>43435</v>
      </c>
      <c r="C73" s="295">
        <v>114.1</v>
      </c>
      <c r="D73" s="295">
        <f t="shared" si="4"/>
        <v>2018</v>
      </c>
      <c r="E73" s="295">
        <f t="shared" si="5"/>
        <v>12</v>
      </c>
    </row>
    <row r="74" spans="2:5">
      <c r="B74" s="94">
        <v>43525</v>
      </c>
      <c r="C74" s="295">
        <v>114.1</v>
      </c>
      <c r="D74" s="295">
        <f t="shared" si="4"/>
        <v>2019</v>
      </c>
      <c r="E74" s="295">
        <f t="shared" si="5"/>
        <v>3</v>
      </c>
    </row>
    <row r="75" spans="2:5">
      <c r="B75" s="94">
        <v>43617</v>
      </c>
      <c r="C75" s="87">
        <v>114.8</v>
      </c>
      <c r="D75" s="295">
        <f t="shared" si="4"/>
        <v>2019</v>
      </c>
      <c r="E75" s="295">
        <f t="shared" si="5"/>
        <v>6</v>
      </c>
    </row>
    <row r="76" spans="2:5">
      <c r="B76" s="94">
        <v>43709</v>
      </c>
      <c r="C76" s="87">
        <v>115.4</v>
      </c>
      <c r="D76" s="295">
        <f t="shared" si="4"/>
        <v>2019</v>
      </c>
      <c r="E76" s="295">
        <f t="shared" si="5"/>
        <v>9</v>
      </c>
    </row>
    <row r="77" spans="2:5">
      <c r="B77" s="94">
        <v>43800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Summary tables</vt:lpstr>
      <vt:lpstr>Summary tables-short</vt:lpstr>
      <vt:lpstr>base OPEX</vt:lpstr>
      <vt:lpstr>base OPEX-short</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2021-04-26T01:19:18Z</dcterms:created>
  <dcterms:modified xsi:type="dcterms:W3CDTF">2021-04-26T01:19:22Z</dcterms:modified>
</cp:coreProperties>
</file>