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65"/>
  </bookViews>
  <sheets>
    <sheet name="Readme" sheetId="2" r:id="rId1"/>
    <sheet name="Cost Drivers" sheetId="4" r:id="rId2"/>
    <sheet name="Opex Modelling Results" sheetId="5" r:id="rId3"/>
    <sheet name="Efficiency Target Option" sheetId="8" r:id="rId4"/>
    <sheet name="Opex Forecasts" sheetId="7" r:id="rId5"/>
    <sheet name="Inputs" sheetId="3" r:id="rId6"/>
    <sheet name="Summary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9" l="1"/>
  <c r="G12" i="9"/>
  <c r="G11" i="9"/>
  <c r="G10" i="9"/>
  <c r="G9" i="9"/>
  <c r="T35" i="7" l="1"/>
  <c r="N35" i="7"/>
  <c r="H35" i="7"/>
  <c r="B35" i="7"/>
  <c r="P24" i="4" l="1"/>
  <c r="P23" i="4"/>
  <c r="P22" i="4"/>
  <c r="P21" i="4"/>
  <c r="H25" i="4"/>
  <c r="H24" i="4"/>
  <c r="H23" i="4"/>
  <c r="H22" i="4"/>
  <c r="H21" i="4"/>
  <c r="D23" i="3" l="1"/>
  <c r="B8" i="9" l="1"/>
  <c r="A16" i="2" l="1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L21" i="4" l="1"/>
  <c r="L22" i="4"/>
  <c r="Q14" i="4"/>
  <c r="Q10" i="4"/>
  <c r="Q15" i="4"/>
  <c r="A13" i="9"/>
  <c r="A8" i="9"/>
  <c r="A3" i="9"/>
  <c r="A1" i="9"/>
  <c r="V22" i="7"/>
  <c r="U22" i="7"/>
  <c r="P22" i="7"/>
  <c r="O22" i="7"/>
  <c r="J22" i="7"/>
  <c r="I22" i="7"/>
  <c r="D22" i="7"/>
  <c r="C22" i="7"/>
  <c r="E6" i="7"/>
  <c r="A1" i="7"/>
  <c r="H6" i="8"/>
  <c r="H20" i="4"/>
  <c r="A1" i="4"/>
  <c r="A36" i="2"/>
  <c r="A27" i="2"/>
  <c r="A24" i="2"/>
  <c r="A5" i="2"/>
  <c r="A11" i="9" l="1"/>
  <c r="A10" i="9"/>
  <c r="A9" i="9"/>
  <c r="H25" i="8" l="1"/>
  <c r="H44" i="8" l="1"/>
  <c r="H63" i="8"/>
  <c r="W22" i="7"/>
  <c r="W23" i="7" s="1"/>
  <c r="E22" i="7"/>
  <c r="K6" i="7"/>
  <c r="Q6" i="7" s="1"/>
  <c r="W6" i="7" s="1"/>
  <c r="T3" i="7"/>
  <c r="N3" i="7"/>
  <c r="H3" i="7"/>
  <c r="B3" i="7"/>
  <c r="Q22" i="7" l="1"/>
  <c r="Q23" i="7" s="1"/>
  <c r="K22" i="7"/>
  <c r="K23" i="7" s="1"/>
  <c r="E23" i="7"/>
  <c r="B17" i="8" l="1"/>
  <c r="B37" i="8"/>
  <c r="B56" i="8"/>
  <c r="B75" i="8"/>
  <c r="B6" i="7"/>
  <c r="B18" i="8"/>
  <c r="H6" i="7"/>
  <c r="B36" i="8"/>
  <c r="N6" i="7"/>
  <c r="B55" i="8"/>
  <c r="T6" i="7"/>
  <c r="B74" i="8"/>
  <c r="B7" i="7"/>
  <c r="B7" i="8"/>
  <c r="H7" i="7"/>
  <c r="B26" i="8"/>
  <c r="N7" i="7"/>
  <c r="B45" i="8"/>
  <c r="T7" i="7"/>
  <c r="B64" i="8"/>
  <c r="B8" i="7"/>
  <c r="B15" i="8"/>
  <c r="H8" i="7"/>
  <c r="B35" i="8"/>
  <c r="N8" i="7"/>
  <c r="O8" i="7" s="1"/>
  <c r="B53" i="8"/>
  <c r="T8" i="7"/>
  <c r="B72" i="8"/>
  <c r="B9" i="7"/>
  <c r="B14" i="8"/>
  <c r="H9" i="7"/>
  <c r="B33" i="8"/>
  <c r="B52" i="8"/>
  <c r="B70" i="8"/>
  <c r="B10" i="7"/>
  <c r="B16" i="8"/>
  <c r="H10" i="7"/>
  <c r="B34" i="8"/>
  <c r="B51" i="8"/>
  <c r="B71" i="8"/>
  <c r="B13" i="8"/>
  <c r="B31" i="8"/>
  <c r="B48" i="8"/>
  <c r="B68" i="8"/>
  <c r="B12" i="8"/>
  <c r="B32" i="8"/>
  <c r="B54" i="8"/>
  <c r="B73" i="8"/>
  <c r="B6" i="8"/>
  <c r="B25" i="8"/>
  <c r="B44" i="8"/>
  <c r="B63" i="8"/>
  <c r="B10" i="8"/>
  <c r="B29" i="8"/>
  <c r="B46" i="8"/>
  <c r="B66" i="8"/>
  <c r="B11" i="8"/>
  <c r="B30" i="8"/>
  <c r="N9" i="7"/>
  <c r="B50" i="8"/>
  <c r="T9" i="7"/>
  <c r="B69" i="8"/>
  <c r="B9" i="8"/>
  <c r="B28" i="8"/>
  <c r="N10" i="7"/>
  <c r="B47" i="8"/>
  <c r="T10" i="7"/>
  <c r="B67" i="8"/>
  <c r="B8" i="8"/>
  <c r="B27" i="8"/>
  <c r="B49" i="8"/>
  <c r="B65" i="8"/>
  <c r="U7" i="7" l="1"/>
  <c r="K24" i="7"/>
  <c r="C7" i="7"/>
  <c r="U8" i="7"/>
  <c r="I7" i="7"/>
  <c r="O6" i="7"/>
  <c r="I8" i="7"/>
  <c r="O7" i="7"/>
  <c r="U6" i="7"/>
  <c r="W24" i="7"/>
  <c r="I6" i="7"/>
  <c r="Q24" i="7"/>
  <c r="E24" i="7"/>
  <c r="C8" i="7"/>
  <c r="C6" i="7"/>
  <c r="D8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P15" i="4"/>
  <c r="L25" i="4" s="1"/>
  <c r="E14" i="4"/>
  <c r="F14" i="4"/>
  <c r="G14" i="4"/>
  <c r="H14" i="4"/>
  <c r="I14" i="4"/>
  <c r="J14" i="4"/>
  <c r="K14" i="4"/>
  <c r="L14" i="4"/>
  <c r="M14" i="4"/>
  <c r="N14" i="4"/>
  <c r="O14" i="4"/>
  <c r="P14" i="4"/>
  <c r="D15" i="4"/>
  <c r="E15" i="4"/>
  <c r="F15" i="4"/>
  <c r="G15" i="4"/>
  <c r="H15" i="4"/>
  <c r="I15" i="4"/>
  <c r="J15" i="4"/>
  <c r="K15" i="4"/>
  <c r="L15" i="4"/>
  <c r="M15" i="4"/>
  <c r="N15" i="4"/>
  <c r="O15" i="4"/>
  <c r="E14" i="7"/>
  <c r="K14" i="7" s="1"/>
  <c r="Q14" i="7" s="1"/>
  <c r="W14" i="7" s="1"/>
  <c r="E15" i="7"/>
  <c r="K15" i="7" s="1"/>
  <c r="Q15" i="7" s="1"/>
  <c r="W15" i="7" s="1"/>
  <c r="L24" i="4" l="1"/>
  <c r="E18" i="7"/>
  <c r="E8" i="4"/>
  <c r="F8" i="4" s="1"/>
  <c r="G8" i="4" s="1"/>
  <c r="H8" i="4" s="1"/>
  <c r="I8" i="4" s="1"/>
  <c r="J8" i="4" s="1"/>
  <c r="K8" i="4" s="1"/>
  <c r="L8" i="4" s="1"/>
  <c r="M8" i="4" s="1"/>
  <c r="N8" i="4" s="1"/>
  <c r="O8" i="4" s="1"/>
  <c r="P8" i="4" s="1"/>
  <c r="D19" i="3"/>
  <c r="L23" i="4" l="1"/>
  <c r="E16" i="7"/>
  <c r="L26" i="4"/>
  <c r="B13" i="9"/>
  <c r="Q8" i="4"/>
  <c r="K18" i="7"/>
  <c r="E26" i="7"/>
  <c r="B34" i="7"/>
  <c r="H34" i="7" s="1"/>
  <c r="N34" i="7" s="1"/>
  <c r="T34" i="7" s="1"/>
  <c r="E13" i="9" l="1"/>
  <c r="Q18" i="7"/>
  <c r="K26" i="7"/>
  <c r="K16" i="7"/>
  <c r="E17" i="7"/>
  <c r="E25" i="7" s="1"/>
  <c r="E28" i="7" s="1"/>
  <c r="E32" i="7" s="1"/>
  <c r="L27" i="4" s="1"/>
  <c r="L28" i="4" s="1"/>
  <c r="Q16" i="7" l="1"/>
  <c r="K17" i="7"/>
  <c r="K25" i="7" s="1"/>
  <c r="K28" i="7" s="1"/>
  <c r="K32" i="7" s="1"/>
  <c r="W18" i="7"/>
  <c r="W26" i="7" s="1"/>
  <c r="Q26" i="7"/>
  <c r="W16" i="7" l="1"/>
  <c r="W17" i="7" s="1"/>
  <c r="W25" i="7" s="1"/>
  <c r="W28" i="7" s="1"/>
  <c r="W32" i="7" s="1"/>
  <c r="Q17" i="7"/>
  <c r="Q25" i="7" s="1"/>
  <c r="Q28" i="7" s="1"/>
  <c r="Q32" i="7" s="1"/>
  <c r="I6" i="8" l="1"/>
  <c r="J6" i="8" l="1"/>
  <c r="I44" i="8"/>
  <c r="I25" i="8"/>
  <c r="J25" i="8" l="1"/>
  <c r="I63" i="8"/>
  <c r="J44" i="8"/>
  <c r="K6" i="8"/>
  <c r="K44" i="8" l="1"/>
  <c r="F6" i="7"/>
  <c r="J63" i="8"/>
  <c r="K25" i="8"/>
  <c r="L6" i="7" l="1"/>
  <c r="E35" i="7"/>
  <c r="E36" i="7" s="1"/>
  <c r="B9" i="9" s="1"/>
  <c r="K63" i="8"/>
  <c r="R6" i="7"/>
  <c r="Q35" i="7" l="1"/>
  <c r="Q36" i="7" s="1"/>
  <c r="B11" i="9" s="1"/>
  <c r="E11" i="9" s="1"/>
  <c r="E9" i="9"/>
  <c r="K35" i="7"/>
  <c r="K36" i="7" s="1"/>
  <c r="B10" i="9" s="1"/>
  <c r="E10" i="9" s="1"/>
  <c r="X6" i="7"/>
  <c r="W35" i="7" l="1"/>
  <c r="W36" i="7" s="1"/>
  <c r="B12" i="9" s="1"/>
  <c r="E12" i="9" s="1"/>
  <c r="E15" i="9" l="1"/>
  <c r="E16" i="9" s="1"/>
  <c r="E17" i="9" s="1"/>
  <c r="B15" i="9"/>
  <c r="B16" i="9" s="1"/>
  <c r="B17" i="9" s="1"/>
</calcChain>
</file>

<file path=xl/sharedStrings.xml><?xml version="1.0" encoding="utf-8"?>
<sst xmlns="http://schemas.openxmlformats.org/spreadsheetml/2006/main" count="647" uniqueCount="181">
  <si>
    <t>Opex Base Year Adjustment Model</t>
  </si>
  <si>
    <t xml:space="preserve">Summary: </t>
  </si>
  <si>
    <t xml:space="preserve">– The modelling rolls forward the chosen efficient target on the basis of average-of-the-period (ie results from the opex cost function model) to the base year.  </t>
  </si>
  <si>
    <t xml:space="preserve">– For rolling farward, the opex rate of change formula used for forecasting opex is adopted.     </t>
  </si>
  <si>
    <t>Color-coding convention used for the data, analytical and application worksheets:</t>
  </si>
  <si>
    <t>– Raw data cell:</t>
  </si>
  <si>
    <t>light blue</t>
  </si>
  <si>
    <t>– Calculation cell:</t>
  </si>
  <si>
    <t>dark blue</t>
  </si>
  <si>
    <t xml:space="preserve">– Input cell: </t>
  </si>
  <si>
    <t>light yellow</t>
  </si>
  <si>
    <t>Data Worksheets:</t>
  </si>
  <si>
    <t>Worksheet links:</t>
  </si>
  <si>
    <t>A. Cost Drivers</t>
  </si>
  <si>
    <t>Cost Drivers</t>
  </si>
  <si>
    <t>Input Worksheets:</t>
  </si>
  <si>
    <t>B. Opex Modelling Results</t>
  </si>
  <si>
    <t>Opex Modelling Results</t>
  </si>
  <si>
    <t>– Opex cost function modelling results, including parameter estimates and efficiency estimates</t>
  </si>
  <si>
    <t>Analytical Worksheets:</t>
  </si>
  <si>
    <t xml:space="preserve">C.  Efficiency Target Option </t>
  </si>
  <si>
    <t>Efficiency Target Option</t>
  </si>
  <si>
    <t>D. Opex Forecasts</t>
  </si>
  <si>
    <t>Opex Forecasts</t>
  </si>
  <si>
    <t>– Takes various values for the opex value, OEF margin, efficiency target and productivity trend and feeds these through the models</t>
  </si>
  <si>
    <t>DNSP</t>
  </si>
  <si>
    <t>DNSP Acronym</t>
  </si>
  <si>
    <t>JEN</t>
  </si>
  <si>
    <t>Base year</t>
  </si>
  <si>
    <t>Start of period</t>
  </si>
  <si>
    <t>End of period</t>
  </si>
  <si>
    <t>Opex Category</t>
  </si>
  <si>
    <t>Unit, basis</t>
  </si>
  <si>
    <t>Value ($m)</t>
  </si>
  <si>
    <t>$m nominal</t>
  </si>
  <si>
    <t>OEF input factor:</t>
  </si>
  <si>
    <t>Adjustment</t>
  </si>
  <si>
    <t>Material - total</t>
  </si>
  <si>
    <t>%</t>
  </si>
  <si>
    <t>Material 2018 Sapere/Merz OEFs</t>
  </si>
  <si>
    <t>Vegetation management OEF</t>
  </si>
  <si>
    <t>Econometric results</t>
  </si>
  <si>
    <t xml:space="preserve">Cobb-Douglas SFA </t>
  </si>
  <si>
    <t xml:space="preserve">Cobb-Douglas LSE </t>
  </si>
  <si>
    <t>Translog LSE</t>
  </si>
  <si>
    <t xml:space="preserve">Translog SFA </t>
  </si>
  <si>
    <t>Regression estimates</t>
  </si>
  <si>
    <t>Efficiency score results</t>
  </si>
  <si>
    <t>SFA CD</t>
  </si>
  <si>
    <t>LSE CD</t>
  </si>
  <si>
    <t>LSE TLG</t>
  </si>
  <si>
    <t>SFA TLG</t>
  </si>
  <si>
    <t>Coefficient</t>
  </si>
  <si>
    <t>Estimate</t>
  </si>
  <si>
    <t>z–statistic</t>
  </si>
  <si>
    <t>ACT</t>
  </si>
  <si>
    <t>ly2</t>
  </si>
  <si>
    <t>AGD</t>
  </si>
  <si>
    <t>ly3</t>
  </si>
  <si>
    <t>CIT</t>
  </si>
  <si>
    <t>ly4</t>
  </si>
  <si>
    <t>END</t>
  </si>
  <si>
    <t>lz1</t>
  </si>
  <si>
    <t>ENX</t>
  </si>
  <si>
    <t>ly22</t>
  </si>
  <si>
    <t>yr</t>
  </si>
  <si>
    <t>ERG</t>
  </si>
  <si>
    <t>ly23</t>
  </si>
  <si>
    <t>cd2</t>
  </si>
  <si>
    <t>ESS</t>
  </si>
  <si>
    <t>ly24</t>
  </si>
  <si>
    <t>cd3</t>
  </si>
  <si>
    <t>ly33</t>
  </si>
  <si>
    <t>_cons</t>
  </si>
  <si>
    <t>PCR</t>
  </si>
  <si>
    <t>d2</t>
  </si>
  <si>
    <t>ly34</t>
  </si>
  <si>
    <t>SAP</t>
  </si>
  <si>
    <t>d3</t>
  </si>
  <si>
    <t>ly44</t>
  </si>
  <si>
    <t>AND</t>
  </si>
  <si>
    <t>d4</t>
  </si>
  <si>
    <t>TND</t>
  </si>
  <si>
    <t>d5</t>
  </si>
  <si>
    <t>UED</t>
  </si>
  <si>
    <t>d6</t>
  </si>
  <si>
    <t>d7</t>
  </si>
  <si>
    <t>d8</t>
  </si>
  <si>
    <t>d9</t>
  </si>
  <si>
    <t>d10</t>
  </si>
  <si>
    <t>d11</t>
  </si>
  <si>
    <t>d12</t>
  </si>
  <si>
    <t>d13</t>
  </si>
  <si>
    <t xml:space="preserve">  Difference</t>
  </si>
  <si>
    <t xml:space="preserve">  Forecast increase: average to base</t>
  </si>
  <si>
    <t xml:space="preserve">  Actual Increase: average to base</t>
  </si>
  <si>
    <t>Opex quantity</t>
  </si>
  <si>
    <t>Share Underground</t>
  </si>
  <si>
    <t>Ratcheted Maximum Demand</t>
  </si>
  <si>
    <t>Circuit Length</t>
  </si>
  <si>
    <t>Customer numbers</t>
  </si>
  <si>
    <t>Rates of Change</t>
  </si>
  <si>
    <t>$'000RY2018</t>
  </si>
  <si>
    <t xml:space="preserve"> - Opex quantity</t>
  </si>
  <si>
    <t xml:space="preserve"> - Opex price escalation (nominal)</t>
  </si>
  <si>
    <t>CY2006 =1</t>
  </si>
  <si>
    <t>$'000</t>
  </si>
  <si>
    <t>Fraction</t>
  </si>
  <si>
    <t>kms</t>
  </si>
  <si>
    <t>MW</t>
  </si>
  <si>
    <t>Ratcheted Maximum Demand (50% POE forecast (DOPSD0109))</t>
  </si>
  <si>
    <t>number</t>
  </si>
  <si>
    <t>Unit</t>
  </si>
  <si>
    <t>TFP Data and Forecasts</t>
  </si>
  <si>
    <t>Opex Cost Function Modelling -- Medium Database Regression Results</t>
  </si>
  <si>
    <t>CD SFA</t>
  </si>
  <si>
    <t>Efficiency target to set</t>
  </si>
  <si>
    <t>Margin allowance</t>
  </si>
  <si>
    <t>Efficiency target</t>
  </si>
  <si>
    <t>Implied opex reduction to reach effciency target</t>
  </si>
  <si>
    <t>Summary</t>
  </si>
  <si>
    <t>Efficiency score</t>
  </si>
  <si>
    <t>Margin on input use</t>
  </si>
  <si>
    <t>Translog SFA</t>
  </si>
  <si>
    <t>Target</t>
  </si>
  <si>
    <t>CD LSE</t>
  </si>
  <si>
    <t>Model's estimated cost elasticities</t>
  </si>
  <si>
    <t>Technology</t>
  </si>
  <si>
    <t xml:space="preserve">DNSP's forecast driver growth rates </t>
  </si>
  <si>
    <t>Weighted Average Output Growth (1)</t>
  </si>
  <si>
    <t>PP Opex Growth Rates Forecast</t>
  </si>
  <si>
    <t>Years From Midpoint</t>
  </si>
  <si>
    <t>Technology (A)</t>
  </si>
  <si>
    <t>Returns to Scale (B)</t>
  </si>
  <si>
    <t>Business Conditions (C)</t>
  </si>
  <si>
    <t>PP Opex Growth Rates [2 = A+B-C]</t>
  </si>
  <si>
    <t>Real input cost escalation (3)</t>
  </si>
  <si>
    <t>Opex rate of change [=(1 &amp; 3) / 2]</t>
  </si>
  <si>
    <t>Target opex ($'000RY2018)</t>
  </si>
  <si>
    <t>Coefficients</t>
  </si>
  <si>
    <t>Output Weights</t>
  </si>
  <si>
    <t>Start year</t>
  </si>
  <si>
    <t>End year</t>
  </si>
  <si>
    <t>Target opex reduction after ex post OEF adjustment</t>
  </si>
  <si>
    <t>Midpoint</t>
  </si>
  <si>
    <t>Average*ROC</t>
  </si>
  <si>
    <t>`</t>
  </si>
  <si>
    <t>Efficiency target assumption: 0.75</t>
  </si>
  <si>
    <t>Average of models</t>
  </si>
  <si>
    <t>Total underground circuit km</t>
  </si>
  <si>
    <t>Total customer numbers</t>
  </si>
  <si>
    <t>Non-coincident Summated Raw System Annual Maximum Demand</t>
  </si>
  <si>
    <t>Opex for network services</t>
  </si>
  <si>
    <t>Total circuit</t>
  </si>
  <si>
    <t>index</t>
  </si>
  <si>
    <t>Jemena</t>
  </si>
  <si>
    <t>t–statistic</t>
  </si>
  <si>
    <t>Difference ($)</t>
  </si>
  <si>
    <t>Difference (%)</t>
  </si>
  <si>
    <t>base year</t>
  </si>
  <si>
    <t>$m, FY21</t>
  </si>
  <si>
    <t>Inflator (Nom18$ to Real21$)</t>
  </si>
  <si>
    <t>Price Opex</t>
  </si>
  <si>
    <t>Business specific inflator</t>
  </si>
  <si>
    <t>Target opex ($'000Jun2021)</t>
  </si>
  <si>
    <t>CY2018</t>
  </si>
  <si>
    <t>Network services opex (reflecting 2013 CAM) base year</t>
  </si>
  <si>
    <t>ABR Results</t>
  </si>
  <si>
    <t>2019 ABR (updated) results</t>
  </si>
  <si>
    <t/>
  </si>
  <si>
    <t>Capitalisation</t>
  </si>
  <si>
    <t>Average 2012-19 opex ($'000RY2018)</t>
  </si>
  <si>
    <t>Average 2012-19</t>
  </si>
  <si>
    <t>Inputs</t>
  </si>
  <si>
    <t>E. Inputs</t>
  </si>
  <si>
    <t>F. Summary</t>
  </si>
  <si>
    <t>Avr to 2018</t>
  </si>
  <si>
    <t xml:space="preserve">Source: Economic Insights Results for the 2020 AER Annual Benchmarking Report 
</t>
  </si>
  <si>
    <t>2020 Annual Benchmarking Report</t>
  </si>
  <si>
    <t>Exclusions for monotonicity</t>
  </si>
  <si>
    <t>OEF assumption: Sapere/Merz OEFs and updated OEFs for vegetation management and capitalisation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</si>
</sst>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(* #,##0.00_);_(* \(#,##0.00\);_(* &quot;-&quot;??_);_(@_)"/>
    <numFmt numFmtId="165" formatCode="0.00000"/>
    <numFmt numFmtId="166" formatCode="0.0"/>
    <numFmt numFmtId="167" formatCode="0.0%"/>
    <numFmt numFmtId="168" formatCode="#,##0.0"/>
    <numFmt numFmtId="169" formatCode="_(&quot;$&quot;* #,##0.00_);_(&quot;$&quot;* \(#,##0.00\);_(&quot;$&quot;* &quot;-&quot;??_);_(@_)"/>
    <numFmt numFmtId="170" formatCode="_-&quot;$&quot;* #,##0_-;\-&quot;$&quot;* #,##0_-;_-&quot;$&quot;* &quot;-&quot;??_-;_-@_-"/>
    <numFmt numFmtId="171" formatCode="_-* #,##0_-;\-* #,##0_-;_-* &quot;-&quot;??_-;_-@_-"/>
    <numFmt numFmtId="172" formatCode="_(#,##0_);\(#,##0\);_(&quot;-&quot;_)"/>
    <numFmt numFmtId="173" formatCode="#,##0.0000"/>
    <numFmt numFmtId="174" formatCode="0.0000"/>
    <numFmt numFmtId="175" formatCode="0.000"/>
    <numFmt numFmtId="176" formatCode="_-* #,##0.0_-;\-* #,##0.0_-;_-* &quot;-&quot;??_-;_-@_-"/>
    <numFmt numFmtId="177" formatCode="_(* #,##0.0_);_(* \(#,##0.0\);_(* &quot;-&quot;??_);_(@_)"/>
    <numFmt numFmtId="178" formatCode="#,##0.0;[Red]\-#,##0.0"/>
    <numFmt numFmtId="179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sz val="11"/>
      <color rgb="FF3F3F3F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0" tint="-0.3499862666707357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CCFF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</borders>
  <cellStyleXfs count="18">
    <xf numFmtId="0" fontId="0" fillId="0" borderId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2" fontId="18" fillId="0" borderId="21">
      <alignment horizontal="right" vertical="center"/>
      <protection locked="0"/>
    </xf>
    <xf numFmtId="0" fontId="1" fillId="0" borderId="0"/>
    <xf numFmtId="0" fontId="23" fillId="0" borderId="0"/>
    <xf numFmtId="164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9">
    <xf numFmtId="0" fontId="0" fillId="0" borderId="0" xfId="0"/>
    <xf numFmtId="0" fontId="6" fillId="3" borderId="3" xfId="4" applyFont="1" applyFill="1" applyBorder="1"/>
    <xf numFmtId="0" fontId="7" fillId="3" borderId="3" xfId="4" applyFont="1" applyFill="1" applyBorder="1"/>
    <xf numFmtId="0" fontId="5" fillId="3" borderId="3" xfId="4" applyFill="1" applyBorder="1"/>
    <xf numFmtId="0" fontId="8" fillId="3" borderId="0" xfId="4" applyFont="1" applyFill="1"/>
    <xf numFmtId="0" fontId="7" fillId="3" borderId="0" xfId="4" applyFont="1" applyFill="1"/>
    <xf numFmtId="0" fontId="5" fillId="3" borderId="0" xfId="4" applyFill="1"/>
    <xf numFmtId="0" fontId="9" fillId="3" borderId="0" xfId="4" applyFont="1" applyFill="1"/>
    <xf numFmtId="0" fontId="7" fillId="4" borderId="0" xfId="4" applyFont="1" applyFill="1"/>
    <xf numFmtId="0" fontId="7" fillId="5" borderId="0" xfId="4" applyFont="1" applyFill="1"/>
    <xf numFmtId="0" fontId="7" fillId="6" borderId="0" xfId="4" applyFont="1" applyFill="1"/>
    <xf numFmtId="0" fontId="10" fillId="3" borderId="0" xfId="4" applyFont="1" applyFill="1"/>
    <xf numFmtId="0" fontId="11" fillId="3" borderId="0" xfId="5" quotePrefix="1" applyFill="1"/>
    <xf numFmtId="0" fontId="11" fillId="3" borderId="0" xfId="5" applyFill="1"/>
    <xf numFmtId="0" fontId="12" fillId="7" borderId="4" xfId="4" applyFont="1" applyFill="1" applyBorder="1"/>
    <xf numFmtId="165" fontId="5" fillId="8" borderId="5" xfId="4" applyNumberFormat="1" applyFont="1" applyFill="1" applyBorder="1"/>
    <xf numFmtId="0" fontId="5" fillId="0" borderId="0" xfId="4"/>
    <xf numFmtId="1" fontId="5" fillId="8" borderId="5" xfId="4" applyNumberFormat="1" applyFont="1" applyFill="1" applyBorder="1"/>
    <xf numFmtId="165" fontId="5" fillId="8" borderId="6" xfId="4" applyNumberFormat="1" applyFont="1" applyFill="1" applyBorder="1"/>
    <xf numFmtId="0" fontId="4" fillId="0" borderId="0" xfId="3" applyFill="1"/>
    <xf numFmtId="2" fontId="5" fillId="0" borderId="0" xfId="4" applyNumberFormat="1" applyFont="1" applyFill="1" applyBorder="1"/>
    <xf numFmtId="166" fontId="1" fillId="0" borderId="0" xfId="6" applyNumberFormat="1" applyFill="1" applyBorder="1"/>
    <xf numFmtId="0" fontId="5" fillId="0" borderId="0" xfId="4" applyFill="1"/>
    <xf numFmtId="167" fontId="7" fillId="0" borderId="0" xfId="7" applyNumberFormat="1" applyFont="1" applyFill="1" applyBorder="1" applyAlignment="1">
      <alignment horizontal="center" vertical="center"/>
    </xf>
    <xf numFmtId="0" fontId="12" fillId="7" borderId="7" xfId="4" applyFont="1" applyFill="1" applyBorder="1"/>
    <xf numFmtId="0" fontId="12" fillId="7" borderId="8" xfId="4" applyFont="1" applyFill="1" applyBorder="1"/>
    <xf numFmtId="0" fontId="12" fillId="9" borderId="9" xfId="4" applyFont="1" applyFill="1" applyBorder="1"/>
    <xf numFmtId="2" fontId="5" fillId="0" borderId="0" xfId="4" applyNumberFormat="1" applyFont="1" applyBorder="1"/>
    <xf numFmtId="166" fontId="13" fillId="10" borderId="10" xfId="2" applyNumberFormat="1" applyFont="1" applyFill="1" applyBorder="1"/>
    <xf numFmtId="0" fontId="4" fillId="0" borderId="0" xfId="3"/>
    <xf numFmtId="10" fontId="5" fillId="0" borderId="0" xfId="4" applyNumberFormat="1"/>
    <xf numFmtId="168" fontId="7" fillId="5" borderId="0" xfId="4" applyNumberFormat="1" applyFont="1" applyFill="1" applyBorder="1" applyAlignment="1">
      <alignment horizontal="right" vertical="center"/>
    </xf>
    <xf numFmtId="10" fontId="0" fillId="0" borderId="0" xfId="7" applyNumberFormat="1" applyFont="1"/>
    <xf numFmtId="0" fontId="9" fillId="0" borderId="0" xfId="6" applyFont="1" applyFill="1"/>
    <xf numFmtId="0" fontId="12" fillId="9" borderId="12" xfId="4" applyFont="1" applyFill="1" applyBorder="1"/>
    <xf numFmtId="0" fontId="14" fillId="0" borderId="0" xfId="4" applyFont="1"/>
    <xf numFmtId="0" fontId="2" fillId="0" borderId="1" xfId="1"/>
    <xf numFmtId="0" fontId="9" fillId="0" borderId="7" xfId="6" applyFont="1" applyBorder="1"/>
    <xf numFmtId="0" fontId="15" fillId="0" borderId="8" xfId="6" applyFont="1" applyBorder="1"/>
    <xf numFmtId="0" fontId="15" fillId="0" borderId="8" xfId="6" applyNumberFormat="1" applyFont="1" applyBorder="1"/>
    <xf numFmtId="0" fontId="9" fillId="0" borderId="8" xfId="4" applyFont="1" applyBorder="1"/>
    <xf numFmtId="0" fontId="1" fillId="0" borderId="8" xfId="6" applyBorder="1"/>
    <xf numFmtId="0" fontId="9" fillId="0" borderId="8" xfId="6" applyFont="1" applyBorder="1"/>
    <xf numFmtId="0" fontId="15" fillId="0" borderId="13" xfId="6" applyFont="1" applyBorder="1"/>
    <xf numFmtId="0" fontId="15" fillId="0" borderId="9" xfId="6" applyFont="1" applyBorder="1"/>
    <xf numFmtId="0" fontId="15" fillId="0" borderId="0" xfId="6" applyFont="1" applyBorder="1"/>
    <xf numFmtId="0" fontId="1" fillId="0" borderId="0" xfId="6" applyBorder="1"/>
    <xf numFmtId="0" fontId="15" fillId="0" borderId="11" xfId="6" applyFont="1" applyBorder="1"/>
    <xf numFmtId="0" fontId="9" fillId="0" borderId="9" xfId="6" applyFont="1" applyBorder="1"/>
    <xf numFmtId="0" fontId="9" fillId="0" borderId="0" xfId="6" applyFont="1" applyBorder="1"/>
    <xf numFmtId="0" fontId="16" fillId="0" borderId="0" xfId="6" applyFont="1" applyBorder="1"/>
    <xf numFmtId="0" fontId="16" fillId="0" borderId="11" xfId="6" applyFont="1" applyBorder="1"/>
    <xf numFmtId="0" fontId="15" fillId="11" borderId="14" xfId="4" applyFont="1" applyFill="1" applyBorder="1" applyAlignment="1">
      <alignment vertical="center" wrapText="1"/>
    </xf>
    <xf numFmtId="0" fontId="15" fillId="11" borderId="15" xfId="4" applyFont="1" applyFill="1" applyBorder="1" applyAlignment="1">
      <alignment horizontal="right" vertical="center" wrapText="1"/>
    </xf>
    <xf numFmtId="3" fontId="15" fillId="0" borderId="0" xfId="6" applyNumberFormat="1" applyFont="1" applyBorder="1"/>
    <xf numFmtId="0" fontId="15" fillId="11" borderId="15" xfId="4" applyFont="1" applyFill="1" applyBorder="1" applyAlignment="1">
      <alignment vertical="center" wrapText="1"/>
    </xf>
    <xf numFmtId="0" fontId="7" fillId="11" borderId="16" xfId="4" applyFont="1" applyFill="1" applyBorder="1"/>
    <xf numFmtId="0" fontId="7" fillId="11" borderId="17" xfId="4" applyFont="1" applyFill="1" applyBorder="1"/>
    <xf numFmtId="0" fontId="7" fillId="11" borderId="9" xfId="4" applyFont="1" applyFill="1" applyBorder="1"/>
    <xf numFmtId="0" fontId="7" fillId="11" borderId="0" xfId="4" applyFont="1" applyFill="1" applyBorder="1"/>
    <xf numFmtId="0" fontId="7" fillId="11" borderId="18" xfId="4" applyFont="1" applyFill="1" applyBorder="1"/>
    <xf numFmtId="0" fontId="1" fillId="0" borderId="11" xfId="6" applyBorder="1"/>
    <xf numFmtId="0" fontId="7" fillId="11" borderId="19" xfId="4" applyFont="1" applyFill="1" applyBorder="1"/>
    <xf numFmtId="0" fontId="15" fillId="0" borderId="0" xfId="6" applyNumberFormat="1" applyFont="1" applyBorder="1"/>
    <xf numFmtId="9" fontId="15" fillId="0" borderId="0" xfId="6" applyNumberFormat="1" applyFont="1" applyBorder="1"/>
    <xf numFmtId="0" fontId="15" fillId="0" borderId="12" xfId="6" applyFont="1" applyBorder="1"/>
    <xf numFmtId="0" fontId="15" fillId="0" borderId="3" xfId="6" applyFont="1" applyBorder="1"/>
    <xf numFmtId="9" fontId="15" fillId="0" borderId="3" xfId="6" applyNumberFormat="1" applyFont="1" applyBorder="1"/>
    <xf numFmtId="0" fontId="15" fillId="0" borderId="3" xfId="6" applyNumberFormat="1" applyFont="1" applyBorder="1"/>
    <xf numFmtId="0" fontId="7" fillId="11" borderId="3" xfId="4" applyFont="1" applyFill="1" applyBorder="1"/>
    <xf numFmtId="0" fontId="1" fillId="0" borderId="3" xfId="6" applyBorder="1"/>
    <xf numFmtId="0" fontId="1" fillId="0" borderId="20" xfId="6" applyBorder="1"/>
    <xf numFmtId="3" fontId="5" fillId="0" borderId="0" xfId="4" applyNumberFormat="1"/>
    <xf numFmtId="0" fontId="7" fillId="0" borderId="0" xfId="4" applyFont="1"/>
    <xf numFmtId="3" fontId="7" fillId="0" borderId="0" xfId="4" applyNumberFormat="1" applyFont="1"/>
    <xf numFmtId="0" fontId="7" fillId="0" borderId="0" xfId="4" applyFont="1" applyFill="1"/>
    <xf numFmtId="0" fontId="7" fillId="0" borderId="0" xfId="4" applyFont="1" applyFill="1" applyBorder="1"/>
    <xf numFmtId="0" fontId="7" fillId="0" borderId="0" xfId="4" applyFont="1" applyBorder="1"/>
    <xf numFmtId="170" fontId="7" fillId="0" borderId="0" xfId="8" applyNumberFormat="1" applyFont="1" applyBorder="1"/>
    <xf numFmtId="170" fontId="7" fillId="0" borderId="0" xfId="8" applyNumberFormat="1" applyFont="1"/>
    <xf numFmtId="170" fontId="7" fillId="0" borderId="0" xfId="8" applyNumberFormat="1" applyFont="1" applyFill="1"/>
    <xf numFmtId="171" fontId="15" fillId="0" borderId="0" xfId="4" applyNumberFormat="1" applyFont="1" applyAlignment="1">
      <alignment horizontal="left" vertical="center"/>
    </xf>
    <xf numFmtId="171" fontId="9" fillId="0" borderId="0" xfId="4" applyNumberFormat="1" applyFont="1" applyAlignment="1">
      <alignment horizontal="left" vertical="center"/>
    </xf>
    <xf numFmtId="10" fontId="7" fillId="0" borderId="0" xfId="4" applyNumberFormat="1" applyFont="1" applyFill="1" applyBorder="1"/>
    <xf numFmtId="171" fontId="17" fillId="0" borderId="0" xfId="4" applyNumberFormat="1" applyFont="1" applyFill="1" applyAlignment="1">
      <alignment horizontal="left" vertical="center"/>
    </xf>
    <xf numFmtId="10" fontId="7" fillId="5" borderId="0" xfId="7" applyNumberFormat="1" applyFont="1" applyFill="1" applyBorder="1"/>
    <xf numFmtId="10" fontId="7" fillId="5" borderId="0" xfId="4" applyNumberFormat="1" applyFont="1" applyFill="1" applyBorder="1"/>
    <xf numFmtId="0" fontId="7" fillId="5" borderId="0" xfId="4" applyFont="1" applyFill="1" applyBorder="1"/>
    <xf numFmtId="3" fontId="7" fillId="5" borderId="0" xfId="4" applyNumberFormat="1" applyFont="1" applyFill="1" applyBorder="1"/>
    <xf numFmtId="3" fontId="10" fillId="5" borderId="0" xfId="4" applyNumberFormat="1" applyFont="1" applyFill="1" applyBorder="1"/>
    <xf numFmtId="172" fontId="10" fillId="5" borderId="0" xfId="4" applyNumberFormat="1" applyFont="1" applyFill="1" applyBorder="1"/>
    <xf numFmtId="171" fontId="17" fillId="0" borderId="0" xfId="4" applyNumberFormat="1" applyFont="1" applyAlignment="1">
      <alignment horizontal="center" vertical="center"/>
    </xf>
    <xf numFmtId="173" fontId="10" fillId="5" borderId="0" xfId="4" applyNumberFormat="1" applyFont="1" applyFill="1" applyBorder="1"/>
    <xf numFmtId="164" fontId="10" fillId="5" borderId="0" xfId="9" applyNumberFormat="1" applyFont="1" applyFill="1" applyBorder="1"/>
    <xf numFmtId="0" fontId="10" fillId="5" borderId="0" xfId="4" applyFont="1" applyFill="1" applyBorder="1"/>
    <xf numFmtId="0" fontId="10" fillId="5" borderId="0" xfId="4" applyFont="1" applyFill="1" applyBorder="1" applyAlignment="1">
      <alignment wrapText="1"/>
    </xf>
    <xf numFmtId="171" fontId="9" fillId="0" borderId="0" xfId="4" applyNumberFormat="1" applyFont="1"/>
    <xf numFmtId="1" fontId="7" fillId="0" borderId="0" xfId="4" applyNumberFormat="1" applyFont="1" applyBorder="1"/>
    <xf numFmtId="171" fontId="17" fillId="0" borderId="0" xfId="4" applyNumberFormat="1" applyFont="1" applyFill="1" applyAlignment="1">
      <alignment horizontal="center" vertical="center"/>
    </xf>
    <xf numFmtId="174" fontId="7" fillId="0" borderId="0" xfId="4" applyNumberFormat="1" applyFont="1" applyBorder="1"/>
    <xf numFmtId="10" fontId="7" fillId="0" borderId="0" xfId="4" applyNumberFormat="1" applyFont="1" applyBorder="1"/>
    <xf numFmtId="174" fontId="7" fillId="0" borderId="0" xfId="7" applyNumberFormat="1" applyFont="1" applyBorder="1"/>
    <xf numFmtId="3" fontId="7" fillId="5" borderId="0" xfId="4" applyNumberFormat="1" applyFont="1" applyFill="1" applyBorder="1" applyAlignment="1">
      <alignment horizontal="center" vertical="center"/>
    </xf>
    <xf numFmtId="10" fontId="7" fillId="5" borderId="0" xfId="7" applyNumberFormat="1" applyFont="1" applyFill="1" applyBorder="1" applyAlignment="1">
      <alignment horizontal="center"/>
    </xf>
    <xf numFmtId="10" fontId="7" fillId="5" borderId="0" xfId="7" applyNumberFormat="1" applyFont="1" applyFill="1" applyBorder="1" applyAlignment="1">
      <alignment horizontal="center" vertical="center"/>
    </xf>
    <xf numFmtId="0" fontId="7" fillId="5" borderId="0" xfId="4" applyFont="1" applyFill="1" applyBorder="1" applyAlignment="1">
      <alignment horizontal="center" vertical="center"/>
    </xf>
    <xf numFmtId="3" fontId="7" fillId="4" borderId="0" xfId="4" applyNumberFormat="1" applyFont="1" applyFill="1" applyBorder="1" applyAlignment="1">
      <alignment horizontal="center" vertical="center"/>
    </xf>
    <xf numFmtId="174" fontId="7" fillId="5" borderId="0" xfId="4" applyNumberFormat="1" applyFont="1" applyFill="1" applyBorder="1" applyAlignment="1">
      <alignment horizontal="center" vertical="center"/>
    </xf>
    <xf numFmtId="3" fontId="7" fillId="5" borderId="0" xfId="10" applyNumberFormat="1" applyFont="1" applyFill="1" applyBorder="1" applyAlignment="1" applyProtection="1">
      <alignment horizontal="center" vertical="center"/>
    </xf>
    <xf numFmtId="0" fontId="9" fillId="0" borderId="0" xfId="4" applyNumberFormat="1" applyFont="1" applyBorder="1" applyAlignment="1">
      <alignment horizontal="center"/>
    </xf>
    <xf numFmtId="171" fontId="16" fillId="0" borderId="0" xfId="4" applyNumberFormat="1" applyFont="1" applyFill="1" applyAlignment="1">
      <alignment horizontal="center"/>
    </xf>
    <xf numFmtId="171" fontId="16" fillId="0" borderId="0" xfId="4" applyNumberFormat="1" applyFont="1" applyAlignment="1">
      <alignment horizontal="center"/>
    </xf>
    <xf numFmtId="0" fontId="10" fillId="0" borderId="0" xfId="4" applyFont="1" applyAlignment="1">
      <alignment horizontal="center"/>
    </xf>
    <xf numFmtId="0" fontId="10" fillId="0" borderId="0" xfId="4" applyFont="1" applyBorder="1" applyAlignment="1">
      <alignment horizontal="center"/>
    </xf>
    <xf numFmtId="0" fontId="10" fillId="0" borderId="0" xfId="4" applyFont="1" applyFill="1" applyAlignment="1">
      <alignment horizontal="center"/>
    </xf>
    <xf numFmtId="0" fontId="10" fillId="0" borderId="0" xfId="4" applyFont="1"/>
    <xf numFmtId="0" fontId="1" fillId="0" borderId="0" xfId="6"/>
    <xf numFmtId="0" fontId="15" fillId="0" borderId="0" xfId="6" applyFont="1"/>
    <xf numFmtId="0" fontId="15" fillId="0" borderId="0" xfId="6" applyNumberFormat="1" applyFont="1"/>
    <xf numFmtId="9" fontId="15" fillId="0" borderId="0" xfId="6" applyNumberFormat="1" applyFont="1"/>
    <xf numFmtId="175" fontId="7" fillId="11" borderId="19" xfId="4" applyNumberFormat="1" applyFont="1" applyFill="1" applyBorder="1"/>
    <xf numFmtId="174" fontId="7" fillId="11" borderId="0" xfId="4" applyNumberFormat="1" applyFont="1" applyFill="1" applyBorder="1"/>
    <xf numFmtId="0" fontId="9" fillId="0" borderId="0" xfId="6" applyFont="1"/>
    <xf numFmtId="3" fontId="15" fillId="0" borderId="0" xfId="6" applyNumberFormat="1" applyFont="1"/>
    <xf numFmtId="174" fontId="7" fillId="11" borderId="19" xfId="4" applyNumberFormat="1" applyFont="1" applyFill="1" applyBorder="1"/>
    <xf numFmtId="175" fontId="7" fillId="11" borderId="0" xfId="4" applyNumberFormat="1" applyFont="1" applyFill="1" applyBorder="1"/>
    <xf numFmtId="175" fontId="7" fillId="11" borderId="17" xfId="4" applyNumberFormat="1" applyFont="1" applyFill="1" applyBorder="1"/>
    <xf numFmtId="0" fontId="16" fillId="0" borderId="0" xfId="6" applyFont="1"/>
    <xf numFmtId="0" fontId="9" fillId="0" borderId="0" xfId="4" applyFont="1"/>
    <xf numFmtId="0" fontId="15" fillId="0" borderId="0" xfId="6" applyFont="1" applyAlignment="1"/>
    <xf numFmtId="0" fontId="10" fillId="0" borderId="0" xfId="0" applyFont="1" applyFill="1" applyBorder="1"/>
    <xf numFmtId="0" fontId="7" fillId="0" borderId="0" xfId="0" applyFont="1" applyFill="1" applyBorder="1"/>
    <xf numFmtId="171" fontId="19" fillId="0" borderId="0" xfId="0" applyNumberFormat="1" applyFont="1" applyFill="1" applyBorder="1" applyAlignment="1">
      <alignment horizontal="left" vertical="center"/>
    </xf>
    <xf numFmtId="10" fontId="10" fillId="0" borderId="0" xfId="7" applyNumberFormat="1" applyFont="1" applyFill="1" applyBorder="1"/>
    <xf numFmtId="3" fontId="20" fillId="0" borderId="0" xfId="0" applyNumberFormat="1" applyFont="1" applyFill="1" applyBorder="1"/>
    <xf numFmtId="0" fontId="10" fillId="0" borderId="9" xfId="0" applyFont="1" applyFill="1" applyBorder="1"/>
    <xf numFmtId="0" fontId="7" fillId="0" borderId="9" xfId="0" applyFont="1" applyFill="1" applyBorder="1"/>
    <xf numFmtId="0" fontId="10" fillId="0" borderId="9" xfId="0" applyFont="1" applyFill="1" applyBorder="1" applyAlignment="1">
      <alignment horizontal="center"/>
    </xf>
    <xf numFmtId="10" fontId="7" fillId="0" borderId="9" xfId="7" applyNumberFormat="1" applyFont="1" applyFill="1" applyBorder="1"/>
    <xf numFmtId="3" fontId="7" fillId="0" borderId="9" xfId="0" applyNumberFormat="1" applyFont="1" applyFill="1" applyBorder="1"/>
    <xf numFmtId="0" fontId="20" fillId="0" borderId="0" xfId="6" applyFont="1" applyFill="1" applyBorder="1"/>
    <xf numFmtId="0" fontId="20" fillId="0" borderId="9" xfId="6" applyFont="1" applyFill="1" applyBorder="1"/>
    <xf numFmtId="0" fontId="10" fillId="0" borderId="0" xfId="0" applyFont="1" applyFill="1" applyBorder="1" applyAlignment="1">
      <alignment horizontal="center"/>
    </xf>
    <xf numFmtId="174" fontId="7" fillId="8" borderId="0" xfId="0" applyNumberFormat="1" applyFont="1" applyFill="1" applyBorder="1"/>
    <xf numFmtId="174" fontId="7" fillId="12" borderId="0" xfId="0" applyNumberFormat="1" applyFont="1" applyFill="1" applyBorder="1"/>
    <xf numFmtId="174" fontId="7" fillId="0" borderId="0" xfId="0" applyNumberFormat="1" applyFont="1" applyFill="1" applyBorder="1"/>
    <xf numFmtId="9" fontId="7" fillId="8" borderId="0" xfId="0" applyNumberFormat="1" applyFont="1" applyFill="1" applyBorder="1"/>
    <xf numFmtId="174" fontId="7" fillId="8" borderId="9" xfId="0" applyNumberFormat="1" applyFont="1" applyFill="1" applyBorder="1"/>
    <xf numFmtId="9" fontId="7" fillId="0" borderId="0" xfId="0" applyNumberFormat="1" applyFont="1" applyFill="1" applyBorder="1"/>
    <xf numFmtId="174" fontId="7" fillId="0" borderId="9" xfId="0" applyNumberFormat="1" applyFont="1" applyFill="1" applyBorder="1"/>
    <xf numFmtId="0" fontId="10" fillId="0" borderId="0" xfId="0" applyFont="1" applyFill="1" applyBorder="1" applyAlignment="1">
      <alignment horizontal="right"/>
    </xf>
    <xf numFmtId="10" fontId="7" fillId="8" borderId="0" xfId="7" applyNumberFormat="1" applyFont="1" applyFill="1" applyBorder="1"/>
    <xf numFmtId="171" fontId="19" fillId="0" borderId="9" xfId="0" applyNumberFormat="1" applyFont="1" applyFill="1" applyBorder="1" applyAlignment="1">
      <alignment horizontal="left" vertical="center"/>
    </xf>
    <xf numFmtId="10" fontId="10" fillId="12" borderId="0" xfId="7" applyNumberFormat="1" applyFont="1" applyFill="1" applyBorder="1"/>
    <xf numFmtId="1" fontId="10" fillId="8" borderId="0" xfId="0" applyNumberFormat="1" applyFont="1" applyFill="1" applyBorder="1"/>
    <xf numFmtId="0" fontId="10" fillId="12" borderId="0" xfId="0" applyFont="1" applyFill="1" applyBorder="1"/>
    <xf numFmtId="176" fontId="10" fillId="12" borderId="0" xfId="9" applyNumberFormat="1" applyFont="1" applyFill="1" applyBorder="1"/>
    <xf numFmtId="10" fontId="7" fillId="12" borderId="0" xfId="0" applyNumberFormat="1" applyFont="1" applyFill="1" applyBorder="1"/>
    <xf numFmtId="10" fontId="10" fillId="12" borderId="0" xfId="0" applyNumberFormat="1" applyFont="1" applyFill="1" applyBorder="1"/>
    <xf numFmtId="10" fontId="20" fillId="8" borderId="0" xfId="0" applyNumberFormat="1" applyFont="1" applyFill="1" applyBorder="1" applyAlignment="1">
      <alignment horizontal="right" vertical="center"/>
    </xf>
    <xf numFmtId="10" fontId="7" fillId="0" borderId="0" xfId="7" applyNumberFormat="1" applyFont="1" applyFill="1" applyBorder="1"/>
    <xf numFmtId="10" fontId="10" fillId="12" borderId="0" xfId="7" applyNumberFormat="1" applyFont="1" applyFill="1" applyBorder="1" applyAlignment="1">
      <alignment horizontal="right"/>
    </xf>
    <xf numFmtId="3" fontId="20" fillId="12" borderId="0" xfId="4" applyNumberFormat="1" applyFont="1" applyFill="1" applyBorder="1"/>
    <xf numFmtId="3" fontId="20" fillId="12" borderId="9" xfId="4" applyNumberFormat="1" applyFont="1" applyFill="1" applyBorder="1"/>
    <xf numFmtId="3" fontId="10" fillId="12" borderId="0" xfId="0" applyNumberFormat="1" applyFont="1" applyFill="1" applyBorder="1"/>
    <xf numFmtId="3" fontId="7" fillId="0" borderId="0" xfId="0" applyNumberFormat="1" applyFont="1" applyFill="1" applyBorder="1"/>
    <xf numFmtId="0" fontId="19" fillId="0" borderId="0" xfId="6" applyFont="1" applyFill="1" applyBorder="1"/>
    <xf numFmtId="0" fontId="20" fillId="0" borderId="0" xfId="6" applyFont="1" applyFill="1" applyBorder="1" applyAlignment="1">
      <alignment horizontal="left" vertical="top" wrapText="1"/>
    </xf>
    <xf numFmtId="0" fontId="19" fillId="0" borderId="0" xfId="6" applyFont="1" applyFill="1" applyBorder="1" applyAlignment="1">
      <alignment horizontal="left" vertical="top" wrapText="1"/>
    </xf>
    <xf numFmtId="0" fontId="21" fillId="0" borderId="0" xfId="6" applyFont="1" applyFill="1" applyBorder="1" applyAlignment="1">
      <alignment horizontal="left" vertical="top" wrapText="1"/>
    </xf>
    <xf numFmtId="0" fontId="22" fillId="0" borderId="0" xfId="6" applyFont="1" applyFill="1" applyBorder="1" applyAlignment="1">
      <alignment horizontal="left" vertical="top" wrapText="1"/>
    </xf>
    <xf numFmtId="0" fontId="22" fillId="0" borderId="0" xfId="6" applyFont="1" applyFill="1" applyBorder="1" applyAlignment="1">
      <alignment horizontal="left" vertical="top"/>
    </xf>
    <xf numFmtId="175" fontId="19" fillId="8" borderId="0" xfId="6" applyNumberFormat="1" applyFont="1" applyFill="1" applyBorder="1"/>
    <xf numFmtId="167" fontId="20" fillId="8" borderId="0" xfId="7" applyNumberFormat="1" applyFont="1" applyFill="1" applyBorder="1" applyAlignment="1">
      <alignment horizontal="center"/>
    </xf>
    <xf numFmtId="9" fontId="20" fillId="12" borderId="0" xfId="7" applyNumberFormat="1" applyFont="1" applyFill="1" applyBorder="1" applyAlignment="1">
      <alignment horizontal="center"/>
    </xf>
    <xf numFmtId="9" fontId="20" fillId="12" borderId="0" xfId="7" applyFont="1" applyFill="1" applyBorder="1" applyAlignment="1">
      <alignment horizontal="center"/>
    </xf>
    <xf numFmtId="167" fontId="19" fillId="0" borderId="0" xfId="6" applyNumberFormat="1" applyFont="1" applyFill="1" applyBorder="1"/>
    <xf numFmtId="9" fontId="19" fillId="0" borderId="0" xfId="6" applyNumberFormat="1" applyFont="1" applyFill="1" applyBorder="1"/>
    <xf numFmtId="10" fontId="20" fillId="0" borderId="0" xfId="7" applyNumberFormat="1" applyFont="1" applyFill="1" applyBorder="1"/>
    <xf numFmtId="0" fontId="20" fillId="0" borderId="0" xfId="6" applyFont="1" applyFill="1" applyBorder="1" applyAlignment="1">
      <alignment wrapText="1"/>
    </xf>
    <xf numFmtId="164" fontId="20" fillId="12" borderId="0" xfId="9" applyFont="1" applyFill="1" applyBorder="1" applyAlignment="1">
      <alignment horizontal="center" wrapText="1"/>
    </xf>
    <xf numFmtId="10" fontId="19" fillId="0" borderId="0" xfId="7" applyNumberFormat="1" applyFont="1" applyFill="1" applyBorder="1"/>
    <xf numFmtId="174" fontId="19" fillId="8" borderId="0" xfId="6" applyNumberFormat="1" applyFont="1" applyFill="1" applyBorder="1"/>
    <xf numFmtId="0" fontId="24" fillId="3" borderId="0" xfId="12" applyFont="1" applyFill="1"/>
    <xf numFmtId="0" fontId="23" fillId="3" borderId="0" xfId="12" applyFill="1"/>
    <xf numFmtId="3" fontId="24" fillId="3" borderId="0" xfId="12" applyNumberFormat="1" applyFont="1" applyFill="1"/>
    <xf numFmtId="3" fontId="23" fillId="3" borderId="0" xfId="12" applyNumberFormat="1" applyFill="1"/>
    <xf numFmtId="177" fontId="0" fillId="3" borderId="0" xfId="9" applyNumberFormat="1" applyFont="1" applyFill="1"/>
    <xf numFmtId="3" fontId="25" fillId="3" borderId="0" xfId="12" applyNumberFormat="1" applyFont="1" applyFill="1"/>
    <xf numFmtId="2" fontId="23" fillId="3" borderId="0" xfId="12" applyNumberFormat="1" applyFill="1"/>
    <xf numFmtId="167" fontId="23" fillId="3" borderId="0" xfId="12" applyNumberFormat="1" applyFill="1"/>
    <xf numFmtId="3" fontId="7" fillId="4" borderId="0" xfId="0" applyNumberFormat="1" applyFont="1" applyFill="1" applyBorder="1" applyAlignment="1">
      <alignment horizontal="center" vertical="center"/>
    </xf>
    <xf numFmtId="177" fontId="23" fillId="3" borderId="0" xfId="12" applyNumberFormat="1" applyFill="1"/>
    <xf numFmtId="178" fontId="23" fillId="3" borderId="0" xfId="12" applyNumberFormat="1" applyFill="1"/>
    <xf numFmtId="167" fontId="5" fillId="3" borderId="0" xfId="14" applyNumberFormat="1" applyFont="1" applyFill="1"/>
    <xf numFmtId="165" fontId="5" fillId="8" borderId="5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179" fontId="5" fillId="0" borderId="0" xfId="4" applyNumberFormat="1"/>
    <xf numFmtId="164" fontId="5" fillId="0" borderId="0" xfId="16" applyFont="1"/>
    <xf numFmtId="164" fontId="26" fillId="3" borderId="0" xfId="12" applyNumberFormat="1" applyFont="1" applyFill="1"/>
    <xf numFmtId="0" fontId="24" fillId="0" borderId="0" xfId="4" applyFont="1"/>
    <xf numFmtId="0" fontId="5" fillId="3" borderId="0" xfId="12" applyFont="1" applyFill="1"/>
    <xf numFmtId="0" fontId="0" fillId="0" borderId="0" xfId="0"/>
    <xf numFmtId="171" fontId="8" fillId="0" borderId="0" xfId="4" applyNumberFormat="1" applyFont="1" applyFill="1" applyAlignment="1">
      <alignment horizontal="center" vertical="center"/>
    </xf>
    <xf numFmtId="167" fontId="13" fillId="10" borderId="10" xfId="14" applyNumberFormat="1" applyFont="1" applyFill="1" applyBorder="1"/>
    <xf numFmtId="1" fontId="5" fillId="8" borderId="5" xfId="4" applyNumberFormat="1" applyFont="1" applyFill="1" applyBorder="1" applyAlignment="1">
      <alignment wrapText="1"/>
    </xf>
    <xf numFmtId="167" fontId="7" fillId="5" borderId="11" xfId="7" applyNumberFormat="1" applyFont="1" applyFill="1" applyBorder="1" applyAlignment="1">
      <alignment horizontal="right" vertical="center"/>
    </xf>
    <xf numFmtId="164" fontId="23" fillId="3" borderId="0" xfId="16" applyFont="1" applyFill="1"/>
    <xf numFmtId="0" fontId="11" fillId="0" borderId="0" xfId="5" applyFill="1"/>
  </cellXfs>
  <cellStyles count="18">
    <cellStyle name="Assumptions Right Number" xfId="10"/>
    <cellStyle name="Comma" xfId="16" builtinId="3"/>
    <cellStyle name="Comma 2" xfId="9"/>
    <cellStyle name="Comma 3" xfId="13"/>
    <cellStyle name="Comma 4" xfId="17"/>
    <cellStyle name="Currency 2" xfId="8"/>
    <cellStyle name="Explanatory Text" xfId="3" builtinId="53"/>
    <cellStyle name="Heading 2" xfId="1" builtinId="17"/>
    <cellStyle name="Hyperlink" xfId="5" builtinId="8"/>
    <cellStyle name="Normal" xfId="0" builtinId="0"/>
    <cellStyle name="Normal 2" xfId="4"/>
    <cellStyle name="Normal 2 2" xfId="11"/>
    <cellStyle name="Normal 3" xfId="6"/>
    <cellStyle name="Normal 3 2 2" xfId="15"/>
    <cellStyle name="Normal 4" xfId="12"/>
    <cellStyle name="Output" xfId="2" builtinId="21"/>
    <cellStyle name="Percent" xfId="14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C050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9F6-46F4-9F7A-FB4EABBAB72B}"/>
              </c:ext>
            </c:extLst>
          </c:dPt>
          <c:cat>
            <c:strRef>
              <c:f>Summary!$A$9:$A$13</c:f>
              <c:strCache>
                <c:ptCount val="5"/>
                <c:pt idx="0">
                  <c:v>Cobb-Douglas SFA </c:v>
                </c:pt>
                <c:pt idx="1">
                  <c:v>Cobb-Douglas LSE </c:v>
                </c:pt>
                <c:pt idx="2">
                  <c:v>Translog LSE</c:v>
                </c:pt>
                <c:pt idx="3">
                  <c:v>Translog SFA</c:v>
                </c:pt>
                <c:pt idx="4">
                  <c:v>Jemena actual opex</c:v>
                </c:pt>
              </c:strCache>
            </c:strRef>
          </c:cat>
          <c:val>
            <c:numRef>
              <c:f>Summary!$E$9:$E$13</c:f>
              <c:numCache>
                <c:formatCode>_(* #,##0.0_);_(* \(#,##0.0\);_(* "-"??_);_(@_)</c:formatCode>
                <c:ptCount val="5"/>
                <c:pt idx="0">
                  <c:v>75.32168389074468</c:v>
                </c:pt>
                <c:pt idx="1">
                  <c:v>72.715611897593078</c:v>
                </c:pt>
                <c:pt idx="2">
                  <c:v>0</c:v>
                </c:pt>
                <c:pt idx="3">
                  <c:v>0</c:v>
                </c:pt>
                <c:pt idx="4">
                  <c:v>82.515601236871461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C9-4691-868F-39040496E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810544"/>
        <c:axId val="685810872"/>
      </c:barChart>
      <c:lineChart>
        <c:grouping val="standard"/>
        <c:varyColors val="0"/>
        <c:ser>
          <c:idx val="4"/>
          <c:order val="1"/>
          <c:tx>
            <c:v>Average of models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Summary!$A$9:$A$13</c:f>
              <c:strCache>
                <c:ptCount val="5"/>
                <c:pt idx="0">
                  <c:v>Cobb-Douglas SFA </c:v>
                </c:pt>
                <c:pt idx="1">
                  <c:v>Cobb-Douglas LSE </c:v>
                </c:pt>
                <c:pt idx="2">
                  <c:v>Translog LSE</c:v>
                </c:pt>
                <c:pt idx="3">
                  <c:v>Translog SFA</c:v>
                </c:pt>
                <c:pt idx="4">
                  <c:v>Jemena actual opex</c:v>
                </c:pt>
              </c:strCache>
            </c:strRef>
          </c:cat>
          <c:val>
            <c:numRef>
              <c:f>Summary!$G$9:$G$13</c:f>
              <c:numCache>
                <c:formatCode>#,##0</c:formatCode>
                <c:ptCount val="5"/>
                <c:pt idx="0">
                  <c:v>74.018647894168879</c:v>
                </c:pt>
                <c:pt idx="1">
                  <c:v>74.018647894168879</c:v>
                </c:pt>
                <c:pt idx="2">
                  <c:v>74.018647894168879</c:v>
                </c:pt>
                <c:pt idx="3">
                  <c:v>74.018647894168879</c:v>
                </c:pt>
                <c:pt idx="4">
                  <c:v>74.018647894168879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2C9-4691-868F-39040496E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810544"/>
        <c:axId val="685810872"/>
      </c:lineChart>
      <c:catAx>
        <c:axId val="68581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0872"/>
        <c:crosses val="autoZero"/>
        <c:auto val="1"/>
        <c:lblAlgn val="ctr"/>
        <c:lblOffset val="100"/>
        <c:noMultiLvlLbl val="0"/>
      </c:catAx>
      <c:valAx>
        <c:axId val="6858108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1216700</xdr:colOff>
      <xdr:row>18</xdr:row>
      <xdr:rowOff>31750</xdr:rowOff>
    </xdr:from>
    <xdr:to>
      <xdr:col>6</xdr:col>
      <xdr:colOff>101600</xdr:colOff>
      <xdr:row>38</xdr:row>
      <xdr:rowOff>137300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A36" sqref="A36"/>
    </sheetView>
  </sheetViews>
  <sheetFormatPr defaultColWidth="9.140625" defaultRowHeight="15" zeroHeight="1" x14ac:dyDescent="0.25"/>
  <cols>
    <col min="1" max="1" width="20.5703125" style="5" customWidth="1"/>
    <col min="2" max="9" width="9.140625" style="5"/>
    <col min="10" max="16384" width="9.140625" style="6"/>
  </cols>
  <sheetData>
    <row r="1" spans="1:14" s="3" customFormat="1" ht="23.2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4" x14ac:dyDescent="0.25">
      <c r="A2" s="4"/>
    </row>
    <row r="3" spans="1:14" x14ac:dyDescent="0.25"/>
    <row r="4" spans="1:14" x14ac:dyDescent="0.25">
      <c r="A4" s="7" t="s">
        <v>1</v>
      </c>
    </row>
    <row r="5" spans="1:14" x14ac:dyDescent="0.25">
      <c r="A5" s="5" t="str">
        <f>"– This spreadsheet contains the modelling for opex base year adjustments for "&amp;Inputs!C2</f>
        <v>– This spreadsheet contains the modelling for opex base year adjustments for Jemena</v>
      </c>
    </row>
    <row r="6" spans="1:14" x14ac:dyDescent="0.25">
      <c r="A6" s="5" t="s">
        <v>2</v>
      </c>
    </row>
    <row r="7" spans="1:14" x14ac:dyDescent="0.25">
      <c r="A7" s="5" t="s">
        <v>3</v>
      </c>
    </row>
    <row r="8" spans="1:14" x14ac:dyDescent="0.25"/>
    <row r="9" spans="1:14" x14ac:dyDescent="0.25">
      <c r="A9" s="7" t="s">
        <v>4</v>
      </c>
    </row>
    <row r="10" spans="1:14" x14ac:dyDescent="0.25">
      <c r="A10" s="5" t="s">
        <v>5</v>
      </c>
      <c r="B10" s="8" t="s">
        <v>6</v>
      </c>
    </row>
    <row r="11" spans="1:14" x14ac:dyDescent="0.25">
      <c r="A11" s="5" t="s">
        <v>7</v>
      </c>
      <c r="B11" s="9" t="s">
        <v>8</v>
      </c>
    </row>
    <row r="12" spans="1:14" x14ac:dyDescent="0.25">
      <c r="A12" s="5" t="s">
        <v>9</v>
      </c>
      <c r="B12" s="10" t="s">
        <v>10</v>
      </c>
    </row>
    <row r="13" spans="1:14" x14ac:dyDescent="0.25"/>
    <row r="14" spans="1:14" x14ac:dyDescent="0.25">
      <c r="A14" s="11" t="s">
        <v>11</v>
      </c>
      <c r="N14" s="7" t="s">
        <v>12</v>
      </c>
    </row>
    <row r="15" spans="1:14" x14ac:dyDescent="0.25">
      <c r="A15" s="5" t="s">
        <v>13</v>
      </c>
      <c r="N15" s="12" t="s">
        <v>14</v>
      </c>
    </row>
    <row r="16" spans="1:14" x14ac:dyDescent="0.25">
      <c r="A16" s="75" t="str">
        <f>"– historical and forecast data on opex and cost driver for "&amp;Inputs!C2</f>
        <v>– historical and forecast data on opex and cost driver for Jemena</v>
      </c>
    </row>
    <row r="17" spans="1:14" x14ac:dyDescent="0.25"/>
    <row r="18" spans="1:14" x14ac:dyDescent="0.25">
      <c r="A18" s="11" t="s">
        <v>15</v>
      </c>
    </row>
    <row r="19" spans="1:14" x14ac:dyDescent="0.25">
      <c r="A19" s="5" t="s">
        <v>16</v>
      </c>
      <c r="N19" s="12" t="s">
        <v>17</v>
      </c>
    </row>
    <row r="20" spans="1:14" x14ac:dyDescent="0.25">
      <c r="A20" s="5" t="s">
        <v>18</v>
      </c>
    </row>
    <row r="21" spans="1:14" x14ac:dyDescent="0.25"/>
    <row r="22" spans="1:14" x14ac:dyDescent="0.25">
      <c r="A22" s="11" t="s">
        <v>19</v>
      </c>
    </row>
    <row r="23" spans="1:14" x14ac:dyDescent="0.25">
      <c r="A23" s="5" t="s">
        <v>20</v>
      </c>
      <c r="N23" s="13" t="s">
        <v>21</v>
      </c>
    </row>
    <row r="24" spans="1:14" x14ac:dyDescent="0.25">
      <c r="A24" s="75" t="str">
        <f>"– Setting out efficiency target for "&amp;Inputs!C2</f>
        <v>– Setting out efficiency target for Jemena</v>
      </c>
    </row>
    <row r="25" spans="1:14" x14ac:dyDescent="0.25"/>
    <row r="26" spans="1:14" x14ac:dyDescent="0.25">
      <c r="A26" s="5" t="s">
        <v>22</v>
      </c>
      <c r="N26" s="13" t="s">
        <v>23</v>
      </c>
    </row>
    <row r="27" spans="1:14" x14ac:dyDescent="0.25">
      <c r="A27" s="5" t="str">
        <f>"– Modelling efficient opex (base year) for "&amp;Inputs!C2&amp;", based on the efficiency target chosen"</f>
        <v>– Modelling efficient opex (base year) for Jemena, based on the efficiency target chosen</v>
      </c>
    </row>
    <row r="28" spans="1:14" x14ac:dyDescent="0.25"/>
    <row r="29" spans="1:14" x14ac:dyDescent="0.25"/>
    <row r="30" spans="1:14" x14ac:dyDescent="0.25"/>
    <row r="31" spans="1:14" x14ac:dyDescent="0.25"/>
    <row r="32" spans="1:14" x14ac:dyDescent="0.25">
      <c r="A32" s="5" t="s">
        <v>174</v>
      </c>
      <c r="N32" s="208" t="s">
        <v>173</v>
      </c>
    </row>
    <row r="33" spans="1:14" x14ac:dyDescent="0.25">
      <c r="A33" s="5" t="s">
        <v>24</v>
      </c>
    </row>
    <row r="34" spans="1:14" x14ac:dyDescent="0.25"/>
    <row r="35" spans="1:14" x14ac:dyDescent="0.25">
      <c r="A35" s="5" t="s">
        <v>175</v>
      </c>
      <c r="N35" s="208" t="s">
        <v>120</v>
      </c>
    </row>
    <row r="36" spans="1:14" x14ac:dyDescent="0.25">
      <c r="A36" s="5" t="str">
        <f>"– Displays the efficient opex estimates for each model (including the average of all models), and "&amp;Inputs!C2&amp;"'s proposed opex"</f>
        <v>– Displays the efficient opex estimates for each model (including the average of all models), and Jemena's proposed opex</v>
      </c>
    </row>
    <row r="37" spans="1:14" x14ac:dyDescent="0.25"/>
    <row r="38" spans="1:14" x14ac:dyDescent="0.25"/>
    <row r="39" spans="1:14" x14ac:dyDescent="0.25">
      <c r="A39" s="11"/>
    </row>
    <row r="40" spans="1:14" x14ac:dyDescent="0.25"/>
    <row r="41" spans="1:14" x14ac:dyDescent="0.25"/>
    <row r="42" spans="1:14" x14ac:dyDescent="0.25"/>
    <row r="43" spans="1:14" x14ac:dyDescent="0.25"/>
    <row r="44" spans="1:14" x14ac:dyDescent="0.25"/>
    <row r="45" spans="1:14" x14ac:dyDescent="0.25">
      <c r="N45" s="13"/>
    </row>
  </sheetData>
  <hyperlinks>
    <hyperlink ref="N15" location="'Cost Drivers'!A1" display="Cost Drivers"/>
    <hyperlink ref="N19" location="'Opex Modelling Results'!A1" display="Opex Modelling Results"/>
    <hyperlink ref="N23" location="'Efficiency Target Option'!A1" display="Efficiency Target Option"/>
    <hyperlink ref="N26" location="'Opex Forecasts'!A1" display="Opex Forecasts"/>
    <hyperlink ref="N32" location="Inputs!A1" display="Inputs"/>
    <hyperlink ref="N35" location="Summary!A1" display="Summary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Normal="100" zoomScalePageLayoutView="150" workbookViewId="0">
      <pane xSplit="2" topLeftCell="C1" activePane="topRight" state="frozen"/>
      <selection activeCell="D41" sqref="D41"/>
      <selection pane="topRight" activeCell="P21" sqref="P21"/>
    </sheetView>
  </sheetViews>
  <sheetFormatPr defaultColWidth="8.7109375" defaultRowHeight="12.75" zeroHeight="1" x14ac:dyDescent="0.2"/>
  <cols>
    <col min="1" max="1" width="31" style="16" customWidth="1"/>
    <col min="2" max="2" width="10.85546875" style="16" customWidth="1"/>
    <col min="3" max="3" width="8.7109375" style="22"/>
    <col min="4" max="4" width="9.5703125" style="16" customWidth="1"/>
    <col min="5" max="5" width="9.42578125" style="16" customWidth="1"/>
    <col min="6" max="7" width="9.7109375" style="16" customWidth="1"/>
    <col min="8" max="8" width="11.5703125" style="16" customWidth="1"/>
    <col min="9" max="9" width="10" style="16" customWidth="1"/>
    <col min="10" max="17" width="11" style="16" customWidth="1"/>
    <col min="18" max="16384" width="8.7109375" style="16"/>
  </cols>
  <sheetData>
    <row r="1" spans="1:17" s="73" customFormat="1" ht="15" x14ac:dyDescent="0.25">
      <c r="A1" s="115" t="str">
        <f>"Opex Cost Drivers – "&amp;Inputs!C3</f>
        <v>Opex Cost Drivers – JEN</v>
      </c>
      <c r="C1" s="75" t="s">
        <v>154</v>
      </c>
      <c r="D1" s="108" t="str">
        <f>CONCATENATE(D3,Inputs!$C$3)</f>
        <v>2006JEN</v>
      </c>
      <c r="E1" s="108" t="str">
        <f>CONCATENATE(E3,Inputs!$C$3)</f>
        <v>2007JEN</v>
      </c>
      <c r="F1" s="108" t="str">
        <f>CONCATENATE(F3,Inputs!$C$3)</f>
        <v>2008JEN</v>
      </c>
      <c r="G1" s="108" t="str">
        <f>CONCATENATE(G3,Inputs!$C$3)</f>
        <v>2009JEN</v>
      </c>
      <c r="H1" s="108" t="str">
        <f>CONCATENATE(H3,Inputs!$C$3)</f>
        <v>2010JEN</v>
      </c>
      <c r="I1" s="108" t="str">
        <f>CONCATENATE(I3,Inputs!$C$3)</f>
        <v>2011JEN</v>
      </c>
      <c r="J1" s="108" t="str">
        <f>CONCATENATE(J3,Inputs!$C$3)</f>
        <v>2012JEN</v>
      </c>
      <c r="K1" s="108" t="str">
        <f>CONCATENATE(K3,Inputs!$C$3)</f>
        <v>2013JEN</v>
      </c>
      <c r="L1" s="108" t="str">
        <f>CONCATENATE(L3,Inputs!$C$3)</f>
        <v>2014JEN</v>
      </c>
      <c r="M1" s="108" t="str">
        <f>CONCATENATE(M3,Inputs!$C$3)</f>
        <v>2015JEN</v>
      </c>
      <c r="N1" s="108" t="str">
        <f>CONCATENATE(N3,Inputs!$C$3)</f>
        <v>2016JEN</v>
      </c>
      <c r="O1" s="108" t="str">
        <f>CONCATENATE(O3,Inputs!$C$3)</f>
        <v>2017JEN</v>
      </c>
      <c r="P1" s="108" t="str">
        <f>CONCATENATE(P3,Inputs!$C$3)</f>
        <v>2018JEN</v>
      </c>
      <c r="Q1" s="108" t="str">
        <f>CONCATENATE(Q3,Inputs!$C$3)</f>
        <v>2019JEN</v>
      </c>
    </row>
    <row r="2" spans="1:17" s="112" customFormat="1" ht="15" x14ac:dyDescent="0.25">
      <c r="C2" s="114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73" customFormat="1" ht="15" x14ac:dyDescent="0.25">
      <c r="A3" s="96" t="s">
        <v>113</v>
      </c>
      <c r="B3" s="111" t="s">
        <v>112</v>
      </c>
      <c r="C3" s="110"/>
      <c r="D3" s="109">
        <v>2006</v>
      </c>
      <c r="E3" s="109">
        <v>2007</v>
      </c>
      <c r="F3" s="109">
        <v>2008</v>
      </c>
      <c r="G3" s="109">
        <v>2009</v>
      </c>
      <c r="H3" s="109">
        <v>2010</v>
      </c>
      <c r="I3" s="109">
        <v>2011</v>
      </c>
      <c r="J3" s="109">
        <v>2012</v>
      </c>
      <c r="K3" s="109">
        <v>2013</v>
      </c>
      <c r="L3" s="109">
        <v>2014</v>
      </c>
      <c r="M3" s="109">
        <v>2015</v>
      </c>
      <c r="N3" s="109">
        <v>2016</v>
      </c>
      <c r="O3" s="109">
        <v>2017</v>
      </c>
      <c r="P3" s="109">
        <v>2018</v>
      </c>
      <c r="Q3" s="109">
        <v>2019</v>
      </c>
    </row>
    <row r="4" spans="1:17" s="73" customFormat="1" ht="15" x14ac:dyDescent="0.25"/>
    <row r="5" spans="1:17" s="73" customFormat="1" ht="15" x14ac:dyDescent="0.25">
      <c r="A5" s="81" t="s">
        <v>150</v>
      </c>
      <c r="B5" s="91" t="s">
        <v>111</v>
      </c>
      <c r="C5" s="98"/>
      <c r="D5" s="191">
        <v>293175.49999997998</v>
      </c>
      <c r="E5" s="191">
        <v>299118.49999998999</v>
      </c>
      <c r="F5" s="191">
        <v>302627.49999998999</v>
      </c>
      <c r="G5" s="191">
        <v>305242.99999997998</v>
      </c>
      <c r="H5" s="191">
        <v>309597.99999998999</v>
      </c>
      <c r="I5" s="191">
        <v>307191</v>
      </c>
      <c r="J5" s="191">
        <v>312839</v>
      </c>
      <c r="K5" s="191">
        <v>319591</v>
      </c>
      <c r="L5" s="191">
        <v>325927.00000000006</v>
      </c>
      <c r="M5" s="191">
        <v>332267</v>
      </c>
      <c r="N5" s="191">
        <v>339467</v>
      </c>
      <c r="O5" s="191">
        <v>346887</v>
      </c>
      <c r="P5" s="191">
        <v>353729</v>
      </c>
      <c r="Q5" s="191">
        <v>360430.99999999994</v>
      </c>
    </row>
    <row r="6" spans="1:17" s="73" customFormat="1" ht="15" x14ac:dyDescent="0.25">
      <c r="A6" s="81" t="s">
        <v>153</v>
      </c>
      <c r="B6" s="91" t="s">
        <v>108</v>
      </c>
      <c r="C6" s="98"/>
      <c r="D6" s="191">
        <v>5718.7325857100004</v>
      </c>
      <c r="E6" s="191">
        <v>5769.8560802100001</v>
      </c>
      <c r="F6" s="191">
        <v>5868.0882146499998</v>
      </c>
      <c r="G6" s="191">
        <v>5926.7301499999994</v>
      </c>
      <c r="H6" s="191">
        <v>5970.9719999999998</v>
      </c>
      <c r="I6" s="191">
        <v>6041.5939481299993</v>
      </c>
      <c r="J6" s="191">
        <v>6102.4391066500002</v>
      </c>
      <c r="K6" s="191">
        <v>6134.8447602399992</v>
      </c>
      <c r="L6" s="191">
        <v>6160.5729461899991</v>
      </c>
      <c r="M6" s="191">
        <v>6246.3146799999995</v>
      </c>
      <c r="N6" s="191">
        <v>6300.9202911100001</v>
      </c>
      <c r="O6" s="191">
        <v>6344.7098376100002</v>
      </c>
      <c r="P6" s="191">
        <v>6567.6</v>
      </c>
      <c r="Q6" s="191">
        <v>6627.926915</v>
      </c>
    </row>
    <row r="7" spans="1:17" s="73" customFormat="1" ht="15" x14ac:dyDescent="0.25">
      <c r="A7" s="81" t="s">
        <v>151</v>
      </c>
      <c r="B7" s="91" t="s">
        <v>109</v>
      </c>
      <c r="C7" s="98"/>
      <c r="D7" s="191">
        <v>836.98500799999999</v>
      </c>
      <c r="E7" s="191">
        <v>901.72535600000003</v>
      </c>
      <c r="F7" s="191">
        <v>958.34431600000005</v>
      </c>
      <c r="G7" s="191">
        <v>1019.66512</v>
      </c>
      <c r="H7" s="191">
        <v>993.45596399999999</v>
      </c>
      <c r="I7" s="191">
        <v>1017.041108</v>
      </c>
      <c r="J7" s="191">
        <v>892.449252</v>
      </c>
      <c r="K7" s="191">
        <v>977</v>
      </c>
      <c r="L7" s="191">
        <v>1013.2929901</v>
      </c>
      <c r="M7" s="191">
        <v>876.42929976000005</v>
      </c>
      <c r="N7" s="191">
        <v>987.00584000000003</v>
      </c>
      <c r="O7" s="191">
        <v>956.53558655999996</v>
      </c>
      <c r="P7" s="191">
        <v>982.80725600000005</v>
      </c>
      <c r="Q7" s="191">
        <v>1026.0431919615999</v>
      </c>
    </row>
    <row r="8" spans="1:17" s="73" customFormat="1" ht="15" x14ac:dyDescent="0.25">
      <c r="A8" s="81" t="s">
        <v>110</v>
      </c>
      <c r="B8" s="91" t="s">
        <v>109</v>
      </c>
      <c r="C8" s="98"/>
      <c r="D8" s="108">
        <f>MAX(D7)</f>
        <v>836.98500799999999</v>
      </c>
      <c r="E8" s="108">
        <f t="shared" ref="E8:Q8" si="0">MAX(D8,E7)</f>
        <v>901.72535600000003</v>
      </c>
      <c r="F8" s="108">
        <f t="shared" si="0"/>
        <v>958.34431600000005</v>
      </c>
      <c r="G8" s="108">
        <f t="shared" si="0"/>
        <v>1019.66512</v>
      </c>
      <c r="H8" s="108">
        <f t="shared" si="0"/>
        <v>1019.66512</v>
      </c>
      <c r="I8" s="108">
        <f t="shared" si="0"/>
        <v>1019.66512</v>
      </c>
      <c r="J8" s="108">
        <f t="shared" si="0"/>
        <v>1019.66512</v>
      </c>
      <c r="K8" s="108">
        <f t="shared" si="0"/>
        <v>1019.66512</v>
      </c>
      <c r="L8" s="108">
        <f t="shared" si="0"/>
        <v>1019.66512</v>
      </c>
      <c r="M8" s="108">
        <f t="shared" si="0"/>
        <v>1019.66512</v>
      </c>
      <c r="N8" s="108">
        <f t="shared" si="0"/>
        <v>1019.66512</v>
      </c>
      <c r="O8" s="108">
        <f t="shared" si="0"/>
        <v>1019.66512</v>
      </c>
      <c r="P8" s="108">
        <f t="shared" si="0"/>
        <v>1019.66512</v>
      </c>
      <c r="Q8" s="108">
        <f t="shared" si="0"/>
        <v>1026.0431919615999</v>
      </c>
    </row>
    <row r="9" spans="1:17" s="73" customFormat="1" ht="15" x14ac:dyDescent="0.25">
      <c r="A9" s="81" t="s">
        <v>149</v>
      </c>
      <c r="B9" s="91" t="s">
        <v>108</v>
      </c>
      <c r="C9" s="98"/>
      <c r="D9" s="191">
        <v>1300.89040548</v>
      </c>
      <c r="E9" s="191">
        <v>1344.330316</v>
      </c>
      <c r="F9" s="191">
        <v>1415.67628883</v>
      </c>
      <c r="G9" s="191">
        <v>1463.26622</v>
      </c>
      <c r="H9" s="191">
        <v>1507.1591800000001</v>
      </c>
      <c r="I9" s="191">
        <v>1565.6344853400001</v>
      </c>
      <c r="J9" s="191">
        <v>1630.01</v>
      </c>
      <c r="K9" s="191">
        <v>1679.2797602400001</v>
      </c>
      <c r="L9" s="191">
        <v>1725.0657418599999</v>
      </c>
      <c r="M9" s="191">
        <v>1795.4201599999999</v>
      </c>
      <c r="N9" s="191">
        <v>1851.3087937099999</v>
      </c>
      <c r="O9" s="191">
        <v>1891.89543269</v>
      </c>
      <c r="P9" s="191">
        <v>2078.1</v>
      </c>
      <c r="Q9" s="191">
        <v>2150.291635</v>
      </c>
    </row>
    <row r="10" spans="1:17" s="73" customFormat="1" ht="15" x14ac:dyDescent="0.25">
      <c r="A10" s="81" t="s">
        <v>97</v>
      </c>
      <c r="B10" s="91" t="s">
        <v>107</v>
      </c>
      <c r="C10" s="98"/>
      <c r="D10" s="107">
        <f t="shared" ref="D10:Q10" si="1">D9/D6</f>
        <v>0.22747879639112203</v>
      </c>
      <c r="E10" s="107">
        <f t="shared" si="1"/>
        <v>0.23299200141419674</v>
      </c>
      <c r="F10" s="107">
        <f t="shared" si="1"/>
        <v>0.24125000120067852</v>
      </c>
      <c r="G10" s="107">
        <f t="shared" si="1"/>
        <v>0.24689266812662292</v>
      </c>
      <c r="H10" s="107">
        <f t="shared" si="1"/>
        <v>0.25241437742464712</v>
      </c>
      <c r="I10" s="107">
        <f t="shared" si="1"/>
        <v>0.25914262010683403</v>
      </c>
      <c r="J10" s="107">
        <f t="shared" si="1"/>
        <v>0.26710795003652427</v>
      </c>
      <c r="K10" s="107">
        <f t="shared" si="1"/>
        <v>0.27372815871779377</v>
      </c>
      <c r="L10" s="107">
        <f t="shared" si="1"/>
        <v>0.28001709531365349</v>
      </c>
      <c r="M10" s="107">
        <f t="shared" si="1"/>
        <v>0.28743671300274615</v>
      </c>
      <c r="N10" s="107">
        <f t="shared" si="1"/>
        <v>0.29381561869970341</v>
      </c>
      <c r="O10" s="107">
        <f t="shared" si="1"/>
        <v>0.29818470522879914</v>
      </c>
      <c r="P10" s="107">
        <f t="shared" si="1"/>
        <v>0.3164169559656495</v>
      </c>
      <c r="Q10" s="107">
        <f t="shared" si="1"/>
        <v>0.32442899002606157</v>
      </c>
    </row>
    <row r="11" spans="1:17" s="73" customFormat="1" ht="15" x14ac:dyDescent="0.25">
      <c r="A11" s="81" t="s">
        <v>152</v>
      </c>
      <c r="B11" s="91" t="s">
        <v>106</v>
      </c>
      <c r="C11" s="98"/>
      <c r="D11" s="191">
        <v>46756.092287101899</v>
      </c>
      <c r="E11" s="191">
        <v>51252.352222211397</v>
      </c>
      <c r="F11" s="191">
        <v>43220.358648427202</v>
      </c>
      <c r="G11" s="191">
        <v>48349.725749867001</v>
      </c>
      <c r="H11" s="191">
        <v>58605.575110382997</v>
      </c>
      <c r="I11" s="191">
        <v>59886.898408099398</v>
      </c>
      <c r="J11" s="191">
        <v>70098.067766092601</v>
      </c>
      <c r="K11" s="191">
        <v>69150.303926688197</v>
      </c>
      <c r="L11" s="191">
        <v>69918.556613006105</v>
      </c>
      <c r="M11" s="191">
        <v>73079.730390022902</v>
      </c>
      <c r="N11" s="191">
        <v>78683.548999999999</v>
      </c>
      <c r="O11" s="191">
        <v>84039.021999999997</v>
      </c>
      <c r="P11" s="191">
        <v>79198.771999999997</v>
      </c>
      <c r="Q11" s="191">
        <v>84456.982650000005</v>
      </c>
    </row>
    <row r="12" spans="1:17" s="73" customFormat="1" ht="15" x14ac:dyDescent="0.25">
      <c r="A12" s="81"/>
      <c r="B12" s="91"/>
      <c r="C12" s="98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spans="1:17" s="73" customFormat="1" ht="15" x14ac:dyDescent="0.25">
      <c r="A13" s="81" t="s">
        <v>162</v>
      </c>
      <c r="B13" s="203" t="s">
        <v>105</v>
      </c>
      <c r="C13" s="98"/>
      <c r="D13" s="196">
        <v>1.0258476465181641</v>
      </c>
      <c r="E13" s="196">
        <v>1.0650547188806361</v>
      </c>
      <c r="F13" s="196">
        <v>1.1122878618798167</v>
      </c>
      <c r="G13" s="196">
        <v>1.1400308454887336</v>
      </c>
      <c r="H13" s="196">
        <v>1.178546598199947</v>
      </c>
      <c r="I13" s="196">
        <v>1.2206323874885738</v>
      </c>
      <c r="J13" s="196">
        <v>1.2580479670432216</v>
      </c>
      <c r="K13" s="196">
        <v>1.2966368788866152</v>
      </c>
      <c r="L13" s="196">
        <v>1.3299716632564171</v>
      </c>
      <c r="M13" s="196">
        <v>1.3538343217460784</v>
      </c>
      <c r="N13" s="196">
        <v>1.3778751883264413</v>
      </c>
      <c r="O13" s="196">
        <v>1.4052358278483659</v>
      </c>
      <c r="P13" s="196">
        <v>1.4413653470691277</v>
      </c>
      <c r="Q13" s="196">
        <v>1.4719176166201573</v>
      </c>
    </row>
    <row r="14" spans="1:17" s="73" customFormat="1" ht="15" x14ac:dyDescent="0.25">
      <c r="A14" s="81" t="s">
        <v>104</v>
      </c>
      <c r="B14" s="91" t="s">
        <v>38</v>
      </c>
      <c r="C14" s="98"/>
      <c r="D14" s="105"/>
      <c r="E14" s="104">
        <f t="shared" ref="E14:Q14" si="2">E13/D13-1</f>
        <v>3.8219196091685781E-2</v>
      </c>
      <c r="F14" s="104">
        <f t="shared" si="2"/>
        <v>4.4348090442547727E-2</v>
      </c>
      <c r="G14" s="104">
        <f t="shared" si="2"/>
        <v>2.4942269496702085E-2</v>
      </c>
      <c r="H14" s="104">
        <f t="shared" si="2"/>
        <v>3.3784833860965868E-2</v>
      </c>
      <c r="I14" s="104">
        <f t="shared" si="2"/>
        <v>3.5709906891171261E-2</v>
      </c>
      <c r="J14" s="104">
        <f t="shared" si="2"/>
        <v>3.0652619034326589E-2</v>
      </c>
      <c r="K14" s="103">
        <f t="shared" si="2"/>
        <v>3.0673641112499705E-2</v>
      </c>
      <c r="L14" s="103">
        <f t="shared" si="2"/>
        <v>2.5708650519354004E-2</v>
      </c>
      <c r="M14" s="103">
        <f t="shared" si="2"/>
        <v>1.7942230762446387E-2</v>
      </c>
      <c r="N14" s="103">
        <f t="shared" si="2"/>
        <v>1.7757613464368882E-2</v>
      </c>
      <c r="O14" s="103">
        <f t="shared" si="2"/>
        <v>1.98571247626258E-2</v>
      </c>
      <c r="P14" s="103">
        <f t="shared" si="2"/>
        <v>2.5710644793395021E-2</v>
      </c>
      <c r="Q14" s="103">
        <f t="shared" si="2"/>
        <v>2.1196755987754612E-2</v>
      </c>
    </row>
    <row r="15" spans="1:17" s="73" customFormat="1" ht="15" x14ac:dyDescent="0.25">
      <c r="A15" s="81" t="s">
        <v>103</v>
      </c>
      <c r="B15" s="91" t="s">
        <v>102</v>
      </c>
      <c r="C15" s="98"/>
      <c r="D15" s="102">
        <f t="shared" ref="D15:P15" si="3">D11/D13*$P13</f>
        <v>65694.56138612052</v>
      </c>
      <c r="E15" s="102">
        <f t="shared" si="3"/>
        <v>69361.097734506271</v>
      </c>
      <c r="F15" s="102">
        <f t="shared" si="3"/>
        <v>56007.378466271177</v>
      </c>
      <c r="G15" s="102">
        <f t="shared" si="3"/>
        <v>61129.590933373474</v>
      </c>
      <c r="H15" s="102">
        <f t="shared" si="3"/>
        <v>71674.76045341049</v>
      </c>
      <c r="I15" s="102">
        <f t="shared" si="3"/>
        <v>70716.540863284114</v>
      </c>
      <c r="J15" s="102">
        <f t="shared" si="3"/>
        <v>80312.459001078823</v>
      </c>
      <c r="K15" s="102">
        <f t="shared" si="3"/>
        <v>76868.746710961277</v>
      </c>
      <c r="L15" s="102">
        <f t="shared" si="3"/>
        <v>75774.685584145467</v>
      </c>
      <c r="M15" s="102">
        <f t="shared" si="3"/>
        <v>77804.639212780952</v>
      </c>
      <c r="N15" s="102">
        <f t="shared" si="3"/>
        <v>82309.153886982254</v>
      </c>
      <c r="O15" s="102">
        <f t="shared" si="3"/>
        <v>86199.719443426307</v>
      </c>
      <c r="P15" s="102">
        <f t="shared" si="3"/>
        <v>79198.771999999997</v>
      </c>
      <c r="Q15" s="102">
        <f t="shared" ref="Q15" si="4">Q11/Q13*$P13</f>
        <v>82703.927675826606</v>
      </c>
    </row>
    <row r="16" spans="1:17" s="73" customFormat="1" ht="15" x14ac:dyDescent="0.25">
      <c r="A16" s="81"/>
      <c r="B16" s="91"/>
      <c r="C16" s="98"/>
      <c r="D16" s="102"/>
      <c r="E16" s="102"/>
      <c r="F16" s="102"/>
      <c r="G16" s="102"/>
      <c r="H16" s="102"/>
      <c r="I16" s="102"/>
      <c r="J16" s="102"/>
      <c r="K16" s="102"/>
      <c r="L16" s="102"/>
      <c r="M16" s="87"/>
      <c r="N16" s="102"/>
      <c r="O16" s="102"/>
      <c r="P16" s="102"/>
      <c r="Q16" s="102"/>
    </row>
    <row r="17" spans="1:30" s="73" customFormat="1" ht="15" x14ac:dyDescent="0.25">
      <c r="A17" s="81"/>
      <c r="B17" s="91"/>
      <c r="C17" s="98"/>
      <c r="D17" s="101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99"/>
      <c r="P17" s="99"/>
      <c r="Q17" s="99"/>
    </row>
    <row r="18" spans="1:30" s="73" customFormat="1" ht="15" x14ac:dyDescent="0.25">
      <c r="A18" s="81"/>
      <c r="B18" s="91"/>
      <c r="C18" s="98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</row>
    <row r="19" spans="1:30" s="73" customFormat="1" ht="15" x14ac:dyDescent="0.25">
      <c r="C19" s="75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</row>
    <row r="20" spans="1:30" s="73" customFormat="1" ht="15" x14ac:dyDescent="0.25">
      <c r="A20" s="96" t="s">
        <v>101</v>
      </c>
      <c r="C20" s="75"/>
      <c r="D20" s="87"/>
      <c r="E20" s="87"/>
      <c r="F20" s="87"/>
      <c r="G20" s="87"/>
      <c r="H20" s="94" t="str">
        <f>"Average "&amp;Inputs!C5&amp;"-"&amp;RIGHT(Inputs!C6,2)</f>
        <v>Average 2012-19</v>
      </c>
      <c r="I20" s="87"/>
      <c r="J20" s="94"/>
      <c r="K20" s="94"/>
      <c r="L20" s="94" t="s">
        <v>165</v>
      </c>
      <c r="M20" s="94"/>
      <c r="N20" s="94"/>
      <c r="O20" s="95"/>
      <c r="P20" s="95" t="s">
        <v>176</v>
      </c>
      <c r="Q20" s="94"/>
    </row>
    <row r="21" spans="1:30" s="73" customFormat="1" ht="15" x14ac:dyDescent="0.25">
      <c r="A21" s="81" t="s">
        <v>100</v>
      </c>
      <c r="C21" s="75"/>
      <c r="D21" s="87"/>
      <c r="E21" s="87"/>
      <c r="F21" s="87"/>
      <c r="G21" s="87"/>
      <c r="H21" s="90">
        <f>AVERAGE(J5:Q5)</f>
        <v>336392.25</v>
      </c>
      <c r="I21" s="87"/>
      <c r="J21" s="90"/>
      <c r="K21" s="90"/>
      <c r="L21" s="90">
        <f>P5</f>
        <v>353729</v>
      </c>
      <c r="M21" s="90"/>
      <c r="N21" s="86"/>
      <c r="O21" s="95"/>
      <c r="P21" s="86">
        <f>LN(P5/AVERAGE($J5:$Q5))</f>
        <v>5.0253193454268291E-2</v>
      </c>
      <c r="Q21" s="86"/>
    </row>
    <row r="22" spans="1:30" s="73" customFormat="1" ht="15" x14ac:dyDescent="0.25">
      <c r="A22" s="81" t="s">
        <v>99</v>
      </c>
      <c r="C22" s="75"/>
      <c r="D22" s="87"/>
      <c r="E22" s="87"/>
      <c r="F22" s="87"/>
      <c r="G22" s="87"/>
      <c r="H22" s="90">
        <f>AVERAGE(J6:Q6)</f>
        <v>6310.6660670999991</v>
      </c>
      <c r="I22" s="87"/>
      <c r="J22" s="90"/>
      <c r="K22" s="90"/>
      <c r="L22" s="90">
        <f>P6</f>
        <v>6567.6</v>
      </c>
      <c r="M22" s="90"/>
      <c r="N22" s="86"/>
      <c r="O22" s="95"/>
      <c r="P22" s="86">
        <f>LN(P6/AVERAGE($J6:$Q6))</f>
        <v>3.9907240588299787E-2</v>
      </c>
      <c r="Q22" s="86"/>
    </row>
    <row r="23" spans="1:30" s="73" customFormat="1" ht="15" x14ac:dyDescent="0.25">
      <c r="A23" s="81" t="s">
        <v>98</v>
      </c>
      <c r="C23" s="75"/>
      <c r="D23" s="87"/>
      <c r="E23" s="87"/>
      <c r="F23" s="87"/>
      <c r="G23" s="87"/>
      <c r="H23" s="90">
        <f>AVERAGE(J8:Q8)</f>
        <v>1020.4623789952</v>
      </c>
      <c r="I23" s="87"/>
      <c r="J23" s="90"/>
      <c r="K23" s="90"/>
      <c r="L23" s="90">
        <f>P8</f>
        <v>1019.66512</v>
      </c>
      <c r="M23" s="90"/>
      <c r="N23" s="86"/>
      <c r="O23" s="95"/>
      <c r="P23" s="86">
        <f>LN(P8/AVERAGE($J8:$Q8))</f>
        <v>-7.8157765745261393E-4</v>
      </c>
      <c r="Q23" s="86"/>
    </row>
    <row r="24" spans="1:30" s="73" customFormat="1" ht="15" x14ac:dyDescent="0.25">
      <c r="A24" s="81" t="s">
        <v>97</v>
      </c>
      <c r="C24" s="75"/>
      <c r="D24" s="87"/>
      <c r="E24" s="87"/>
      <c r="F24" s="87"/>
      <c r="G24" s="87"/>
      <c r="H24" s="93">
        <f>AVERAGE(J10:Q10)</f>
        <v>0.29264202337386641</v>
      </c>
      <c r="I24" s="87"/>
      <c r="J24" s="92"/>
      <c r="K24" s="92"/>
      <c r="L24" s="92">
        <f>P10</f>
        <v>0.3164169559656495</v>
      </c>
      <c r="M24" s="92"/>
      <c r="N24" s="86"/>
      <c r="O24" s="95"/>
      <c r="P24" s="86">
        <f>LN(P10/AVERAGE($J10:$Q10))</f>
        <v>7.8110725914153203E-2</v>
      </c>
      <c r="Q24" s="86"/>
    </row>
    <row r="25" spans="1:30" s="73" customFormat="1" ht="15" x14ac:dyDescent="0.25">
      <c r="A25" s="81" t="s">
        <v>96</v>
      </c>
      <c r="B25" s="91"/>
      <c r="C25" s="75"/>
      <c r="D25" s="87"/>
      <c r="E25" s="87"/>
      <c r="F25" s="87"/>
      <c r="G25" s="87"/>
      <c r="H25" s="90">
        <f>AVERAGE(J15:Q15)</f>
        <v>80146.5129394002</v>
      </c>
      <c r="I25" s="87"/>
      <c r="J25" s="89"/>
      <c r="K25" s="89"/>
      <c r="L25" s="89">
        <f>P15</f>
        <v>79198.771999999997</v>
      </c>
      <c r="M25" s="89"/>
      <c r="N25" s="88"/>
      <c r="O25" s="88"/>
      <c r="P25" s="88"/>
      <c r="Q25" s="88"/>
    </row>
    <row r="26" spans="1:30" s="73" customFormat="1" ht="15" x14ac:dyDescent="0.25">
      <c r="A26" s="84" t="s">
        <v>95</v>
      </c>
      <c r="C26" s="75"/>
      <c r="D26" s="87"/>
      <c r="E26" s="87"/>
      <c r="F26" s="87"/>
      <c r="G26" s="87"/>
      <c r="H26" s="87"/>
      <c r="I26" s="87"/>
      <c r="J26" s="86"/>
      <c r="K26" s="86"/>
      <c r="L26" s="86">
        <f>L25/$H25-1</f>
        <v>-1.1825105106154754E-2</v>
      </c>
      <c r="M26" s="86"/>
      <c r="N26" s="87"/>
      <c r="O26" s="87"/>
      <c r="P26" s="87"/>
      <c r="Q26" s="87"/>
    </row>
    <row r="27" spans="1:30" s="73" customFormat="1" ht="15" x14ac:dyDescent="0.25">
      <c r="A27" s="84" t="s">
        <v>94</v>
      </c>
      <c r="C27" s="75"/>
      <c r="D27" s="87"/>
      <c r="E27" s="87"/>
      <c r="F27" s="87"/>
      <c r="G27" s="87"/>
      <c r="H27" s="87"/>
      <c r="I27" s="87"/>
      <c r="J27" s="86"/>
      <c r="K27" s="86"/>
      <c r="L27" s="86">
        <f>'Opex Forecasts'!E32</f>
        <v>5.1618998224525203E-2</v>
      </c>
      <c r="M27" s="86"/>
      <c r="N27" s="85"/>
      <c r="O27" s="85"/>
      <c r="P27" s="85"/>
      <c r="Q27" s="85"/>
    </row>
    <row r="28" spans="1:30" s="73" customFormat="1" ht="15" x14ac:dyDescent="0.25">
      <c r="A28" s="84" t="s">
        <v>93</v>
      </c>
      <c r="C28" s="75"/>
      <c r="D28" s="87"/>
      <c r="E28" s="87"/>
      <c r="F28" s="87"/>
      <c r="G28" s="87"/>
      <c r="H28" s="87"/>
      <c r="I28" s="87"/>
      <c r="J28" s="86"/>
      <c r="K28" s="86"/>
      <c r="L28" s="86">
        <f>L26-L27</f>
        <v>-6.3444103330679957E-2</v>
      </c>
      <c r="M28" s="86"/>
      <c r="N28" s="85"/>
      <c r="O28" s="85"/>
      <c r="P28" s="85"/>
      <c r="Q28" s="85"/>
    </row>
    <row r="29" spans="1:30" s="73" customFormat="1" ht="11.25" hidden="1" customHeight="1" x14ac:dyDescent="0.25">
      <c r="A29" s="84"/>
      <c r="C29" s="75"/>
      <c r="D29" s="77"/>
      <c r="E29" s="77"/>
      <c r="F29" s="76"/>
      <c r="G29" s="76"/>
      <c r="H29" s="76"/>
      <c r="I29" s="76"/>
      <c r="J29" s="83"/>
      <c r="K29" s="76"/>
      <c r="L29" s="76"/>
      <c r="M29" s="76"/>
      <c r="N29" s="76"/>
      <c r="O29" s="76"/>
      <c r="P29" s="76"/>
      <c r="Q29" s="76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</row>
    <row r="30" spans="1:30" s="73" customFormat="1" ht="15" hidden="1" x14ac:dyDescent="0.25">
      <c r="A30" s="82"/>
      <c r="C30" s="75"/>
      <c r="D30" s="77"/>
      <c r="E30" s="77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</row>
    <row r="31" spans="1:30" s="73" customFormat="1" ht="15" hidden="1" x14ac:dyDescent="0.25">
      <c r="A31" s="81"/>
      <c r="C31" s="75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30" s="73" customFormat="1" ht="15" hidden="1" x14ac:dyDescent="0.25">
      <c r="A32" s="81"/>
      <c r="C32" s="75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</row>
    <row r="33" spans="1:17" s="73" customFormat="1" ht="15" hidden="1" x14ac:dyDescent="0.25">
      <c r="A33" s="76"/>
      <c r="C33" s="75"/>
      <c r="J33" s="77"/>
      <c r="K33" s="77"/>
      <c r="L33" s="77"/>
      <c r="M33" s="77"/>
      <c r="N33" s="77"/>
      <c r="O33" s="77"/>
      <c r="P33" s="77"/>
      <c r="Q33" s="77"/>
    </row>
    <row r="34" spans="1:17" s="73" customFormat="1" ht="15" hidden="1" x14ac:dyDescent="0.25">
      <c r="A34" s="76"/>
      <c r="B34" s="79"/>
      <c r="C34" s="80"/>
      <c r="D34" s="79"/>
      <c r="E34" s="79"/>
      <c r="F34" s="79"/>
      <c r="G34" s="79"/>
      <c r="H34" s="79"/>
      <c r="I34" s="79"/>
      <c r="J34" s="78"/>
      <c r="K34" s="77"/>
      <c r="L34" s="77"/>
      <c r="M34" s="77"/>
      <c r="N34" s="77"/>
      <c r="O34" s="77"/>
      <c r="P34" s="77"/>
      <c r="Q34" s="77"/>
    </row>
    <row r="35" spans="1:17" s="73" customFormat="1" ht="15" hidden="1" x14ac:dyDescent="0.25">
      <c r="A35" s="76"/>
      <c r="B35" s="79"/>
      <c r="C35" s="80"/>
      <c r="D35" s="79"/>
      <c r="E35" s="79"/>
      <c r="F35" s="79"/>
      <c r="G35" s="79"/>
      <c r="H35" s="79"/>
      <c r="I35" s="79"/>
      <c r="J35" s="78"/>
      <c r="K35" s="77"/>
      <c r="L35" s="77"/>
      <c r="M35" s="77"/>
      <c r="N35" s="77"/>
      <c r="O35" s="77"/>
      <c r="P35" s="77"/>
      <c r="Q35" s="77"/>
    </row>
    <row r="36" spans="1:17" s="73" customFormat="1" ht="15" hidden="1" x14ac:dyDescent="0.25">
      <c r="A36" s="76"/>
      <c r="C36" s="75"/>
    </row>
    <row r="37" spans="1:17" s="73" customFormat="1" ht="15" hidden="1" x14ac:dyDescent="0.25">
      <c r="C37" s="75"/>
      <c r="I37" s="74"/>
    </row>
    <row r="38" spans="1:17" hidden="1" x14ac:dyDescent="0.2">
      <c r="I38" s="72"/>
    </row>
    <row r="39" spans="1:17" hidden="1" x14ac:dyDescent="0.2"/>
    <row r="40" spans="1:17" hidden="1" x14ac:dyDescent="0.2"/>
    <row r="41" spans="1:17" hidden="1" x14ac:dyDescent="0.2"/>
    <row r="42" spans="1:17" hidden="1" x14ac:dyDescent="0.2"/>
    <row r="43" spans="1:17" hidden="1" x14ac:dyDescent="0.2"/>
    <row r="44" spans="1:17" hidden="1" x14ac:dyDescent="0.2"/>
    <row r="45" spans="1:17" hidden="1" x14ac:dyDescent="0.2"/>
    <row r="46" spans="1:17" hidden="1" x14ac:dyDescent="0.2"/>
    <row r="47" spans="1:17" hidden="1" x14ac:dyDescent="0.2"/>
    <row r="48" spans="1:17" hidden="1" x14ac:dyDescent="0.2"/>
  </sheetData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workbookViewId="0">
      <selection activeCell="A2" sqref="A2"/>
    </sheetView>
  </sheetViews>
  <sheetFormatPr defaultColWidth="9.140625" defaultRowHeight="15" zeroHeight="1" x14ac:dyDescent="0.25"/>
  <cols>
    <col min="1" max="1" width="11.42578125" style="117" customWidth="1"/>
    <col min="2" max="2" width="10.28515625" style="117" customWidth="1"/>
    <col min="3" max="3" width="11.140625" style="117" customWidth="1"/>
    <col min="4" max="6" width="9.140625" style="117"/>
    <col min="7" max="7" width="12.85546875" style="118" customWidth="1"/>
    <col min="8" max="8" width="9.140625" style="117"/>
    <col min="9" max="9" width="11.140625" style="117" customWidth="1"/>
    <col min="10" max="11" width="9.140625" style="117"/>
    <col min="12" max="12" width="11.140625" style="117" customWidth="1"/>
    <col min="13" max="16" width="9.140625" style="117"/>
    <col min="17" max="19" width="9.140625" style="116"/>
    <col min="20" max="20" width="13" style="116" customWidth="1"/>
    <col min="21" max="16384" width="9.140625" style="116"/>
  </cols>
  <sheetData>
    <row r="1" spans="1:27" x14ac:dyDescent="0.25">
      <c r="A1" s="122" t="s">
        <v>114</v>
      </c>
      <c r="P1" s="116"/>
    </row>
    <row r="2" spans="1:27" x14ac:dyDescent="0.25">
      <c r="A2" s="129" t="s">
        <v>177</v>
      </c>
      <c r="P2" s="116"/>
    </row>
    <row r="3" spans="1:27" x14ac:dyDescent="0.25">
      <c r="A3" s="122"/>
      <c r="P3" s="116"/>
    </row>
    <row r="4" spans="1:27" x14ac:dyDescent="0.25">
      <c r="A4" s="122" t="s">
        <v>42</v>
      </c>
      <c r="H4" s="128" t="s">
        <v>43</v>
      </c>
      <c r="O4" s="128" t="s">
        <v>44</v>
      </c>
      <c r="Q4" s="117"/>
      <c r="R4" s="117"/>
      <c r="S4" s="117"/>
      <c r="T4" s="117"/>
      <c r="V4" s="122" t="s">
        <v>45</v>
      </c>
      <c r="W4" s="117"/>
      <c r="X4" s="117"/>
      <c r="Y4" s="117"/>
      <c r="Z4" s="117"/>
      <c r="AA4" s="117"/>
    </row>
    <row r="5" spans="1:27" x14ac:dyDescent="0.25">
      <c r="G5" s="117"/>
      <c r="N5" s="116"/>
      <c r="Q5" s="117"/>
      <c r="R5" s="117"/>
      <c r="S5" s="117"/>
      <c r="T5" s="117"/>
      <c r="V5" s="117"/>
      <c r="W5" s="117"/>
      <c r="X5" s="117"/>
      <c r="Y5" s="117"/>
      <c r="Z5" s="117"/>
      <c r="AA5" s="117"/>
    </row>
    <row r="6" spans="1:27" x14ac:dyDescent="0.25">
      <c r="A6" s="122" t="s">
        <v>46</v>
      </c>
      <c r="E6" s="122" t="s">
        <v>47</v>
      </c>
      <c r="G6" s="117"/>
      <c r="H6" s="122" t="s">
        <v>46</v>
      </c>
      <c r="L6" s="122" t="s">
        <v>47</v>
      </c>
      <c r="N6" s="116"/>
      <c r="O6" s="122" t="s">
        <v>46</v>
      </c>
      <c r="Q6" s="117"/>
      <c r="R6" s="117"/>
      <c r="S6" s="122" t="s">
        <v>47</v>
      </c>
      <c r="T6" s="117"/>
      <c r="V6" s="122" t="s">
        <v>46</v>
      </c>
      <c r="W6" s="117"/>
      <c r="X6" s="117"/>
      <c r="Y6" s="117"/>
      <c r="Z6" s="122" t="s">
        <v>47</v>
      </c>
      <c r="AA6" s="117"/>
    </row>
    <row r="7" spans="1:27" x14ac:dyDescent="0.25">
      <c r="A7" s="122"/>
      <c r="E7" s="122"/>
      <c r="G7" s="117"/>
      <c r="H7" s="122"/>
      <c r="L7" s="122"/>
      <c r="N7" s="116"/>
      <c r="O7" s="122"/>
      <c r="Q7" s="117"/>
      <c r="R7" s="117"/>
      <c r="S7" s="122"/>
      <c r="T7" s="117"/>
      <c r="V7" s="122"/>
      <c r="W7" s="117"/>
      <c r="X7" s="117"/>
      <c r="Y7" s="117"/>
      <c r="Z7" s="122"/>
      <c r="AA7" s="117"/>
    </row>
    <row r="8" spans="1:27" ht="15.75" thickBot="1" x14ac:dyDescent="0.3">
      <c r="E8" s="127" t="s">
        <v>25</v>
      </c>
      <c r="F8" s="127" t="s">
        <v>48</v>
      </c>
      <c r="G8" s="117"/>
      <c r="L8" s="127" t="s">
        <v>25</v>
      </c>
      <c r="M8" s="127" t="s">
        <v>49</v>
      </c>
      <c r="N8" s="116"/>
      <c r="Q8" s="117"/>
      <c r="R8" s="117"/>
      <c r="S8" s="127" t="s">
        <v>25</v>
      </c>
      <c r="T8" s="127" t="s">
        <v>50</v>
      </c>
      <c r="V8" s="117"/>
      <c r="W8" s="117"/>
      <c r="X8" s="117"/>
      <c r="Y8" s="117"/>
      <c r="Z8" s="127" t="s">
        <v>25</v>
      </c>
      <c r="AA8" s="127" t="s">
        <v>51</v>
      </c>
    </row>
    <row r="9" spans="1:27" ht="30.75" thickBot="1" x14ac:dyDescent="0.3">
      <c r="A9" s="55" t="s">
        <v>52</v>
      </c>
      <c r="B9" s="53" t="s">
        <v>53</v>
      </c>
      <c r="C9" s="53" t="s">
        <v>54</v>
      </c>
      <c r="E9" s="122" t="s">
        <v>55</v>
      </c>
      <c r="F9" s="121">
        <v>0.48473024368286133</v>
      </c>
      <c r="G9" s="123"/>
      <c r="H9" s="55" t="s">
        <v>52</v>
      </c>
      <c r="I9" s="53" t="s">
        <v>53</v>
      </c>
      <c r="J9" s="53" t="s">
        <v>54</v>
      </c>
      <c r="L9" s="122" t="s">
        <v>55</v>
      </c>
      <c r="M9" s="121">
        <v>0.43257480847288665</v>
      </c>
      <c r="N9" s="116"/>
      <c r="O9" s="55" t="s">
        <v>52</v>
      </c>
      <c r="P9" s="53" t="s">
        <v>53</v>
      </c>
      <c r="Q9" s="53" t="s">
        <v>54</v>
      </c>
      <c r="R9" s="117"/>
      <c r="S9" s="122" t="s">
        <v>55</v>
      </c>
      <c r="T9" s="121">
        <v>0.42147281477591764</v>
      </c>
      <c r="V9" s="55" t="s">
        <v>52</v>
      </c>
      <c r="W9" s="53" t="s">
        <v>53</v>
      </c>
      <c r="X9" s="53" t="s">
        <v>54</v>
      </c>
      <c r="Y9" s="117"/>
      <c r="Z9" s="122" t="s">
        <v>55</v>
      </c>
      <c r="AA9" s="121">
        <v>0.49433383345603943</v>
      </c>
    </row>
    <row r="10" spans="1:27" x14ac:dyDescent="0.25">
      <c r="A10" s="57" t="s">
        <v>56</v>
      </c>
      <c r="B10" s="126">
        <v>0.52400000000000002</v>
      </c>
      <c r="C10" s="126" t="s">
        <v>169</v>
      </c>
      <c r="E10" s="122" t="s">
        <v>57</v>
      </c>
      <c r="F10" s="121">
        <v>0.45660066604614258</v>
      </c>
      <c r="G10" s="123"/>
      <c r="H10" s="57" t="s">
        <v>56</v>
      </c>
      <c r="I10" s="126">
        <v>0.60699999999999998</v>
      </c>
      <c r="J10" s="126" t="s">
        <v>169</v>
      </c>
      <c r="L10" s="122" t="s">
        <v>57</v>
      </c>
      <c r="M10" s="121">
        <v>0.44087230644975611</v>
      </c>
      <c r="N10" s="116"/>
      <c r="O10" s="57" t="s">
        <v>56</v>
      </c>
      <c r="P10" s="126">
        <v>0.41</v>
      </c>
      <c r="Q10" s="126" t="s">
        <v>169</v>
      </c>
      <c r="R10" s="117"/>
      <c r="S10" s="122" t="s">
        <v>57</v>
      </c>
      <c r="T10" s="121">
        <v>0.43257480847288665</v>
      </c>
      <c r="V10" s="57" t="s">
        <v>56</v>
      </c>
      <c r="W10" s="126">
        <v>0.54100000000000004</v>
      </c>
      <c r="X10" s="126" t="s">
        <v>169</v>
      </c>
      <c r="Y10" s="117"/>
      <c r="Z10" s="122" t="s">
        <v>57</v>
      </c>
      <c r="AA10" s="121">
        <v>0.43234154582023621</v>
      </c>
    </row>
    <row r="11" spans="1:27" x14ac:dyDescent="0.25">
      <c r="A11" s="59" t="s">
        <v>58</v>
      </c>
      <c r="B11" s="125">
        <v>0.22900000000000001</v>
      </c>
      <c r="C11" s="125" t="s">
        <v>169</v>
      </c>
      <c r="E11" s="122" t="s">
        <v>59</v>
      </c>
      <c r="F11" s="121">
        <v>0.81380605697631836</v>
      </c>
      <c r="G11" s="123"/>
      <c r="H11" s="59" t="s">
        <v>58</v>
      </c>
      <c r="I11" s="121">
        <v>0.184</v>
      </c>
      <c r="J11" s="121" t="s">
        <v>169</v>
      </c>
      <c r="L11" s="122" t="s">
        <v>59</v>
      </c>
      <c r="M11" s="121">
        <v>0.76874189731116027</v>
      </c>
      <c r="N11" s="116"/>
      <c r="O11" s="59" t="s">
        <v>58</v>
      </c>
      <c r="P11" s="121">
        <v>0.19900000000000001</v>
      </c>
      <c r="Q11" s="121" t="s">
        <v>169</v>
      </c>
      <c r="R11" s="117"/>
      <c r="S11" s="122" t="s">
        <v>59</v>
      </c>
      <c r="T11" s="121">
        <v>0.78899128801760976</v>
      </c>
      <c r="V11" s="59" t="s">
        <v>58</v>
      </c>
      <c r="W11" s="121">
        <v>0.218</v>
      </c>
      <c r="X11" s="121" t="s">
        <v>169</v>
      </c>
      <c r="Y11" s="117"/>
      <c r="Z11" s="122" t="s">
        <v>59</v>
      </c>
      <c r="AA11" s="121">
        <v>0.92007380723953247</v>
      </c>
    </row>
    <row r="12" spans="1:27" x14ac:dyDescent="0.25">
      <c r="A12" s="59" t="s">
        <v>60</v>
      </c>
      <c r="B12" s="125">
        <v>0.22</v>
      </c>
      <c r="C12" s="125" t="s">
        <v>169</v>
      </c>
      <c r="E12" s="122" t="s">
        <v>61</v>
      </c>
      <c r="F12" s="121">
        <v>0.61244797706604004</v>
      </c>
      <c r="G12" s="123"/>
      <c r="H12" s="59" t="s">
        <v>60</v>
      </c>
      <c r="I12" s="121">
        <v>0.19900000000000001</v>
      </c>
      <c r="J12" s="121" t="s">
        <v>169</v>
      </c>
      <c r="L12" s="122" t="s">
        <v>61</v>
      </c>
      <c r="M12" s="121">
        <v>0.58216579539864144</v>
      </c>
      <c r="N12" s="116"/>
      <c r="O12" s="59" t="s">
        <v>60</v>
      </c>
      <c r="P12" s="121">
        <v>0.35799999999999998</v>
      </c>
      <c r="Q12" s="121" t="s">
        <v>169</v>
      </c>
      <c r="R12" s="117"/>
      <c r="S12" s="122" t="s">
        <v>61</v>
      </c>
      <c r="T12" s="121">
        <v>0.61940248469279924</v>
      </c>
      <c r="V12" s="59" t="s">
        <v>60</v>
      </c>
      <c r="W12" s="121">
        <v>0.21199999999999999</v>
      </c>
      <c r="X12" s="121" t="s">
        <v>169</v>
      </c>
      <c r="Y12" s="117"/>
      <c r="Z12" s="122" t="s">
        <v>61</v>
      </c>
      <c r="AA12" s="121">
        <v>0.61106514930725098</v>
      </c>
    </row>
    <row r="13" spans="1:27" x14ac:dyDescent="0.25">
      <c r="A13" s="59" t="s">
        <v>62</v>
      </c>
      <c r="B13" s="125">
        <v>-8.5999999999999993E-2</v>
      </c>
      <c r="C13" s="125" t="s">
        <v>169</v>
      </c>
      <c r="E13" s="122" t="s">
        <v>63</v>
      </c>
      <c r="F13" s="121">
        <v>0.61505436897277832</v>
      </c>
      <c r="G13" s="123"/>
      <c r="H13" s="59" t="s">
        <v>62</v>
      </c>
      <c r="I13" s="121">
        <v>-0.161</v>
      </c>
      <c r="J13" s="121" t="s">
        <v>169</v>
      </c>
      <c r="L13" s="122" t="s">
        <v>63</v>
      </c>
      <c r="M13" s="121">
        <v>0.5897833576128505</v>
      </c>
      <c r="N13" s="116"/>
      <c r="O13" s="59" t="s">
        <v>64</v>
      </c>
      <c r="P13" s="121">
        <v>-0.92400000000000004</v>
      </c>
      <c r="Q13" s="121" t="s">
        <v>169</v>
      </c>
      <c r="R13" s="117"/>
      <c r="S13" s="122" t="s">
        <v>63</v>
      </c>
      <c r="T13" s="121">
        <v>0.58274825237398975</v>
      </c>
      <c r="V13" s="59" t="s">
        <v>64</v>
      </c>
      <c r="W13" s="121">
        <v>-1.429</v>
      </c>
      <c r="X13" s="121" t="s">
        <v>169</v>
      </c>
      <c r="Y13" s="117"/>
      <c r="Z13" s="122" t="s">
        <v>63</v>
      </c>
      <c r="AA13" s="121">
        <v>0.57133156061172485</v>
      </c>
    </row>
    <row r="14" spans="1:27" x14ac:dyDescent="0.25">
      <c r="A14" s="59" t="s">
        <v>65</v>
      </c>
      <c r="B14" s="125">
        <v>8.9999999999999993E-3</v>
      </c>
      <c r="C14" s="125" t="s">
        <v>169</v>
      </c>
      <c r="E14" s="122" t="s">
        <v>66</v>
      </c>
      <c r="F14" s="121">
        <v>0.60879975557327271</v>
      </c>
      <c r="G14" s="123"/>
      <c r="H14" s="59" t="s">
        <v>65</v>
      </c>
      <c r="I14" s="121">
        <v>0.01</v>
      </c>
      <c r="J14" s="121" t="s">
        <v>169</v>
      </c>
      <c r="L14" s="122" t="s">
        <v>66</v>
      </c>
      <c r="M14" s="121">
        <v>0.59214721560748118</v>
      </c>
      <c r="N14" s="116"/>
      <c r="O14" s="59" t="s">
        <v>67</v>
      </c>
      <c r="P14" s="121">
        <v>0.26600000000000001</v>
      </c>
      <c r="Q14" s="121" t="s">
        <v>169</v>
      </c>
      <c r="R14" s="117"/>
      <c r="S14" s="122" t="s">
        <v>66</v>
      </c>
      <c r="T14" s="121">
        <v>0.69142541045030859</v>
      </c>
      <c r="V14" s="59" t="s">
        <v>67</v>
      </c>
      <c r="W14" s="121">
        <v>0.19600000000000001</v>
      </c>
      <c r="X14" s="121" t="s">
        <v>169</v>
      </c>
      <c r="Y14" s="117"/>
      <c r="Z14" s="122" t="s">
        <v>66</v>
      </c>
      <c r="AA14" s="121">
        <v>0.66647225618362427</v>
      </c>
    </row>
    <row r="15" spans="1:27" x14ac:dyDescent="0.25">
      <c r="A15" s="59" t="s">
        <v>68</v>
      </c>
      <c r="B15" s="125">
        <v>0.05</v>
      </c>
      <c r="C15" s="125" t="s">
        <v>169</v>
      </c>
      <c r="E15" s="122" t="s">
        <v>69</v>
      </c>
      <c r="F15" s="121">
        <v>0.6508486270904541</v>
      </c>
      <c r="G15" s="123"/>
      <c r="H15" s="59" t="s">
        <v>68</v>
      </c>
      <c r="I15" s="121">
        <v>-0.29499999999999998</v>
      </c>
      <c r="J15" s="121" t="s">
        <v>169</v>
      </c>
      <c r="L15" s="122" t="s">
        <v>69</v>
      </c>
      <c r="M15" s="121">
        <v>0.64018377206164712</v>
      </c>
      <c r="N15" s="116"/>
      <c r="O15" s="59" t="s">
        <v>70</v>
      </c>
      <c r="P15" s="121">
        <v>0.501</v>
      </c>
      <c r="Q15" s="121" t="s">
        <v>169</v>
      </c>
      <c r="R15" s="117"/>
      <c r="S15" s="122" t="s">
        <v>69</v>
      </c>
      <c r="T15" s="121">
        <v>0.75578374145572547</v>
      </c>
      <c r="V15" s="59" t="s">
        <v>70</v>
      </c>
      <c r="W15" s="121">
        <v>1.083</v>
      </c>
      <c r="X15" s="121" t="s">
        <v>169</v>
      </c>
      <c r="Y15" s="117"/>
      <c r="Z15" s="122" t="s">
        <v>69</v>
      </c>
      <c r="AA15" s="121">
        <v>0.75646430253982544</v>
      </c>
    </row>
    <row r="16" spans="1:27" x14ac:dyDescent="0.25">
      <c r="A16" s="59" t="s">
        <v>71</v>
      </c>
      <c r="B16" s="125">
        <v>0.28899999999999998</v>
      </c>
      <c r="C16" s="125" t="s">
        <v>169</v>
      </c>
      <c r="E16" s="122" t="s">
        <v>27</v>
      </c>
      <c r="F16" s="121">
        <v>0.60848534107208252</v>
      </c>
      <c r="G16" s="123"/>
      <c r="H16" s="59" t="s">
        <v>71</v>
      </c>
      <c r="I16" s="121">
        <v>-8.5000000000000006E-2</v>
      </c>
      <c r="J16" s="121" t="s">
        <v>169</v>
      </c>
      <c r="L16" s="122" t="s">
        <v>27</v>
      </c>
      <c r="M16" s="121">
        <v>0.5880166589130853</v>
      </c>
      <c r="N16" s="116"/>
      <c r="O16" s="59" t="s">
        <v>72</v>
      </c>
      <c r="P16" s="121">
        <v>4.1000000000000002E-2</v>
      </c>
      <c r="Q16" s="121" t="s">
        <v>169</v>
      </c>
      <c r="R16" s="117"/>
      <c r="S16" s="122" t="s">
        <v>27</v>
      </c>
      <c r="T16" s="121">
        <v>0.47663704008297203</v>
      </c>
      <c r="V16" s="59" t="s">
        <v>72</v>
      </c>
      <c r="W16" s="121">
        <v>0.13100000000000001</v>
      </c>
      <c r="X16" s="121" t="s">
        <v>169</v>
      </c>
      <c r="Y16" s="117"/>
      <c r="Z16" s="122" t="s">
        <v>27</v>
      </c>
      <c r="AA16" s="121">
        <v>0.54242759943008423</v>
      </c>
    </row>
    <row r="17" spans="1:27" ht="15.75" thickBot="1" x14ac:dyDescent="0.3">
      <c r="A17" s="62" t="s">
        <v>73</v>
      </c>
      <c r="B17" s="124">
        <v>-8.8409999999999993</v>
      </c>
      <c r="C17" s="124" t="s">
        <v>169</v>
      </c>
      <c r="E17" s="122" t="s">
        <v>74</v>
      </c>
      <c r="F17" s="121">
        <v>0.96258968114852905</v>
      </c>
      <c r="G17" s="123"/>
      <c r="H17" s="59" t="s">
        <v>75</v>
      </c>
      <c r="I17" s="121">
        <v>-1.9E-2</v>
      </c>
      <c r="J17" s="121" t="s">
        <v>169</v>
      </c>
      <c r="L17" s="122" t="s">
        <v>74</v>
      </c>
      <c r="M17" s="121">
        <v>1</v>
      </c>
      <c r="N17" s="116"/>
      <c r="O17" s="59" t="s">
        <v>76</v>
      </c>
      <c r="P17" s="121">
        <v>-0.28000000000000003</v>
      </c>
      <c r="Q17" s="121" t="s">
        <v>169</v>
      </c>
      <c r="R17" s="117"/>
      <c r="S17" s="122" t="s">
        <v>74</v>
      </c>
      <c r="T17" s="121">
        <v>1</v>
      </c>
      <c r="V17" s="59" t="s">
        <v>76</v>
      </c>
      <c r="W17" s="121">
        <v>-0.32600000000000001</v>
      </c>
      <c r="X17" s="121" t="s">
        <v>169</v>
      </c>
      <c r="Y17" s="117"/>
      <c r="Z17" s="122" t="s">
        <v>74</v>
      </c>
      <c r="AA17" s="121">
        <v>0.94287598133087158</v>
      </c>
    </row>
    <row r="18" spans="1:27" x14ac:dyDescent="0.25">
      <c r="E18" s="122" t="s">
        <v>77</v>
      </c>
      <c r="F18" s="121">
        <v>0.77069568634033203</v>
      </c>
      <c r="G18" s="123"/>
      <c r="H18" s="59" t="s">
        <v>78</v>
      </c>
      <c r="I18" s="121">
        <v>-0.57499999999999996</v>
      </c>
      <c r="J18" s="121" t="s">
        <v>169</v>
      </c>
      <c r="L18" s="122" t="s">
        <v>77</v>
      </c>
      <c r="M18" s="121">
        <v>0.73124991256888194</v>
      </c>
      <c r="N18" s="116"/>
      <c r="O18" s="59" t="s">
        <v>79</v>
      </c>
      <c r="P18" s="121">
        <v>-5.8999999999999997E-2</v>
      </c>
      <c r="Q18" s="121" t="s">
        <v>169</v>
      </c>
      <c r="R18" s="117"/>
      <c r="S18" s="122" t="s">
        <v>77</v>
      </c>
      <c r="T18" s="121">
        <v>0.78978067393280271</v>
      </c>
      <c r="V18" s="59" t="s">
        <v>79</v>
      </c>
      <c r="W18" s="121">
        <v>-0.622</v>
      </c>
      <c r="X18" s="121" t="s">
        <v>169</v>
      </c>
      <c r="Y18" s="117"/>
      <c r="Z18" s="122" t="s">
        <v>77</v>
      </c>
      <c r="AA18" s="121">
        <v>0.78583359718322754</v>
      </c>
    </row>
    <row r="19" spans="1:27" x14ac:dyDescent="0.25">
      <c r="E19" s="122" t="s">
        <v>80</v>
      </c>
      <c r="F19" s="121">
        <v>0.67488694190979004</v>
      </c>
      <c r="G19" s="123"/>
      <c r="H19" s="59" t="s">
        <v>81</v>
      </c>
      <c r="I19" s="121">
        <v>-0.29699999999999999</v>
      </c>
      <c r="J19" s="121" t="s">
        <v>169</v>
      </c>
      <c r="L19" s="122" t="s">
        <v>80</v>
      </c>
      <c r="M19" s="121">
        <v>0.68454561266627822</v>
      </c>
      <c r="N19" s="116"/>
      <c r="O19" s="59" t="s">
        <v>62</v>
      </c>
      <c r="P19" s="121">
        <v>-0.13</v>
      </c>
      <c r="Q19" s="121" t="s">
        <v>169</v>
      </c>
      <c r="R19" s="117"/>
      <c r="S19" s="122" t="s">
        <v>80</v>
      </c>
      <c r="T19" s="121">
        <v>0.60713749373878967</v>
      </c>
      <c r="V19" s="59" t="s">
        <v>62</v>
      </c>
      <c r="W19" s="121">
        <v>-5.7000000000000002E-2</v>
      </c>
      <c r="X19" s="121" t="s">
        <v>169</v>
      </c>
      <c r="Y19" s="117"/>
      <c r="Z19" s="122" t="s">
        <v>80</v>
      </c>
      <c r="AA19" s="121">
        <v>0.5971493124961853</v>
      </c>
    </row>
    <row r="20" spans="1:27" x14ac:dyDescent="0.25">
      <c r="E20" s="122" t="s">
        <v>82</v>
      </c>
      <c r="F20" s="121">
        <v>0.80061531066894531</v>
      </c>
      <c r="G20" s="123"/>
      <c r="H20" s="59" t="s">
        <v>83</v>
      </c>
      <c r="I20" s="121">
        <v>-0.31</v>
      </c>
      <c r="J20" s="121" t="s">
        <v>169</v>
      </c>
      <c r="L20" s="122" t="s">
        <v>82</v>
      </c>
      <c r="M20" s="121">
        <v>0.76951102370757574</v>
      </c>
      <c r="N20" s="116"/>
      <c r="O20" s="59" t="s">
        <v>65</v>
      </c>
      <c r="P20" s="121">
        <v>1.2E-2</v>
      </c>
      <c r="Q20" s="121" t="s">
        <v>169</v>
      </c>
      <c r="R20" s="117"/>
      <c r="S20" s="122" t="s">
        <v>82</v>
      </c>
      <c r="T20" s="121">
        <v>0.77724473806894612</v>
      </c>
      <c r="V20" s="59" t="s">
        <v>65</v>
      </c>
      <c r="W20" s="121">
        <v>8.9999999999999993E-3</v>
      </c>
      <c r="X20" s="121" t="s">
        <v>169</v>
      </c>
      <c r="Y20" s="117"/>
      <c r="Z20" s="122" t="s">
        <v>82</v>
      </c>
      <c r="AA20" s="121">
        <v>0.80484956502914429</v>
      </c>
    </row>
    <row r="21" spans="1:27" x14ac:dyDescent="0.25">
      <c r="E21" s="122" t="s">
        <v>84</v>
      </c>
      <c r="F21" s="121">
        <v>0.7705303430557251</v>
      </c>
      <c r="G21" s="123"/>
      <c r="H21" s="59" t="s">
        <v>85</v>
      </c>
      <c r="I21" s="121">
        <v>-0.314</v>
      </c>
      <c r="J21" s="121" t="s">
        <v>169</v>
      </c>
      <c r="L21" s="122" t="s">
        <v>84</v>
      </c>
      <c r="M21" s="121">
        <v>0.7811406935313765</v>
      </c>
      <c r="N21" s="116"/>
      <c r="O21" s="59" t="s">
        <v>68</v>
      </c>
      <c r="P21" s="121">
        <v>-0.40699999999999997</v>
      </c>
      <c r="Q21" s="121" t="s">
        <v>169</v>
      </c>
      <c r="R21" s="117"/>
      <c r="S21" s="122" t="s">
        <v>84</v>
      </c>
      <c r="T21" s="121">
        <v>0.6325474762073634</v>
      </c>
      <c r="V21" s="59" t="s">
        <v>68</v>
      </c>
      <c r="W21" s="121">
        <v>-9.8000000000000004E-2</v>
      </c>
      <c r="X21" s="121" t="s">
        <v>169</v>
      </c>
      <c r="Y21" s="117"/>
      <c r="Z21" s="122" t="s">
        <v>84</v>
      </c>
      <c r="AA21" s="121">
        <v>0.67520695924758911</v>
      </c>
    </row>
    <row r="22" spans="1:27" x14ac:dyDescent="0.25">
      <c r="G22" s="117"/>
      <c r="H22" s="59" t="s">
        <v>86</v>
      </c>
      <c r="I22" s="121">
        <v>-0.39200000000000002</v>
      </c>
      <c r="J22" s="121" t="s">
        <v>169</v>
      </c>
      <c r="K22" s="116"/>
      <c r="L22" s="116"/>
      <c r="M22" s="116"/>
      <c r="N22" s="116"/>
      <c r="O22" s="59" t="s">
        <v>71</v>
      </c>
      <c r="P22" s="121">
        <v>-0.20799999999999999</v>
      </c>
      <c r="Q22" s="121" t="s">
        <v>169</v>
      </c>
      <c r="V22" s="59" t="s">
        <v>71</v>
      </c>
      <c r="W22" s="121">
        <v>0.193</v>
      </c>
      <c r="X22" s="121" t="s">
        <v>169</v>
      </c>
    </row>
    <row r="23" spans="1:27" ht="15.75" thickBot="1" x14ac:dyDescent="0.3">
      <c r="G23" s="117"/>
      <c r="H23" s="59" t="s">
        <v>87</v>
      </c>
      <c r="I23" s="121">
        <v>-0.307</v>
      </c>
      <c r="J23" s="121" t="s">
        <v>169</v>
      </c>
      <c r="K23" s="116"/>
      <c r="L23" s="116"/>
      <c r="M23" s="116"/>
      <c r="N23" s="116"/>
      <c r="O23" s="59" t="s">
        <v>75</v>
      </c>
      <c r="P23" s="121">
        <v>-2.5999999999999999E-2</v>
      </c>
      <c r="Q23" s="121" t="s">
        <v>169</v>
      </c>
      <c r="V23" s="62" t="s">
        <v>73</v>
      </c>
      <c r="W23" s="120">
        <v>-9.0180000000000007</v>
      </c>
      <c r="X23" s="120" t="s">
        <v>169</v>
      </c>
    </row>
    <row r="24" spans="1:27" x14ac:dyDescent="0.25">
      <c r="G24" s="117"/>
      <c r="H24" s="59" t="s">
        <v>88</v>
      </c>
      <c r="I24" s="121">
        <v>-0.83799999999999997</v>
      </c>
      <c r="J24" s="121" t="s">
        <v>169</v>
      </c>
      <c r="K24" s="116"/>
      <c r="L24" s="116"/>
      <c r="M24" s="116"/>
      <c r="N24" s="116"/>
      <c r="O24" s="59" t="s">
        <v>78</v>
      </c>
      <c r="P24" s="121">
        <v>-0.627</v>
      </c>
      <c r="Q24" s="121" t="s">
        <v>169</v>
      </c>
      <c r="W24" s="116" t="s">
        <v>169</v>
      </c>
      <c r="X24" s="116" t="s">
        <v>169</v>
      </c>
    </row>
    <row r="25" spans="1:27" x14ac:dyDescent="0.25">
      <c r="G25" s="117"/>
      <c r="H25" s="59" t="s">
        <v>89</v>
      </c>
      <c r="I25" s="121">
        <v>-0.52500000000000002</v>
      </c>
      <c r="J25" s="121" t="s">
        <v>169</v>
      </c>
      <c r="K25" s="116"/>
      <c r="L25" s="116"/>
      <c r="M25" s="116"/>
      <c r="N25" s="116"/>
      <c r="O25" s="59" t="s">
        <v>81</v>
      </c>
      <c r="P25" s="121">
        <v>-0.38500000000000001</v>
      </c>
      <c r="Q25" s="121" t="s">
        <v>169</v>
      </c>
      <c r="W25" s="116" t="s">
        <v>169</v>
      </c>
      <c r="X25" s="116" t="s">
        <v>169</v>
      </c>
    </row>
    <row r="26" spans="1:27" x14ac:dyDescent="0.25">
      <c r="H26" s="59" t="s">
        <v>90</v>
      </c>
      <c r="I26" s="121">
        <v>-0.45900000000000002</v>
      </c>
      <c r="J26" s="121" t="s">
        <v>169</v>
      </c>
      <c r="O26" s="59" t="s">
        <v>83</v>
      </c>
      <c r="P26" s="121">
        <v>-0.32400000000000001</v>
      </c>
      <c r="Q26" s="121" t="s">
        <v>169</v>
      </c>
      <c r="W26" s="116" t="s">
        <v>169</v>
      </c>
      <c r="X26" s="116" t="s">
        <v>169</v>
      </c>
    </row>
    <row r="27" spans="1:27" x14ac:dyDescent="0.25">
      <c r="E27" s="119"/>
      <c r="H27" s="59" t="s">
        <v>91</v>
      </c>
      <c r="I27" s="121">
        <v>-0.57599999999999996</v>
      </c>
      <c r="J27" s="121" t="s">
        <v>169</v>
      </c>
      <c r="O27" s="59" t="s">
        <v>85</v>
      </c>
      <c r="P27" s="121">
        <v>-0.495</v>
      </c>
      <c r="Q27" s="121" t="s">
        <v>169</v>
      </c>
      <c r="W27" s="116" t="s">
        <v>169</v>
      </c>
      <c r="X27" s="116" t="s">
        <v>169</v>
      </c>
    </row>
    <row r="28" spans="1:27" x14ac:dyDescent="0.25">
      <c r="E28" s="119"/>
      <c r="H28" s="59" t="s">
        <v>92</v>
      </c>
      <c r="I28" s="121">
        <v>-0.59099999999999997</v>
      </c>
      <c r="J28" s="121" t="s">
        <v>169</v>
      </c>
      <c r="O28" s="59" t="s">
        <v>86</v>
      </c>
      <c r="P28" s="121">
        <v>-0.58399999999999996</v>
      </c>
      <c r="Q28" s="121" t="s">
        <v>169</v>
      </c>
      <c r="W28" s="116" t="s">
        <v>169</v>
      </c>
      <c r="X28" s="116" t="s">
        <v>169</v>
      </c>
    </row>
    <row r="29" spans="1:27" ht="15.75" thickBot="1" x14ac:dyDescent="0.3">
      <c r="E29" s="119"/>
      <c r="H29" s="62" t="s">
        <v>73</v>
      </c>
      <c r="I29" s="120">
        <v>-10.71</v>
      </c>
      <c r="J29" s="120" t="s">
        <v>169</v>
      </c>
      <c r="O29" s="59" t="s">
        <v>87</v>
      </c>
      <c r="P29" s="121">
        <v>-0.123</v>
      </c>
      <c r="Q29" s="121" t="s">
        <v>169</v>
      </c>
      <c r="W29" s="116" t="s">
        <v>169</v>
      </c>
      <c r="X29" s="116" t="s">
        <v>169</v>
      </c>
    </row>
    <row r="30" spans="1:27" x14ac:dyDescent="0.25">
      <c r="E30" s="119"/>
      <c r="O30" s="59" t="s">
        <v>88</v>
      </c>
      <c r="P30" s="121">
        <v>-0.86399999999999999</v>
      </c>
      <c r="Q30" s="121" t="s">
        <v>169</v>
      </c>
      <c r="W30" s="116" t="s">
        <v>169</v>
      </c>
      <c r="X30" s="116" t="s">
        <v>169</v>
      </c>
    </row>
    <row r="31" spans="1:27" x14ac:dyDescent="0.25">
      <c r="E31" s="119"/>
      <c r="O31" s="59" t="s">
        <v>89</v>
      </c>
      <c r="P31" s="121">
        <v>-0.628</v>
      </c>
      <c r="Q31" s="121" t="s">
        <v>169</v>
      </c>
      <c r="W31" s="116" t="s">
        <v>169</v>
      </c>
      <c r="X31" s="116" t="s">
        <v>169</v>
      </c>
    </row>
    <row r="32" spans="1:27" x14ac:dyDescent="0.25">
      <c r="E32" s="119"/>
      <c r="O32" s="59" t="s">
        <v>90</v>
      </c>
      <c r="P32" s="121">
        <v>-0.36499999999999999</v>
      </c>
      <c r="Q32" s="121" t="s">
        <v>169</v>
      </c>
      <c r="W32" s="116" t="s">
        <v>169</v>
      </c>
      <c r="X32" s="116" t="s">
        <v>169</v>
      </c>
    </row>
    <row r="33" spans="5:24" x14ac:dyDescent="0.25">
      <c r="E33" s="119"/>
      <c r="O33" s="59" t="s">
        <v>91</v>
      </c>
      <c r="P33" s="121">
        <v>-0.61199999999999999</v>
      </c>
      <c r="Q33" s="121" t="s">
        <v>169</v>
      </c>
      <c r="W33" s="116" t="s">
        <v>169</v>
      </c>
      <c r="X33" s="116" t="s">
        <v>169</v>
      </c>
    </row>
    <row r="34" spans="5:24" x14ac:dyDescent="0.25">
      <c r="E34" s="119"/>
      <c r="O34" s="59" t="s">
        <v>92</v>
      </c>
      <c r="P34" s="121">
        <v>-0.40600000000000003</v>
      </c>
      <c r="Q34" s="121" t="s">
        <v>169</v>
      </c>
      <c r="W34" s="116" t="s">
        <v>169</v>
      </c>
      <c r="X34" s="116" t="s">
        <v>169</v>
      </c>
    </row>
    <row r="35" spans="5:24" ht="15.75" thickBot="1" x14ac:dyDescent="0.3">
      <c r="E35" s="119"/>
      <c r="O35" s="62" t="s">
        <v>73</v>
      </c>
      <c r="P35" s="120">
        <v>-14.48</v>
      </c>
      <c r="Q35" s="120" t="s">
        <v>169</v>
      </c>
      <c r="W35" s="116" t="s">
        <v>169</v>
      </c>
      <c r="X35" s="116" t="s">
        <v>169</v>
      </c>
    </row>
    <row r="36" spans="5:24" x14ac:dyDescent="0.25">
      <c r="E36" s="119"/>
    </row>
    <row r="37" spans="5:24" hidden="1" x14ac:dyDescent="0.25">
      <c r="E37" s="119"/>
    </row>
    <row r="38" spans="5:24" hidden="1" x14ac:dyDescent="0.25">
      <c r="E38" s="119"/>
    </row>
    <row r="39" spans="5:24" hidden="1" x14ac:dyDescent="0.25">
      <c r="E39" s="11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opLeftCell="A4" workbookViewId="0">
      <selection activeCell="I15" sqref="I15"/>
    </sheetView>
  </sheetViews>
  <sheetFormatPr defaultRowHeight="15" x14ac:dyDescent="0.25"/>
  <cols>
    <col min="2" max="2" width="9.42578125" bestFit="1" customWidth="1"/>
    <col min="9" max="9" width="17.85546875" bestFit="1" customWidth="1"/>
    <col min="10" max="10" width="9.42578125" bestFit="1" customWidth="1"/>
    <col min="11" max="11" width="23.42578125" bestFit="1" customWidth="1"/>
    <col min="15" max="15" width="10.140625" bestFit="1" customWidth="1"/>
    <col min="16" max="16" width="9.42578125" bestFit="1" customWidth="1"/>
    <col min="17" max="17" width="23" customWidth="1"/>
  </cols>
  <sheetData>
    <row r="1" spans="1:17" x14ac:dyDescent="0.25">
      <c r="A1" s="140" t="s">
        <v>21</v>
      </c>
      <c r="B1" s="166"/>
    </row>
    <row r="2" spans="1:17" x14ac:dyDescent="0.25">
      <c r="A2" s="166"/>
      <c r="B2" s="166"/>
    </row>
    <row r="3" spans="1:17" x14ac:dyDescent="0.25">
      <c r="A3" s="140" t="s">
        <v>115</v>
      </c>
      <c r="B3" s="166"/>
      <c r="E3" s="140" t="s">
        <v>116</v>
      </c>
      <c r="F3" s="166"/>
      <c r="G3" s="166"/>
      <c r="H3" s="166"/>
      <c r="I3" s="166"/>
      <c r="J3" s="166"/>
      <c r="K3" s="166"/>
    </row>
    <row r="4" spans="1:17" ht="30" x14ac:dyDescent="0.25">
      <c r="A4" s="167"/>
      <c r="B4" s="168"/>
      <c r="E4" s="167"/>
      <c r="F4" s="169"/>
      <c r="G4" s="168"/>
      <c r="H4" s="168"/>
      <c r="I4" s="169" t="s">
        <v>117</v>
      </c>
      <c r="J4" s="169" t="s">
        <v>118</v>
      </c>
      <c r="K4" s="169" t="s">
        <v>119</v>
      </c>
      <c r="N4" s="167"/>
      <c r="O4" s="168"/>
      <c r="P4" s="168"/>
      <c r="Q4" s="168"/>
    </row>
    <row r="5" spans="1:17" ht="30" x14ac:dyDescent="0.25">
      <c r="A5" s="169" t="s">
        <v>25</v>
      </c>
      <c r="B5" s="169" t="s">
        <v>121</v>
      </c>
      <c r="E5" s="169"/>
      <c r="F5" s="170"/>
      <c r="G5" s="170"/>
      <c r="H5" s="169" t="s">
        <v>25</v>
      </c>
      <c r="I5" s="171" t="s">
        <v>122</v>
      </c>
      <c r="J5" s="170"/>
      <c r="K5" s="170"/>
      <c r="N5" s="167"/>
      <c r="O5" s="169"/>
      <c r="P5" s="169"/>
      <c r="Q5" s="169"/>
    </row>
    <row r="6" spans="1:17" x14ac:dyDescent="0.25">
      <c r="A6" s="140" t="s">
        <v>74</v>
      </c>
      <c r="B6" s="172">
        <f>VLOOKUP(A6,'Opex Modelling Results'!$E$8:$F$21,2,FALSE)</f>
        <v>0.96258968114852905</v>
      </c>
      <c r="E6" s="166"/>
      <c r="F6" s="166"/>
      <c r="G6" s="166"/>
      <c r="H6" s="140" t="str">
        <f>Inputs!C3</f>
        <v>JEN</v>
      </c>
      <c r="I6" s="173">
        <f>Inputs!D23</f>
        <v>5.7232458728187482E-2</v>
      </c>
      <c r="J6" s="174">
        <f>$F$19/(1+I6)</f>
        <v>0.70939933200899163</v>
      </c>
      <c r="K6" s="175">
        <f>MAX((1- (VLOOKUP(H6,A6:B18,2,FALSE))/$J6),0)</f>
        <v>0.14225272901106989</v>
      </c>
      <c r="N6" s="166"/>
      <c r="O6" s="176"/>
      <c r="P6" s="177"/>
      <c r="Q6" s="177"/>
    </row>
    <row r="7" spans="1:17" x14ac:dyDescent="0.25">
      <c r="A7" s="140" t="s">
        <v>59</v>
      </c>
      <c r="B7" s="172">
        <f>VLOOKUP(A7,'Opex Modelling Results'!$E$8:$F$21,2,FALSE)</f>
        <v>0.81380605697631836</v>
      </c>
      <c r="E7" s="166"/>
      <c r="F7" s="166"/>
      <c r="G7" s="166"/>
      <c r="H7" s="140"/>
      <c r="I7" s="140"/>
      <c r="J7" s="140"/>
      <c r="K7" s="178"/>
      <c r="N7" s="166"/>
      <c r="O7" s="176"/>
      <c r="P7" s="177"/>
      <c r="Q7" s="177"/>
    </row>
    <row r="8" spans="1:17" x14ac:dyDescent="0.25">
      <c r="A8" s="140" t="s">
        <v>84</v>
      </c>
      <c r="B8" s="172">
        <f>VLOOKUP(A8,'Opex Modelling Results'!$E$8:$F$21,2,FALSE)</f>
        <v>0.7705303430557251</v>
      </c>
      <c r="E8" s="166"/>
      <c r="F8" s="166"/>
      <c r="G8" s="166"/>
      <c r="H8" s="166"/>
      <c r="I8" s="166"/>
      <c r="J8" s="166"/>
      <c r="K8" s="166"/>
      <c r="N8" s="166"/>
      <c r="O8" s="176"/>
      <c r="P8" s="177"/>
      <c r="Q8" s="177"/>
    </row>
    <row r="9" spans="1:17" x14ac:dyDescent="0.25">
      <c r="A9" s="140" t="s">
        <v>82</v>
      </c>
      <c r="B9" s="172">
        <f>VLOOKUP(A9,'Opex Modelling Results'!$E$8:$F$21,2,FALSE)</f>
        <v>0.80061531066894531</v>
      </c>
      <c r="E9" s="166"/>
      <c r="F9" s="166"/>
      <c r="G9" s="166"/>
      <c r="H9" s="166"/>
      <c r="I9" s="166"/>
      <c r="J9" s="166"/>
      <c r="K9" s="166"/>
      <c r="N9" s="166"/>
      <c r="O9" s="176"/>
      <c r="P9" s="177"/>
      <c r="Q9" s="177"/>
    </row>
    <row r="10" spans="1:17" x14ac:dyDescent="0.25">
      <c r="A10" s="140" t="s">
        <v>77</v>
      </c>
      <c r="B10" s="172">
        <f>VLOOKUP(A10,'Opex Modelling Results'!$E$8:$F$21,2,FALSE)</f>
        <v>0.77069568634033203</v>
      </c>
      <c r="E10" s="166"/>
      <c r="F10" s="166"/>
      <c r="G10" s="166"/>
      <c r="H10" s="166"/>
      <c r="I10" s="166"/>
      <c r="J10" s="166"/>
      <c r="K10" s="166"/>
      <c r="N10" s="166"/>
      <c r="O10" s="166"/>
      <c r="P10" s="166"/>
      <c r="Q10" s="176"/>
    </row>
    <row r="11" spans="1:17" x14ac:dyDescent="0.25">
      <c r="A11" s="140" t="s">
        <v>80</v>
      </c>
      <c r="B11" s="172">
        <f>VLOOKUP(A11,'Opex Modelling Results'!$E$8:$F$21,2,FALSE)</f>
        <v>0.67488694190979004</v>
      </c>
      <c r="E11" s="166"/>
      <c r="F11" s="166"/>
      <c r="G11" s="166"/>
      <c r="H11" s="166"/>
      <c r="I11" s="166"/>
      <c r="J11" s="166"/>
      <c r="K11" s="166"/>
    </row>
    <row r="12" spans="1:17" x14ac:dyDescent="0.25">
      <c r="A12" s="140" t="s">
        <v>27</v>
      </c>
      <c r="B12" s="172">
        <f>VLOOKUP(A12,'Opex Modelling Results'!$E$8:$F$21,2,FALSE)</f>
        <v>0.60848534107208252</v>
      </c>
      <c r="E12" s="166"/>
      <c r="F12" s="166"/>
      <c r="G12" s="166"/>
      <c r="H12" s="166"/>
      <c r="I12" s="166"/>
      <c r="J12" s="166"/>
      <c r="K12" s="166"/>
    </row>
    <row r="13" spans="1:17" x14ac:dyDescent="0.25">
      <c r="A13" s="140" t="s">
        <v>69</v>
      </c>
      <c r="B13" s="172">
        <f>VLOOKUP(A13,'Opex Modelling Results'!$E$8:$F$21,2,FALSE)</f>
        <v>0.6508486270904541</v>
      </c>
      <c r="E13" s="166"/>
      <c r="F13" s="166"/>
      <c r="G13" s="166"/>
      <c r="H13" s="166"/>
      <c r="I13" s="166"/>
      <c r="J13" s="166"/>
      <c r="K13" s="166"/>
    </row>
    <row r="14" spans="1:17" x14ac:dyDescent="0.25">
      <c r="A14" s="140" t="s">
        <v>63</v>
      </c>
      <c r="B14" s="172">
        <f>VLOOKUP(A14,'Opex Modelling Results'!$E$8:$F$21,2,FALSE)</f>
        <v>0.61505436897277832</v>
      </c>
      <c r="E14" s="166"/>
      <c r="F14" s="166"/>
      <c r="G14" s="166"/>
      <c r="H14" s="166"/>
      <c r="I14" s="166"/>
      <c r="J14" s="166"/>
      <c r="K14" s="166"/>
    </row>
    <row r="15" spans="1:17" x14ac:dyDescent="0.25">
      <c r="A15" s="140" t="s">
        <v>61</v>
      </c>
      <c r="B15" s="172">
        <f>VLOOKUP(A15,'Opex Modelling Results'!$E$8:$F$21,2,FALSE)</f>
        <v>0.61244797706604004</v>
      </c>
      <c r="E15" s="166"/>
      <c r="F15" s="166"/>
      <c r="G15" s="166"/>
      <c r="H15" s="166"/>
      <c r="I15" s="166"/>
      <c r="J15" s="166"/>
      <c r="K15" s="166"/>
    </row>
    <row r="16" spans="1:17" x14ac:dyDescent="0.25">
      <c r="A16" s="140" t="s">
        <v>66</v>
      </c>
      <c r="B16" s="172">
        <f>VLOOKUP(A16,'Opex Modelling Results'!$E$8:$F$21,2,FALSE)</f>
        <v>0.60879975557327271</v>
      </c>
      <c r="E16" s="166"/>
      <c r="F16" s="166"/>
      <c r="G16" s="166"/>
      <c r="H16" s="166"/>
      <c r="I16" s="166"/>
      <c r="J16" s="166"/>
      <c r="K16" s="166"/>
    </row>
    <row r="17" spans="1:11" x14ac:dyDescent="0.25">
      <c r="A17" s="140" t="s">
        <v>55</v>
      </c>
      <c r="B17" s="172">
        <f>VLOOKUP(A17,'Opex Modelling Results'!$E$8:$F$21,2,FALSE)</f>
        <v>0.48473024368286133</v>
      </c>
      <c r="E17" s="166"/>
      <c r="F17" s="166"/>
      <c r="G17" s="166"/>
      <c r="H17" s="166"/>
      <c r="I17" s="166"/>
      <c r="J17" s="166"/>
      <c r="K17" s="166"/>
    </row>
    <row r="18" spans="1:11" x14ac:dyDescent="0.25">
      <c r="A18" s="140" t="s">
        <v>57</v>
      </c>
      <c r="B18" s="172">
        <f>VLOOKUP(A18,'Opex Modelling Results'!$E$8:$F$21,2,FALSE)</f>
        <v>0.45660066604614258</v>
      </c>
      <c r="E18" s="166"/>
      <c r="F18" s="166"/>
      <c r="G18" s="166"/>
      <c r="H18" s="166"/>
      <c r="I18" s="166"/>
      <c r="J18" s="166"/>
      <c r="K18" s="166"/>
    </row>
    <row r="19" spans="1:11" x14ac:dyDescent="0.25">
      <c r="A19" s="140"/>
      <c r="B19" s="166"/>
      <c r="E19" s="179" t="s">
        <v>124</v>
      </c>
      <c r="F19" s="180">
        <v>0.75</v>
      </c>
      <c r="G19" s="181"/>
      <c r="H19" s="166"/>
      <c r="I19" s="166"/>
      <c r="J19" s="166"/>
      <c r="K19" s="166"/>
    </row>
    <row r="20" spans="1:11" x14ac:dyDescent="0.25">
      <c r="A20" s="166"/>
      <c r="B20" s="166"/>
      <c r="E20" s="166"/>
      <c r="F20" s="166"/>
      <c r="G20" s="166"/>
      <c r="H20" s="166"/>
      <c r="I20" s="166"/>
      <c r="J20" s="166"/>
      <c r="K20" s="166"/>
    </row>
    <row r="21" spans="1:11" x14ac:dyDescent="0.25">
      <c r="A21" s="166"/>
      <c r="B21" s="166"/>
      <c r="E21" s="166"/>
      <c r="F21" s="166"/>
      <c r="G21" s="166"/>
      <c r="H21" s="166"/>
      <c r="I21" s="166"/>
      <c r="J21" s="166"/>
      <c r="K21" s="166"/>
    </row>
    <row r="22" spans="1:11" x14ac:dyDescent="0.25">
      <c r="A22" s="140" t="s">
        <v>125</v>
      </c>
      <c r="B22" s="166"/>
      <c r="E22" s="140" t="s">
        <v>116</v>
      </c>
      <c r="F22" s="166"/>
      <c r="G22" s="166"/>
      <c r="H22" s="166"/>
      <c r="I22" s="166"/>
      <c r="J22" s="166"/>
      <c r="K22" s="166"/>
    </row>
    <row r="23" spans="1:11" ht="30" x14ac:dyDescent="0.25">
      <c r="A23" s="167"/>
      <c r="B23" s="168"/>
      <c r="E23" s="167"/>
      <c r="F23" s="169"/>
      <c r="G23" s="166"/>
      <c r="H23" s="168"/>
      <c r="I23" s="169" t="s">
        <v>117</v>
      </c>
      <c r="J23" s="169" t="s">
        <v>118</v>
      </c>
      <c r="K23" s="169" t="s">
        <v>119</v>
      </c>
    </row>
    <row r="24" spans="1:11" ht="30" x14ac:dyDescent="0.25">
      <c r="A24" s="169" t="s">
        <v>25</v>
      </c>
      <c r="B24" s="169" t="s">
        <v>121</v>
      </c>
      <c r="E24" s="169"/>
      <c r="F24" s="170"/>
      <c r="G24" s="166"/>
      <c r="H24" s="169" t="s">
        <v>25</v>
      </c>
      <c r="I24" s="171" t="s">
        <v>122</v>
      </c>
      <c r="J24" s="170"/>
      <c r="K24" s="170"/>
    </row>
    <row r="25" spans="1:11" x14ac:dyDescent="0.25">
      <c r="A25" s="140" t="s">
        <v>74</v>
      </c>
      <c r="B25" s="172">
        <f>VLOOKUP(A25,'Opex Modelling Results'!$L$9:$M$21,2,FALSE)</f>
        <v>1</v>
      </c>
      <c r="E25" s="166"/>
      <c r="F25" s="166"/>
      <c r="G25" s="166"/>
      <c r="H25" s="140" t="str">
        <f>H6</f>
        <v>JEN</v>
      </c>
      <c r="I25" s="173">
        <f>I6</f>
        <v>5.7232458728187482E-2</v>
      </c>
      <c r="J25" s="175">
        <f>$F$38/(1+I25)</f>
        <v>0.70939933200899163</v>
      </c>
      <c r="K25" s="175">
        <f>MAX((1- (VLOOKUP(H25,A25:B37,2,FALSE))/$J25),0)</f>
        <v>0.17110626923224648</v>
      </c>
    </row>
    <row r="26" spans="1:11" x14ac:dyDescent="0.25">
      <c r="A26" s="140" t="s">
        <v>59</v>
      </c>
      <c r="B26" s="172">
        <f>VLOOKUP(A26,'Opex Modelling Results'!$L$9:$M$21,2,FALSE)</f>
        <v>0.76874189731116027</v>
      </c>
      <c r="E26" s="166"/>
      <c r="F26" s="166"/>
      <c r="G26" s="166"/>
      <c r="H26" s="166"/>
      <c r="I26" s="166"/>
      <c r="J26" s="166"/>
      <c r="K26" s="166"/>
    </row>
    <row r="27" spans="1:11" x14ac:dyDescent="0.25">
      <c r="A27" s="140" t="s">
        <v>84</v>
      </c>
      <c r="B27" s="172">
        <f>VLOOKUP(A27,'Opex Modelling Results'!$L$9:$M$21,2,FALSE)</f>
        <v>0.7811406935313765</v>
      </c>
      <c r="E27" s="166"/>
      <c r="F27" s="166"/>
      <c r="G27" s="166"/>
      <c r="H27" s="166"/>
      <c r="I27" s="166"/>
      <c r="J27" s="166"/>
      <c r="K27" s="166"/>
    </row>
    <row r="28" spans="1:11" x14ac:dyDescent="0.25">
      <c r="A28" s="140" t="s">
        <v>82</v>
      </c>
      <c r="B28" s="172">
        <f>VLOOKUP(A28,'Opex Modelling Results'!$L$9:$M$21,2,FALSE)</f>
        <v>0.76951102370757574</v>
      </c>
      <c r="E28" s="166"/>
      <c r="F28" s="166"/>
      <c r="G28" s="166"/>
      <c r="H28" s="166"/>
      <c r="I28" s="166"/>
      <c r="J28" s="166"/>
      <c r="K28" s="166"/>
    </row>
    <row r="29" spans="1:11" x14ac:dyDescent="0.25">
      <c r="A29" s="140" t="s">
        <v>77</v>
      </c>
      <c r="B29" s="172">
        <f>VLOOKUP(A29,'Opex Modelling Results'!$L$9:$M$21,2,FALSE)</f>
        <v>0.73124991256888194</v>
      </c>
      <c r="E29" s="166"/>
      <c r="F29" s="166"/>
      <c r="G29" s="166"/>
      <c r="H29" s="166"/>
      <c r="I29" s="166"/>
      <c r="J29" s="166"/>
      <c r="K29" s="166"/>
    </row>
    <row r="30" spans="1:11" x14ac:dyDescent="0.25">
      <c r="A30" s="140" t="s">
        <v>80</v>
      </c>
      <c r="B30" s="172">
        <f>VLOOKUP(A30,'Opex Modelling Results'!$L$9:$M$21,2,FALSE)</f>
        <v>0.68454561266627822</v>
      </c>
      <c r="E30" s="166"/>
      <c r="F30" s="166"/>
      <c r="G30" s="166"/>
      <c r="H30" s="166"/>
      <c r="I30" s="166"/>
      <c r="J30" s="166"/>
      <c r="K30" s="166"/>
    </row>
    <row r="31" spans="1:11" x14ac:dyDescent="0.25">
      <c r="A31" s="140" t="s">
        <v>69</v>
      </c>
      <c r="B31" s="172">
        <f>VLOOKUP(A31,'Opex Modelling Results'!$L$9:$M$21,2,FALSE)</f>
        <v>0.64018377206164712</v>
      </c>
      <c r="E31" s="166"/>
      <c r="F31" s="166"/>
      <c r="G31" s="166"/>
      <c r="H31" s="166"/>
      <c r="I31" s="166"/>
      <c r="J31" s="166"/>
      <c r="K31" s="166"/>
    </row>
    <row r="32" spans="1:11" x14ac:dyDescent="0.25">
      <c r="A32" s="140" t="s">
        <v>27</v>
      </c>
      <c r="B32" s="172">
        <f>VLOOKUP(A32,'Opex Modelling Results'!$L$9:$M$21,2,FALSE)</f>
        <v>0.5880166589130853</v>
      </c>
      <c r="E32" s="166"/>
      <c r="F32" s="166"/>
      <c r="G32" s="166"/>
      <c r="H32" s="166"/>
      <c r="I32" s="166"/>
      <c r="J32" s="166"/>
      <c r="K32" s="166"/>
    </row>
    <row r="33" spans="1:11" x14ac:dyDescent="0.25">
      <c r="A33" s="140" t="s">
        <v>63</v>
      </c>
      <c r="B33" s="172">
        <f>VLOOKUP(A33,'Opex Modelling Results'!$L$9:$M$21,2,FALSE)</f>
        <v>0.5897833576128505</v>
      </c>
      <c r="E33" s="166"/>
      <c r="F33" s="166"/>
      <c r="G33" s="166"/>
      <c r="H33" s="166"/>
      <c r="I33" s="166"/>
      <c r="J33" s="166"/>
      <c r="K33" s="166"/>
    </row>
    <row r="34" spans="1:11" x14ac:dyDescent="0.25">
      <c r="A34" s="140" t="s">
        <v>66</v>
      </c>
      <c r="B34" s="172">
        <f>VLOOKUP(A34,'Opex Modelling Results'!$L$9:$M$21,2,FALSE)</f>
        <v>0.59214721560748118</v>
      </c>
      <c r="E34" s="166"/>
      <c r="F34" s="166"/>
      <c r="G34" s="166"/>
      <c r="H34" s="166"/>
      <c r="I34" s="166"/>
      <c r="J34" s="166"/>
      <c r="K34" s="166"/>
    </row>
    <row r="35" spans="1:11" x14ac:dyDescent="0.25">
      <c r="A35" s="140" t="s">
        <v>61</v>
      </c>
      <c r="B35" s="172">
        <f>VLOOKUP(A35,'Opex Modelling Results'!$L$9:$M$21,2,FALSE)</f>
        <v>0.58216579539864144</v>
      </c>
      <c r="E35" s="166"/>
      <c r="F35" s="166"/>
      <c r="G35" s="166"/>
      <c r="H35" s="166"/>
      <c r="I35" s="166"/>
      <c r="J35" s="166"/>
      <c r="K35" s="166"/>
    </row>
    <row r="36" spans="1:11" x14ac:dyDescent="0.25">
      <c r="A36" s="140" t="s">
        <v>57</v>
      </c>
      <c r="B36" s="172">
        <f>VLOOKUP(A36,'Opex Modelling Results'!$L$9:$M$21,2,FALSE)</f>
        <v>0.44087230644975611</v>
      </c>
      <c r="E36" s="166"/>
      <c r="F36" s="166"/>
      <c r="G36" s="166"/>
      <c r="H36" s="166"/>
      <c r="I36" s="166"/>
      <c r="J36" s="166"/>
      <c r="K36" s="166"/>
    </row>
    <row r="37" spans="1:11" x14ac:dyDescent="0.25">
      <c r="A37" s="140" t="s">
        <v>55</v>
      </c>
      <c r="B37" s="172">
        <f>VLOOKUP(A37,'Opex Modelling Results'!$L$9:$M$21,2,FALSE)</f>
        <v>0.43257480847288665</v>
      </c>
      <c r="E37" s="166"/>
      <c r="F37" s="166"/>
      <c r="G37" s="166"/>
      <c r="H37" s="166"/>
      <c r="I37" s="166"/>
      <c r="J37" s="166"/>
      <c r="K37" s="166"/>
    </row>
    <row r="38" spans="1:11" x14ac:dyDescent="0.25">
      <c r="A38" s="140"/>
      <c r="B38" s="166"/>
      <c r="E38" s="179" t="s">
        <v>124</v>
      </c>
      <c r="F38" s="180">
        <v>0.75</v>
      </c>
      <c r="G38" s="166"/>
      <c r="H38" s="166"/>
      <c r="I38" s="166"/>
      <c r="J38" s="166"/>
      <c r="K38" s="166"/>
    </row>
    <row r="39" spans="1:11" x14ac:dyDescent="0.25">
      <c r="A39" s="166"/>
      <c r="B39" s="166"/>
      <c r="E39" s="166"/>
      <c r="F39" s="166"/>
      <c r="G39" s="166"/>
      <c r="H39" s="166"/>
      <c r="I39" s="166"/>
      <c r="J39" s="166"/>
      <c r="K39" s="166"/>
    </row>
    <row r="40" spans="1:11" x14ac:dyDescent="0.25">
      <c r="A40" s="166"/>
      <c r="B40" s="166"/>
      <c r="E40" s="166"/>
      <c r="F40" s="166"/>
      <c r="G40" s="166"/>
      <c r="H40" s="166"/>
      <c r="I40" s="166"/>
      <c r="J40" s="166"/>
      <c r="K40" s="166"/>
    </row>
    <row r="41" spans="1:11" x14ac:dyDescent="0.25">
      <c r="A41" s="140" t="s">
        <v>44</v>
      </c>
      <c r="B41" s="166"/>
      <c r="E41" s="140" t="s">
        <v>116</v>
      </c>
      <c r="F41" s="166"/>
      <c r="G41" s="166"/>
      <c r="H41" s="166"/>
      <c r="I41" s="166"/>
      <c r="J41" s="166"/>
      <c r="K41" s="166"/>
    </row>
    <row r="42" spans="1:11" ht="30" x14ac:dyDescent="0.25">
      <c r="A42" s="167"/>
      <c r="B42" s="168"/>
      <c r="E42" s="167"/>
      <c r="F42" s="169"/>
      <c r="G42" s="166"/>
      <c r="H42" s="168"/>
      <c r="I42" s="169" t="s">
        <v>117</v>
      </c>
      <c r="J42" s="169" t="s">
        <v>118</v>
      </c>
      <c r="K42" s="169" t="s">
        <v>119</v>
      </c>
    </row>
    <row r="43" spans="1:11" ht="30" x14ac:dyDescent="0.25">
      <c r="A43" s="169" t="s">
        <v>25</v>
      </c>
      <c r="B43" s="169" t="s">
        <v>121</v>
      </c>
      <c r="E43" s="169"/>
      <c r="F43" s="170"/>
      <c r="G43" s="166"/>
      <c r="H43" s="169" t="s">
        <v>25</v>
      </c>
      <c r="I43" s="171" t="s">
        <v>122</v>
      </c>
      <c r="J43" s="170"/>
      <c r="K43" s="170"/>
    </row>
    <row r="44" spans="1:11" x14ac:dyDescent="0.25">
      <c r="A44" s="140" t="s">
        <v>74</v>
      </c>
      <c r="B44" s="182">
        <f>VLOOKUP(A44,'Opex Modelling Results'!$S$9:$T$21,2,FALSE)</f>
        <v>1</v>
      </c>
      <c r="E44" s="166"/>
      <c r="F44" s="166"/>
      <c r="G44" s="166"/>
      <c r="H44" s="140" t="str">
        <f>H6</f>
        <v>JEN</v>
      </c>
      <c r="I44" s="173">
        <f>I6</f>
        <v>5.7232458728187482E-2</v>
      </c>
      <c r="J44" s="175">
        <f>$F$57/(1+I44)</f>
        <v>0.70939933200899163</v>
      </c>
      <c r="K44" s="175">
        <f>MAX((1- (VLOOKUP(H44,A44:B56,2,FALSE))/$J44),0)</f>
        <v>0.32811180025620512</v>
      </c>
    </row>
    <row r="45" spans="1:11" x14ac:dyDescent="0.25">
      <c r="A45" s="140" t="s">
        <v>59</v>
      </c>
      <c r="B45" s="182">
        <f>VLOOKUP(A45,'Opex Modelling Results'!$S$9:$T$21,2,FALSE)</f>
        <v>0.78899128801760976</v>
      </c>
      <c r="E45" s="166"/>
      <c r="F45" s="166"/>
      <c r="G45" s="166"/>
      <c r="H45" s="166"/>
      <c r="I45" s="166"/>
      <c r="J45" s="166"/>
      <c r="K45" s="166"/>
    </row>
    <row r="46" spans="1:11" x14ac:dyDescent="0.25">
      <c r="A46" s="140" t="s">
        <v>77</v>
      </c>
      <c r="B46" s="182">
        <f>VLOOKUP(A46,'Opex Modelling Results'!$S$9:$T$21,2,FALSE)</f>
        <v>0.78978067393280271</v>
      </c>
      <c r="E46" s="166"/>
      <c r="F46" s="166"/>
      <c r="G46" s="166"/>
      <c r="H46" s="166"/>
      <c r="I46" s="166"/>
      <c r="J46" s="166"/>
      <c r="K46" s="166"/>
    </row>
    <row r="47" spans="1:11" x14ac:dyDescent="0.25">
      <c r="A47" s="140" t="s">
        <v>82</v>
      </c>
      <c r="B47" s="182">
        <f>VLOOKUP(A47,'Opex Modelling Results'!$S$9:$T$21,2,FALSE)</f>
        <v>0.77724473806894612</v>
      </c>
      <c r="E47" s="166"/>
      <c r="F47" s="166"/>
      <c r="G47" s="166"/>
      <c r="H47" s="166"/>
      <c r="I47" s="166"/>
      <c r="J47" s="166"/>
      <c r="K47" s="166"/>
    </row>
    <row r="48" spans="1:11" x14ac:dyDescent="0.25">
      <c r="A48" s="140" t="s">
        <v>69</v>
      </c>
      <c r="B48" s="182">
        <f>VLOOKUP(A48,'Opex Modelling Results'!$S$9:$T$21,2,FALSE)</f>
        <v>0.75578374145572547</v>
      </c>
      <c r="E48" s="166"/>
      <c r="F48" s="166"/>
      <c r="G48" s="166"/>
      <c r="H48" s="166"/>
      <c r="I48" s="166"/>
      <c r="J48" s="166"/>
      <c r="K48" s="166"/>
    </row>
    <row r="49" spans="1:11" x14ac:dyDescent="0.25">
      <c r="A49" s="140" t="s">
        <v>84</v>
      </c>
      <c r="B49" s="182">
        <f>VLOOKUP(A49,'Opex Modelling Results'!$S$9:$T$21,2,FALSE)</f>
        <v>0.6325474762073634</v>
      </c>
      <c r="E49" s="166"/>
      <c r="F49" s="166"/>
      <c r="G49" s="166"/>
      <c r="H49" s="166"/>
      <c r="I49" s="166"/>
      <c r="J49" s="166"/>
      <c r="K49" s="166"/>
    </row>
    <row r="50" spans="1:11" x14ac:dyDescent="0.25">
      <c r="A50" s="140" t="s">
        <v>80</v>
      </c>
      <c r="B50" s="182">
        <f>VLOOKUP(A50,'Opex Modelling Results'!$S$9:$T$21,2,FALSE)</f>
        <v>0.60713749373878967</v>
      </c>
      <c r="E50" s="166"/>
      <c r="F50" s="166"/>
      <c r="G50" s="166"/>
      <c r="H50" s="166"/>
      <c r="I50" s="166"/>
      <c r="J50" s="166"/>
      <c r="K50" s="166"/>
    </row>
    <row r="51" spans="1:11" x14ac:dyDescent="0.25">
      <c r="A51" s="140" t="s">
        <v>66</v>
      </c>
      <c r="B51" s="182">
        <f>VLOOKUP(A51,'Opex Modelling Results'!$S$9:$T$21,2,FALSE)</f>
        <v>0.69142541045030859</v>
      </c>
      <c r="E51" s="166"/>
      <c r="F51" s="166"/>
      <c r="G51" s="166"/>
      <c r="H51" s="166"/>
      <c r="I51" s="166"/>
      <c r="J51" s="166"/>
      <c r="K51" s="166"/>
    </row>
    <row r="52" spans="1:11" x14ac:dyDescent="0.25">
      <c r="A52" s="140" t="s">
        <v>63</v>
      </c>
      <c r="B52" s="182">
        <f>VLOOKUP(A52,'Opex Modelling Results'!$S$9:$T$21,2,FALSE)</f>
        <v>0.58274825237398975</v>
      </c>
      <c r="E52" s="166"/>
      <c r="F52" s="166"/>
      <c r="G52" s="166"/>
      <c r="H52" s="166"/>
      <c r="I52" s="166"/>
      <c r="J52" s="166"/>
      <c r="K52" s="166"/>
    </row>
    <row r="53" spans="1:11" x14ac:dyDescent="0.25">
      <c r="A53" s="140" t="s">
        <v>61</v>
      </c>
      <c r="B53" s="182">
        <f>VLOOKUP(A53,'Opex Modelling Results'!$S$9:$T$21,2,FALSE)</f>
        <v>0.61940248469279924</v>
      </c>
      <c r="E53" s="166"/>
      <c r="F53" s="166"/>
      <c r="G53" s="166"/>
      <c r="H53" s="166"/>
      <c r="I53" s="166"/>
      <c r="J53" s="166"/>
      <c r="K53" s="166"/>
    </row>
    <row r="54" spans="1:11" x14ac:dyDescent="0.25">
      <c r="A54" s="140" t="s">
        <v>27</v>
      </c>
      <c r="B54" s="182">
        <f>VLOOKUP(A54,'Opex Modelling Results'!$S$9:$T$21,2,FALSE)</f>
        <v>0.47663704008297203</v>
      </c>
      <c r="E54" s="166"/>
      <c r="F54" s="166"/>
      <c r="G54" s="166"/>
      <c r="H54" s="166"/>
      <c r="I54" s="166"/>
      <c r="J54" s="166"/>
      <c r="K54" s="166"/>
    </row>
    <row r="55" spans="1:11" x14ac:dyDescent="0.25">
      <c r="A55" s="140" t="s">
        <v>57</v>
      </c>
      <c r="B55" s="182">
        <f>VLOOKUP(A55,'Opex Modelling Results'!$S$9:$T$21,2,FALSE)</f>
        <v>0.43257480847288665</v>
      </c>
      <c r="E55" s="166"/>
      <c r="F55" s="166"/>
      <c r="G55" s="166"/>
      <c r="H55" s="166"/>
      <c r="I55" s="166"/>
      <c r="J55" s="166"/>
      <c r="K55" s="166"/>
    </row>
    <row r="56" spans="1:11" x14ac:dyDescent="0.25">
      <c r="A56" s="140" t="s">
        <v>55</v>
      </c>
      <c r="B56" s="182">
        <f>VLOOKUP(A56,'Opex Modelling Results'!$S$9:$T$21,2,FALSE)</f>
        <v>0.42147281477591764</v>
      </c>
      <c r="E56" s="166"/>
      <c r="F56" s="166"/>
      <c r="G56" s="166"/>
      <c r="H56" s="166"/>
      <c r="I56" s="166"/>
      <c r="J56" s="166"/>
      <c r="K56" s="166"/>
    </row>
    <row r="57" spans="1:11" x14ac:dyDescent="0.25">
      <c r="A57" s="140"/>
      <c r="B57" s="166"/>
      <c r="E57" s="179" t="s">
        <v>124</v>
      </c>
      <c r="F57" s="180">
        <v>0.75</v>
      </c>
      <c r="G57" s="166"/>
      <c r="H57" s="166"/>
      <c r="I57" s="166"/>
      <c r="J57" s="166"/>
      <c r="K57" s="166"/>
    </row>
    <row r="58" spans="1:11" x14ac:dyDescent="0.25">
      <c r="A58" s="166"/>
      <c r="B58" s="166"/>
      <c r="E58" s="166"/>
      <c r="F58" s="166"/>
      <c r="G58" s="166"/>
      <c r="H58" s="166"/>
      <c r="I58" s="166"/>
      <c r="J58" s="166"/>
      <c r="K58" s="166"/>
    </row>
    <row r="59" spans="1:11" x14ac:dyDescent="0.25">
      <c r="A59" s="166"/>
      <c r="B59" s="166"/>
      <c r="E59" s="166"/>
      <c r="F59" s="166"/>
      <c r="G59" s="166"/>
      <c r="H59" s="166"/>
      <c r="I59" s="166"/>
      <c r="J59" s="166"/>
      <c r="K59" s="166"/>
    </row>
    <row r="60" spans="1:11" x14ac:dyDescent="0.25">
      <c r="A60" s="140" t="s">
        <v>123</v>
      </c>
      <c r="B60" s="166"/>
      <c r="E60" s="140" t="s">
        <v>116</v>
      </c>
      <c r="F60" s="166"/>
      <c r="G60" s="166"/>
      <c r="H60" s="166"/>
      <c r="I60" s="166"/>
      <c r="J60" s="166"/>
      <c r="K60" s="166"/>
    </row>
    <row r="61" spans="1:11" ht="30" x14ac:dyDescent="0.25">
      <c r="A61" s="167"/>
      <c r="B61" s="168"/>
      <c r="E61" s="167"/>
      <c r="F61" s="169"/>
      <c r="G61" s="166"/>
      <c r="H61" s="168"/>
      <c r="I61" s="169" t="s">
        <v>117</v>
      </c>
      <c r="J61" s="169" t="s">
        <v>118</v>
      </c>
      <c r="K61" s="169" t="s">
        <v>119</v>
      </c>
    </row>
    <row r="62" spans="1:11" ht="30" x14ac:dyDescent="0.25">
      <c r="A62" s="169" t="s">
        <v>25</v>
      </c>
      <c r="B62" s="169" t="s">
        <v>121</v>
      </c>
      <c r="E62" s="169"/>
      <c r="F62" s="170"/>
      <c r="G62" s="166"/>
      <c r="H62" s="169" t="s">
        <v>25</v>
      </c>
      <c r="I62" s="171" t="s">
        <v>122</v>
      </c>
      <c r="J62" s="170"/>
      <c r="K62" s="170"/>
    </row>
    <row r="63" spans="1:11" x14ac:dyDescent="0.25">
      <c r="A63" s="140" t="s">
        <v>74</v>
      </c>
      <c r="B63" s="182">
        <f>VLOOKUP(A63,'Opex Modelling Results'!$Z$9:$AA$21,2,FALSE)</f>
        <v>0.94287598133087158</v>
      </c>
      <c r="E63" s="166"/>
      <c r="F63" s="166"/>
      <c r="G63" s="166"/>
      <c r="H63" s="140" t="str">
        <f>H6</f>
        <v>JEN</v>
      </c>
      <c r="I63" s="173">
        <f>I25</f>
        <v>5.7232458728187482E-2</v>
      </c>
      <c r="J63" s="175">
        <f>$F$76/(1+I63)</f>
        <v>0.70939933200899163</v>
      </c>
      <c r="K63" s="175">
        <f>MAX((1- (VLOOKUP(H63,A63:B75,2,FALSE))/$J63),0)</f>
        <v>0.23537058049667159</v>
      </c>
    </row>
    <row r="64" spans="1:11" x14ac:dyDescent="0.25">
      <c r="A64" s="140" t="s">
        <v>59</v>
      </c>
      <c r="B64" s="182">
        <f>VLOOKUP(A64,'Opex Modelling Results'!$Z$9:$AA$21,2,FALSE)</f>
        <v>0.92007380723953247</v>
      </c>
      <c r="E64" s="166"/>
      <c r="F64" s="166"/>
      <c r="G64" s="166"/>
      <c r="H64" s="166"/>
      <c r="I64" s="166"/>
      <c r="J64" s="166"/>
      <c r="K64" s="166"/>
    </row>
    <row r="65" spans="1:11" x14ac:dyDescent="0.25">
      <c r="A65" s="140" t="s">
        <v>84</v>
      </c>
      <c r="B65" s="182">
        <f>VLOOKUP(A65,'Opex Modelling Results'!$Z$9:$AA$21,2,FALSE)</f>
        <v>0.67520695924758911</v>
      </c>
      <c r="E65" s="166"/>
      <c r="F65" s="166"/>
      <c r="G65" s="166"/>
      <c r="H65" s="166"/>
      <c r="I65" s="166"/>
      <c r="J65" s="166"/>
      <c r="K65" s="166"/>
    </row>
    <row r="66" spans="1:11" x14ac:dyDescent="0.25">
      <c r="A66" s="140" t="s">
        <v>77</v>
      </c>
      <c r="B66" s="182">
        <f>VLOOKUP(A66,'Opex Modelling Results'!$Z$9:$AA$21,2,FALSE)</f>
        <v>0.78583359718322754</v>
      </c>
      <c r="E66" s="166"/>
      <c r="F66" s="166"/>
      <c r="G66" s="166"/>
      <c r="H66" s="166"/>
      <c r="I66" s="166"/>
      <c r="J66" s="166"/>
      <c r="K66" s="166"/>
    </row>
    <row r="67" spans="1:11" x14ac:dyDescent="0.25">
      <c r="A67" s="140" t="s">
        <v>82</v>
      </c>
      <c r="B67" s="182">
        <f>VLOOKUP(A67,'Opex Modelling Results'!$Z$9:$AA$21,2,FALSE)</f>
        <v>0.80484956502914429</v>
      </c>
      <c r="E67" s="166"/>
      <c r="F67" s="166"/>
      <c r="G67" s="166"/>
      <c r="H67" s="166"/>
      <c r="I67" s="166"/>
      <c r="J67" s="166"/>
      <c r="K67" s="166"/>
    </row>
    <row r="68" spans="1:11" x14ac:dyDescent="0.25">
      <c r="A68" s="140" t="s">
        <v>69</v>
      </c>
      <c r="B68" s="182">
        <f>VLOOKUP(A68,'Opex Modelling Results'!$Z$9:$AA$21,2,FALSE)</f>
        <v>0.75646430253982544</v>
      </c>
      <c r="E68" s="166"/>
      <c r="F68" s="166"/>
      <c r="G68" s="166"/>
      <c r="H68" s="166"/>
      <c r="I68" s="166"/>
      <c r="J68" s="166"/>
      <c r="K68" s="166"/>
    </row>
    <row r="69" spans="1:11" x14ac:dyDescent="0.25">
      <c r="A69" s="140" t="s">
        <v>80</v>
      </c>
      <c r="B69" s="182">
        <f>VLOOKUP(A69,'Opex Modelling Results'!$Z$9:$AA$21,2,FALSE)</f>
        <v>0.5971493124961853</v>
      </c>
      <c r="E69" s="166"/>
      <c r="F69" s="166"/>
      <c r="G69" s="166"/>
      <c r="H69" s="166"/>
      <c r="I69" s="166"/>
      <c r="J69" s="166"/>
      <c r="K69" s="166"/>
    </row>
    <row r="70" spans="1:11" x14ac:dyDescent="0.25">
      <c r="A70" s="140" t="s">
        <v>63</v>
      </c>
      <c r="B70" s="182">
        <f>VLOOKUP(A70,'Opex Modelling Results'!$Z$9:$AA$21,2,FALSE)</f>
        <v>0.57133156061172485</v>
      </c>
      <c r="E70" s="166"/>
      <c r="F70" s="166"/>
      <c r="G70" s="166"/>
      <c r="H70" s="166"/>
      <c r="I70" s="166"/>
      <c r="J70" s="166"/>
      <c r="K70" s="166"/>
    </row>
    <row r="71" spans="1:11" x14ac:dyDescent="0.25">
      <c r="A71" s="140" t="s">
        <v>66</v>
      </c>
      <c r="B71" s="182">
        <f>VLOOKUP(A71,'Opex Modelling Results'!$Z$9:$AA$21,2,FALSE)</f>
        <v>0.66647225618362427</v>
      </c>
      <c r="E71" s="166"/>
      <c r="F71" s="166"/>
      <c r="G71" s="166"/>
      <c r="H71" s="166"/>
      <c r="I71" s="166"/>
      <c r="J71" s="166"/>
      <c r="K71" s="166"/>
    </row>
    <row r="72" spans="1:11" x14ac:dyDescent="0.25">
      <c r="A72" s="140" t="s">
        <v>61</v>
      </c>
      <c r="B72" s="182">
        <f>VLOOKUP(A72,'Opex Modelling Results'!$Z$9:$AA$21,2,FALSE)</f>
        <v>0.61106514930725098</v>
      </c>
      <c r="E72" s="166"/>
      <c r="F72" s="166"/>
      <c r="G72" s="166"/>
      <c r="H72" s="166"/>
      <c r="I72" s="166"/>
      <c r="J72" s="166"/>
      <c r="K72" s="166"/>
    </row>
    <row r="73" spans="1:11" x14ac:dyDescent="0.25">
      <c r="A73" s="140" t="s">
        <v>27</v>
      </c>
      <c r="B73" s="182">
        <f>VLOOKUP(A73,'Opex Modelling Results'!$Z$9:$AA$21,2,FALSE)</f>
        <v>0.54242759943008423</v>
      </c>
      <c r="E73" s="166"/>
      <c r="F73" s="166"/>
      <c r="G73" s="166"/>
      <c r="H73" s="166"/>
      <c r="I73" s="166"/>
      <c r="J73" s="166"/>
      <c r="K73" s="166"/>
    </row>
    <row r="74" spans="1:11" x14ac:dyDescent="0.25">
      <c r="A74" s="140" t="s">
        <v>57</v>
      </c>
      <c r="B74" s="182">
        <f>VLOOKUP(A74,'Opex Modelling Results'!$Z$9:$AA$21,2,FALSE)</f>
        <v>0.43234154582023621</v>
      </c>
      <c r="E74" s="166"/>
      <c r="F74" s="166"/>
      <c r="G74" s="166"/>
      <c r="H74" s="166"/>
      <c r="I74" s="166"/>
      <c r="J74" s="166"/>
      <c r="K74" s="166"/>
    </row>
    <row r="75" spans="1:11" x14ac:dyDescent="0.25">
      <c r="A75" s="140" t="s">
        <v>55</v>
      </c>
      <c r="B75" s="182">
        <f>VLOOKUP(A75,'Opex Modelling Results'!$Z$9:$AA$21,2,FALSE)</f>
        <v>0.49433383345603943</v>
      </c>
      <c r="E75" s="166"/>
      <c r="F75" s="166"/>
      <c r="G75" s="166"/>
      <c r="H75" s="166"/>
      <c r="I75" s="166"/>
      <c r="J75" s="166"/>
      <c r="K75" s="166"/>
    </row>
    <row r="76" spans="1:11" x14ac:dyDescent="0.25">
      <c r="E76" s="179" t="s">
        <v>124</v>
      </c>
      <c r="F76" s="180">
        <v>0.75</v>
      </c>
      <c r="G76" s="166"/>
      <c r="H76" s="166"/>
      <c r="I76" s="166"/>
      <c r="J76" s="166"/>
      <c r="K76" s="166"/>
    </row>
    <row r="79" spans="1:11" x14ac:dyDescent="0.25">
      <c r="A79" s="202"/>
      <c r="B79" s="20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>
      <selection activeCell="J39" sqref="J39"/>
    </sheetView>
  </sheetViews>
  <sheetFormatPr defaultRowHeight="15" x14ac:dyDescent="0.25"/>
  <cols>
    <col min="1" max="1" width="64.7109375" bestFit="1" customWidth="1"/>
    <col min="2" max="2" width="16.42578125" bestFit="1" customWidth="1"/>
    <col min="8" max="8" width="16.140625" bestFit="1" customWidth="1"/>
  </cols>
  <sheetData>
    <row r="1" spans="1:24" x14ac:dyDescent="0.25">
      <c r="A1" s="130" t="str">
        <f>Inputs!C3&amp;" Opex – Base Opex – Using RIN Data and Estimated Opex Cost Functions"</f>
        <v>JEN Opex – Base Opex – Using RIN Data and Estimated Opex Cost Functions</v>
      </c>
      <c r="B1" s="131"/>
      <c r="C1" s="131"/>
      <c r="D1" s="131"/>
      <c r="E1" s="131"/>
      <c r="F1" s="131"/>
      <c r="G1" s="131"/>
      <c r="H1" s="136"/>
      <c r="I1" s="131"/>
      <c r="J1" s="131" t="s">
        <v>146</v>
      </c>
      <c r="K1" s="131"/>
      <c r="L1" s="131"/>
      <c r="M1" s="131"/>
      <c r="N1" s="136"/>
      <c r="O1" s="131"/>
      <c r="P1" s="131"/>
      <c r="Q1" s="131"/>
      <c r="R1" s="131"/>
      <c r="S1" s="131"/>
      <c r="T1" s="136"/>
      <c r="U1" s="131"/>
      <c r="V1" s="131"/>
      <c r="W1" s="131"/>
      <c r="X1" s="131"/>
    </row>
    <row r="2" spans="1:24" x14ac:dyDescent="0.25">
      <c r="A2" s="130"/>
      <c r="B2" s="131"/>
      <c r="C2" s="131"/>
      <c r="D2" s="131"/>
      <c r="E2" s="131"/>
      <c r="F2" s="131"/>
      <c r="G2" s="131"/>
      <c r="H2" s="136"/>
      <c r="I2" s="131"/>
      <c r="J2" s="131"/>
      <c r="K2" s="131"/>
      <c r="L2" s="131"/>
      <c r="M2" s="131"/>
      <c r="N2" s="136"/>
      <c r="O2" s="131"/>
      <c r="P2" s="131"/>
      <c r="Q2" s="131"/>
      <c r="R2" s="131"/>
      <c r="S2" s="131"/>
      <c r="T2" s="136"/>
      <c r="U2" s="131"/>
      <c r="V2" s="131"/>
      <c r="W2" s="131"/>
      <c r="X2" s="131"/>
    </row>
    <row r="3" spans="1:24" x14ac:dyDescent="0.25">
      <c r="A3" s="131"/>
      <c r="B3" s="140" t="str">
        <f>'Opex Modelling Results'!A4</f>
        <v xml:space="preserve">Cobb-Douglas SFA </v>
      </c>
      <c r="C3" s="131"/>
      <c r="D3" s="131"/>
      <c r="E3" s="131"/>
      <c r="F3" s="131"/>
      <c r="G3" s="131"/>
      <c r="H3" s="141" t="str">
        <f>'Opex Modelling Results'!H4</f>
        <v xml:space="preserve">Cobb-Douglas LSE </v>
      </c>
      <c r="I3" s="131"/>
      <c r="J3" s="131"/>
      <c r="K3" s="131"/>
      <c r="L3" s="131"/>
      <c r="M3" s="131"/>
      <c r="N3" s="141" t="str">
        <f>'Opex Modelling Results'!O4</f>
        <v>Translog LSE</v>
      </c>
      <c r="O3" s="131"/>
      <c r="P3" s="131"/>
      <c r="Q3" s="131"/>
      <c r="R3" s="131"/>
      <c r="S3" s="131"/>
      <c r="T3" s="141" t="str">
        <f>'Opex Modelling Results'!V4</f>
        <v xml:space="preserve">Translog SFA </v>
      </c>
      <c r="U3" s="131"/>
      <c r="V3" s="131"/>
      <c r="W3" s="131"/>
      <c r="X3" s="131"/>
    </row>
    <row r="4" spans="1:24" x14ac:dyDescent="0.25">
      <c r="A4" s="130"/>
      <c r="B4" s="131"/>
      <c r="C4" s="131"/>
      <c r="D4" s="131"/>
      <c r="E4" s="131"/>
      <c r="F4" s="131"/>
      <c r="G4" s="131"/>
      <c r="H4" s="136"/>
      <c r="I4" s="131"/>
      <c r="J4" s="131"/>
      <c r="K4" s="131"/>
      <c r="L4" s="131"/>
      <c r="M4" s="131"/>
      <c r="N4" s="136"/>
      <c r="O4" s="131"/>
      <c r="P4" s="131"/>
      <c r="Q4" s="131"/>
      <c r="R4" s="131"/>
      <c r="S4" s="131"/>
      <c r="T4" s="136"/>
      <c r="U4" s="131"/>
      <c r="V4" s="131"/>
      <c r="W4" s="131"/>
      <c r="X4" s="131"/>
    </row>
    <row r="5" spans="1:24" x14ac:dyDescent="0.25">
      <c r="A5" s="130" t="s">
        <v>126</v>
      </c>
      <c r="B5" s="142" t="s">
        <v>139</v>
      </c>
      <c r="C5" s="130" t="s">
        <v>140</v>
      </c>
      <c r="D5" s="130"/>
      <c r="E5" s="140" t="s">
        <v>143</v>
      </c>
      <c r="F5" s="131"/>
      <c r="G5" s="131"/>
      <c r="H5" s="137" t="s">
        <v>139</v>
      </c>
      <c r="I5" s="130" t="s">
        <v>140</v>
      </c>
      <c r="J5" s="130"/>
      <c r="K5" s="140" t="s">
        <v>143</v>
      </c>
      <c r="L5" s="131"/>
      <c r="M5" s="131"/>
      <c r="N5" s="137" t="s">
        <v>139</v>
      </c>
      <c r="O5" s="130" t="s">
        <v>140</v>
      </c>
      <c r="P5" s="130"/>
      <c r="Q5" s="140" t="s">
        <v>143</v>
      </c>
      <c r="R5" s="131"/>
      <c r="S5" s="131"/>
      <c r="T5" s="137" t="s">
        <v>139</v>
      </c>
      <c r="U5" s="130" t="s">
        <v>140</v>
      </c>
      <c r="V5" s="130"/>
      <c r="W5" s="140" t="s">
        <v>143</v>
      </c>
      <c r="X5" s="131"/>
    </row>
    <row r="6" spans="1:24" x14ac:dyDescent="0.25">
      <c r="A6" s="132" t="s">
        <v>100</v>
      </c>
      <c r="B6" s="143">
        <f>'Opex Modelling Results'!B10</f>
        <v>0.52400000000000002</v>
      </c>
      <c r="C6" s="144">
        <f>B6/SUM(B$6:B$8)</f>
        <v>0.53854059609455296</v>
      </c>
      <c r="D6" s="145"/>
      <c r="E6" s="131" t="str">
        <f>Inputs!C3</f>
        <v>JEN</v>
      </c>
      <c r="F6" s="146">
        <f>'Efficiency Target Option'!K6</f>
        <v>0.14225272901106989</v>
      </c>
      <c r="G6" s="131"/>
      <c r="H6" s="147">
        <f>'Opex Modelling Results'!I10</f>
        <v>0.60699999999999998</v>
      </c>
      <c r="I6" s="144">
        <f>H6/SUM(H$6:H$8)</f>
        <v>0.61313131313131308</v>
      </c>
      <c r="J6" s="145"/>
      <c r="K6" s="131" t="str">
        <f>E6</f>
        <v>JEN</v>
      </c>
      <c r="L6" s="146">
        <f>'Efficiency Target Option'!K25</f>
        <v>0.17110626923224648</v>
      </c>
      <c r="M6" s="131"/>
      <c r="N6" s="147">
        <f>'Opex Modelling Results'!P10</f>
        <v>0.41</v>
      </c>
      <c r="O6" s="144">
        <f>N6/SUM(N$6:N$8)</f>
        <v>0.42399172699069287</v>
      </c>
      <c r="P6" s="145"/>
      <c r="Q6" s="131" t="str">
        <f>K6</f>
        <v>JEN</v>
      </c>
      <c r="R6" s="146">
        <f>'Efficiency Target Option'!K44</f>
        <v>0.32811180025620512</v>
      </c>
      <c r="S6" s="131"/>
      <c r="T6" s="147">
        <f>'Opex Modelling Results'!W10</f>
        <v>0.54100000000000004</v>
      </c>
      <c r="U6" s="144">
        <f>T6/SUM(T$6:T$8)</f>
        <v>0.55715756951596296</v>
      </c>
      <c r="V6" s="145"/>
      <c r="W6" s="131" t="str">
        <f>Q6</f>
        <v>JEN</v>
      </c>
      <c r="X6" s="146">
        <f>'Efficiency Target Option'!K63</f>
        <v>0.23537058049667159</v>
      </c>
    </row>
    <row r="7" spans="1:24" x14ac:dyDescent="0.25">
      <c r="A7" s="132" t="s">
        <v>99</v>
      </c>
      <c r="B7" s="143">
        <f>'Opex Modelling Results'!B11</f>
        <v>0.22900000000000001</v>
      </c>
      <c r="C7" s="144">
        <f>B7/SUM(B$6:B$8)</f>
        <v>0.23535457348406991</v>
      </c>
      <c r="D7" s="145"/>
      <c r="E7" s="145"/>
      <c r="F7" s="145"/>
      <c r="G7" s="145"/>
      <c r="H7" s="147">
        <f>'Opex Modelling Results'!I11</f>
        <v>0.184</v>
      </c>
      <c r="I7" s="144">
        <f>H7/SUM(H$6:H$8)</f>
        <v>0.18585858585858586</v>
      </c>
      <c r="J7" s="145"/>
      <c r="K7" s="145"/>
      <c r="L7" s="145"/>
      <c r="M7" s="145"/>
      <c r="N7" s="147">
        <f>'Opex Modelling Results'!P11</f>
        <v>0.19900000000000001</v>
      </c>
      <c r="O7" s="144">
        <f>N7/SUM(N$6:N$8)</f>
        <v>0.20579110651499485</v>
      </c>
      <c r="P7" s="145"/>
      <c r="Q7" s="145"/>
      <c r="R7" s="145"/>
      <c r="S7" s="145"/>
      <c r="T7" s="147">
        <f>'Opex Modelling Results'!W11</f>
        <v>0.218</v>
      </c>
      <c r="U7" s="144">
        <f>T7/SUM(T$6:T$8)</f>
        <v>0.22451081359423275</v>
      </c>
      <c r="V7" s="145"/>
      <c r="W7" s="145"/>
      <c r="X7" s="145"/>
    </row>
    <row r="8" spans="1:24" x14ac:dyDescent="0.25">
      <c r="A8" s="132" t="s">
        <v>98</v>
      </c>
      <c r="B8" s="143">
        <f>'Opex Modelling Results'!B12</f>
        <v>0.22</v>
      </c>
      <c r="C8" s="144">
        <f>B8/SUM(B$6:B$8)</f>
        <v>0.22610483042137719</v>
      </c>
      <c r="D8" s="145"/>
      <c r="E8" s="145"/>
      <c r="F8" s="145"/>
      <c r="G8" s="148"/>
      <c r="H8" s="147">
        <f>'Opex Modelling Results'!I12</f>
        <v>0.19900000000000001</v>
      </c>
      <c r="I8" s="144">
        <f>H8/SUM(H$6:H$8)</f>
        <v>0.20101010101010103</v>
      </c>
      <c r="J8" s="145"/>
      <c r="K8" s="145"/>
      <c r="L8" s="145"/>
      <c r="M8" s="148"/>
      <c r="N8" s="147">
        <f>'Opex Modelling Results'!P12</f>
        <v>0.35799999999999998</v>
      </c>
      <c r="O8" s="144">
        <f>N8/SUM(N$6:N$8)</f>
        <v>0.3702171664943123</v>
      </c>
      <c r="P8" s="145"/>
      <c r="Q8" s="145"/>
      <c r="R8" s="145"/>
      <c r="S8" s="148"/>
      <c r="T8" s="147">
        <f>'Opex Modelling Results'!W12</f>
        <v>0.21199999999999999</v>
      </c>
      <c r="U8" s="144">
        <f>T8/SUM(T$6:T$8)</f>
        <v>0.21833161688980432</v>
      </c>
      <c r="V8" s="145"/>
      <c r="W8" s="145"/>
      <c r="X8" s="145"/>
    </row>
    <row r="9" spans="1:24" x14ac:dyDescent="0.25">
      <c r="A9" s="132" t="s">
        <v>97</v>
      </c>
      <c r="B9" s="143">
        <f>'Opex Modelling Results'!B13</f>
        <v>-8.5999999999999993E-2</v>
      </c>
      <c r="C9" s="131"/>
      <c r="D9" s="131"/>
      <c r="E9" s="131"/>
      <c r="F9" s="131"/>
      <c r="G9" s="148"/>
      <c r="H9" s="147">
        <f>'Opex Modelling Results'!I13</f>
        <v>-0.161</v>
      </c>
      <c r="I9" s="131"/>
      <c r="J9" s="131"/>
      <c r="K9" s="131"/>
      <c r="L9" s="131"/>
      <c r="M9" s="148"/>
      <c r="N9" s="147">
        <f>'Opex Modelling Results'!P19</f>
        <v>-0.13</v>
      </c>
      <c r="O9" s="131"/>
      <c r="P9" s="131"/>
      <c r="Q9" s="131"/>
      <c r="R9" s="131"/>
      <c r="S9" s="148"/>
      <c r="T9" s="147">
        <f>'Opex Modelling Results'!W19</f>
        <v>-5.7000000000000002E-2</v>
      </c>
      <c r="U9" s="131"/>
      <c r="V9" s="131"/>
      <c r="W9" s="131"/>
      <c r="X9" s="131"/>
    </row>
    <row r="10" spans="1:24" x14ac:dyDescent="0.25">
      <c r="A10" s="132" t="s">
        <v>127</v>
      </c>
      <c r="B10" s="143">
        <f>'Opex Modelling Results'!B14</f>
        <v>8.9999999999999993E-3</v>
      </c>
      <c r="C10" s="131"/>
      <c r="D10" s="131"/>
      <c r="E10" s="131"/>
      <c r="F10" s="131"/>
      <c r="G10" s="131"/>
      <c r="H10" s="147">
        <f>'Opex Modelling Results'!I14</f>
        <v>0.01</v>
      </c>
      <c r="I10" s="131"/>
      <c r="J10" s="131"/>
      <c r="K10" s="131"/>
      <c r="L10" s="131"/>
      <c r="M10" s="131"/>
      <c r="N10" s="147">
        <f>'Opex Modelling Results'!P20</f>
        <v>1.2E-2</v>
      </c>
      <c r="O10" s="131"/>
      <c r="P10" s="131"/>
      <c r="Q10" s="131"/>
      <c r="R10" s="131"/>
      <c r="S10" s="131"/>
      <c r="T10" s="147">
        <f>'Opex Modelling Results'!W20</f>
        <v>8.9999999999999993E-3</v>
      </c>
      <c r="U10" s="131"/>
      <c r="V10" s="131"/>
      <c r="W10" s="131"/>
      <c r="X10" s="131"/>
    </row>
    <row r="11" spans="1:24" x14ac:dyDescent="0.25">
      <c r="A11" s="131"/>
      <c r="B11" s="145"/>
      <c r="C11" s="131"/>
      <c r="D11" s="131"/>
      <c r="E11" s="131"/>
      <c r="F11" s="131"/>
      <c r="G11" s="131"/>
      <c r="H11" s="149"/>
      <c r="I11" s="131"/>
      <c r="J11" s="131"/>
      <c r="K11" s="131"/>
      <c r="L11" s="131"/>
      <c r="M11" s="131"/>
      <c r="N11" s="149"/>
      <c r="O11" s="131"/>
      <c r="P11" s="131"/>
      <c r="Q11" s="131"/>
      <c r="R11" s="131"/>
      <c r="S11" s="131"/>
      <c r="T11" s="149"/>
      <c r="U11" s="131"/>
      <c r="V11" s="131"/>
      <c r="W11" s="131"/>
      <c r="X11" s="131"/>
    </row>
    <row r="12" spans="1:24" x14ac:dyDescent="0.25">
      <c r="A12" s="130" t="s">
        <v>128</v>
      </c>
      <c r="B12" s="131"/>
      <c r="C12" s="142"/>
      <c r="D12" s="142"/>
      <c r="E12" s="142"/>
      <c r="F12" s="142"/>
      <c r="G12" s="131"/>
      <c r="H12" s="136"/>
      <c r="I12" s="142"/>
      <c r="J12" s="142"/>
      <c r="K12" s="142"/>
      <c r="L12" s="142"/>
      <c r="M12" s="131"/>
      <c r="N12" s="136"/>
      <c r="O12" s="142"/>
      <c r="P12" s="142"/>
      <c r="Q12" s="142"/>
      <c r="R12" s="142"/>
      <c r="S12" s="131"/>
      <c r="T12" s="136"/>
      <c r="U12" s="142"/>
      <c r="V12" s="142"/>
      <c r="W12" s="142"/>
      <c r="X12" s="142"/>
    </row>
    <row r="13" spans="1:24" x14ac:dyDescent="0.25">
      <c r="A13" s="131"/>
      <c r="B13" s="131"/>
      <c r="C13" s="150"/>
      <c r="D13" s="150"/>
      <c r="E13" s="150">
        <v>2018</v>
      </c>
      <c r="F13" s="142"/>
      <c r="G13" s="131"/>
      <c r="H13" s="136"/>
      <c r="I13" s="150"/>
      <c r="J13" s="150"/>
      <c r="K13" s="150">
        <v>2018</v>
      </c>
      <c r="L13" s="142"/>
      <c r="M13" s="131"/>
      <c r="N13" s="136"/>
      <c r="O13" s="150"/>
      <c r="P13" s="150"/>
      <c r="Q13" s="150">
        <v>2018</v>
      </c>
      <c r="R13" s="142"/>
      <c r="S13" s="131"/>
      <c r="T13" s="136"/>
      <c r="U13" s="150"/>
      <c r="V13" s="150"/>
      <c r="W13" s="150">
        <v>2018</v>
      </c>
      <c r="X13" s="142"/>
    </row>
    <row r="14" spans="1:24" x14ac:dyDescent="0.25">
      <c r="A14" s="132" t="s">
        <v>100</v>
      </c>
      <c r="B14" s="132"/>
      <c r="C14" s="142"/>
      <c r="D14" s="142"/>
      <c r="E14" s="151">
        <f>'Cost Drivers'!P21</f>
        <v>5.0253193454268291E-2</v>
      </c>
      <c r="F14" s="142"/>
      <c r="G14" s="131"/>
      <c r="H14" s="152"/>
      <c r="I14" s="142"/>
      <c r="J14" s="142"/>
      <c r="K14" s="151">
        <f t="shared" ref="K14:K18" si="0">E14</f>
        <v>5.0253193454268291E-2</v>
      </c>
      <c r="L14" s="142"/>
      <c r="M14" s="131"/>
      <c r="N14" s="152"/>
      <c r="O14" s="142"/>
      <c r="P14" s="142"/>
      <c r="Q14" s="151">
        <f t="shared" ref="Q14:Q16" si="1">K14</f>
        <v>5.0253193454268291E-2</v>
      </c>
      <c r="R14" s="142"/>
      <c r="S14" s="131"/>
      <c r="T14" s="152"/>
      <c r="U14" s="142"/>
      <c r="V14" s="142"/>
      <c r="W14" s="151">
        <f t="shared" ref="W14:W16" si="2">Q14</f>
        <v>5.0253193454268291E-2</v>
      </c>
      <c r="X14" s="142"/>
    </row>
    <row r="15" spans="1:24" x14ac:dyDescent="0.25">
      <c r="A15" s="132" t="s">
        <v>99</v>
      </c>
      <c r="B15" s="132"/>
      <c r="C15" s="142"/>
      <c r="D15" s="142"/>
      <c r="E15" s="151">
        <f>'Cost Drivers'!P22</f>
        <v>3.9907240588299787E-2</v>
      </c>
      <c r="F15" s="142"/>
      <c r="G15" s="131"/>
      <c r="H15" s="152"/>
      <c r="I15" s="142"/>
      <c r="J15" s="142"/>
      <c r="K15" s="151">
        <f t="shared" si="0"/>
        <v>3.9907240588299787E-2</v>
      </c>
      <c r="L15" s="142"/>
      <c r="M15" s="131"/>
      <c r="N15" s="152"/>
      <c r="O15" s="142"/>
      <c r="P15" s="142"/>
      <c r="Q15" s="151">
        <f t="shared" si="1"/>
        <v>3.9907240588299787E-2</v>
      </c>
      <c r="R15" s="142"/>
      <c r="S15" s="131"/>
      <c r="T15" s="152"/>
      <c r="U15" s="142"/>
      <c r="V15" s="142"/>
      <c r="W15" s="151">
        <f t="shared" si="2"/>
        <v>3.9907240588299787E-2</v>
      </c>
      <c r="X15" s="142"/>
    </row>
    <row r="16" spans="1:24" x14ac:dyDescent="0.25">
      <c r="A16" s="132" t="s">
        <v>98</v>
      </c>
      <c r="B16" s="132"/>
      <c r="C16" s="142"/>
      <c r="D16" s="142"/>
      <c r="E16" s="151">
        <f>'Cost Drivers'!P23</f>
        <v>-7.8157765745261393E-4</v>
      </c>
      <c r="F16" s="142"/>
      <c r="G16" s="131"/>
      <c r="H16" s="152"/>
      <c r="I16" s="142"/>
      <c r="J16" s="142"/>
      <c r="K16" s="151">
        <f t="shared" si="0"/>
        <v>-7.8157765745261393E-4</v>
      </c>
      <c r="L16" s="142"/>
      <c r="M16" s="131"/>
      <c r="N16" s="152"/>
      <c r="O16" s="142"/>
      <c r="P16" s="142"/>
      <c r="Q16" s="151">
        <f t="shared" si="1"/>
        <v>-7.8157765745261393E-4</v>
      </c>
      <c r="R16" s="142"/>
      <c r="S16" s="131"/>
      <c r="T16" s="152"/>
      <c r="U16" s="142"/>
      <c r="V16" s="142"/>
      <c r="W16" s="151">
        <f t="shared" si="2"/>
        <v>-7.8157765745261393E-4</v>
      </c>
      <c r="X16" s="142"/>
    </row>
    <row r="17" spans="1:24" x14ac:dyDescent="0.25">
      <c r="A17" s="130" t="s">
        <v>129</v>
      </c>
      <c r="B17" s="130"/>
      <c r="C17" s="142"/>
      <c r="D17" s="142"/>
      <c r="E17" s="153">
        <f>$C6*E14+$C7*E15+$C8*E16</f>
        <v>3.6279017862402535E-2</v>
      </c>
      <c r="F17" s="142"/>
      <c r="G17" s="130"/>
      <c r="H17" s="135"/>
      <c r="I17" s="142"/>
      <c r="J17" s="142"/>
      <c r="K17" s="153">
        <f>$I6*K14+$I7*K15+$I8*K16</f>
        <v>3.8071804789045392E-2</v>
      </c>
      <c r="L17" s="142"/>
      <c r="M17" s="130"/>
      <c r="N17" s="135"/>
      <c r="O17" s="142"/>
      <c r="P17" s="142"/>
      <c r="Q17" s="153">
        <f>$O6*Q14+$O7*Q15+$O8*Q16</f>
        <v>2.9230140012361554E-2</v>
      </c>
      <c r="R17" s="142"/>
      <c r="S17" s="130"/>
      <c r="T17" s="135"/>
      <c r="U17" s="142"/>
      <c r="V17" s="142"/>
      <c r="W17" s="153">
        <f>$U6*W14+$U7*W15+$U8*W16</f>
        <v>3.6787911064499017E-2</v>
      </c>
      <c r="X17" s="142"/>
    </row>
    <row r="18" spans="1:24" x14ac:dyDescent="0.25">
      <c r="A18" s="132" t="s">
        <v>97</v>
      </c>
      <c r="B18" s="132"/>
      <c r="C18" s="142"/>
      <c r="D18" s="142"/>
      <c r="E18" s="151">
        <f>'Cost Drivers'!P24</f>
        <v>7.8110725914153203E-2</v>
      </c>
      <c r="F18" s="142"/>
      <c r="G18" s="131"/>
      <c r="H18" s="152"/>
      <c r="I18" s="142"/>
      <c r="J18" s="142"/>
      <c r="K18" s="151">
        <f t="shared" si="0"/>
        <v>7.8110725914153203E-2</v>
      </c>
      <c r="L18" s="142"/>
      <c r="M18" s="131"/>
      <c r="N18" s="152"/>
      <c r="O18" s="142"/>
      <c r="P18" s="142"/>
      <c r="Q18" s="151">
        <f t="shared" ref="Q18" si="3">K18</f>
        <v>7.8110725914153203E-2</v>
      </c>
      <c r="R18" s="142"/>
      <c r="S18" s="131"/>
      <c r="T18" s="152"/>
      <c r="U18" s="142"/>
      <c r="V18" s="142"/>
      <c r="W18" s="151">
        <f t="shared" ref="W18" si="4">Q18</f>
        <v>7.8110725914153203E-2</v>
      </c>
      <c r="X18" s="142"/>
    </row>
    <row r="19" spans="1:24" x14ac:dyDescent="0.25">
      <c r="A19" s="131"/>
      <c r="B19" s="131"/>
      <c r="C19" s="131"/>
      <c r="D19" s="131"/>
      <c r="E19" s="131"/>
      <c r="F19" s="142"/>
      <c r="G19" s="131"/>
      <c r="H19" s="136"/>
      <c r="I19" s="142"/>
      <c r="J19" s="142"/>
      <c r="K19" s="142"/>
      <c r="L19" s="142"/>
      <c r="M19" s="131"/>
      <c r="N19" s="136"/>
      <c r="O19" s="142"/>
      <c r="P19" s="142"/>
      <c r="Q19" s="142"/>
      <c r="R19" s="142"/>
      <c r="S19" s="131"/>
      <c r="T19" s="136"/>
      <c r="U19" s="142"/>
      <c r="V19" s="142"/>
      <c r="W19" s="142"/>
      <c r="X19" s="142"/>
    </row>
    <row r="20" spans="1:24" x14ac:dyDescent="0.25">
      <c r="A20" s="130" t="s">
        <v>130</v>
      </c>
      <c r="B20" s="130"/>
      <c r="C20" s="130"/>
      <c r="D20" s="130"/>
      <c r="E20" s="131"/>
      <c r="F20" s="142"/>
      <c r="G20" s="131"/>
      <c r="H20" s="135"/>
      <c r="I20" s="142"/>
      <c r="J20" s="142"/>
      <c r="K20" s="142"/>
      <c r="L20" s="142"/>
      <c r="M20" s="131"/>
      <c r="N20" s="135"/>
      <c r="O20" s="142"/>
      <c r="P20" s="142"/>
      <c r="Q20" s="142"/>
      <c r="R20" s="142"/>
      <c r="S20" s="131"/>
      <c r="T20" s="135"/>
      <c r="U20" s="142"/>
      <c r="V20" s="142"/>
      <c r="W20" s="142"/>
      <c r="X20" s="142"/>
    </row>
    <row r="21" spans="1:24" x14ac:dyDescent="0.25">
      <c r="A21" s="130"/>
      <c r="B21" s="130"/>
      <c r="C21" s="130" t="s">
        <v>141</v>
      </c>
      <c r="D21" s="130" t="s">
        <v>142</v>
      </c>
      <c r="E21" s="130" t="s">
        <v>144</v>
      </c>
      <c r="F21" s="142"/>
      <c r="G21" s="131"/>
      <c r="H21" s="135"/>
      <c r="I21" s="130" t="s">
        <v>141</v>
      </c>
      <c r="J21" s="130" t="s">
        <v>142</v>
      </c>
      <c r="K21" s="130" t="s">
        <v>144</v>
      </c>
      <c r="L21" s="142"/>
      <c r="M21" s="131"/>
      <c r="N21" s="135"/>
      <c r="O21" s="130" t="s">
        <v>141</v>
      </c>
      <c r="P21" s="130" t="s">
        <v>142</v>
      </c>
      <c r="Q21" s="130" t="s">
        <v>144</v>
      </c>
      <c r="R21" s="142"/>
      <c r="S21" s="131"/>
      <c r="T21" s="135"/>
      <c r="U21" s="130" t="s">
        <v>141</v>
      </c>
      <c r="V21" s="130" t="s">
        <v>142</v>
      </c>
      <c r="W21" s="130" t="s">
        <v>144</v>
      </c>
      <c r="X21" s="142"/>
    </row>
    <row r="22" spans="1:24" x14ac:dyDescent="0.25">
      <c r="A22" s="131"/>
      <c r="B22" s="131"/>
      <c r="C22" s="154">
        <f>Inputs!$C$5</f>
        <v>2012</v>
      </c>
      <c r="D22" s="154">
        <f>Inputs!$C$6</f>
        <v>2019</v>
      </c>
      <c r="E22" s="155">
        <f>C22+(D22-C22)/2</f>
        <v>2015.5</v>
      </c>
      <c r="F22" s="142"/>
      <c r="G22" s="131"/>
      <c r="H22" s="136"/>
      <c r="I22" s="154">
        <f>Inputs!$C$5</f>
        <v>2012</v>
      </c>
      <c r="J22" s="154">
        <f>Inputs!$C$6</f>
        <v>2019</v>
      </c>
      <c r="K22" s="155">
        <f>I22+(J22-I22)/2</f>
        <v>2015.5</v>
      </c>
      <c r="L22" s="142"/>
      <c r="M22" s="131"/>
      <c r="N22" s="136"/>
      <c r="O22" s="154">
        <f>Inputs!$C$5</f>
        <v>2012</v>
      </c>
      <c r="P22" s="154">
        <f>Inputs!$C$6</f>
        <v>2019</v>
      </c>
      <c r="Q22" s="155">
        <f>O22+(P22-O22)/2</f>
        <v>2015.5</v>
      </c>
      <c r="R22" s="142"/>
      <c r="S22" s="131"/>
      <c r="T22" s="136"/>
      <c r="U22" s="154">
        <f>Inputs!$C$5</f>
        <v>2012</v>
      </c>
      <c r="V22" s="154">
        <f>Inputs!$C$6</f>
        <v>2019</v>
      </c>
      <c r="W22" s="155">
        <f>U22+(V22-U22)/2</f>
        <v>2015.5</v>
      </c>
      <c r="X22" s="142"/>
    </row>
    <row r="23" spans="1:24" x14ac:dyDescent="0.25">
      <c r="A23" s="131" t="s">
        <v>131</v>
      </c>
      <c r="B23" s="131"/>
      <c r="C23" s="142"/>
      <c r="D23" s="142"/>
      <c r="E23" s="156">
        <f>E13-E22</f>
        <v>2.5</v>
      </c>
      <c r="F23" s="142"/>
      <c r="G23" s="131"/>
      <c r="H23" s="136"/>
      <c r="I23" s="142"/>
      <c r="J23" s="142"/>
      <c r="K23" s="156">
        <f>K13-K22</f>
        <v>2.5</v>
      </c>
      <c r="L23" s="142"/>
      <c r="M23" s="131"/>
      <c r="N23" s="136"/>
      <c r="O23" s="142"/>
      <c r="P23" s="142"/>
      <c r="Q23" s="156">
        <f>Q13-Q22</f>
        <v>2.5</v>
      </c>
      <c r="R23" s="142"/>
      <c r="S23" s="131"/>
      <c r="T23" s="136"/>
      <c r="U23" s="142"/>
      <c r="V23" s="142"/>
      <c r="W23" s="156">
        <f>W13-W22</f>
        <v>2.5</v>
      </c>
      <c r="X23" s="142"/>
    </row>
    <row r="24" spans="1:24" x14ac:dyDescent="0.25">
      <c r="A24" s="131" t="s">
        <v>132</v>
      </c>
      <c r="B24" s="131"/>
      <c r="C24" s="142"/>
      <c r="D24" s="142"/>
      <c r="E24" s="157">
        <f>-B$10*E23</f>
        <v>-2.2499999999999999E-2</v>
      </c>
      <c r="F24" s="142"/>
      <c r="G24" s="131"/>
      <c r="H24" s="136"/>
      <c r="I24" s="142"/>
      <c r="J24" s="142"/>
      <c r="K24" s="157">
        <f>-H$10*K23</f>
        <v>-2.5000000000000001E-2</v>
      </c>
      <c r="L24" s="142"/>
      <c r="M24" s="131"/>
      <c r="N24" s="136"/>
      <c r="O24" s="142"/>
      <c r="P24" s="142"/>
      <c r="Q24" s="157">
        <f>-N$10*Q23</f>
        <v>-0.03</v>
      </c>
      <c r="R24" s="142"/>
      <c r="S24" s="131"/>
      <c r="T24" s="136"/>
      <c r="U24" s="142"/>
      <c r="V24" s="142"/>
      <c r="W24" s="157">
        <f>-T$10*W23</f>
        <v>-2.2499999999999999E-2</v>
      </c>
      <c r="X24" s="142"/>
    </row>
    <row r="25" spans="1:24" x14ac:dyDescent="0.25">
      <c r="A25" s="131" t="s">
        <v>133</v>
      </c>
      <c r="B25" s="131"/>
      <c r="C25" s="142"/>
      <c r="D25" s="142"/>
      <c r="E25" s="157">
        <f>(1-B6-B7-B8)*E17</f>
        <v>9.795334822848673E-4</v>
      </c>
      <c r="F25" s="142"/>
      <c r="G25" s="131"/>
      <c r="H25" s="136"/>
      <c r="I25" s="142"/>
      <c r="J25" s="142"/>
      <c r="K25" s="157">
        <f>(1-H6-H7-H8)*K17</f>
        <v>3.8071804789045424E-4</v>
      </c>
      <c r="L25" s="142"/>
      <c r="M25" s="131"/>
      <c r="N25" s="136"/>
      <c r="O25" s="142"/>
      <c r="P25" s="142"/>
      <c r="Q25" s="157">
        <f>(1-N6-N7-N8)*Q17</f>
        <v>9.6459462040793373E-4</v>
      </c>
      <c r="R25" s="142"/>
      <c r="S25" s="131"/>
      <c r="T25" s="136"/>
      <c r="U25" s="142"/>
      <c r="V25" s="142"/>
      <c r="W25" s="157">
        <f>(1-T6-T7-T8)*W17</f>
        <v>1.0668494208704703E-3</v>
      </c>
      <c r="X25" s="142"/>
    </row>
    <row r="26" spans="1:24" x14ac:dyDescent="0.25">
      <c r="A26" s="131" t="s">
        <v>134</v>
      </c>
      <c r="B26" s="131"/>
      <c r="C26" s="142"/>
      <c r="D26" s="142"/>
      <c r="E26" s="157">
        <f>B9*E18</f>
        <v>-6.7175224286171748E-3</v>
      </c>
      <c r="F26" s="142"/>
      <c r="G26" s="131"/>
      <c r="H26" s="136"/>
      <c r="I26" s="142"/>
      <c r="J26" s="142"/>
      <c r="K26" s="157">
        <f>H9*K18</f>
        <v>-1.2575826872178666E-2</v>
      </c>
      <c r="L26" s="142"/>
      <c r="M26" s="131"/>
      <c r="N26" s="136"/>
      <c r="O26" s="142"/>
      <c r="P26" s="142"/>
      <c r="Q26" s="157">
        <f>N9*Q18</f>
        <v>-1.0154394368839918E-2</v>
      </c>
      <c r="R26" s="142"/>
      <c r="S26" s="131"/>
      <c r="T26" s="136"/>
      <c r="U26" s="142"/>
      <c r="V26" s="142"/>
      <c r="W26" s="157">
        <f>T9*W18</f>
        <v>-4.4523113771067326E-3</v>
      </c>
      <c r="X26" s="142"/>
    </row>
    <row r="27" spans="1:24" x14ac:dyDescent="0.25">
      <c r="A27" s="131"/>
      <c r="B27" s="131"/>
      <c r="C27" s="142"/>
      <c r="D27" s="142"/>
      <c r="E27" s="131"/>
      <c r="F27" s="142"/>
      <c r="G27" s="131"/>
      <c r="H27" s="136"/>
      <c r="I27" s="142"/>
      <c r="J27" s="142"/>
      <c r="K27" s="131"/>
      <c r="L27" s="142"/>
      <c r="M27" s="131"/>
      <c r="N27" s="136"/>
      <c r="O27" s="142"/>
      <c r="P27" s="142"/>
      <c r="Q27" s="131"/>
      <c r="R27" s="142"/>
      <c r="S27" s="131"/>
      <c r="T27" s="136"/>
      <c r="U27" s="142"/>
      <c r="V27" s="142"/>
      <c r="W27" s="131"/>
      <c r="X27" s="142"/>
    </row>
    <row r="28" spans="1:24" x14ac:dyDescent="0.25">
      <c r="A28" s="130" t="s">
        <v>135</v>
      </c>
      <c r="B28" s="130"/>
      <c r="C28" s="142"/>
      <c r="D28" s="142"/>
      <c r="E28" s="158">
        <f>E24+E25-E26</f>
        <v>-1.4802944089097958E-2</v>
      </c>
      <c r="F28" s="142"/>
      <c r="G28" s="131"/>
      <c r="H28" s="135"/>
      <c r="I28" s="142"/>
      <c r="J28" s="142"/>
      <c r="K28" s="158">
        <f>K24+K25-K26</f>
        <v>-1.2043455079930881E-2</v>
      </c>
      <c r="L28" s="142"/>
      <c r="M28" s="131"/>
      <c r="N28" s="135"/>
      <c r="O28" s="142"/>
      <c r="P28" s="142"/>
      <c r="Q28" s="158">
        <f>Q24+Q25-Q26</f>
        <v>-1.8881011010752149E-2</v>
      </c>
      <c r="R28" s="142"/>
      <c r="S28" s="131"/>
      <c r="T28" s="135"/>
      <c r="U28" s="142"/>
      <c r="V28" s="142"/>
      <c r="W28" s="158">
        <f>W24+W25-W26</f>
        <v>-1.6980839202022795E-2</v>
      </c>
      <c r="X28" s="142"/>
    </row>
    <row r="29" spans="1:24" x14ac:dyDescent="0.25">
      <c r="A29" s="131"/>
      <c r="B29" s="131"/>
      <c r="C29" s="142"/>
      <c r="D29" s="142"/>
      <c r="E29" s="131"/>
      <c r="F29" s="142"/>
      <c r="G29" s="131"/>
      <c r="H29" s="136"/>
      <c r="I29" s="142"/>
      <c r="J29" s="142"/>
      <c r="K29" s="131"/>
      <c r="L29" s="142"/>
      <c r="M29" s="131"/>
      <c r="N29" s="136"/>
      <c r="O29" s="142"/>
      <c r="P29" s="142"/>
      <c r="Q29" s="131"/>
      <c r="R29" s="142"/>
      <c r="S29" s="131"/>
      <c r="T29" s="136"/>
      <c r="U29" s="142"/>
      <c r="V29" s="142"/>
      <c r="W29" s="131"/>
      <c r="X29" s="142"/>
    </row>
    <row r="30" spans="1:24" x14ac:dyDescent="0.25">
      <c r="A30" s="130" t="s">
        <v>136</v>
      </c>
      <c r="B30" s="130"/>
      <c r="C30" s="142"/>
      <c r="D30" s="142"/>
      <c r="E30" s="159">
        <v>0</v>
      </c>
      <c r="F30" s="142"/>
      <c r="G30" s="130"/>
      <c r="H30" s="135"/>
      <c r="I30" s="142"/>
      <c r="J30" s="142"/>
      <c r="K30" s="159">
        <v>0</v>
      </c>
      <c r="L30" s="142"/>
      <c r="M30" s="130"/>
      <c r="N30" s="135"/>
      <c r="O30" s="142"/>
      <c r="P30" s="142"/>
      <c r="Q30" s="159">
        <v>0</v>
      </c>
      <c r="R30" s="142"/>
      <c r="S30" s="130"/>
      <c r="T30" s="135"/>
      <c r="U30" s="142"/>
      <c r="V30" s="142"/>
      <c r="W30" s="159">
        <v>0</v>
      </c>
      <c r="X30" s="142"/>
    </row>
    <row r="31" spans="1:24" x14ac:dyDescent="0.25">
      <c r="A31" s="131"/>
      <c r="B31" s="142"/>
      <c r="C31" s="142"/>
      <c r="D31" s="142"/>
      <c r="E31" s="131"/>
      <c r="F31" s="142"/>
      <c r="G31" s="131"/>
      <c r="H31" s="137"/>
      <c r="I31" s="142"/>
      <c r="J31" s="142"/>
      <c r="K31" s="142"/>
      <c r="L31" s="142"/>
      <c r="M31" s="131"/>
      <c r="N31" s="137"/>
      <c r="O31" s="142"/>
      <c r="P31" s="142"/>
      <c r="Q31" s="142"/>
      <c r="R31" s="142"/>
      <c r="S31" s="131"/>
      <c r="T31" s="137"/>
      <c r="U31" s="142"/>
      <c r="V31" s="142"/>
      <c r="W31" s="142"/>
      <c r="X31" s="142"/>
    </row>
    <row r="32" spans="1:24" x14ac:dyDescent="0.25">
      <c r="A32" s="133" t="s">
        <v>137</v>
      </c>
      <c r="B32" s="160"/>
      <c r="C32" s="142"/>
      <c r="D32" s="142"/>
      <c r="E32" s="161">
        <f>(1+E17)*(1+E30)*(1-E28)-1</f>
        <v>5.1618998224525203E-2</v>
      </c>
      <c r="F32" s="142"/>
      <c r="G32" s="160"/>
      <c r="H32" s="138"/>
      <c r="I32" s="142"/>
      <c r="J32" s="142"/>
      <c r="K32" s="161">
        <f>(1+K17)*(1+K30)*(1-K28)-1</f>
        <v>5.0573775939765087E-2</v>
      </c>
      <c r="L32" s="142"/>
      <c r="M32" s="160"/>
      <c r="N32" s="138"/>
      <c r="O32" s="142"/>
      <c r="P32" s="142"/>
      <c r="Q32" s="161">
        <f>(1+Q17)*(1+Q30)*(1-Q28)-1</f>
        <v>4.8663045618533074E-2</v>
      </c>
      <c r="R32" s="142"/>
      <c r="S32" s="160"/>
      <c r="T32" s="138"/>
      <c r="U32" s="142"/>
      <c r="V32" s="142"/>
      <c r="W32" s="161">
        <f>(1+W17)*(1+W30)*(1-W28)-1</f>
        <v>5.439343986888634E-2</v>
      </c>
      <c r="X32" s="142"/>
    </row>
    <row r="33" spans="1:24" x14ac:dyDescent="0.25">
      <c r="A33" s="131"/>
      <c r="B33" s="131" t="s">
        <v>172</v>
      </c>
      <c r="C33" s="142"/>
      <c r="D33" s="142"/>
      <c r="E33" s="131" t="s">
        <v>145</v>
      </c>
      <c r="F33" s="142"/>
      <c r="G33" s="131"/>
      <c r="H33" s="136" t="s">
        <v>172</v>
      </c>
      <c r="I33" s="142"/>
      <c r="J33" s="142"/>
      <c r="K33" s="131" t="s">
        <v>145</v>
      </c>
      <c r="L33" s="142"/>
      <c r="M33" s="131"/>
      <c r="N33" s="136" t="s">
        <v>172</v>
      </c>
      <c r="O33" s="142"/>
      <c r="P33" s="142"/>
      <c r="Q33" s="131" t="s">
        <v>145</v>
      </c>
      <c r="R33" s="142"/>
      <c r="S33" s="131"/>
      <c r="T33" s="136" t="s">
        <v>172</v>
      </c>
      <c r="U33" s="130"/>
      <c r="V33" s="130"/>
      <c r="W33" s="130"/>
      <c r="X33" s="142"/>
    </row>
    <row r="34" spans="1:24" x14ac:dyDescent="0.25">
      <c r="A34" s="130" t="s">
        <v>171</v>
      </c>
      <c r="B34" s="162">
        <f>'Cost Drivers'!$H$25</f>
        <v>80146.5129394002</v>
      </c>
      <c r="C34" s="142"/>
      <c r="D34" s="142"/>
      <c r="E34" s="131"/>
      <c r="F34" s="142"/>
      <c r="G34" s="131"/>
      <c r="H34" s="163">
        <f>B34</f>
        <v>80146.5129394002</v>
      </c>
      <c r="I34" s="142"/>
      <c r="J34" s="142"/>
      <c r="K34" s="142"/>
      <c r="L34" s="142"/>
      <c r="M34" s="131"/>
      <c r="N34" s="163">
        <f>H34</f>
        <v>80146.5129394002</v>
      </c>
      <c r="O34" s="142"/>
      <c r="P34" s="142"/>
      <c r="Q34" s="142"/>
      <c r="R34" s="142"/>
      <c r="S34" s="131"/>
      <c r="T34" s="163">
        <f>N34</f>
        <v>80146.5129394002</v>
      </c>
      <c r="U34" s="130"/>
      <c r="V34" s="130"/>
      <c r="W34" s="130"/>
      <c r="X34" s="142"/>
    </row>
    <row r="35" spans="1:24" x14ac:dyDescent="0.25">
      <c r="A35" s="134" t="s">
        <v>138</v>
      </c>
      <c r="B35" s="162">
        <f>B34*(1-F6)</f>
        <v>68745.452753049496</v>
      </c>
      <c r="C35" s="142"/>
      <c r="D35" s="142"/>
      <c r="E35" s="164">
        <f>$B35*(1+E32)</f>
        <v>72294.024156653337</v>
      </c>
      <c r="F35" s="142"/>
      <c r="G35" s="165"/>
      <c r="H35" s="163">
        <f>H34*(1-L6)</f>
        <v>66432.942118365463</v>
      </c>
      <c r="I35" s="142"/>
      <c r="J35" s="142"/>
      <c r="K35" s="164">
        <f t="shared" ref="K35" si="5">$H35*(1+K32)</f>
        <v>69792.706848079062</v>
      </c>
      <c r="L35" s="142"/>
      <c r="M35" s="165"/>
      <c r="N35" s="163">
        <f>N34*(1-R6)</f>
        <v>53849.496294596363</v>
      </c>
      <c r="O35" s="142"/>
      <c r="P35" s="142"/>
      <c r="Q35" s="164">
        <f>$N35*(1+Q32)</f>
        <v>56469.976789315333</v>
      </c>
      <c r="R35" s="142"/>
      <c r="S35" s="165"/>
      <c r="T35" s="163">
        <f>T34*(1-X6)</f>
        <v>61282.381664069573</v>
      </c>
      <c r="U35" s="130"/>
      <c r="V35" s="130"/>
      <c r="W35" s="164">
        <f t="shared" ref="W35" si="6">$T35*(1+W32)</f>
        <v>64615.741206136285</v>
      </c>
      <c r="X35" s="142"/>
    </row>
    <row r="36" spans="1:24" x14ac:dyDescent="0.25">
      <c r="A36" s="134" t="s">
        <v>164</v>
      </c>
      <c r="B36" s="165"/>
      <c r="C36" s="165"/>
      <c r="D36" s="165"/>
      <c r="E36" s="164">
        <f>E35*Inputs!$C$8</f>
        <v>75321.68389074468</v>
      </c>
      <c r="F36" s="142"/>
      <c r="G36" s="165"/>
      <c r="H36" s="139"/>
      <c r="I36" s="165"/>
      <c r="J36" s="165"/>
      <c r="K36" s="164">
        <f>K35*Inputs!$C$8</f>
        <v>72715.611897593073</v>
      </c>
      <c r="L36" s="142"/>
      <c r="M36" s="165"/>
      <c r="N36" s="139"/>
      <c r="O36" s="165"/>
      <c r="P36" s="165"/>
      <c r="Q36" s="164">
        <f>Q35*Inputs!$C$8</f>
        <v>58834.928483519063</v>
      </c>
      <c r="R36" s="142"/>
      <c r="S36" s="165"/>
      <c r="T36" s="139"/>
      <c r="U36" s="130"/>
      <c r="V36" s="130"/>
      <c r="W36" s="164">
        <f>W35*Inputs!$C$8</f>
        <v>67321.835936931267</v>
      </c>
      <c r="X36" s="14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AF148"/>
  <sheetViews>
    <sheetView zoomScale="83" workbookViewId="0">
      <selection activeCell="C7" sqref="C7"/>
    </sheetView>
  </sheetViews>
  <sheetFormatPr defaultColWidth="8.7109375" defaultRowHeight="12.75" x14ac:dyDescent="0.2"/>
  <cols>
    <col min="1" max="1" width="8.7109375" style="16"/>
    <col min="2" max="2" width="28.7109375" style="16" bestFit="1" customWidth="1"/>
    <col min="3" max="3" width="31.5703125" style="16" customWidth="1"/>
    <col min="4" max="4" width="17" style="16" bestFit="1" customWidth="1"/>
    <col min="5" max="5" width="34.85546875" style="16" customWidth="1"/>
    <col min="6" max="6" width="8.140625" style="16" customWidth="1"/>
    <col min="7" max="7" width="16.28515625" style="16" bestFit="1" customWidth="1"/>
    <col min="8" max="8" width="18.7109375" style="16" bestFit="1" customWidth="1"/>
    <col min="9" max="9" width="12" style="16" customWidth="1"/>
    <col min="10" max="11" width="15.42578125" style="16" customWidth="1"/>
    <col min="12" max="15" width="8.7109375" style="16"/>
    <col min="16" max="16" width="20.140625" style="16" bestFit="1" customWidth="1"/>
    <col min="17" max="16384" width="8.7109375" style="16"/>
  </cols>
  <sheetData>
    <row r="2" spans="2:17" x14ac:dyDescent="0.2">
      <c r="B2" s="14" t="s">
        <v>25</v>
      </c>
      <c r="C2" s="15" t="s">
        <v>155</v>
      </c>
      <c r="J2" s="72"/>
      <c r="K2" s="72"/>
      <c r="L2" s="72"/>
      <c r="O2" s="72"/>
      <c r="P2" s="72"/>
      <c r="Q2" s="72"/>
    </row>
    <row r="3" spans="2:17" x14ac:dyDescent="0.2">
      <c r="B3" s="14" t="s">
        <v>26</v>
      </c>
      <c r="C3" s="15" t="s">
        <v>27</v>
      </c>
      <c r="J3" s="72"/>
      <c r="K3" s="72"/>
      <c r="L3" s="72"/>
      <c r="O3" s="72"/>
      <c r="P3" s="72"/>
      <c r="Q3" s="72"/>
    </row>
    <row r="4" spans="2:17" x14ac:dyDescent="0.2">
      <c r="B4" s="14" t="s">
        <v>28</v>
      </c>
      <c r="C4" s="17">
        <v>2018</v>
      </c>
      <c r="J4" s="72"/>
      <c r="K4" s="72"/>
      <c r="L4" s="72"/>
      <c r="O4" s="72"/>
      <c r="P4" s="72"/>
      <c r="Q4" s="72"/>
    </row>
    <row r="5" spans="2:17" x14ac:dyDescent="0.2">
      <c r="B5" s="14" t="s">
        <v>29</v>
      </c>
      <c r="C5" s="17">
        <v>2012</v>
      </c>
      <c r="J5" s="197"/>
      <c r="K5" s="72"/>
      <c r="L5" s="72"/>
      <c r="O5" s="72"/>
      <c r="P5" s="72"/>
      <c r="Q5" s="72"/>
    </row>
    <row r="6" spans="2:17" x14ac:dyDescent="0.2">
      <c r="B6" s="14" t="s">
        <v>30</v>
      </c>
      <c r="C6" s="17">
        <v>2019</v>
      </c>
      <c r="J6" s="197"/>
      <c r="K6" s="72"/>
      <c r="L6" s="72"/>
      <c r="O6" s="72"/>
      <c r="P6" s="72"/>
      <c r="Q6" s="72"/>
    </row>
    <row r="7" spans="2:17" x14ac:dyDescent="0.2">
      <c r="B7" s="14" t="s">
        <v>167</v>
      </c>
      <c r="C7" s="205" t="s">
        <v>178</v>
      </c>
      <c r="J7" s="197"/>
      <c r="K7" s="72"/>
      <c r="L7" s="72"/>
      <c r="O7" s="72"/>
      <c r="P7" s="72"/>
      <c r="Q7" s="72"/>
    </row>
    <row r="8" spans="2:17" x14ac:dyDescent="0.2">
      <c r="B8" s="14" t="s">
        <v>161</v>
      </c>
      <c r="C8" s="195">
        <v>1.0418798063797186</v>
      </c>
      <c r="J8" s="197"/>
      <c r="K8" s="72"/>
      <c r="L8" s="72"/>
      <c r="O8" s="72"/>
      <c r="P8" s="72"/>
      <c r="Q8" s="72"/>
    </row>
    <row r="9" spans="2:17" x14ac:dyDescent="0.2">
      <c r="B9" s="14" t="s">
        <v>163</v>
      </c>
      <c r="C9" s="18">
        <v>1.0418798063797186</v>
      </c>
      <c r="E9" s="198"/>
      <c r="J9" s="197"/>
      <c r="K9" s="72"/>
      <c r="L9" s="72"/>
      <c r="O9" s="72"/>
      <c r="P9" s="72"/>
      <c r="Q9" s="72"/>
    </row>
    <row r="10" spans="2:17" ht="15" x14ac:dyDescent="0.25">
      <c r="B10" s="19"/>
      <c r="C10" s="19"/>
      <c r="J10" s="197"/>
      <c r="K10" s="72"/>
      <c r="L10" s="72"/>
    </row>
    <row r="11" spans="2:17" ht="15" x14ac:dyDescent="0.25">
      <c r="B11" s="19"/>
      <c r="C11" s="19"/>
      <c r="D11" s="19"/>
      <c r="E11" s="19"/>
      <c r="J11" s="197"/>
      <c r="K11" s="72"/>
      <c r="L11" s="72"/>
    </row>
    <row r="12" spans="2:17" ht="15" x14ac:dyDescent="0.25">
      <c r="B12" s="19"/>
      <c r="C12" s="20"/>
      <c r="D12" s="21"/>
      <c r="E12" s="19"/>
      <c r="F12" s="19"/>
      <c r="J12" s="197"/>
      <c r="K12" s="72"/>
      <c r="L12" s="72"/>
    </row>
    <row r="13" spans="2:17" ht="15" x14ac:dyDescent="0.25">
      <c r="B13" s="19"/>
      <c r="C13" s="20"/>
      <c r="D13" s="21"/>
      <c r="F13" s="19"/>
      <c r="J13" s="197"/>
      <c r="K13" s="72"/>
      <c r="L13" s="72"/>
    </row>
    <row r="14" spans="2:17" ht="15" x14ac:dyDescent="0.25">
      <c r="B14" s="19"/>
      <c r="C14" s="22"/>
      <c r="D14" s="23"/>
      <c r="F14" s="22"/>
      <c r="J14" s="197"/>
      <c r="K14" s="72"/>
      <c r="L14" s="72"/>
    </row>
    <row r="15" spans="2:17" x14ac:dyDescent="0.2">
      <c r="J15" s="197"/>
      <c r="K15" s="72"/>
      <c r="L15" s="72"/>
    </row>
    <row r="16" spans="2:17" x14ac:dyDescent="0.2">
      <c r="B16" s="24" t="s">
        <v>31</v>
      </c>
      <c r="C16" s="24" t="s">
        <v>32</v>
      </c>
      <c r="D16" s="25" t="s">
        <v>33</v>
      </c>
    </row>
    <row r="17" spans="2:10" ht="15" x14ac:dyDescent="0.25">
      <c r="F17" s="29"/>
      <c r="I17" s="30"/>
    </row>
    <row r="18" spans="2:10" ht="15" x14ac:dyDescent="0.25">
      <c r="B18" s="26" t="s">
        <v>166</v>
      </c>
      <c r="C18" s="27" t="s">
        <v>34</v>
      </c>
      <c r="D18" s="28">
        <v>79.198771999999991</v>
      </c>
      <c r="F18" s="29"/>
    </row>
    <row r="19" spans="2:10" ht="15" x14ac:dyDescent="0.25">
      <c r="B19" s="26" t="s">
        <v>166</v>
      </c>
      <c r="C19" s="27" t="s">
        <v>160</v>
      </c>
      <c r="D19" s="31">
        <f>D18*C9</f>
        <v>82.515601236871461</v>
      </c>
      <c r="I19" s="32"/>
      <c r="J19" s="33"/>
    </row>
    <row r="21" spans="2:10" x14ac:dyDescent="0.2">
      <c r="G21" s="200"/>
    </row>
    <row r="22" spans="2:10" x14ac:dyDescent="0.2">
      <c r="B22" s="24" t="s">
        <v>35</v>
      </c>
      <c r="C22" s="24" t="s">
        <v>32</v>
      </c>
      <c r="D22" s="25" t="s">
        <v>36</v>
      </c>
    </row>
    <row r="23" spans="2:10" ht="15" x14ac:dyDescent="0.2">
      <c r="B23" s="26" t="s">
        <v>37</v>
      </c>
      <c r="C23" s="16" t="s">
        <v>38</v>
      </c>
      <c r="D23" s="206">
        <f>D25+D24+D26</f>
        <v>5.7232458728187482E-2</v>
      </c>
    </row>
    <row r="24" spans="2:10" ht="15" x14ac:dyDescent="0.25">
      <c r="B24" s="34" t="s">
        <v>39</v>
      </c>
      <c r="C24" s="16" t="s">
        <v>38</v>
      </c>
      <c r="D24" s="204">
        <v>1.2360722536308097E-3</v>
      </c>
      <c r="E24" s="29"/>
    </row>
    <row r="25" spans="2:10" ht="15" x14ac:dyDescent="0.25">
      <c r="B25" s="34" t="s">
        <v>40</v>
      </c>
      <c r="C25" s="16" t="s">
        <v>38</v>
      </c>
      <c r="D25" s="204">
        <v>-1.9109784822495181E-2</v>
      </c>
      <c r="E25" s="19"/>
    </row>
    <row r="26" spans="2:10" ht="15" x14ac:dyDescent="0.25">
      <c r="B26" s="26" t="s">
        <v>170</v>
      </c>
      <c r="C26" s="16" t="s">
        <v>38</v>
      </c>
      <c r="D26" s="204">
        <v>7.5106171297051855E-2</v>
      </c>
    </row>
    <row r="29" spans="2:10" ht="14.25" x14ac:dyDescent="0.2">
      <c r="E29" s="35"/>
    </row>
    <row r="64" spans="2:2" x14ac:dyDescent="0.2">
      <c r="B64" s="16" t="s">
        <v>41</v>
      </c>
    </row>
    <row r="65" spans="2:28" ht="18" thickBot="1" x14ac:dyDescent="0.35">
      <c r="B65" s="36" t="s">
        <v>168</v>
      </c>
    </row>
    <row r="66" spans="2:28" ht="15.75" thickTop="1" x14ac:dyDescent="0.25">
      <c r="B66" s="37" t="s">
        <v>42</v>
      </c>
      <c r="C66" s="38"/>
      <c r="D66" s="38"/>
      <c r="E66" s="38"/>
      <c r="F66" s="38"/>
      <c r="G66" s="38"/>
      <c r="H66" s="39"/>
      <c r="I66" s="40" t="s">
        <v>43</v>
      </c>
      <c r="J66" s="38"/>
      <c r="K66" s="38"/>
      <c r="L66" s="38"/>
      <c r="M66" s="38"/>
      <c r="N66" s="38"/>
      <c r="O66" s="38"/>
      <c r="P66" s="40" t="s">
        <v>44</v>
      </c>
      <c r="Q66" s="38"/>
      <c r="R66" s="38"/>
      <c r="S66" s="38"/>
      <c r="T66" s="38"/>
      <c r="U66" s="38"/>
      <c r="V66" s="41"/>
      <c r="W66" s="42"/>
      <c r="X66" s="38"/>
      <c r="Y66" s="38"/>
      <c r="Z66" s="38"/>
      <c r="AA66" s="38"/>
      <c r="AB66" s="43"/>
    </row>
    <row r="67" spans="2:28" ht="15" x14ac:dyDescent="0.25">
      <c r="B67" s="44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6"/>
      <c r="P67" s="45"/>
      <c r="Q67" s="45"/>
      <c r="R67" s="45"/>
      <c r="S67" s="45"/>
      <c r="T67" s="45"/>
      <c r="U67" s="45"/>
      <c r="V67" s="46"/>
      <c r="W67" s="45"/>
      <c r="X67" s="45"/>
      <c r="Y67" s="45"/>
      <c r="Z67" s="45"/>
      <c r="AA67" s="45"/>
      <c r="AB67" s="47"/>
    </row>
    <row r="68" spans="2:28" ht="15" x14ac:dyDescent="0.25">
      <c r="B68" s="48" t="s">
        <v>46</v>
      </c>
      <c r="C68" s="45"/>
      <c r="D68" s="45"/>
      <c r="E68" s="45"/>
      <c r="F68" s="49" t="s">
        <v>47</v>
      </c>
      <c r="G68" s="45"/>
      <c r="H68" s="45"/>
      <c r="I68" s="49" t="s">
        <v>46</v>
      </c>
      <c r="J68" s="45"/>
      <c r="K68" s="45"/>
      <c r="L68" s="45"/>
      <c r="M68" s="49" t="s">
        <v>47</v>
      </c>
      <c r="N68" s="45"/>
      <c r="O68" s="46"/>
      <c r="P68" s="49" t="s">
        <v>46</v>
      </c>
      <c r="Q68" s="45"/>
      <c r="R68" s="45"/>
      <c r="S68" s="45"/>
      <c r="T68" s="49" t="s">
        <v>47</v>
      </c>
      <c r="U68" s="45"/>
      <c r="V68" s="46"/>
      <c r="W68" s="49" t="s">
        <v>46</v>
      </c>
      <c r="X68" s="45"/>
      <c r="Y68" s="45"/>
      <c r="Z68" s="45"/>
      <c r="AA68" s="49" t="s">
        <v>47</v>
      </c>
      <c r="AB68" s="47"/>
    </row>
    <row r="69" spans="2:28" ht="15" x14ac:dyDescent="0.25">
      <c r="B69" s="48"/>
      <c r="C69" s="45"/>
      <c r="D69" s="45"/>
      <c r="E69" s="45"/>
      <c r="F69" s="49"/>
      <c r="G69" s="45"/>
      <c r="H69" s="45"/>
      <c r="I69" s="49"/>
      <c r="J69" s="45"/>
      <c r="K69" s="45"/>
      <c r="L69" s="45"/>
      <c r="M69" s="49"/>
      <c r="N69" s="45"/>
      <c r="O69" s="46"/>
      <c r="P69" s="49"/>
      <c r="Q69" s="45"/>
      <c r="R69" s="45"/>
      <c r="S69" s="45"/>
      <c r="T69" s="49"/>
      <c r="U69" s="45"/>
      <c r="V69" s="46"/>
      <c r="W69" s="49"/>
      <c r="X69" s="45"/>
      <c r="Y69" s="45"/>
      <c r="Z69" s="45"/>
      <c r="AA69" s="49"/>
      <c r="AB69" s="47"/>
    </row>
    <row r="70" spans="2:28" ht="15.75" thickBot="1" x14ac:dyDescent="0.3">
      <c r="B70" s="44"/>
      <c r="C70" s="45"/>
      <c r="D70" s="45"/>
      <c r="E70" s="45"/>
      <c r="F70" s="50" t="s">
        <v>25</v>
      </c>
      <c r="G70" s="50" t="s">
        <v>48</v>
      </c>
      <c r="H70" s="45"/>
      <c r="I70" s="45"/>
      <c r="J70" s="45"/>
      <c r="K70" s="45"/>
      <c r="L70" s="45"/>
      <c r="M70" s="50" t="s">
        <v>25</v>
      </c>
      <c r="N70" s="50" t="s">
        <v>49</v>
      </c>
      <c r="O70" s="46"/>
      <c r="P70" s="45"/>
      <c r="Q70" s="45"/>
      <c r="R70" s="45"/>
      <c r="S70" s="45"/>
      <c r="T70" s="50" t="s">
        <v>25</v>
      </c>
      <c r="U70" s="50" t="s">
        <v>50</v>
      </c>
      <c r="V70" s="46"/>
      <c r="W70" s="45"/>
      <c r="X70" s="45"/>
      <c r="Y70" s="45"/>
      <c r="Z70" s="45"/>
      <c r="AA70" s="50" t="s">
        <v>25</v>
      </c>
      <c r="AB70" s="51" t="s">
        <v>51</v>
      </c>
    </row>
    <row r="71" spans="2:28" ht="30.75" thickBot="1" x14ac:dyDescent="0.3">
      <c r="B71" s="52" t="s">
        <v>52</v>
      </c>
      <c r="C71" s="53" t="s">
        <v>53</v>
      </c>
      <c r="D71" s="53" t="s">
        <v>54</v>
      </c>
      <c r="E71" s="45"/>
      <c r="F71" s="49" t="s">
        <v>55</v>
      </c>
      <c r="G71" s="16">
        <v>0.45300000000000001</v>
      </c>
      <c r="H71" s="54"/>
      <c r="I71" s="55" t="s">
        <v>52</v>
      </c>
      <c r="J71" s="53" t="s">
        <v>53</v>
      </c>
      <c r="K71" s="53" t="s">
        <v>54</v>
      </c>
      <c r="L71" s="45"/>
      <c r="M71" s="49" t="s">
        <v>55</v>
      </c>
      <c r="N71" s="16">
        <v>0.44400000000000001</v>
      </c>
      <c r="O71" s="46"/>
      <c r="P71" s="55" t="s">
        <v>52</v>
      </c>
      <c r="Q71" s="53" t="s">
        <v>53</v>
      </c>
      <c r="R71" s="53" t="s">
        <v>54</v>
      </c>
      <c r="S71" s="45"/>
      <c r="T71" s="49" t="s">
        <v>55</v>
      </c>
      <c r="U71" s="16">
        <v>0.40899999999999997</v>
      </c>
      <c r="V71" s="46"/>
      <c r="W71" s="55" t="s">
        <v>52</v>
      </c>
      <c r="X71" s="53" t="s">
        <v>53</v>
      </c>
      <c r="Y71" s="53" t="s">
        <v>156</v>
      </c>
      <c r="Z71" s="45"/>
      <c r="AA71" s="49" t="s">
        <v>55</v>
      </c>
      <c r="AB71" s="16">
        <v>0.44900000000000001</v>
      </c>
    </row>
    <row r="72" spans="2:28" ht="15" x14ac:dyDescent="0.25">
      <c r="B72" s="56" t="s">
        <v>56</v>
      </c>
      <c r="C72" s="16">
        <v>0.6668752</v>
      </c>
      <c r="D72" s="16">
        <v>9.25</v>
      </c>
      <c r="E72" s="45"/>
      <c r="F72" s="49" t="s">
        <v>57</v>
      </c>
      <c r="G72" s="16">
        <v>0.432</v>
      </c>
      <c r="H72" s="54"/>
      <c r="I72" s="57" t="s">
        <v>56</v>
      </c>
      <c r="J72" s="16">
        <v>0.68209699999999995</v>
      </c>
      <c r="K72" s="16">
        <v>11.37</v>
      </c>
      <c r="L72" s="45"/>
      <c r="M72" s="49" t="s">
        <v>57</v>
      </c>
      <c r="N72" s="16">
        <v>0.432</v>
      </c>
      <c r="O72" s="46"/>
      <c r="P72" s="57" t="s">
        <v>56</v>
      </c>
      <c r="Q72" s="16">
        <v>0.51271999999999995</v>
      </c>
      <c r="R72" s="16">
        <v>7.74</v>
      </c>
      <c r="S72" s="45"/>
      <c r="T72" s="49" t="s">
        <v>57</v>
      </c>
      <c r="U72" s="16">
        <v>0.442</v>
      </c>
      <c r="V72" s="46"/>
      <c r="W72" s="57" t="s">
        <v>56</v>
      </c>
      <c r="X72" s="16">
        <v>0.67509569999999997</v>
      </c>
      <c r="Y72" s="16">
        <v>7.79</v>
      </c>
      <c r="Z72" s="45"/>
      <c r="AA72" s="49" t="s">
        <v>57</v>
      </c>
      <c r="AB72" s="16">
        <v>0.51700000000000002</v>
      </c>
    </row>
    <row r="73" spans="2:28" ht="15" x14ac:dyDescent="0.25">
      <c r="B73" s="58" t="s">
        <v>58</v>
      </c>
      <c r="C73" s="16">
        <v>0.14898529999999999</v>
      </c>
      <c r="D73" s="16">
        <v>3.21</v>
      </c>
      <c r="E73" s="45"/>
      <c r="F73" s="49" t="s">
        <v>59</v>
      </c>
      <c r="G73" s="16">
        <v>0.872</v>
      </c>
      <c r="H73" s="54"/>
      <c r="I73" s="59" t="s">
        <v>58</v>
      </c>
      <c r="J73" s="16">
        <v>0.153694</v>
      </c>
      <c r="K73" s="16">
        <v>5.21</v>
      </c>
      <c r="L73" s="45"/>
      <c r="M73" s="49" t="s">
        <v>59</v>
      </c>
      <c r="N73" s="16">
        <v>0.876</v>
      </c>
      <c r="O73" s="46"/>
      <c r="P73" s="59" t="s">
        <v>58</v>
      </c>
      <c r="Q73" s="16">
        <v>0.15188199999999999</v>
      </c>
      <c r="R73" s="16">
        <v>5.39</v>
      </c>
      <c r="S73" s="45"/>
      <c r="T73" s="49" t="s">
        <v>59</v>
      </c>
      <c r="U73" s="16">
        <v>0.83899999999999997</v>
      </c>
      <c r="V73" s="46"/>
      <c r="W73" s="59" t="s">
        <v>58</v>
      </c>
      <c r="X73" s="16">
        <v>0.14229230000000001</v>
      </c>
      <c r="Y73" s="16">
        <v>2.96</v>
      </c>
      <c r="Z73" s="45"/>
      <c r="AA73" s="49" t="s">
        <v>59</v>
      </c>
      <c r="AB73" s="16">
        <v>0.94</v>
      </c>
    </row>
    <row r="74" spans="2:28" ht="15" x14ac:dyDescent="0.25">
      <c r="B74" s="58" t="s">
        <v>60</v>
      </c>
      <c r="C74" s="16">
        <v>0.17051920000000001</v>
      </c>
      <c r="D74" s="16">
        <v>2.75</v>
      </c>
      <c r="E74" s="45"/>
      <c r="F74" s="49" t="s">
        <v>61</v>
      </c>
      <c r="G74" s="16">
        <v>0.56499999999999995</v>
      </c>
      <c r="H74" s="54"/>
      <c r="I74" s="59" t="s">
        <v>60</v>
      </c>
      <c r="J74" s="16">
        <v>0.15291099999999999</v>
      </c>
      <c r="K74" s="16">
        <v>2.64</v>
      </c>
      <c r="L74" s="45"/>
      <c r="M74" s="49" t="s">
        <v>61</v>
      </c>
      <c r="N74" s="16">
        <v>0.56299999999999994</v>
      </c>
      <c r="O74" s="46"/>
      <c r="P74" s="59" t="s">
        <v>60</v>
      </c>
      <c r="Q74" s="16">
        <v>0.30218299999999998</v>
      </c>
      <c r="R74" s="16">
        <v>5.37</v>
      </c>
      <c r="S74" s="45"/>
      <c r="T74" s="49" t="s">
        <v>61</v>
      </c>
      <c r="U74" s="16">
        <v>0.59</v>
      </c>
      <c r="V74" s="46"/>
      <c r="W74" s="59" t="s">
        <v>60</v>
      </c>
      <c r="X74" s="16">
        <v>0.1499452</v>
      </c>
      <c r="Y74" s="16">
        <v>1.96</v>
      </c>
      <c r="Z74" s="45"/>
      <c r="AA74" s="49" t="s">
        <v>61</v>
      </c>
      <c r="AB74" s="16">
        <v>0.60199999999999998</v>
      </c>
    </row>
    <row r="75" spans="2:28" ht="15" x14ac:dyDescent="0.25">
      <c r="B75" s="58" t="s">
        <v>62</v>
      </c>
      <c r="C75" s="16">
        <v>-0.13352069999999999</v>
      </c>
      <c r="D75" s="16">
        <v>-4.05</v>
      </c>
      <c r="E75" s="45"/>
      <c r="F75" s="49" t="s">
        <v>63</v>
      </c>
      <c r="G75" s="16">
        <v>0.60299999999999998</v>
      </c>
      <c r="H75" s="54"/>
      <c r="I75" s="59" t="s">
        <v>62</v>
      </c>
      <c r="J75" s="16">
        <v>-0.15570000000000001</v>
      </c>
      <c r="K75" s="16">
        <v>-7.1</v>
      </c>
      <c r="L75" s="45"/>
      <c r="M75" s="49" t="s">
        <v>63</v>
      </c>
      <c r="N75" s="16">
        <v>0.60499999999999998</v>
      </c>
      <c r="O75" s="46"/>
      <c r="P75" s="59" t="s">
        <v>64</v>
      </c>
      <c r="Q75" s="16">
        <v>-0.61702999999999997</v>
      </c>
      <c r="R75" s="16">
        <v>-2.2599999999999998</v>
      </c>
      <c r="S75" s="45"/>
      <c r="T75" s="49" t="s">
        <v>63</v>
      </c>
      <c r="U75" s="16">
        <v>0.61399999999999999</v>
      </c>
      <c r="V75" s="46"/>
      <c r="W75" s="59" t="s">
        <v>64</v>
      </c>
      <c r="X75" s="16">
        <v>0.1007836</v>
      </c>
      <c r="Y75" s="16">
        <v>0.36</v>
      </c>
      <c r="Z75" s="45"/>
      <c r="AA75" s="49" t="s">
        <v>63</v>
      </c>
      <c r="AB75" s="16">
        <v>0.67800000000000005</v>
      </c>
    </row>
    <row r="76" spans="2:28" ht="15" x14ac:dyDescent="0.25">
      <c r="B76" s="58" t="s">
        <v>65</v>
      </c>
      <c r="C76" s="16">
        <v>1.6068099999999998E-2</v>
      </c>
      <c r="D76" s="16">
        <v>14.57</v>
      </c>
      <c r="E76" s="45"/>
      <c r="F76" s="49" t="s">
        <v>66</v>
      </c>
      <c r="G76" s="16">
        <v>0.54100000000000004</v>
      </c>
      <c r="H76" s="54"/>
      <c r="I76" s="59" t="s">
        <v>65</v>
      </c>
      <c r="J76" s="16">
        <v>1.6240999999999998E-2</v>
      </c>
      <c r="K76" s="16">
        <v>8.33</v>
      </c>
      <c r="L76" s="45"/>
      <c r="M76" s="49" t="s">
        <v>66</v>
      </c>
      <c r="N76" s="16">
        <v>0.55100000000000005</v>
      </c>
      <c r="O76" s="46"/>
      <c r="P76" s="59" t="s">
        <v>67</v>
      </c>
      <c r="Q76" s="16">
        <v>0.27167400000000003</v>
      </c>
      <c r="R76" s="16">
        <v>2.99</v>
      </c>
      <c r="S76" s="45"/>
      <c r="T76" s="49" t="s">
        <v>66</v>
      </c>
      <c r="U76" s="16">
        <v>0.57399999999999995</v>
      </c>
      <c r="V76" s="46"/>
      <c r="W76" s="59" t="s">
        <v>67</v>
      </c>
      <c r="X76" s="16">
        <v>-0.22509889999999999</v>
      </c>
      <c r="Y76" s="16">
        <v>-2.0099999999999998</v>
      </c>
      <c r="Z76" s="45"/>
      <c r="AA76" s="49" t="s">
        <v>66</v>
      </c>
      <c r="AB76" s="16">
        <v>0.59099999999999997</v>
      </c>
    </row>
    <row r="77" spans="2:28" ht="15" x14ac:dyDescent="0.25">
      <c r="B77" s="58" t="s">
        <v>68</v>
      </c>
      <c r="C77" s="16">
        <v>0.1082178</v>
      </c>
      <c r="D77" s="16">
        <v>1.08</v>
      </c>
      <c r="E77" s="45"/>
      <c r="F77" s="49" t="s">
        <v>69</v>
      </c>
      <c r="G77" s="16">
        <v>0.60899999999999999</v>
      </c>
      <c r="H77" s="54"/>
      <c r="I77" s="59" t="s">
        <v>68</v>
      </c>
      <c r="J77" s="16">
        <v>-0.30974000000000002</v>
      </c>
      <c r="K77" s="16">
        <v>-2.34</v>
      </c>
      <c r="L77" s="45"/>
      <c r="M77" s="49" t="s">
        <v>69</v>
      </c>
      <c r="N77" s="16">
        <v>0.66100000000000003</v>
      </c>
      <c r="O77" s="46"/>
      <c r="P77" s="59" t="s">
        <v>70</v>
      </c>
      <c r="Q77" s="16">
        <v>0.27066499999999999</v>
      </c>
      <c r="R77" s="16">
        <v>1.29</v>
      </c>
      <c r="S77" s="45"/>
      <c r="T77" s="49" t="s">
        <v>69</v>
      </c>
      <c r="U77" s="16">
        <v>0.71299999999999997</v>
      </c>
      <c r="V77" s="46"/>
      <c r="W77" s="59" t="s">
        <v>70</v>
      </c>
      <c r="X77" s="16">
        <v>0.21427019999999999</v>
      </c>
      <c r="Y77" s="16">
        <v>1.03</v>
      </c>
      <c r="Z77" s="45"/>
      <c r="AA77" s="49" t="s">
        <v>69</v>
      </c>
      <c r="AB77" s="16">
        <v>0.64200000000000002</v>
      </c>
    </row>
    <row r="78" spans="2:28" ht="15" x14ac:dyDescent="0.25">
      <c r="B78" s="58" t="s">
        <v>71</v>
      </c>
      <c r="C78" s="16">
        <v>0.29214519999999999</v>
      </c>
      <c r="D78" s="16">
        <v>3.25</v>
      </c>
      <c r="E78" s="45"/>
      <c r="F78" s="49" t="s">
        <v>27</v>
      </c>
      <c r="G78" s="16">
        <v>0.64800000000000002</v>
      </c>
      <c r="H78" s="54"/>
      <c r="I78" s="59" t="s">
        <v>71</v>
      </c>
      <c r="J78" s="16">
        <v>-8.8999999999999996E-2</v>
      </c>
      <c r="K78" s="16">
        <v>-0.68</v>
      </c>
      <c r="L78" s="45"/>
      <c r="M78" s="49" t="s">
        <v>27</v>
      </c>
      <c r="N78" s="16">
        <v>0.63300000000000001</v>
      </c>
      <c r="O78" s="46"/>
      <c r="P78" s="59" t="s">
        <v>72</v>
      </c>
      <c r="Q78" s="16">
        <v>-1.371E-2</v>
      </c>
      <c r="R78" s="16">
        <v>-0.36</v>
      </c>
      <c r="S78" s="45"/>
      <c r="T78" s="49" t="s">
        <v>27</v>
      </c>
      <c r="U78" s="16">
        <v>0.51900000000000002</v>
      </c>
      <c r="V78" s="46"/>
      <c r="W78" s="59" t="s">
        <v>72</v>
      </c>
      <c r="X78" s="16">
        <v>0.1126915</v>
      </c>
      <c r="Y78" s="16">
        <v>1.84</v>
      </c>
      <c r="Z78" s="45"/>
      <c r="AA78" s="49" t="s">
        <v>27</v>
      </c>
      <c r="AB78" s="16">
        <v>0.67500000000000004</v>
      </c>
    </row>
    <row r="79" spans="2:28" ht="15.75" thickBot="1" x14ac:dyDescent="0.3">
      <c r="B79" s="60" t="s">
        <v>73</v>
      </c>
      <c r="C79" s="16">
        <v>-22.948740000000001</v>
      </c>
      <c r="D79" s="16">
        <v>-10.25</v>
      </c>
      <c r="E79" s="45"/>
      <c r="F79" s="49" t="s">
        <v>74</v>
      </c>
      <c r="G79" s="16">
        <v>0.96799999999999997</v>
      </c>
      <c r="H79" s="54"/>
      <c r="I79" s="59" t="s">
        <v>75</v>
      </c>
      <c r="J79" s="16">
        <v>2.8018000000000001E-2</v>
      </c>
      <c r="K79" s="16">
        <v>0.16</v>
      </c>
      <c r="L79" s="45"/>
      <c r="M79" s="49" t="s">
        <v>74</v>
      </c>
      <c r="N79" s="16">
        <v>1</v>
      </c>
      <c r="O79" s="46"/>
      <c r="P79" s="59" t="s">
        <v>76</v>
      </c>
      <c r="Q79" s="16">
        <v>-0.23580999999999999</v>
      </c>
      <c r="R79" s="16">
        <v>-3.22</v>
      </c>
      <c r="S79" s="45"/>
      <c r="T79" s="49" t="s">
        <v>74</v>
      </c>
      <c r="U79" s="16">
        <v>1</v>
      </c>
      <c r="V79" s="46"/>
      <c r="W79" s="59" t="s">
        <v>76</v>
      </c>
      <c r="X79" s="16">
        <v>9.8293699999999998E-2</v>
      </c>
      <c r="Y79" s="16">
        <v>1.07</v>
      </c>
      <c r="Z79" s="45"/>
      <c r="AA79" s="49" t="s">
        <v>74</v>
      </c>
      <c r="AB79" s="16">
        <v>0.96499999999999997</v>
      </c>
    </row>
    <row r="80" spans="2:28" ht="15" x14ac:dyDescent="0.25">
      <c r="B80" s="44"/>
      <c r="C80" s="45"/>
      <c r="D80" s="45"/>
      <c r="E80" s="45"/>
      <c r="F80" s="49" t="s">
        <v>77</v>
      </c>
      <c r="G80" s="16">
        <v>0.79200000000000004</v>
      </c>
      <c r="H80" s="54"/>
      <c r="I80" s="59" t="s">
        <v>78</v>
      </c>
      <c r="J80" s="16">
        <v>-0.68028999999999995</v>
      </c>
      <c r="K80" s="16">
        <v>-4.55</v>
      </c>
      <c r="L80" s="45"/>
      <c r="M80" s="49" t="s">
        <v>77</v>
      </c>
      <c r="N80" s="16">
        <v>0.79800000000000004</v>
      </c>
      <c r="O80" s="46"/>
      <c r="P80" s="59" t="s">
        <v>79</v>
      </c>
      <c r="Q80" s="16">
        <v>6.9256999999999999E-2</v>
      </c>
      <c r="R80" s="16">
        <v>0.41</v>
      </c>
      <c r="S80" s="45"/>
      <c r="T80" s="49" t="s">
        <v>77</v>
      </c>
      <c r="U80" s="16">
        <v>0.83</v>
      </c>
      <c r="V80" s="46"/>
      <c r="W80" s="59" t="s">
        <v>79</v>
      </c>
      <c r="X80" s="16">
        <v>-0.33257619999999999</v>
      </c>
      <c r="Y80" s="16">
        <v>-1.84</v>
      </c>
      <c r="Z80" s="45"/>
      <c r="AA80" s="49" t="s">
        <v>77</v>
      </c>
      <c r="AB80" s="16">
        <v>0.83199999999999996</v>
      </c>
    </row>
    <row r="81" spans="2:28" ht="15" x14ac:dyDescent="0.25">
      <c r="B81" s="44"/>
      <c r="C81" s="45"/>
      <c r="D81" s="45"/>
      <c r="E81" s="45"/>
      <c r="F81" s="49" t="s">
        <v>80</v>
      </c>
      <c r="G81" s="16">
        <v>0.72399999999999998</v>
      </c>
      <c r="H81" s="54"/>
      <c r="I81" s="59" t="s">
        <v>81</v>
      </c>
      <c r="J81" s="16">
        <v>-0.23799000000000001</v>
      </c>
      <c r="K81" s="16">
        <v>-1.64</v>
      </c>
      <c r="L81" s="45"/>
      <c r="M81" s="49" t="s">
        <v>80</v>
      </c>
      <c r="N81" s="16">
        <v>0.75900000000000001</v>
      </c>
      <c r="O81" s="46"/>
      <c r="P81" s="59" t="s">
        <v>62</v>
      </c>
      <c r="Q81" s="16">
        <v>-0.14549999999999999</v>
      </c>
      <c r="R81" s="16">
        <v>-5.85</v>
      </c>
      <c r="S81" s="45"/>
      <c r="T81" s="49" t="s">
        <v>80</v>
      </c>
      <c r="U81" s="16">
        <v>0.7</v>
      </c>
      <c r="V81" s="46"/>
      <c r="W81" s="59" t="s">
        <v>62</v>
      </c>
      <c r="X81" s="16">
        <v>-0.102136</v>
      </c>
      <c r="Y81" s="16">
        <v>-2.76</v>
      </c>
      <c r="Z81" s="45"/>
      <c r="AA81" s="49" t="s">
        <v>80</v>
      </c>
      <c r="AB81" s="16">
        <v>0.70799999999999996</v>
      </c>
    </row>
    <row r="82" spans="2:28" ht="15" x14ac:dyDescent="0.25">
      <c r="B82" s="44"/>
      <c r="C82" s="45"/>
      <c r="D82" s="45"/>
      <c r="E82" s="45"/>
      <c r="F82" s="49" t="s">
        <v>82</v>
      </c>
      <c r="G82" s="16">
        <v>0.74199999999999999</v>
      </c>
      <c r="H82" s="54"/>
      <c r="I82" s="59" t="s">
        <v>83</v>
      </c>
      <c r="J82" s="16">
        <v>-0.31014000000000003</v>
      </c>
      <c r="K82" s="16">
        <v>-2.23</v>
      </c>
      <c r="L82" s="45"/>
      <c r="M82" s="49" t="s">
        <v>82</v>
      </c>
      <c r="N82" s="16">
        <v>0.746</v>
      </c>
      <c r="O82" s="46"/>
      <c r="P82" s="59" t="s">
        <v>65</v>
      </c>
      <c r="Q82" s="16">
        <v>1.7510000000000001E-2</v>
      </c>
      <c r="R82" s="16">
        <v>9.31</v>
      </c>
      <c r="S82" s="45"/>
      <c r="T82" s="49" t="s">
        <v>82</v>
      </c>
      <c r="U82" s="16">
        <v>0.71299999999999997</v>
      </c>
      <c r="V82" s="46"/>
      <c r="W82" s="59" t="s">
        <v>65</v>
      </c>
      <c r="X82" s="16">
        <v>1.4911900000000001E-2</v>
      </c>
      <c r="Y82" s="16">
        <v>12.28</v>
      </c>
      <c r="Z82" s="45"/>
      <c r="AA82" s="49" t="s">
        <v>82</v>
      </c>
      <c r="AB82" s="16">
        <v>0.70899999999999996</v>
      </c>
    </row>
    <row r="83" spans="2:28" ht="15" x14ac:dyDescent="0.25">
      <c r="B83" s="44"/>
      <c r="C83" s="45"/>
      <c r="D83" s="45"/>
      <c r="E83" s="45"/>
      <c r="F83" s="49" t="s">
        <v>84</v>
      </c>
      <c r="G83" s="16">
        <v>0.79500000000000004</v>
      </c>
      <c r="H83" s="54"/>
      <c r="I83" s="59" t="s">
        <v>85</v>
      </c>
      <c r="J83" s="16">
        <v>-0.21576000000000001</v>
      </c>
      <c r="K83" s="16">
        <v>-1.39</v>
      </c>
      <c r="L83" s="45"/>
      <c r="M83" s="49" t="s">
        <v>84</v>
      </c>
      <c r="N83" s="16">
        <v>0.80200000000000005</v>
      </c>
      <c r="O83" s="46"/>
      <c r="P83" s="59" t="s">
        <v>68</v>
      </c>
      <c r="Q83" s="16">
        <v>-0.39345000000000002</v>
      </c>
      <c r="R83" s="16">
        <v>-3.22</v>
      </c>
      <c r="S83" s="45"/>
      <c r="T83" s="49" t="s">
        <v>84</v>
      </c>
      <c r="U83" s="16">
        <v>0.66700000000000004</v>
      </c>
      <c r="V83" s="46"/>
      <c r="W83" s="59" t="s">
        <v>68</v>
      </c>
      <c r="X83" s="16">
        <v>0.13709840000000001</v>
      </c>
      <c r="Y83" s="16">
        <v>1.1299999999999999</v>
      </c>
      <c r="Z83" s="45"/>
      <c r="AA83" s="49" t="s">
        <v>84</v>
      </c>
      <c r="AB83" s="16">
        <v>0.86899999999999999</v>
      </c>
    </row>
    <row r="84" spans="2:28" ht="15" x14ac:dyDescent="0.25">
      <c r="B84" s="44"/>
      <c r="C84" s="45"/>
      <c r="D84" s="45"/>
      <c r="E84" s="45"/>
      <c r="F84" s="45"/>
      <c r="G84" s="45"/>
      <c r="H84" s="45"/>
      <c r="I84" s="59" t="s">
        <v>86</v>
      </c>
      <c r="J84" s="16">
        <v>-0.39885999999999999</v>
      </c>
      <c r="K84" s="16">
        <v>-2.42</v>
      </c>
      <c r="L84" s="46"/>
      <c r="M84" s="46"/>
      <c r="N84" s="46"/>
      <c r="O84" s="46"/>
      <c r="P84" s="59" t="s">
        <v>71</v>
      </c>
      <c r="Q84" s="16">
        <v>-0.21782000000000001</v>
      </c>
      <c r="R84" s="16">
        <v>-1.8</v>
      </c>
      <c r="S84" s="46"/>
      <c r="T84" s="46"/>
      <c r="U84" s="46"/>
      <c r="V84" s="46"/>
      <c r="W84" s="59" t="s">
        <v>71</v>
      </c>
      <c r="X84" s="16">
        <v>0.32140030000000003</v>
      </c>
      <c r="Y84" s="16">
        <v>4.04</v>
      </c>
      <c r="Z84" s="46"/>
      <c r="AA84" s="46"/>
      <c r="AB84" s="61"/>
    </row>
    <row r="85" spans="2:28" ht="15.75" thickBot="1" x14ac:dyDescent="0.3">
      <c r="B85" s="44"/>
      <c r="C85" s="45"/>
      <c r="D85" s="45"/>
      <c r="E85" s="45"/>
      <c r="F85" s="45"/>
      <c r="G85" s="45"/>
      <c r="H85" s="45"/>
      <c r="I85" s="59" t="s">
        <v>87</v>
      </c>
      <c r="J85" s="16">
        <v>-0.35521999999999998</v>
      </c>
      <c r="K85" s="16">
        <v>-2.46</v>
      </c>
      <c r="L85" s="46"/>
      <c r="M85" s="46"/>
      <c r="N85" s="46"/>
      <c r="O85" s="46"/>
      <c r="P85" s="59" t="s">
        <v>75</v>
      </c>
      <c r="Q85" s="16">
        <v>-7.553E-2</v>
      </c>
      <c r="R85" s="16">
        <v>-0.46</v>
      </c>
      <c r="S85" s="46"/>
      <c r="T85" s="46"/>
      <c r="U85" s="46"/>
      <c r="V85" s="46"/>
      <c r="W85" s="62" t="s">
        <v>73</v>
      </c>
      <c r="X85" s="16">
        <v>-20.623180000000001</v>
      </c>
      <c r="Y85" s="16">
        <v>-8.39</v>
      </c>
      <c r="Z85" s="46"/>
      <c r="AA85" s="46"/>
      <c r="AB85" s="61"/>
    </row>
    <row r="86" spans="2:28" ht="15" x14ac:dyDescent="0.25">
      <c r="B86" s="44"/>
      <c r="C86" s="45"/>
      <c r="D86" s="45"/>
      <c r="E86" s="45"/>
      <c r="F86" s="45"/>
      <c r="G86" s="45"/>
      <c r="H86" s="45"/>
      <c r="I86" s="59" t="s">
        <v>88</v>
      </c>
      <c r="J86" s="16">
        <v>-0.81228</v>
      </c>
      <c r="K86" s="16">
        <v>-5.49</v>
      </c>
      <c r="L86" s="46"/>
      <c r="M86" s="46"/>
      <c r="N86" s="46"/>
      <c r="O86" s="46"/>
      <c r="P86" s="59" t="s">
        <v>78</v>
      </c>
      <c r="Q86" s="16">
        <v>-0.71750000000000003</v>
      </c>
      <c r="R86" s="16">
        <v>-5.2</v>
      </c>
      <c r="S86" s="46"/>
      <c r="T86" s="46"/>
      <c r="U86" s="46"/>
      <c r="V86" s="46"/>
      <c r="W86" s="46"/>
      <c r="Z86" s="46"/>
      <c r="AA86" s="46"/>
      <c r="AB86" s="61"/>
    </row>
    <row r="87" spans="2:28" ht="15" x14ac:dyDescent="0.25">
      <c r="B87" s="44"/>
      <c r="C87" s="45"/>
      <c r="D87" s="45"/>
      <c r="E87" s="45"/>
      <c r="F87" s="45"/>
      <c r="G87" s="45"/>
      <c r="H87" s="45"/>
      <c r="I87" s="59" t="s">
        <v>89</v>
      </c>
      <c r="J87" s="16">
        <v>-0.58689000000000002</v>
      </c>
      <c r="K87" s="16">
        <v>-3.98</v>
      </c>
      <c r="L87" s="46"/>
      <c r="M87" s="46"/>
      <c r="N87" s="46"/>
      <c r="O87" s="46"/>
      <c r="P87" s="59" t="s">
        <v>81</v>
      </c>
      <c r="Q87" s="16">
        <v>-0.36591000000000001</v>
      </c>
      <c r="R87" s="16">
        <v>-2.68</v>
      </c>
      <c r="S87" s="46"/>
      <c r="T87" s="46"/>
      <c r="U87" s="46"/>
      <c r="V87" s="46"/>
      <c r="W87" s="46"/>
      <c r="Z87" s="46"/>
      <c r="AA87" s="46"/>
      <c r="AB87" s="61"/>
    </row>
    <row r="88" spans="2:28" ht="15" x14ac:dyDescent="0.25">
      <c r="B88" s="44"/>
      <c r="C88" s="45"/>
      <c r="D88" s="45"/>
      <c r="E88" s="45"/>
      <c r="F88" s="45"/>
      <c r="G88" s="45"/>
      <c r="H88" s="63"/>
      <c r="I88" s="59" t="s">
        <v>90</v>
      </c>
      <c r="J88" s="16">
        <v>-0.53710000000000002</v>
      </c>
      <c r="K88" s="16">
        <v>-3.63</v>
      </c>
      <c r="L88" s="45"/>
      <c r="M88" s="45"/>
      <c r="N88" s="45"/>
      <c r="O88" s="45"/>
      <c r="P88" s="59" t="s">
        <v>83</v>
      </c>
      <c r="Q88" s="16">
        <v>-0.40526000000000001</v>
      </c>
      <c r="R88" s="16">
        <v>-3.03</v>
      </c>
      <c r="S88" s="46"/>
      <c r="T88" s="46"/>
      <c r="U88" s="46"/>
      <c r="V88" s="46"/>
      <c r="W88" s="46"/>
      <c r="Z88" s="46"/>
      <c r="AA88" s="46"/>
      <c r="AB88" s="61"/>
    </row>
    <row r="89" spans="2:28" ht="15" x14ac:dyDescent="0.25">
      <c r="B89" s="44"/>
      <c r="C89" s="45"/>
      <c r="D89" s="45"/>
      <c r="E89" s="45"/>
      <c r="F89" s="64"/>
      <c r="G89" s="45"/>
      <c r="H89" s="63"/>
      <c r="I89" s="59" t="s">
        <v>91</v>
      </c>
      <c r="J89" s="16">
        <v>-0.51863999999999999</v>
      </c>
      <c r="K89" s="16">
        <v>-3.34</v>
      </c>
      <c r="L89" s="45"/>
      <c r="M89" s="45"/>
      <c r="N89" s="45"/>
      <c r="O89" s="45"/>
      <c r="P89" s="59" t="s">
        <v>85</v>
      </c>
      <c r="Q89" s="16">
        <v>-0.33750000000000002</v>
      </c>
      <c r="R89" s="16">
        <v>-2.08</v>
      </c>
      <c r="S89" s="46"/>
      <c r="T89" s="46"/>
      <c r="U89" s="46"/>
      <c r="V89" s="46"/>
      <c r="W89" s="46"/>
      <c r="Z89" s="46"/>
      <c r="AA89" s="46"/>
      <c r="AB89" s="61"/>
    </row>
    <row r="90" spans="2:28" ht="15" x14ac:dyDescent="0.25">
      <c r="B90" s="44"/>
      <c r="C90" s="45"/>
      <c r="D90" s="45"/>
      <c r="E90" s="45"/>
      <c r="F90" s="64"/>
      <c r="G90" s="45"/>
      <c r="H90" s="63"/>
      <c r="I90" s="59" t="s">
        <v>92</v>
      </c>
      <c r="J90" s="16">
        <v>-0.59177000000000002</v>
      </c>
      <c r="K90" s="16">
        <v>-3.88</v>
      </c>
      <c r="L90" s="45"/>
      <c r="M90" s="45"/>
      <c r="N90" s="45"/>
      <c r="O90" s="45"/>
      <c r="P90" s="59" t="s">
        <v>86</v>
      </c>
      <c r="Q90" s="16">
        <v>-0.55413000000000001</v>
      </c>
      <c r="R90" s="16">
        <v>-3.27</v>
      </c>
      <c r="S90" s="46"/>
      <c r="T90" s="46"/>
      <c r="U90" s="46"/>
      <c r="V90" s="46"/>
      <c r="W90" s="46"/>
      <c r="Z90" s="46"/>
      <c r="AA90" s="46"/>
      <c r="AB90" s="61"/>
    </row>
    <row r="91" spans="2:28" ht="15" x14ac:dyDescent="0.25">
      <c r="B91" s="44"/>
      <c r="C91" s="45"/>
      <c r="D91" s="45"/>
      <c r="E91" s="45"/>
      <c r="F91" s="64"/>
      <c r="G91" s="45"/>
      <c r="H91" s="63"/>
      <c r="I91" s="59" t="s">
        <v>73</v>
      </c>
      <c r="J91" s="16">
        <v>-22.5412</v>
      </c>
      <c r="K91" s="16">
        <v>-5.74</v>
      </c>
      <c r="L91" s="45"/>
      <c r="M91" s="45"/>
      <c r="N91" s="45"/>
      <c r="O91" s="45"/>
      <c r="P91" s="59" t="s">
        <v>87</v>
      </c>
      <c r="Q91" s="16">
        <v>-0.2366</v>
      </c>
      <c r="R91" s="16">
        <v>-1.71</v>
      </c>
      <c r="S91" s="46"/>
      <c r="T91" s="46"/>
      <c r="U91" s="46"/>
      <c r="V91" s="46"/>
      <c r="W91" s="46"/>
      <c r="Z91" s="46"/>
      <c r="AA91" s="46"/>
      <c r="AB91" s="61"/>
    </row>
    <row r="92" spans="2:28" ht="15" x14ac:dyDescent="0.25">
      <c r="B92" s="44"/>
      <c r="C92" s="45"/>
      <c r="D92" s="45"/>
      <c r="E92" s="45"/>
      <c r="F92" s="64"/>
      <c r="G92" s="45"/>
      <c r="H92" s="63"/>
      <c r="I92" s="45"/>
      <c r="J92" s="45"/>
      <c r="K92" s="45"/>
      <c r="L92" s="45"/>
      <c r="M92" s="45"/>
      <c r="N92" s="45"/>
      <c r="O92" s="45"/>
      <c r="P92" s="59" t="s">
        <v>88</v>
      </c>
      <c r="Q92" s="16">
        <v>-0.89290999999999998</v>
      </c>
      <c r="R92" s="16">
        <v>-6.36</v>
      </c>
      <c r="S92" s="46"/>
      <c r="T92" s="46"/>
      <c r="U92" s="46"/>
      <c r="V92" s="46"/>
      <c r="W92" s="46"/>
      <c r="Z92" s="46"/>
      <c r="AA92" s="46"/>
      <c r="AB92" s="61"/>
    </row>
    <row r="93" spans="2:28" ht="15" x14ac:dyDescent="0.25">
      <c r="B93" s="44"/>
      <c r="C93" s="45"/>
      <c r="D93" s="45"/>
      <c r="E93" s="45"/>
      <c r="F93" s="64"/>
      <c r="G93" s="45"/>
      <c r="H93" s="63"/>
      <c r="I93" s="45"/>
      <c r="J93" s="45"/>
      <c r="K93" s="45"/>
      <c r="L93" s="45"/>
      <c r="M93" s="45"/>
      <c r="N93" s="45"/>
      <c r="O93" s="45"/>
      <c r="P93" s="59" t="s">
        <v>89</v>
      </c>
      <c r="Q93" s="16">
        <v>-0.70638999999999996</v>
      </c>
      <c r="R93" s="16">
        <v>-4.99</v>
      </c>
      <c r="S93" s="46"/>
      <c r="T93" s="46"/>
      <c r="U93" s="46"/>
      <c r="V93" s="46"/>
      <c r="W93" s="46"/>
      <c r="Z93" s="46"/>
      <c r="AA93" s="46"/>
      <c r="AB93" s="61"/>
    </row>
    <row r="94" spans="2:28" ht="15" x14ac:dyDescent="0.25">
      <c r="B94" s="44"/>
      <c r="C94" s="45"/>
      <c r="D94" s="45"/>
      <c r="E94" s="45"/>
      <c r="F94" s="64"/>
      <c r="G94" s="45"/>
      <c r="H94" s="63"/>
      <c r="I94" s="45"/>
      <c r="J94" s="45"/>
      <c r="K94" s="45"/>
      <c r="L94" s="45"/>
      <c r="M94" s="45"/>
      <c r="N94" s="45"/>
      <c r="O94" s="45"/>
      <c r="P94" s="59" t="s">
        <v>90</v>
      </c>
      <c r="Q94" s="16">
        <v>-0.53585000000000005</v>
      </c>
      <c r="R94" s="16">
        <v>-3.78</v>
      </c>
      <c r="S94" s="46"/>
      <c r="T94" s="46"/>
      <c r="U94" s="46"/>
      <c r="V94" s="46"/>
      <c r="W94" s="46"/>
      <c r="Z94" s="46"/>
      <c r="AA94" s="46"/>
      <c r="AB94" s="61"/>
    </row>
    <row r="95" spans="2:28" ht="15" x14ac:dyDescent="0.25">
      <c r="B95" s="44"/>
      <c r="C95" s="45"/>
      <c r="D95" s="45"/>
      <c r="E95" s="45"/>
      <c r="F95" s="64"/>
      <c r="G95" s="45"/>
      <c r="H95" s="63"/>
      <c r="I95" s="45"/>
      <c r="J95" s="45"/>
      <c r="K95" s="45"/>
      <c r="L95" s="45"/>
      <c r="M95" s="45"/>
      <c r="N95" s="45"/>
      <c r="O95" s="45"/>
      <c r="P95" s="59" t="s">
        <v>91</v>
      </c>
      <c r="Q95" s="16">
        <v>-0.55462999999999996</v>
      </c>
      <c r="R95" s="16">
        <v>-3.87</v>
      </c>
      <c r="S95" s="46"/>
      <c r="T95" s="46"/>
      <c r="U95" s="46"/>
      <c r="V95" s="46"/>
      <c r="W95" s="46"/>
      <c r="Z95" s="46"/>
      <c r="AA95" s="46"/>
      <c r="AB95" s="61"/>
    </row>
    <row r="96" spans="2:28" ht="15" x14ac:dyDescent="0.25">
      <c r="B96" s="44"/>
      <c r="C96" s="45"/>
      <c r="D96" s="45"/>
      <c r="E96" s="45"/>
      <c r="F96" s="64"/>
      <c r="G96" s="45"/>
      <c r="H96" s="63"/>
      <c r="I96" s="45"/>
      <c r="J96" s="45"/>
      <c r="K96" s="45"/>
      <c r="L96" s="45"/>
      <c r="M96" s="45"/>
      <c r="N96" s="45"/>
      <c r="O96" s="45"/>
      <c r="P96" s="59" t="s">
        <v>92</v>
      </c>
      <c r="Q96" s="16">
        <v>-0.48731999999999998</v>
      </c>
      <c r="R96" s="16">
        <v>-3.27</v>
      </c>
      <c r="S96" s="46"/>
      <c r="T96" s="46"/>
      <c r="U96" s="46"/>
      <c r="V96" s="46"/>
      <c r="W96" s="46"/>
      <c r="Z96" s="46"/>
      <c r="AA96" s="46"/>
      <c r="AB96" s="61"/>
    </row>
    <row r="97" spans="2:32" ht="15" x14ac:dyDescent="0.25">
      <c r="B97" s="65"/>
      <c r="C97" s="66"/>
      <c r="D97" s="66"/>
      <c r="E97" s="66"/>
      <c r="F97" s="67"/>
      <c r="G97" s="66"/>
      <c r="H97" s="68"/>
      <c r="I97" s="66"/>
      <c r="J97" s="66"/>
      <c r="K97" s="66"/>
      <c r="L97" s="66"/>
      <c r="M97" s="66"/>
      <c r="N97" s="66"/>
      <c r="O97" s="66"/>
      <c r="P97" s="69" t="s">
        <v>73</v>
      </c>
      <c r="Q97" s="16">
        <v>-25.050999999999998</v>
      </c>
      <c r="R97" s="16">
        <v>-6.61</v>
      </c>
      <c r="S97" s="70"/>
      <c r="T97" s="70"/>
      <c r="U97" s="70"/>
      <c r="V97" s="70"/>
      <c r="W97" s="70"/>
      <c r="Z97" s="70"/>
      <c r="AA97" s="70"/>
      <c r="AB97" s="71"/>
    </row>
    <row r="99" spans="2:32" ht="15" x14ac:dyDescent="0.25">
      <c r="AE99" s="45"/>
      <c r="AF99" s="45"/>
    </row>
    <row r="100" spans="2:32" ht="15" x14ac:dyDescent="0.25">
      <c r="AE100" s="45"/>
      <c r="AF100" s="45"/>
    </row>
    <row r="101" spans="2:32" ht="15" x14ac:dyDescent="0.25"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</row>
    <row r="102" spans="2:32" ht="15" x14ac:dyDescent="0.25"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</row>
    <row r="103" spans="2:32" ht="15" x14ac:dyDescent="0.25"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</row>
    <row r="104" spans="2:32" ht="15" x14ac:dyDescent="0.25"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</row>
    <row r="105" spans="2:32" ht="15" x14ac:dyDescent="0.25"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</row>
    <row r="106" spans="2:32" ht="15" x14ac:dyDescent="0.25"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</row>
    <row r="107" spans="2:32" ht="15" x14ac:dyDescent="0.25"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</row>
    <row r="108" spans="2:32" ht="15" x14ac:dyDescent="0.25"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</row>
    <row r="109" spans="2:32" ht="15" x14ac:dyDescent="0.25"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</row>
    <row r="110" spans="2:32" ht="15" x14ac:dyDescent="0.25"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</row>
    <row r="111" spans="2:32" ht="15" x14ac:dyDescent="0.25"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</row>
    <row r="112" spans="2:32" ht="15" x14ac:dyDescent="0.25"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</row>
    <row r="113" spans="2:32" ht="15" x14ac:dyDescent="0.25"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</row>
    <row r="114" spans="2:32" ht="15" x14ac:dyDescent="0.25"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</row>
    <row r="115" spans="2:32" ht="15" x14ac:dyDescent="0.25"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</row>
    <row r="116" spans="2:32" ht="15" x14ac:dyDescent="0.25"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</row>
    <row r="117" spans="2:32" ht="15" x14ac:dyDescent="0.25"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</row>
    <row r="118" spans="2:32" ht="15" x14ac:dyDescent="0.25"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</row>
    <row r="119" spans="2:32" ht="15" x14ac:dyDescent="0.25"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</row>
    <row r="120" spans="2:32" ht="15" x14ac:dyDescent="0.25"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</row>
    <row r="121" spans="2:32" ht="15" x14ac:dyDescent="0.25"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</row>
    <row r="122" spans="2:32" ht="15" x14ac:dyDescent="0.25"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</row>
    <row r="123" spans="2:32" ht="15" x14ac:dyDescent="0.25"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</row>
    <row r="124" spans="2:32" ht="15" x14ac:dyDescent="0.25"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</row>
    <row r="125" spans="2:32" ht="15" x14ac:dyDescent="0.25"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</row>
    <row r="126" spans="2:32" ht="15" x14ac:dyDescent="0.25"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</row>
    <row r="127" spans="2:32" ht="15" x14ac:dyDescent="0.25"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  <row r="128" spans="2:32" ht="15" x14ac:dyDescent="0.25"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</row>
    <row r="129" spans="2:32" ht="15" x14ac:dyDescent="0.25"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</row>
    <row r="130" spans="2:32" ht="15" x14ac:dyDescent="0.25"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</row>
    <row r="131" spans="2:32" ht="15" x14ac:dyDescent="0.25"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</row>
    <row r="132" spans="2:32" ht="15" x14ac:dyDescent="0.25"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</row>
    <row r="133" spans="2:32" ht="15" x14ac:dyDescent="0.25"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</row>
    <row r="134" spans="2:32" ht="15" x14ac:dyDescent="0.25"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</row>
    <row r="135" spans="2:32" ht="15" x14ac:dyDescent="0.25"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</row>
    <row r="136" spans="2:32" ht="15" x14ac:dyDescent="0.25"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</row>
    <row r="137" spans="2:32" ht="15" x14ac:dyDescent="0.25"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</row>
    <row r="138" spans="2:32" ht="15" x14ac:dyDescent="0.25"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</row>
    <row r="139" spans="2:32" ht="15" x14ac:dyDescent="0.25"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</row>
    <row r="140" spans="2:32" ht="15" x14ac:dyDescent="0.25"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</row>
    <row r="141" spans="2:32" ht="15" x14ac:dyDescent="0.25"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</row>
    <row r="142" spans="2:32" ht="15" x14ac:dyDescent="0.25"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</row>
    <row r="143" spans="2:32" ht="15" x14ac:dyDescent="0.25"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</row>
    <row r="144" spans="2:32" ht="15" x14ac:dyDescent="0.25"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</row>
    <row r="145" spans="2:32" ht="15" x14ac:dyDescent="0.25"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</row>
    <row r="146" spans="2:32" ht="15" x14ac:dyDescent="0.25"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</row>
    <row r="147" spans="2:32" ht="15" x14ac:dyDescent="0.25"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</row>
    <row r="148" spans="2:32" ht="15" x14ac:dyDescent="0.25"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</row>
  </sheetData>
  <dataConsolidate/>
  <dataValidations count="3">
    <dataValidation type="list" allowBlank="1" showInputMessage="1" showErrorMessage="1" sqref="R16">
      <formula1>$Q$9:$S$9</formula1>
    </dataValidation>
    <dataValidation type="list" allowBlank="1" showInputMessage="1" showErrorMessage="1" sqref="R20">
      <formula1>$U$9:$W$9</formula1>
    </dataValidation>
    <dataValidation type="list" allowBlank="1" showInputMessage="1" showErrorMessage="1" sqref="C3">
      <formula1>$G$3:$G$15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Normal="100" workbookViewId="0">
      <selection activeCell="A5" sqref="A5"/>
    </sheetView>
  </sheetViews>
  <sheetFormatPr defaultColWidth="0" defaultRowHeight="12.6" customHeight="1" zeroHeight="1" x14ac:dyDescent="0.2"/>
  <cols>
    <col min="1" max="1" width="45.42578125" style="184" customWidth="1"/>
    <col min="2" max="14" width="9.140625" style="184" customWidth="1"/>
    <col min="15" max="16384" width="9.140625" style="184" hidden="1"/>
  </cols>
  <sheetData>
    <row r="1" spans="1:11" ht="12.75" x14ac:dyDescent="0.2">
      <c r="A1" s="183" t="str">
        <f>"Assessment of "&amp;Inputs!C2&amp;"'s estimated opex "&amp;Inputs!C4</f>
        <v>Assessment of Jemena's estimated opex 2018</v>
      </c>
    </row>
    <row r="2" spans="1:11" ht="12.75" x14ac:dyDescent="0.2">
      <c r="A2" s="183"/>
    </row>
    <row r="3" spans="1:11" ht="12.75" x14ac:dyDescent="0.2">
      <c r="A3" s="183" t="str">
        <f>"Assessment made by comparing to rolled forward average target opex for "&amp;Inputs!C5&amp;"-"&amp;RIGHT(Inputs!C6,2)&amp;" from four models"</f>
        <v>Assessment made by comparing to rolled forward average target opex for 2012-19 from four models</v>
      </c>
    </row>
    <row r="4" spans="1:11" ht="12.75" x14ac:dyDescent="0.2">
      <c r="A4" s="183"/>
    </row>
    <row r="5" spans="1:11" ht="12.75" x14ac:dyDescent="0.2">
      <c r="A5" s="183" t="s">
        <v>180</v>
      </c>
    </row>
    <row r="6" spans="1:11" ht="12.75" x14ac:dyDescent="0.2">
      <c r="A6" s="183" t="s">
        <v>147</v>
      </c>
    </row>
    <row r="7" spans="1:11" ht="12.75" x14ac:dyDescent="0.2">
      <c r="H7" s="201" t="s">
        <v>179</v>
      </c>
    </row>
    <row r="8" spans="1:11" ht="12.75" x14ac:dyDescent="0.2">
      <c r="A8" s="185" t="str">
        <f>'Opex Forecasts'!A36</f>
        <v>Target opex ($'000Jun2021)</v>
      </c>
      <c r="B8" s="183">
        <f>'Opex Forecasts'!E13</f>
        <v>2018</v>
      </c>
      <c r="C8" s="183"/>
      <c r="D8" s="183"/>
      <c r="E8" s="183" t="s">
        <v>159</v>
      </c>
    </row>
    <row r="9" spans="1:11" ht="15" x14ac:dyDescent="0.25">
      <c r="A9" s="184" t="str">
        <f>'Opex Modelling Results'!A4</f>
        <v xml:space="preserve">Cobb-Douglas SFA </v>
      </c>
      <c r="B9" s="187">
        <f>'Opex Forecasts'!E36/1000</f>
        <v>75.32168389074468</v>
      </c>
      <c r="C9" s="187"/>
      <c r="D9" s="187"/>
      <c r="E9" s="187">
        <f>INDEX($B$8:$C$17,MATCH($A9,$A$8:$A$17,0),MATCH(Inputs!$C$4,Summary!$B$8:$C$8,0))*H9</f>
        <v>75.32168389074468</v>
      </c>
      <c r="G9" s="188">
        <f>AVERAGEIF($E$9:$E$12,"&gt;0")</f>
        <v>74.018647894168879</v>
      </c>
      <c r="H9" s="184">
        <v>1</v>
      </c>
      <c r="K9" s="199"/>
    </row>
    <row r="10" spans="1:11" ht="15" x14ac:dyDescent="0.25">
      <c r="A10" s="184" t="str">
        <f>'Opex Modelling Results'!H4</f>
        <v xml:space="preserve">Cobb-Douglas LSE </v>
      </c>
      <c r="B10" s="187">
        <f>'Opex Forecasts'!K36/1000</f>
        <v>72.715611897593078</v>
      </c>
      <c r="C10" s="187"/>
      <c r="D10" s="187"/>
      <c r="E10" s="187">
        <f>INDEX($B$8:$C$17,MATCH($A10,$A$8:$A$17,0),MATCH(Inputs!$C$4,Summary!$B$8:$C$8,0))*H10</f>
        <v>72.715611897593078</v>
      </c>
      <c r="G10" s="188">
        <f>AVERAGEIF($E$9:$E$12,"&gt;0")</f>
        <v>74.018647894168879</v>
      </c>
      <c r="H10" s="184">
        <v>1</v>
      </c>
      <c r="K10" s="199"/>
    </row>
    <row r="11" spans="1:11" ht="15" x14ac:dyDescent="0.25">
      <c r="A11" s="184" t="str">
        <f>'Opex Modelling Results'!O4</f>
        <v>Translog LSE</v>
      </c>
      <c r="B11" s="187">
        <f>'Opex Forecasts'!Q36/1000</f>
        <v>58.834928483519064</v>
      </c>
      <c r="C11" s="187"/>
      <c r="D11" s="187"/>
      <c r="E11" s="187">
        <f>INDEX($B$8:$C$17,MATCH($A11,$A$8:$A$17,0),MATCH(Inputs!$C$4,Summary!$B$8:$C$8,0))*H11</f>
        <v>0</v>
      </c>
      <c r="G11" s="188">
        <f>AVERAGEIF($E$9:$E$12,"&gt;0")</f>
        <v>74.018647894168879</v>
      </c>
      <c r="H11" s="184">
        <v>0</v>
      </c>
      <c r="K11" s="199"/>
    </row>
    <row r="12" spans="1:11" ht="15" x14ac:dyDescent="0.25">
      <c r="A12" s="184" t="s">
        <v>123</v>
      </c>
      <c r="B12" s="187">
        <f>'Opex Forecasts'!W36/1000</f>
        <v>67.321835936931265</v>
      </c>
      <c r="C12" s="187"/>
      <c r="D12" s="187"/>
      <c r="E12" s="187">
        <f>INDEX($B$8:$C$17,MATCH($A12,$A$8:$A$17,0),MATCH(Inputs!$C$4,Summary!$B$8:$C$8,0))*H12</f>
        <v>0</v>
      </c>
      <c r="G12" s="188">
        <f>AVERAGEIF($E$9:$E$12,"&gt;0")</f>
        <v>74.018647894168879</v>
      </c>
      <c r="H12" s="184">
        <v>0</v>
      </c>
      <c r="K12" s="199"/>
    </row>
    <row r="13" spans="1:11" ht="15" x14ac:dyDescent="0.25">
      <c r="A13" s="183" t="str">
        <f>Inputs!C2&amp;" actual opex"</f>
        <v>Jemena actual opex</v>
      </c>
      <c r="B13" s="192">
        <f>Inputs!$D$19</f>
        <v>82.515601236871461</v>
      </c>
      <c r="C13" s="192"/>
      <c r="D13" s="192"/>
      <c r="E13" s="187">
        <f>INDEX($B$8:$C$17,MATCH($A13,$A$8:$A$17,0),MATCH(Inputs!$C$4,Summary!$B$8:$C$8,0))</f>
        <v>82.515601236871461</v>
      </c>
      <c r="G13" s="188">
        <f>AVERAGEIF($E$9:$E$12,"&gt;0")</f>
        <v>74.018647894168879</v>
      </c>
      <c r="K13" s="199"/>
    </row>
    <row r="14" spans="1:11" ht="12.75" x14ac:dyDescent="0.2">
      <c r="A14" s="183"/>
      <c r="B14" s="192"/>
      <c r="C14" s="192"/>
      <c r="D14" s="192"/>
      <c r="E14" s="192"/>
    </row>
    <row r="15" spans="1:11" ht="12.75" x14ac:dyDescent="0.2">
      <c r="A15" s="183" t="s">
        <v>148</v>
      </c>
      <c r="B15" s="192">
        <f>AVERAGE(B9:B12)</f>
        <v>68.548515052197018</v>
      </c>
      <c r="C15" s="192"/>
      <c r="D15" s="192"/>
      <c r="E15" s="192">
        <f>AVERAGEIF(E9:E12,"&gt;0")</f>
        <v>74.018647894168879</v>
      </c>
      <c r="G15" s="192"/>
    </row>
    <row r="16" spans="1:11" ht="12.75" x14ac:dyDescent="0.2">
      <c r="A16" s="183" t="s">
        <v>157</v>
      </c>
      <c r="B16" s="193">
        <f t="shared" ref="B16" si="0">B15-B13</f>
        <v>-13.967086184674443</v>
      </c>
      <c r="C16" s="193"/>
      <c r="D16" s="193"/>
      <c r="E16" s="193">
        <f>E15-E13</f>
        <v>-8.4969533427025823</v>
      </c>
    </row>
    <row r="17" spans="1:8" ht="12.75" x14ac:dyDescent="0.2">
      <c r="A17" s="184" t="s">
        <v>158</v>
      </c>
      <c r="B17" s="194">
        <f t="shared" ref="B17" si="1">B16/B13</f>
        <v>-0.16926600515919599</v>
      </c>
      <c r="C17" s="194"/>
      <c r="D17" s="194"/>
      <c r="E17" s="194">
        <f>E16/E13</f>
        <v>-0.10297390087858663</v>
      </c>
      <c r="G17" s="207"/>
      <c r="H17" s="207"/>
    </row>
    <row r="18" spans="1:8" ht="12.75" x14ac:dyDescent="0.2">
      <c r="A18" s="183"/>
      <c r="B18" s="186"/>
      <c r="C18" s="186"/>
      <c r="D18" s="186"/>
      <c r="E18" s="186"/>
      <c r="G18" s="189"/>
    </row>
    <row r="19" spans="1:8" ht="12.75" x14ac:dyDescent="0.2">
      <c r="A19" s="183"/>
      <c r="B19" s="186"/>
      <c r="C19" s="186"/>
      <c r="D19" s="186"/>
      <c r="E19" s="186"/>
    </row>
    <row r="20" spans="1:8" ht="12.75" x14ac:dyDescent="0.2">
      <c r="A20" s="183"/>
      <c r="B20" s="186"/>
      <c r="C20" s="186"/>
      <c r="D20" s="186"/>
      <c r="E20" s="186"/>
    </row>
    <row r="21" spans="1:8" ht="12.75" x14ac:dyDescent="0.2">
      <c r="A21" s="183"/>
      <c r="B21" s="190"/>
      <c r="C21" s="190"/>
      <c r="D21" s="190"/>
      <c r="E21" s="190"/>
    </row>
    <row r="22" spans="1:8" ht="12.75" x14ac:dyDescent="0.2">
      <c r="A22" s="183"/>
    </row>
    <row r="23" spans="1:8" ht="12.75" x14ac:dyDescent="0.2">
      <c r="A23" s="183"/>
    </row>
    <row r="24" spans="1:8" ht="12.75" x14ac:dyDescent="0.2">
      <c r="A24" s="183"/>
      <c r="B24" s="186"/>
      <c r="C24" s="186"/>
      <c r="D24" s="186"/>
      <c r="E24" s="186"/>
    </row>
    <row r="25" spans="1:8" ht="12.75" x14ac:dyDescent="0.2">
      <c r="A25" s="183"/>
      <c r="B25" s="186"/>
      <c r="C25" s="186"/>
      <c r="D25" s="186"/>
      <c r="E25" s="186"/>
    </row>
    <row r="26" spans="1:8" ht="12.75" x14ac:dyDescent="0.2">
      <c r="A26" s="183"/>
      <c r="B26" s="190"/>
      <c r="C26" s="190"/>
      <c r="D26" s="190"/>
      <c r="E26" s="190"/>
    </row>
    <row r="27" spans="1:8" ht="12.75" x14ac:dyDescent="0.2"/>
    <row r="28" spans="1:8" ht="12.75" x14ac:dyDescent="0.2"/>
    <row r="29" spans="1:8" ht="12.75" x14ac:dyDescent="0.2"/>
    <row r="30" spans="1:8" ht="12.75" x14ac:dyDescent="0.2"/>
    <row r="31" spans="1:8" ht="12.75" x14ac:dyDescent="0.2"/>
    <row r="32" spans="1:8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</sheetData>
  <pageMargins left="0.75" right="0.75" top="1" bottom="1" header="0.5" footer="0.5"/>
  <pageSetup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Cost Drivers</vt:lpstr>
      <vt:lpstr>Opex Modelling Results</vt:lpstr>
      <vt:lpstr>Efficiency Target Option</vt:lpstr>
      <vt:lpstr>Opex Forecasts</vt:lpstr>
      <vt:lpstr>Inputs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2021-04-26T01:20:18Z</dcterms:created>
  <dcterms:modified xsi:type="dcterms:W3CDTF">2021-04-26T01:20:21Z</dcterms:modified>
</cp:coreProperties>
</file>