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9552" windowHeight="3120" tabRatio="691" firstSheet="2" activeTab="6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3" l="1"/>
  <c r="O14" i="13" s="1"/>
  <c r="D42" i="4"/>
  <c r="H12" i="3"/>
  <c r="D10" i="4"/>
  <c r="D12" i="4"/>
  <c r="K12" i="3"/>
  <c r="G10" i="4"/>
  <c r="G12" i="4"/>
  <c r="A5" i="14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D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H23" i="3"/>
  <c r="I16" i="3"/>
  <c r="I23" i="3"/>
  <c r="I12" i="3"/>
  <c r="E10" i="4"/>
  <c r="E12" i="4"/>
  <c r="L16" i="3"/>
  <c r="L23" i="3"/>
  <c r="H11" i="4"/>
  <c r="K16" i="3"/>
  <c r="K23" i="3"/>
  <c r="J16" i="3"/>
  <c r="J23" i="3"/>
  <c r="J12" i="3"/>
  <c r="G22" i="13"/>
  <c r="D9" i="4"/>
  <c r="H22" i="13"/>
  <c r="I22" i="13"/>
  <c r="J22" i="13"/>
  <c r="K22" i="13"/>
  <c r="H9" i="4"/>
  <c r="H8" i="4"/>
  <c r="G19" i="4"/>
  <c r="E9" i="4"/>
  <c r="N9" i="13"/>
  <c r="O9" i="13"/>
  <c r="P9" i="13"/>
  <c r="Q9" i="13"/>
  <c r="C15" i="13"/>
  <c r="G15" i="13"/>
  <c r="H15" i="13"/>
  <c r="I15" i="13"/>
  <c r="J15" i="13"/>
  <c r="K15" i="13"/>
  <c r="L15" i="13"/>
  <c r="M15" i="13"/>
  <c r="C10" i="13"/>
  <c r="G8" i="4"/>
  <c r="F8" i="4"/>
  <c r="E8" i="4"/>
  <c r="F9" i="4"/>
  <c r="B1" i="2"/>
  <c r="B1" i="10"/>
  <c r="G9" i="4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D11" i="4"/>
  <c r="C43" i="4"/>
  <c r="C45" i="4"/>
  <c r="G10" i="13"/>
  <c r="H10" i="13"/>
  <c r="I10" i="13"/>
  <c r="J10" i="13"/>
  <c r="K10" i="13"/>
  <c r="L10" i="13"/>
  <c r="M10" i="13"/>
  <c r="N10" i="13"/>
  <c r="O10" i="13"/>
  <c r="F10" i="4"/>
  <c r="F12" i="4"/>
  <c r="G11" i="4"/>
  <c r="F11" i="4"/>
  <c r="E11" i="4"/>
  <c r="F19" i="4"/>
  <c r="E19" i="4"/>
  <c r="D19" i="4"/>
  <c r="D21" i="4"/>
  <c r="L22" i="13"/>
  <c r="B1" i="5"/>
  <c r="B1" i="13"/>
  <c r="B1" i="3"/>
  <c r="B1" i="4"/>
  <c r="G14" i="4"/>
  <c r="E20" i="4"/>
  <c r="H14" i="4"/>
  <c r="F14" i="4"/>
  <c r="F18" i="4"/>
  <c r="F21" i="4"/>
  <c r="G20" i="4"/>
  <c r="H16" i="4"/>
  <c r="H13" i="4"/>
  <c r="D20" i="4"/>
  <c r="E13" i="4"/>
  <c r="E18" i="4"/>
  <c r="E21" i="4"/>
  <c r="F13" i="4"/>
  <c r="G13" i="4"/>
  <c r="F20" i="4"/>
  <c r="G15" i="4"/>
  <c r="G18" i="4"/>
  <c r="G21" i="4"/>
  <c r="L12" i="3"/>
  <c r="H10" i="4"/>
  <c r="H12" i="4"/>
  <c r="H20" i="4"/>
  <c r="H15" i="4"/>
  <c r="P10" i="13"/>
  <c r="H18" i="4"/>
  <c r="H21" i="4"/>
  <c r="D35" i="4"/>
  <c r="Q10" i="13"/>
  <c r="J29" i="3"/>
  <c r="L29" i="3"/>
  <c r="K29" i="3"/>
  <c r="K30" i="3"/>
  <c r="I29" i="3"/>
  <c r="I30" i="3"/>
  <c r="H29" i="3"/>
  <c r="L30" i="3"/>
  <c r="J30" i="3"/>
  <c r="H30" i="3"/>
  <c r="H31" i="3"/>
  <c r="D26" i="4" s="1"/>
  <c r="N15" i="13" l="1"/>
  <c r="J31" i="3" s="1"/>
  <c r="F26" i="4" s="1"/>
  <c r="E42" i="4"/>
  <c r="F42" i="4" s="1"/>
  <c r="G42" i="4" s="1"/>
  <c r="H42" i="4" s="1"/>
  <c r="M22" i="13"/>
  <c r="D25" i="4" s="1"/>
  <c r="D27" i="4" s="1"/>
  <c r="D28" i="4" s="1"/>
  <c r="N22" i="13"/>
  <c r="E25" i="4" s="1"/>
  <c r="I31" i="3"/>
  <c r="E26" i="4" s="1"/>
  <c r="O15" i="13"/>
  <c r="P14" i="13"/>
  <c r="O22" i="13"/>
  <c r="F25" i="4" s="1"/>
  <c r="E27" i="4" l="1"/>
  <c r="E28" i="4" s="1"/>
  <c r="F27" i="4"/>
  <c r="F28" i="4" s="1"/>
  <c r="P22" i="13"/>
  <c r="G25" i="4" s="1"/>
  <c r="G27" i="4" s="1"/>
  <c r="Q14" i="13"/>
  <c r="Q22" i="13" s="1"/>
  <c r="H25" i="4" s="1"/>
  <c r="K31" i="3"/>
  <c r="G26" i="4" s="1"/>
  <c r="P15" i="13"/>
  <c r="G28" i="4" l="1"/>
  <c r="H27" i="4"/>
  <c r="L31" i="3"/>
  <c r="H26" i="4" s="1"/>
  <c r="H28" i="4" s="1"/>
  <c r="D31" i="4" s="1"/>
  <c r="Q15" i="13"/>
  <c r="D34" i="4" l="1"/>
  <c r="D36" i="4" s="1"/>
  <c r="D37" i="4" s="1"/>
  <c r="D43" i="4" s="1"/>
  <c r="D33" i="4"/>
  <c r="J8" i="10" l="1"/>
  <c r="E43" i="4"/>
  <c r="F43" i="4" l="1"/>
  <c r="K8" i="10"/>
  <c r="L8" i="10" l="1"/>
  <c r="G43" i="4"/>
  <c r="H43" i="4" l="1"/>
  <c r="N8" i="10" s="1"/>
  <c r="M8" i="10"/>
  <c r="D45" i="4"/>
  <c r="O8" i="10" l="1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<sst xmlns="http://schemas.openxmlformats.org/spreadsheetml/2006/main" count="233" uniqueCount="128">
  <si>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</si>
  <si>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</si>
  <si>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</si>
  <si>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</si>
  <si>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</si>
  <si>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</si>
  <si>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</si>
  <si>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</si>
  <si>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</si>
  <si>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</si>
  <si>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</si>
  <si>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</si>
  <si>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</si>
  <si>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</si>
  <si>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</si>
  <si>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</si>
  <si>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</si>
  <si>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</si>
  <si>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</si>
  <si>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</si>
  <si>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</si>
  <si>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</si>
  <si>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</si>
  <si>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</si>
  <si>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</si>
  <si>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</si>
  <si>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</si>
  <si>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</si>
  <si>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</si>
  <si>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</si>
  <si>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</si>
  <si>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</si>
  <si>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</si>
  <si>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</si>
  <si>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</si>
  <si>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</si>
  <si>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</si>
  <si>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</si>
  <si>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</si>
  <si>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</si>
  <si>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</si>
  <si>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</si>
  <si>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</si>
  <si>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</si>
  <si>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</si>
  <si>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</si>
  <si>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</si>
  <si>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</si>
  <si>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</si>
  <si>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</si>
  <si>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</si>
  <si>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</si>
  <si>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</si>
  <si>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</si>
  <si>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</si>
  <si>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</si>
  <si>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</si>
  <si>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</si>
  <si>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</si>
  <si>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</si>
  <si>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</si>
  <si>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</si>
  <si>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</si>
  <si>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</si>
  <si>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</si>
  <si>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</si>
  <si>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</si>
  <si>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</si>
  <si>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</si>
  <si>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</si>
  <si>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</si>
  <si>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</si>
  <si>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</si>
  <si>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</si>
  <si>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</si>
  <si>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</si>
  <si>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</si>
  <si>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</si>
  <si>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</si>
  <si>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</si>
  <si>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</si>
  <si>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</si>
  <si>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</si>
  <si>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</si>
  <si>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</si>
  <si>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</si>
  <si>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</si>
  <si>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</si>
  <si>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</si>
  <si>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</si>
  <si>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</si>
  <si>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</si>
  <si>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</si>
  <si>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</si>
  <si>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</si>
  <si>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</si>
  <si>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</si>
  <si>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</si>
  <si>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</si>
  <si>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</si>
  <si>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</si>
  <si>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</si>
  <si>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</si>
  <si>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</si>
  <si>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</si>
  <si>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</si>
  <si>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</si>
  <si>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</si>
  <si>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</si>
  <si>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</si>
  <si>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</si>
  <si>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</si>
  <si>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</si>
  <si>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</si>
  <si>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</si>
  <si>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</si>
  <si>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</si>
  <si>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</si>
  <si>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</si>
  <si>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</si>
  <si>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</si>
  <si>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</si>
  <si>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</si>
  <si>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</si>
  <si>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</si>
  <si>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Powercor</t>
  </si>
  <si>
    <t>DNSP</t>
  </si>
  <si>
    <t>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</si>
</sst>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27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167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8" fontId="24" fillId="56" borderId="2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0" fontId="24" fillId="58" borderId="24" xfId="1" applyFont="1" applyFill="1" applyBorder="1" applyAlignment="1">
      <alignment horizontal="center" vertical="center"/>
    </xf>
    <xf numFmtId="10" fontId="24" fillId="58" borderId="26" xfId="0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11" sqref="C1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Powercor 2021-26 Final Decision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4.4"/>
  <cols>
    <col min="2" max="2" width="37.88671875" customWidth="1"/>
    <col min="3" max="3" width="23.5546875" customWidth="1"/>
    <col min="4" max="4" width="70.5546875" bestFit="1" customWidth="1"/>
    <col min="5" max="5" width="75.44140625" customWidth="1"/>
  </cols>
  <sheetData>
    <row r="1" spans="1:5" ht="17.399999999999999">
      <c r="A1" s="219" t="s">
        <v>109</v>
      </c>
      <c r="B1" s="210"/>
      <c r="C1" s="210"/>
      <c r="D1" s="210"/>
      <c r="E1" s="210"/>
    </row>
    <row r="2" spans="1:5" ht="15" thickBot="1">
      <c r="A2" s="210"/>
      <c r="B2" s="210"/>
      <c r="C2" s="210"/>
      <c r="D2" s="210"/>
      <c r="E2" s="210"/>
    </row>
    <row r="3" spans="1:5">
      <c r="A3" s="211" t="s">
        <v>105</v>
      </c>
      <c r="B3" s="212" t="s">
        <v>106</v>
      </c>
      <c r="C3" s="212" t="s">
        <v>107</v>
      </c>
      <c r="D3" s="213" t="s">
        <v>108</v>
      </c>
      <c r="E3" s="220"/>
    </row>
    <row r="4" spans="1:5" ht="41.1" customHeight="1">
      <c r="A4" s="209">
        <v>1</v>
      </c>
      <c r="B4" s="210" t="s">
        <v>31</v>
      </c>
      <c r="C4" s="210" t="s">
        <v>110</v>
      </c>
      <c r="D4" s="215" t="s">
        <v>111</v>
      </c>
      <c r="E4" s="220"/>
    </row>
    <row r="5" spans="1:5" ht="41.1" customHeight="1">
      <c r="A5" s="209">
        <f>A4+1</f>
        <v>2</v>
      </c>
      <c r="B5" s="210" t="s">
        <v>75</v>
      </c>
      <c r="C5" s="210" t="s">
        <v>112</v>
      </c>
      <c r="D5" s="215" t="s">
        <v>113</v>
      </c>
      <c r="E5" s="220"/>
    </row>
    <row r="6" spans="1:5" ht="41.1" customHeight="1">
      <c r="A6" s="209">
        <f>A5+1</f>
        <v>3</v>
      </c>
      <c r="B6" s="210" t="s">
        <v>51</v>
      </c>
      <c r="C6" s="214" t="s">
        <v>114</v>
      </c>
      <c r="D6" s="215" t="s">
        <v>118</v>
      </c>
      <c r="E6" s="220"/>
    </row>
    <row r="7" spans="1:5" ht="41.1" customHeight="1">
      <c r="A7" s="209">
        <f t="shared" ref="A7:A9" si="0">A6+1</f>
        <v>4</v>
      </c>
      <c r="B7" s="210" t="s">
        <v>54</v>
      </c>
      <c r="C7" s="210" t="s">
        <v>115</v>
      </c>
      <c r="D7" s="215" t="s">
        <v>116</v>
      </c>
      <c r="E7" s="220"/>
    </row>
    <row r="8" spans="1:5" ht="41.1" customHeight="1">
      <c r="A8" s="209">
        <f t="shared" si="0"/>
        <v>5</v>
      </c>
      <c r="B8" s="210" t="s">
        <v>54</v>
      </c>
      <c r="C8" s="210" t="s">
        <v>117</v>
      </c>
      <c r="D8" s="215" t="s">
        <v>118</v>
      </c>
      <c r="E8" s="220"/>
    </row>
    <row r="9" spans="1:5" ht="41.1" customHeight="1">
      <c r="A9" s="209">
        <f t="shared" si="0"/>
        <v>6</v>
      </c>
      <c r="B9" s="210" t="s">
        <v>54</v>
      </c>
      <c r="C9" s="210" t="s">
        <v>119</v>
      </c>
      <c r="D9" s="215" t="s">
        <v>124</v>
      </c>
      <c r="E9" s="220"/>
    </row>
    <row r="10" spans="1:5" ht="41.4" customHeight="1" thickBot="1">
      <c r="A10" s="216">
        <f t="shared" ref="A10" si="1">A9+1</f>
        <v>7</v>
      </c>
      <c r="B10" s="217" t="s">
        <v>54</v>
      </c>
      <c r="C10" s="217" t="s">
        <v>122</v>
      </c>
      <c r="D10" s="222" t="s">
        <v>123</v>
      </c>
      <c r="E10" s="210"/>
    </row>
    <row r="11" spans="1:5" ht="20.100000000000001" customHeight="1">
      <c r="A11" s="210"/>
      <c r="B11" s="210"/>
      <c r="C11" s="210"/>
      <c r="D11" s="210"/>
      <c r="E11" s="210"/>
    </row>
    <row r="12" spans="1:5" ht="20.100000000000001" customHeight="1">
      <c r="A12" s="210"/>
      <c r="B12" s="210"/>
      <c r="C12" s="210"/>
      <c r="D12" s="210"/>
      <c r="E12" s="210"/>
    </row>
    <row r="13" spans="1:5" ht="20.100000000000001" customHeight="1">
      <c r="A13" s="220"/>
      <c r="B13" s="220"/>
      <c r="C13" s="220"/>
      <c r="D13" s="220"/>
      <c r="E13" s="220"/>
    </row>
    <row r="14" spans="1:5" ht="20.100000000000001" customHeight="1">
      <c r="A14" s="220"/>
      <c r="B14" s="220"/>
      <c r="C14" s="220"/>
      <c r="D14" s="220"/>
      <c r="E14" s="220"/>
    </row>
    <row r="15" spans="1:5" ht="20.100000000000001" customHeight="1">
      <c r="A15" s="220"/>
      <c r="B15" s="220"/>
      <c r="C15" s="220"/>
      <c r="D15" s="220"/>
      <c r="E15" s="220"/>
    </row>
    <row r="16" spans="1:5" ht="20.100000000000001" customHeight="1">
      <c r="A16" s="220"/>
      <c r="B16" s="220"/>
      <c r="C16" s="220"/>
      <c r="D16" s="220"/>
      <c r="E16" s="220"/>
    </row>
    <row r="17" ht="20.100000000000001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="90" zoomScaleNormal="90" workbookViewId="0">
      <selection activeCell="D8" sqref="D8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9" width="9.44140625" style="14" customWidth="1"/>
    <col min="10" max="10" width="11.441406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Powercor 2021-26 Final Decision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8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125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127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4">
        <v>2016</v>
      </c>
      <c r="E13" s="194">
        <v>2017</v>
      </c>
      <c r="F13" s="194">
        <v>2018</v>
      </c>
      <c r="G13" s="194">
        <v>2019</v>
      </c>
      <c r="H13" s="194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223" t="s">
        <v>7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G108"/>
  <sheetViews>
    <sheetView showGridLines="0" zoomScale="90" zoomScaleNormal="90" workbookViewId="0">
      <selection activeCell="M21" sqref="M21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3" width="12.6640625" style="11" customWidth="1"/>
    <col min="14" max="14" width="12.5546875" style="22" customWidth="1"/>
    <col min="15" max="17" width="12.6640625" style="24" customWidth="1"/>
    <col min="18" max="19" width="2.88671875" style="24" customWidth="1"/>
    <col min="20" max="33" width="12.6640625" style="24" hidden="1" customWidth="1"/>
    <col min="34" max="16384" width="9.109375" style="24" hidden="1"/>
  </cols>
  <sheetData>
    <row r="1" spans="1:21" s="11" customFormat="1" ht="18" customHeight="1">
      <c r="B1" s="3" t="str">
        <f>'Input | General'!$B$1</f>
        <v>Powercor 2021-26 Final Decision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8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126</v>
      </c>
      <c r="E8" s="78" t="s">
        <v>47</v>
      </c>
      <c r="F8" s="78"/>
      <c r="G8" s="156">
        <v>1.5108593012275628E-2</v>
      </c>
      <c r="H8" s="156">
        <v>1.0232558139534831E-2</v>
      </c>
      <c r="I8" s="156">
        <v>1.9337016574585641E-2</v>
      </c>
      <c r="J8" s="156">
        <v>2.0776874435411097E-2</v>
      </c>
      <c r="K8" s="156">
        <v>1.5929203539823078E-2</v>
      </c>
      <c r="L8" s="224">
        <v>1.2195121951219523E-2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126</v>
      </c>
      <c r="E9" s="78" t="s">
        <v>47</v>
      </c>
      <c r="F9" s="78"/>
      <c r="G9" s="126"/>
      <c r="H9" s="126"/>
      <c r="I9" s="126"/>
      <c r="J9" s="126"/>
      <c r="K9" s="126"/>
      <c r="L9" s="126"/>
      <c r="M9" s="224">
        <v>2.3743086789108414E-2</v>
      </c>
      <c r="N9" s="139">
        <f t="shared" ref="N9:Q9" si="0">M9</f>
        <v>2.3743086789108414E-2</v>
      </c>
      <c r="O9" s="139">
        <f t="shared" si="0"/>
        <v>2.3743086789108414E-2</v>
      </c>
      <c r="P9" s="139">
        <f t="shared" si="0"/>
        <v>2.3743086789108414E-2</v>
      </c>
      <c r="Q9" s="139">
        <f t="shared" si="0"/>
        <v>2.3743086789108414E-2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126</v>
      </c>
      <c r="E10" s="78" t="s">
        <v>26</v>
      </c>
      <c r="F10" s="134">
        <v>1</v>
      </c>
      <c r="G10" s="121">
        <f t="shared" ref="G10:L10" si="1">IF(G7&lt;&gt;"",(F10*(1+G8)),"")</f>
        <v>1.0151085930122756</v>
      </c>
      <c r="H10" s="121">
        <f t="shared" si="1"/>
        <v>1.0254957507082152</v>
      </c>
      <c r="I10" s="121">
        <f t="shared" si="1"/>
        <v>1.0453257790368271</v>
      </c>
      <c r="J10" s="121">
        <f t="shared" si="1"/>
        <v>1.0670443814919734</v>
      </c>
      <c r="K10" s="121">
        <f t="shared" si="1"/>
        <v>1.0840415486307837</v>
      </c>
      <c r="L10" s="121">
        <f t="shared" si="1"/>
        <v>1.0972615675165249</v>
      </c>
      <c r="M10" s="87">
        <f>IF(M7&lt;&gt;"",(L10*(1+M9)),"")</f>
        <v>1.1233139441444229</v>
      </c>
      <c r="N10" s="87">
        <f t="shared" ref="N10:Q10" si="2">IF(N7&lt;&gt;"",(M10*(1+N9)),"")</f>
        <v>1.1499848846116596</v>
      </c>
      <c r="O10" s="87">
        <f t="shared" si="2"/>
        <v>1.1772890755331571</v>
      </c>
      <c r="P10" s="87">
        <f t="shared" si="2"/>
        <v>1.20524155222941</v>
      </c>
      <c r="Q10" s="87">
        <f t="shared" si="2"/>
        <v>1.2338577070058325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1.5108593012275628E-2</v>
      </c>
      <c r="H13" s="156">
        <v>1.0232558139534831E-2</v>
      </c>
      <c r="I13" s="156">
        <v>1.9337016574585641E-2</v>
      </c>
      <c r="J13" s="156">
        <v>2.0776874435411097E-2</v>
      </c>
      <c r="K13" s="156">
        <v>1.5929203539823078E-2</v>
      </c>
      <c r="L13" s="224">
        <v>1.2195121951219523E-2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224">
        <v>1.9993872504847632E-2</v>
      </c>
      <c r="N14" s="139">
        <f t="shared" ref="N14:Q14" si="3">M14</f>
        <v>1.9993872504847632E-2</v>
      </c>
      <c r="O14" s="139">
        <f t="shared" si="3"/>
        <v>1.9993872504847632E-2</v>
      </c>
      <c r="P14" s="139">
        <f t="shared" si="3"/>
        <v>1.9993872504847632E-2</v>
      </c>
      <c r="Q14" s="139">
        <f t="shared" si="3"/>
        <v>1.9993872504847632E-2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1.0151085930122756</v>
      </c>
      <c r="H15" s="121">
        <f t="shared" si="4"/>
        <v>1.0254957507082152</v>
      </c>
      <c r="I15" s="121">
        <f t="shared" si="4"/>
        <v>1.0453257790368271</v>
      </c>
      <c r="J15" s="190">
        <f t="shared" si="4"/>
        <v>1.0670443814919734</v>
      </c>
      <c r="K15" s="191">
        <f t="shared" si="4"/>
        <v>1.0840415486307837</v>
      </c>
      <c r="L15" s="190">
        <f t="shared" si="4"/>
        <v>1.0972615675165249</v>
      </c>
      <c r="M15" s="191">
        <f>IF(M7&lt;&gt;"",(L15*(1+M14)),"")</f>
        <v>1.1192000754019196</v>
      </c>
      <c r="N15" s="87">
        <f t="shared" ref="N15:Q15" si="5">IF(N7&lt;&gt;"",(M15*(1+N14)),"")</f>
        <v>1.1415772190169213</v>
      </c>
      <c r="O15" s="87">
        <f t="shared" si="5"/>
        <v>1.1644017683883843</v>
      </c>
      <c r="P15" s="87">
        <f t="shared" si="5"/>
        <v>1.1876826688899607</v>
      </c>
      <c r="Q15" s="87">
        <f t="shared" si="5"/>
        <v>1.2114290447479636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3.6700024103140549E-2</v>
      </c>
      <c r="H20" s="156">
        <v>3.6127568814887212E-2</v>
      </c>
      <c r="I20" s="156">
        <v>3.5630478851562009E-2</v>
      </c>
      <c r="J20" s="156">
        <v>3.5080474747029244E-2</v>
      </c>
      <c r="K20" s="156">
        <v>3.3621044143256062E-2</v>
      </c>
      <c r="L20" s="224">
        <v>1.1565991129334563E-2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224">
        <v>2.6738665770133396E-2</v>
      </c>
      <c r="N21" s="224">
        <v>2.4903607047524857E-2</v>
      </c>
      <c r="O21" s="224">
        <v>2.3068548324916317E-2</v>
      </c>
      <c r="P21" s="224">
        <v>2.1233489602307642E-2</v>
      </c>
      <c r="Q21" s="224">
        <v>1.9398430879698968E-2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5.2363102843131282E-2</v>
      </c>
      <c r="H22" s="140">
        <f t="shared" si="7"/>
        <v>4.6729804402760422E-2</v>
      </c>
      <c r="I22" s="140">
        <f t="shared" si="7"/>
        <v>5.5656482586260658E-2</v>
      </c>
      <c r="J22" s="140">
        <f t="shared" si="7"/>
        <v>5.6586211801394004E-2</v>
      </c>
      <c r="K22" s="140">
        <f t="shared" si="7"/>
        <v>5.0085804138458423E-2</v>
      </c>
      <c r="L22" s="195">
        <f t="shared" si="7"/>
        <v>2.3902161752863194E-2</v>
      </c>
      <c r="M22" s="140">
        <f>IF(AND(M14&lt;&gt;"",M21&lt;&gt;""),((1+M21)*(1+M14)-1),"")</f>
        <v>4.7267147749338712E-2</v>
      </c>
      <c r="N22" s="140">
        <f t="shared" ref="N22:Q22" si="8">IF(AND(N14&lt;&gt;"",N21&lt;&gt;""),((1+N21)*(1+N14)-1),"")</f>
        <v>4.5395399096591404E-2</v>
      </c>
      <c r="O22" s="140">
        <f t="shared" si="8"/>
        <v>4.3523650443844097E-2</v>
      </c>
      <c r="P22" s="140">
        <f t="shared" si="8"/>
        <v>4.165190179109679E-2</v>
      </c>
      <c r="Q22" s="140">
        <f t="shared" si="8"/>
        <v>3.9780153138349483E-2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topLeftCell="A4" zoomScale="90" zoomScaleNormal="90" workbookViewId="0">
      <selection activeCell="H23" sqref="H23:L23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Powercor 2021-26 Final Decision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8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415.32215481091134</v>
      </c>
      <c r="I8" s="157">
        <v>466.22809832512507</v>
      </c>
      <c r="J8" s="157">
        <v>485.04785610052227</v>
      </c>
      <c r="K8" s="157">
        <v>453.97256519821917</v>
      </c>
      <c r="L8" s="157">
        <v>435.15165856128635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77.061090098694009</v>
      </c>
      <c r="I9" s="157">
        <v>83.369417570217422</v>
      </c>
      <c r="J9" s="157">
        <v>74.941328205377886</v>
      </c>
      <c r="K9" s="157">
        <v>73.190908274507407</v>
      </c>
      <c r="L9" s="157">
        <v>73.155606578866326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2.0703420000000001</v>
      </c>
      <c r="I10" s="157">
        <v>2.0703420000000001</v>
      </c>
      <c r="J10" s="157">
        <v>2.0703420000000001</v>
      </c>
      <c r="K10" s="157">
        <v>2.0703420000000001</v>
      </c>
      <c r="L10" s="157">
        <v>2.0703420000000001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336.19072271221734</v>
      </c>
      <c r="I12" s="66">
        <f t="shared" ref="I12:L12" si="0">IF(I6="", "", I8-I9-I10)</f>
        <v>380.78833875490767</v>
      </c>
      <c r="J12" s="66">
        <f t="shared" si="0"/>
        <v>408.0361858951444</v>
      </c>
      <c r="K12" s="66">
        <f t="shared" si="0"/>
        <v>378.71131492371177</v>
      </c>
      <c r="L12" s="66">
        <f t="shared" si="0"/>
        <v>359.92570998242002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319.76967842063294</v>
      </c>
      <c r="I18" s="158">
        <v>421.96261419223543</v>
      </c>
      <c r="J18" s="158">
        <v>450.85996204868155</v>
      </c>
      <c r="K18" s="158">
        <v>480.62636181079995</v>
      </c>
      <c r="L18" s="225">
        <v>538.59461199679129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56.887223483276884</v>
      </c>
      <c r="I19" s="158">
        <v>91.026953504721718</v>
      </c>
      <c r="J19" s="158">
        <v>106.03833398000002</v>
      </c>
      <c r="K19" s="158">
        <v>132.85674297</v>
      </c>
      <c r="L19" s="225">
        <v>136.05834934799654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1.73569101</v>
      </c>
      <c r="I20" s="158">
        <v>2.5618581600000003</v>
      </c>
      <c r="J20" s="158">
        <v>3.7863832000000004</v>
      </c>
      <c r="K20" s="158">
        <v>1.7646117099999998</v>
      </c>
      <c r="L20" s="225">
        <v>0.96249947000000002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261.14676392735606</v>
      </c>
      <c r="I23" s="66">
        <f t="shared" ref="I23:L23" si="2">IF(I16="", "", I18-I19-I20-I21)</f>
        <v>328.37380252751376</v>
      </c>
      <c r="J23" s="66">
        <f t="shared" si="2"/>
        <v>341.03524486868156</v>
      </c>
      <c r="K23" s="66">
        <f t="shared" si="2"/>
        <v>346.00500713079992</v>
      </c>
      <c r="L23" s="66">
        <f t="shared" si="2"/>
        <v>401.57376317879471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f>H32</f>
        <v>11.568065551398499</v>
      </c>
      <c r="I29" s="157">
        <f>I32*'Input | Inflation and Disc Rate'!N10/'Input | Inflation and Disc Rate'!$M$10</f>
        <v>10.252433360480834</v>
      </c>
      <c r="J29" s="157">
        <f>J32*'Input | Inflation and Disc Rate'!O10/'Input | Inflation and Disc Rate'!$M$10</f>
        <v>10.467377374555298</v>
      </c>
      <c r="K29" s="157">
        <f>K32*'Input | Inflation and Disc Rate'!P10/'Input | Inflation and Disc Rate'!$M$10</f>
        <v>10.29737033283107</v>
      </c>
      <c r="L29" s="157">
        <f>L32*'Input | Inflation and Disc Rate'!Q10/'Input | Inflation and Disc Rate'!$M$10</f>
        <v>8.8474251976675689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6">
        <f>IF(H29&lt;&gt;"",H29/('Input | Inflation and Disc Rate'!L10*(1+'Input | Inflation and Disc Rate'!M9)^0.5),"")</f>
        <v>10.41969680547852</v>
      </c>
      <c r="I30" s="196">
        <f>IF(I29&lt;&gt;"",I29/('Input | Inflation and Disc Rate'!M10*(1+'Input | Inflation and Disc Rate'!N9)^0.5),"")</f>
        <v>9.0204938364191065</v>
      </c>
      <c r="J30" s="196">
        <f>IF(J29&lt;&gt;"",J29/('Input | Inflation and Disc Rate'!N10*(1+'Input | Inflation and Disc Rate'!O9)^0.5),"")</f>
        <v>8.9960168201332706</v>
      </c>
      <c r="K30" s="196">
        <f>IF(K29&lt;&gt;"",K29/('Input | Inflation and Disc Rate'!O10*(1+'Input | Inflation and Disc Rate'!P9)^0.5),"")</f>
        <v>8.6446562171620691</v>
      </c>
      <c r="L30" s="196">
        <f>IF(L29&lt;&gt;"",L29/('Input | Inflation and Disc Rate'!P10*(1+'Input | Inflation and Disc Rate'!Q9)^0.5),"")</f>
        <v>7.2551653102180165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6">
        <f>IF(H29&lt;&gt;"",H30*'Input | Inflation and Disc Rate'!L15*(1+'Input | Inflation and Disc Rate'!M14)^0.5,"")</f>
        <v>11.546863484606046</v>
      </c>
      <c r="I31" s="196">
        <f>IF(I29&lt;&gt;"",I30*'Input | Inflation and Disc Rate'!M15*(1+'Input | Inflation and Disc Rate'!N14)^0.5,"")</f>
        <v>10.196164328380572</v>
      </c>
      <c r="J31" s="196">
        <f>IF(J29&lt;&gt;"",J30*'Input | Inflation and Disc Rate'!N15*(1+'Input | Inflation and Disc Rate'!O14)^0.5,"")</f>
        <v>10.371804777863844</v>
      </c>
      <c r="K31" s="196">
        <f>IF(K29&lt;&gt;"",K30*'Input | Inflation and Disc Rate'!O15*(1+'Input | Inflation and Disc Rate'!P14)^0.5,"")</f>
        <v>10.165982659033901</v>
      </c>
      <c r="L31" s="196">
        <f>IF(L29&lt;&gt;"",L30*'Input | Inflation and Disc Rate'!P15*(1+'Input | Inflation and Disc Rate'!Q14)^0.5,"")</f>
        <v>8.7025497137251975</v>
      </c>
      <c r="M31" s="2"/>
      <c r="N31" s="2"/>
    </row>
    <row r="32" spans="2:14" ht="10.5" customHeight="1">
      <c r="D32" s="68"/>
      <c r="E32" s="68"/>
      <c r="F32" s="78">
        <v>2021</v>
      </c>
      <c r="G32" s="68"/>
      <c r="H32" s="157">
        <v>11.568065551398499</v>
      </c>
      <c r="I32" s="157">
        <v>10.014654548375809</v>
      </c>
      <c r="J32" s="157">
        <v>9.9874798873292097</v>
      </c>
      <c r="K32" s="157">
        <v>9.59739536152874</v>
      </c>
      <c r="L32" s="157">
        <v>8.0547667999999994</v>
      </c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6" priority="21">
      <formula>IF($H$6&lt;&gt;"","FALSE","TRUE")</formula>
    </cfRule>
  </conditionalFormatting>
  <conditionalFormatting sqref="H19:L20">
    <cfRule type="expression" dxfId="5" priority="11">
      <formula>IF($H$6&lt;&gt;"","FALSE","TRUE")</formula>
    </cfRule>
  </conditionalFormatting>
  <conditionalFormatting sqref="H29:L29">
    <cfRule type="expression" dxfId="4" priority="5">
      <formula>IF($H$6&lt;&gt;"","FALSE","TRUE")</formula>
    </cfRule>
  </conditionalFormatting>
  <conditionalFormatting sqref="H21">
    <cfRule type="expression" dxfId="3" priority="4">
      <formula>IF($H$6&lt;&gt;"","FALSE","TRUE")</formula>
    </cfRule>
  </conditionalFormatting>
  <conditionalFormatting sqref="I21:L21">
    <cfRule type="expression" dxfId="2" priority="3">
      <formula>IF($H$6&lt;&gt;"","FALSE","TRUE")</formula>
    </cfRule>
  </conditionalFormatting>
  <conditionalFormatting sqref="H18:L18">
    <cfRule type="expression" dxfId="1" priority="2">
      <formula>IF($H$6&lt;&gt;"","FALSE","TRUE")</formula>
    </cfRule>
  </conditionalFormatting>
  <conditionalFormatting sqref="H32:L32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4"/>
  <sheetViews>
    <sheetView topLeftCell="A10" zoomScale="80" zoomScaleNormal="80" workbookViewId="0">
      <selection activeCell="D45" sqref="D45"/>
    </sheetView>
  </sheetViews>
  <sheetFormatPr defaultColWidth="0" defaultRowHeight="0" customHeight="1" zeroHeight="1"/>
  <cols>
    <col min="1" max="2" width="1.33203125" style="2" customWidth="1"/>
    <col min="3" max="3" width="86.5546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Powercor 2021-26 Final Decision - Capital expenditure sharing scheme model</v>
      </c>
      <c r="D1" s="106" t="s">
        <v>43</v>
      </c>
      <c r="E1" s="154" t="s">
        <v>44</v>
      </c>
      <c r="F1" s="159" t="s">
        <v>32</v>
      </c>
      <c r="G1" s="218" t="s">
        <v>104</v>
      </c>
      <c r="H1" s="221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3.6700024103140549E-2</v>
      </c>
      <c r="E8" s="161">
        <f>'Input | Inflation and Disc Rate'!H20</f>
        <v>3.6127568814887212E-2</v>
      </c>
      <c r="F8" s="161">
        <f>'Input | Inflation and Disc Rate'!I20</f>
        <v>3.5630478851562009E-2</v>
      </c>
      <c r="G8" s="161">
        <f>'Input | Inflation and Disc Rate'!J20</f>
        <v>3.5080474747029244E-2</v>
      </c>
      <c r="H8" s="162">
        <f>'Input | Inflation and Disc Rate'!K20</f>
        <v>3.3621044143256062E-2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5.2363102843131282E-2</v>
      </c>
      <c r="E9" s="161">
        <f>'Input | Inflation and Disc Rate'!H22</f>
        <v>4.6729804402760422E-2</v>
      </c>
      <c r="F9" s="161">
        <f>'Input | Inflation and Disc Rate'!I22</f>
        <v>5.5656482586260658E-2</v>
      </c>
      <c r="G9" s="161">
        <f>'Input | Inflation and Disc Rate'!J22</f>
        <v>5.6586211801394004E-2</v>
      </c>
      <c r="H9" s="162">
        <f>'Input | Inflation and Disc Rate'!K22</f>
        <v>5.0085804138458423E-2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347.47597582635711</v>
      </c>
      <c r="E10" s="164">
        <f>'Input | Reported Capex'!I$12*'Input | Inflation and Disc Rate'!H$15*(1+'Input | Inflation and Disc Rate'!H$20)^0.5</f>
        <v>397.48808961485537</v>
      </c>
      <c r="F10" s="164">
        <f>'Input | Reported Capex'!J$12*'Input | Inflation and Disc Rate'!I$15*(1+'Input | Inflation and Disc Rate'!I$20)^0.5</f>
        <v>434.06298412432602</v>
      </c>
      <c r="G10" s="164">
        <f>'Input | Reported Capex'!K$12*'Input | Inflation and Disc Rate'!J$15*(1+'Input | Inflation and Disc Rate'!J$20)^0.5</f>
        <v>411.12872601162258</v>
      </c>
      <c r="H10" s="165">
        <f>'Input | Reported Capex'!L$12*'Input | Inflation and Disc Rate'!K$15*(1+'Input | Inflation and Disc Rate'!K$20)^0.5</f>
        <v>396.67923714436523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267.89675612821952</v>
      </c>
      <c r="E11" s="164">
        <f>'Input | Reported Capex'!I23*(1+E$9)^0.5</f>
        <v>335.95862664379382</v>
      </c>
      <c r="F11" s="164">
        <f>'Input | Reported Capex'!J23*(1+F$9)^0.5</f>
        <v>350.39715692095382</v>
      </c>
      <c r="G11" s="164">
        <f>'Input | Reported Capex'!K23*(1+G$9)^0.5</f>
        <v>355.65985992312596</v>
      </c>
      <c r="H11" s="165">
        <f>'Input | Reported Capex'!L23*(1+H$9)^0.5</f>
        <v>411.50747081947327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79.579219698137592</v>
      </c>
      <c r="E12" s="142">
        <f>(E10-E11)</f>
        <v>61.529462971061548</v>
      </c>
      <c r="F12" s="142">
        <f t="shared" ref="F12:H12" si="0">(F10-F11)</f>
        <v>83.665827203372203</v>
      </c>
      <c r="G12" s="142">
        <f t="shared" si="0"/>
        <v>55.468866088496611</v>
      </c>
      <c r="H12" s="145">
        <f t="shared" si="0"/>
        <v>-14.828233675108038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2.8750037358794938</v>
      </c>
      <c r="F13" s="142">
        <f>$D$12*$F$8*(1+'Input | Inflation and Disc Rate'!H13)</f>
        <v>2.8644595675008668</v>
      </c>
      <c r="G13" s="142">
        <f>$D$12*$G$8*(1+'Input | Inflation and Disc Rate'!H13)*(1+'Input | Inflation and Disc Rate'!I13)</f>
        <v>2.8747778840546516</v>
      </c>
      <c r="H13" s="145">
        <f>$D$12*$H$8*(1+'Input | Inflation and Disc Rate'!H13)*(1+'Input | Inflation and Disc Rate'!I13)*(1+'Input | Inflation and Disc Rate'!J13)</f>
        <v>2.8124243701798708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2.192324229138376</v>
      </c>
      <c r="G14" s="142">
        <f>$E$12*G$8*(1+'Input | Inflation and Disc Rate'!I13)</f>
        <v>2.2002213890918392</v>
      </c>
      <c r="H14" s="145">
        <f>$E$12*H$8*(1+'Input | Inflation and Disc Rate'!I13)*(1+'Input | Inflation and Disc Rate'!J13)</f>
        <v>2.1524989074095919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2.9350369383972108</v>
      </c>
      <c r="H15" s="145">
        <f>$F$12*$H$8*(1+'Input | Inflation and Disc Rate'!J13)</f>
        <v>2.8713764144045806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1.8649211953377038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2.8750037358794938</v>
      </c>
      <c r="F18" s="146">
        <f t="shared" ref="F18:H18" si="1">SUM(F13:F17)</f>
        <v>5.0567837966392428</v>
      </c>
      <c r="G18" s="146">
        <f t="shared" si="1"/>
        <v>8.0100362115437012</v>
      </c>
      <c r="H18" s="147">
        <f t="shared" si="1"/>
        <v>9.7012208873317469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1.2259900222477611</v>
      </c>
      <c r="E19" s="146">
        <f>F19*(1+F$9)</f>
        <v>1.1712573933511736</v>
      </c>
      <c r="F19" s="146">
        <f>G19*(1+G$9)</f>
        <v>1.1095061818610743</v>
      </c>
      <c r="G19" s="146">
        <f>H19*(1+H$9)</f>
        <v>1.0500858041384584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5" t="s">
        <v>101</v>
      </c>
      <c r="D20" s="89">
        <f>D12*D19</f>
        <v>97.563329328179179</v>
      </c>
      <c r="E20" s="142">
        <f>E12*E19</f>
        <v>72.066838413783103</v>
      </c>
      <c r="F20" s="142">
        <f t="shared" ref="F20:H20" si="2">F12*F19</f>
        <v>92.827752492661901</v>
      </c>
      <c r="G20" s="142">
        <f t="shared" si="2"/>
        <v>58.247068851187429</v>
      </c>
      <c r="H20" s="145">
        <f t="shared" si="2"/>
        <v>-14.828233675108038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6" t="s">
        <v>102</v>
      </c>
      <c r="D21" s="90">
        <f>D18*D19</f>
        <v>0</v>
      </c>
      <c r="E21" s="146">
        <f>E18*E19</f>
        <v>3.3673693815611019</v>
      </c>
      <c r="F21" s="146">
        <f t="shared" ref="F21:H21" si="3">F18*F19</f>
        <v>5.6105328827061536</v>
      </c>
      <c r="G21" s="146">
        <f t="shared" si="3"/>
        <v>8.4112253163770383</v>
      </c>
      <c r="H21" s="147">
        <f t="shared" si="3"/>
        <v>9.7012208873317469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4.7267147749338712E-2</v>
      </c>
      <c r="E25" s="167">
        <f>'Input | Inflation and Disc Rate'!N$22</f>
        <v>4.5395399096591404E-2</v>
      </c>
      <c r="F25" s="167">
        <f>'Input | Inflation and Disc Rate'!O$22</f>
        <v>4.3523650443844097E-2</v>
      </c>
      <c r="G25" s="167">
        <f>'Input | Inflation and Disc Rate'!P$22</f>
        <v>4.165190179109679E-2</v>
      </c>
      <c r="H25" s="168">
        <f>'Input | Inflation and Disc Rate'!Q$22</f>
        <v>3.9780153138349483E-2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11.546863484606046</v>
      </c>
      <c r="E26" s="164">
        <f>'Input | Reported Capex'!I31</f>
        <v>10.196164328380572</v>
      </c>
      <c r="F26" s="164">
        <f>'Input | Reported Capex'!J31</f>
        <v>10.371804777863844</v>
      </c>
      <c r="G26" s="164">
        <f>'Input | Reported Capex'!K31</f>
        <v>10.165982659033901</v>
      </c>
      <c r="H26" s="165">
        <f>'Input | Reported Capex'!L31</f>
        <v>8.7025497137251975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0">
        <f>1/((1+D25)^(0.5)*(1+'Input | Inflation and Disc Rate'!$L$22))</f>
        <v>0.95436125588427001</v>
      </c>
      <c r="E27" s="198">
        <f>1/((1+E25)^(0.5)*(1+D25)*(1+'Input | Inflation and Disc Rate'!$L$22))</f>
        <v>0.91210275548083997</v>
      </c>
      <c r="F27" s="198">
        <f>1/((1+F25)^(0.5)*(1+E25)*(1+D25)*(1+'Input | Inflation and Disc Rate'!$L$22))</f>
        <v>0.87327761392885417</v>
      </c>
      <c r="G27" s="198">
        <f>1/((1+G25)^(0.5)*(1+F25)*(1+E25)*(1+D25)*(1+'Input | Inflation and Disc Rate'!$L$22))</f>
        <v>0.83760618123733321</v>
      </c>
      <c r="H27" s="199">
        <f>1/((1+H25)^(0.5)*(1+G25)*(1+F25)*(1+E25)*(1+D25)*(1+'Input | Inflation and Disc Rate'!$L$22))</f>
        <v>0.80483676411800076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7" t="s">
        <v>100</v>
      </c>
      <c r="D28" s="91">
        <f>D26*D27</f>
        <v>11.019879136692845</v>
      </c>
      <c r="E28" s="91">
        <f t="shared" ref="E28:G28" si="4">E26*E27</f>
        <v>9.2999495792513684</v>
      </c>
      <c r="F28" s="91">
        <f t="shared" si="4"/>
        <v>9.0574649285488267</v>
      </c>
      <c r="G28" s="91">
        <f t="shared" si="4"/>
        <v>8.5150899135583362</v>
      </c>
      <c r="H28" s="92">
        <f>H26*H27</f>
        <v>7.0041319511706215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260.98023990148153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182.68616793103706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78.294071970444449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27.090348467976039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6" t="s">
        <v>121</v>
      </c>
      <c r="D36" s="103">
        <f>D34-D35</f>
        <v>51.203723502468407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7" t="s">
        <v>120</v>
      </c>
      <c r="D37" s="201">
        <f>D36*(1+'Input | Inflation and Disc Rate'!L22)</f>
        <v>52.427603183973289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0.97395767135147548</v>
      </c>
      <c r="E42" s="169">
        <f>D42/(1+'Input | Inflation and Disc Rate'!N21)</f>
        <v>0.95029197346391336</v>
      </c>
      <c r="F42" s="169">
        <f>E42/(1+'Input | Inflation and Disc Rate'!O21)</f>
        <v>0.9288644197105258</v>
      </c>
      <c r="G42" s="169">
        <f>F42/(1+'Input | Inflation and Disc Rate'!P21)</f>
        <v>0.90955146807048748</v>
      </c>
      <c r="H42" s="170">
        <f>G42/(1+'Input | Inflation and Disc Rate'!Q21)</f>
        <v>0.89224334717249054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2">
        <f>D37/(SUM(D42:H42))</f>
        <v>11.262863471255795</v>
      </c>
      <c r="E43" s="203">
        <f>D43</f>
        <v>11.262863471255795</v>
      </c>
      <c r="F43" s="203">
        <f t="shared" ref="F43:H43" si="5">E43</f>
        <v>11.262863471255795</v>
      </c>
      <c r="G43" s="203">
        <f t="shared" si="5"/>
        <v>11.262863471255795</v>
      </c>
      <c r="H43" s="204">
        <f t="shared" si="5"/>
        <v>11.262863471255795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56.314317356278977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>
      <selection activeCell="J8" sqref="J8:N8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Powercor 2021-26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6"/>
      <c r="K3" s="226"/>
      <c r="L3" s="226"/>
      <c r="M3" s="42"/>
      <c r="N3" s="226"/>
      <c r="O3" s="226"/>
      <c r="P3" s="226"/>
      <c r="Q3" s="226"/>
      <c r="R3" s="226"/>
      <c r="S3" s="226"/>
      <c r="T3" s="226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11.262863471255795</v>
      </c>
      <c r="K8" s="129">
        <f>'Calc | CESS Revenue Increments'!E43</f>
        <v>11.262863471255795</v>
      </c>
      <c r="L8" s="129">
        <f>'Calc | CESS Revenue Increments'!F43</f>
        <v>11.262863471255795</v>
      </c>
      <c r="M8" s="129">
        <f>'Calc | CESS Revenue Increments'!G43</f>
        <v>11.262863471255795</v>
      </c>
      <c r="N8" s="129">
        <f>'Calc | CESS Revenue Increments'!H43</f>
        <v>11.262863471255795</v>
      </c>
      <c r="O8" s="60">
        <f>SUM(J8:N8)</f>
        <v>56.314317356278977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2021-04-16T00:11:46Z</dcterms:created>
  <dcterms:modified xsi:type="dcterms:W3CDTF">2021-04-16T00:11:50Z</dcterms:modified>
  <cp:category/>
  <cp:contentStatus/>
</cp:coreProperties>
</file>