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1CFA74C2-2433-46A0-887C-BE38006F932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a" sheetId="7" r:id="rId1"/>
    <sheet name="Inputs" sheetId="5" r:id="rId2"/>
    <sheet name="Calculation" sheetId="2" r:id="rId3"/>
    <sheet name="Outputs" sheetId="4" r:id="rId4"/>
    <sheet name="Graphs" sheetId="3" r:id="rId5"/>
  </sheets>
  <definedNames>
    <definedName name="_xlnm._FilterDatabase" localSheetId="2" hidden="1">Calculation!$A$4:$CP$27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5" l="1"/>
  <c r="I4" i="2"/>
  <c r="J4" i="2"/>
  <c r="K4" i="2"/>
  <c r="L4" i="2"/>
  <c r="H4" i="2"/>
  <c r="C97" i="4" l="1"/>
  <c r="D97" i="4"/>
  <c r="E97" i="4"/>
  <c r="F97" i="4"/>
  <c r="G97" i="4"/>
  <c r="B97" i="4"/>
  <c r="A97" i="4"/>
  <c r="G99" i="4" l="1"/>
  <c r="A90" i="4"/>
  <c r="A92" i="4"/>
  <c r="G90" i="4"/>
  <c r="C90" i="4"/>
  <c r="D90" i="4"/>
  <c r="E90" i="4"/>
  <c r="F90" i="4"/>
  <c r="B90" i="4"/>
  <c r="J49" i="4"/>
  <c r="C80" i="4" l="1"/>
  <c r="D80" i="4"/>
  <c r="E80" i="4"/>
  <c r="F80" i="4"/>
  <c r="G80" i="4"/>
  <c r="B80" i="4"/>
  <c r="I9" i="4" l="1"/>
  <c r="I10" i="4"/>
  <c r="I11" i="4"/>
  <c r="I12" i="4"/>
  <c r="I13" i="4"/>
  <c r="I14" i="4"/>
  <c r="I8" i="4"/>
  <c r="CK4" i="2"/>
  <c r="CL4" i="2"/>
  <c r="CM4" i="2"/>
  <c r="CN4" i="2"/>
  <c r="CO4" i="2"/>
  <c r="CJ4" i="2"/>
  <c r="F4" i="2" l="1"/>
  <c r="K7" i="4" l="1"/>
  <c r="L7" i="4"/>
  <c r="M7" i="4"/>
  <c r="N7" i="4"/>
  <c r="O7" i="4"/>
  <c r="J7" i="4"/>
  <c r="G45" i="4"/>
  <c r="A26" i="4"/>
  <c r="I38" i="4" l="1"/>
  <c r="A38" i="4"/>
  <c r="G49" i="4" l="1"/>
  <c r="D49" i="4"/>
  <c r="A49" i="4"/>
  <c r="G33" i="4" l="1"/>
  <c r="BG2" i="2"/>
  <c r="BN2" i="2"/>
  <c r="BU2" i="2"/>
  <c r="I37" i="5" l="1"/>
  <c r="J39" i="5"/>
  <c r="K39" i="5" s="1"/>
  <c r="L39" i="5" s="1"/>
  <c r="M39" i="5" s="1"/>
  <c r="N39" i="5" s="1"/>
  <c r="O39" i="5" s="1"/>
  <c r="J37" i="5"/>
  <c r="L37" i="5" l="1"/>
  <c r="M37" i="5"/>
  <c r="N37" i="5"/>
  <c r="O37" i="5"/>
  <c r="K37" i="5"/>
  <c r="A4" i="2" l="1"/>
  <c r="C4" i="2" l="1"/>
  <c r="A7" i="4" s="1"/>
  <c r="D4" i="2"/>
  <c r="A18" i="4" s="1"/>
  <c r="E4" i="2"/>
  <c r="A59" i="4" s="1"/>
  <c r="G4" i="2"/>
  <c r="AZ2" i="2" l="1"/>
  <c r="B4" i="2"/>
  <c r="F5" i="2" l="1"/>
  <c r="A5" i="2"/>
  <c r="D5" i="2"/>
  <c r="E5" i="2"/>
  <c r="F6" i="2" l="1"/>
  <c r="CJ6" i="2" s="1"/>
  <c r="C5" i="2"/>
  <c r="CP5" i="2" s="1"/>
  <c r="A6" i="2"/>
  <c r="D6" i="2"/>
  <c r="E6" i="2"/>
  <c r="F7" i="2"/>
  <c r="CN6" i="2" l="1"/>
  <c r="CM6" i="2"/>
  <c r="CL6" i="2"/>
  <c r="CK6" i="2"/>
  <c r="G6" i="2"/>
  <c r="CP6" i="2"/>
  <c r="CK7" i="2"/>
  <c r="CN7" i="2"/>
  <c r="CM7" i="2"/>
  <c r="CP7" i="2"/>
  <c r="CL7" i="2"/>
  <c r="CJ7" i="2"/>
  <c r="C6" i="2"/>
  <c r="A60" i="4" a="1"/>
  <c r="A60" i="4" s="1"/>
  <c r="A8" i="4" a="1"/>
  <c r="A8" i="4" s="1"/>
  <c r="A7" i="2"/>
  <c r="A19" i="4" a="1"/>
  <c r="A19" i="4" s="1"/>
  <c r="D7" i="2"/>
  <c r="E7" i="2"/>
  <c r="F8" i="2"/>
  <c r="CO6" i="2" l="1"/>
  <c r="CO7" i="2"/>
  <c r="C7" i="2"/>
  <c r="I28" i="4"/>
  <c r="G7" i="2"/>
  <c r="AX7" i="2"/>
  <c r="AX6" i="2"/>
  <c r="AX5" i="2"/>
  <c r="G5" i="2"/>
  <c r="A8" i="2"/>
  <c r="C8" i="2"/>
  <c r="CP8" i="2" s="1"/>
  <c r="D8" i="2"/>
  <c r="E8" i="2"/>
  <c r="F9" i="2"/>
  <c r="AX8" i="2" l="1"/>
  <c r="G8" i="2"/>
  <c r="A9" i="2"/>
  <c r="C9" i="2"/>
  <c r="CP9" i="2" s="1"/>
  <c r="D9" i="2"/>
  <c r="E9" i="2"/>
  <c r="F10" i="2"/>
  <c r="F8" i="5"/>
  <c r="G8" i="5" l="1"/>
  <c r="G9" i="2"/>
  <c r="AX9" i="2"/>
  <c r="A10" i="2"/>
  <c r="A9" i="4" a="1"/>
  <c r="A9" i="4" s="1"/>
  <c r="F11" i="2"/>
  <c r="C10" i="2"/>
  <c r="CP10" i="2" s="1"/>
  <c r="D10" i="2"/>
  <c r="E10" i="2"/>
  <c r="J15" i="5"/>
  <c r="I5" i="2" l="1"/>
  <c r="K5" i="2"/>
  <c r="H5" i="2"/>
  <c r="L5" i="2"/>
  <c r="J5" i="2"/>
  <c r="L6" i="2"/>
  <c r="K6" i="2"/>
  <c r="J6" i="2"/>
  <c r="I6" i="2"/>
  <c r="H6" i="2"/>
  <c r="J7" i="2"/>
  <c r="I7" i="2"/>
  <c r="L7" i="2"/>
  <c r="H7" i="2"/>
  <c r="K7" i="2"/>
  <c r="I8" i="2"/>
  <c r="L8" i="2"/>
  <c r="J8" i="2"/>
  <c r="K8" i="2"/>
  <c r="H8" i="2"/>
  <c r="I9" i="2"/>
  <c r="L9" i="2"/>
  <c r="J9" i="2"/>
  <c r="H9" i="2"/>
  <c r="BG9" i="2" s="1"/>
  <c r="K9" i="2"/>
  <c r="BX9" i="2" s="1"/>
  <c r="L10" i="2"/>
  <c r="BY10" i="2" s="1"/>
  <c r="K10" i="2"/>
  <c r="BX10" i="2" s="1"/>
  <c r="I10" i="2"/>
  <c r="BV10" i="2" s="1"/>
  <c r="H8" i="5"/>
  <c r="AX10" i="2"/>
  <c r="G10" i="2"/>
  <c r="J10" i="2"/>
  <c r="H10" i="2"/>
  <c r="I11" i="2"/>
  <c r="A11" i="2"/>
  <c r="L11" i="2"/>
  <c r="J11" i="2"/>
  <c r="F12" i="2"/>
  <c r="K11" i="2"/>
  <c r="C11" i="2"/>
  <c r="CP11" i="2" s="1"/>
  <c r="D11" i="2"/>
  <c r="E11" i="2"/>
  <c r="P10" i="2" l="1"/>
  <c r="AD10" i="2" s="1"/>
  <c r="AK10" i="2" s="1"/>
  <c r="BO10" i="2" s="1"/>
  <c r="R9" i="2"/>
  <c r="AF9" i="2" s="1"/>
  <c r="AM9" i="2" s="1"/>
  <c r="BQ9" i="2" s="1"/>
  <c r="BH10" i="2"/>
  <c r="BJ10" i="2"/>
  <c r="O9" i="2"/>
  <c r="AC9" i="2" s="1"/>
  <c r="AJ9" i="2" s="1"/>
  <c r="BN9" i="2" s="1"/>
  <c r="R10" i="2"/>
  <c r="AF10" i="2" s="1"/>
  <c r="AM10" i="2" s="1"/>
  <c r="BQ10" i="2" s="1"/>
  <c r="S10" i="2"/>
  <c r="AG10" i="2" s="1"/>
  <c r="AN10" i="2" s="1"/>
  <c r="BR10" i="2" s="1"/>
  <c r="BK10" i="2"/>
  <c r="BU9" i="2"/>
  <c r="BJ9" i="2"/>
  <c r="M9" i="2"/>
  <c r="I8" i="5"/>
  <c r="BW9" i="2"/>
  <c r="BI9" i="2"/>
  <c r="Q9" i="2"/>
  <c r="BK9" i="2"/>
  <c r="BY9" i="2"/>
  <c r="S9" i="2"/>
  <c r="BV9" i="2"/>
  <c r="BH9" i="2"/>
  <c r="P9" i="2"/>
  <c r="BU8" i="2"/>
  <c r="BG8" i="2"/>
  <c r="O8" i="2"/>
  <c r="M8" i="2"/>
  <c r="BX8" i="2"/>
  <c r="BJ8" i="2"/>
  <c r="R8" i="2"/>
  <c r="AF8" i="2" s="1"/>
  <c r="AM8" i="2" s="1"/>
  <c r="BQ8" i="2" s="1"/>
  <c r="BW8" i="2"/>
  <c r="BI8" i="2"/>
  <c r="Q8" i="2"/>
  <c r="AE8" i="2" s="1"/>
  <c r="AL8" i="2" s="1"/>
  <c r="BP8" i="2" s="1"/>
  <c r="BY8" i="2"/>
  <c r="BK8" i="2"/>
  <c r="S8" i="2"/>
  <c r="AG8" i="2" s="1"/>
  <c r="AN8" i="2" s="1"/>
  <c r="BR8" i="2" s="1"/>
  <c r="BH8" i="2"/>
  <c r="BV8" i="2"/>
  <c r="P8" i="2"/>
  <c r="AD8" i="2" s="1"/>
  <c r="AK8" i="2" s="1"/>
  <c r="BO8" i="2" s="1"/>
  <c r="BX7" i="2"/>
  <c r="BJ7" i="2"/>
  <c r="R7" i="2"/>
  <c r="AF7" i="2" s="1"/>
  <c r="AM7" i="2" s="1"/>
  <c r="BQ7" i="2" s="1"/>
  <c r="BU7" i="2"/>
  <c r="BG7" i="2"/>
  <c r="O7" i="2"/>
  <c r="V7" i="2" s="1"/>
  <c r="M7" i="2"/>
  <c r="BY7" i="2"/>
  <c r="BK7" i="2"/>
  <c r="S7" i="2"/>
  <c r="AG7" i="2" s="1"/>
  <c r="AN7" i="2" s="1"/>
  <c r="BR7" i="2" s="1"/>
  <c r="BV7" i="2"/>
  <c r="BH7" i="2"/>
  <c r="P7" i="2"/>
  <c r="W7" i="2" s="1"/>
  <c r="BI7" i="2"/>
  <c r="BW7" i="2"/>
  <c r="Q7" i="2"/>
  <c r="X7" i="2" s="1"/>
  <c r="M6" i="2"/>
  <c r="BU6" i="2"/>
  <c r="BG6" i="2"/>
  <c r="O6" i="2"/>
  <c r="BV6" i="2"/>
  <c r="BH6" i="2"/>
  <c r="P6" i="2"/>
  <c r="AD6" i="2" s="1"/>
  <c r="AK6" i="2" s="1"/>
  <c r="BW6" i="2"/>
  <c r="BI6" i="2"/>
  <c r="Q6" i="2"/>
  <c r="X6" i="2" s="1"/>
  <c r="BJ6" i="2"/>
  <c r="BX6" i="2"/>
  <c r="R6" i="2"/>
  <c r="Y6" i="2" s="1"/>
  <c r="BY6" i="2"/>
  <c r="BK6" i="2"/>
  <c r="S6" i="2"/>
  <c r="Z6" i="2" s="1"/>
  <c r="BW5" i="2"/>
  <c r="BI5" i="2"/>
  <c r="Q5" i="2"/>
  <c r="X5" i="2" s="1"/>
  <c r="BK5" i="2"/>
  <c r="BY5" i="2"/>
  <c r="S5" i="2"/>
  <c r="AG5" i="2" s="1"/>
  <c r="AN5" i="2" s="1"/>
  <c r="BR5" i="2" s="1"/>
  <c r="BU5" i="2"/>
  <c r="BG5" i="2"/>
  <c r="O5" i="2"/>
  <c r="AC5" i="2" s="1"/>
  <c r="AJ5" i="2" s="1"/>
  <c r="BN5" i="2" s="1"/>
  <c r="BX5" i="2"/>
  <c r="BJ5" i="2"/>
  <c r="R5" i="2"/>
  <c r="Y5" i="2" s="1"/>
  <c r="BV5" i="2"/>
  <c r="BH5" i="2"/>
  <c r="P5" i="2"/>
  <c r="W5" i="2" s="1"/>
  <c r="BV11" i="2"/>
  <c r="BH11" i="2"/>
  <c r="G11" i="2"/>
  <c r="AX11" i="2"/>
  <c r="BX11" i="2"/>
  <c r="BJ11" i="2"/>
  <c r="BI11" i="2"/>
  <c r="BW11" i="2"/>
  <c r="BU10" i="2"/>
  <c r="BG10" i="2"/>
  <c r="BY11" i="2"/>
  <c r="BK11" i="2"/>
  <c r="BW10" i="2"/>
  <c r="BI10" i="2"/>
  <c r="Q11" i="2"/>
  <c r="X11" i="2" s="1"/>
  <c r="Q10" i="2"/>
  <c r="AE10" i="2" s="1"/>
  <c r="AL10" i="2" s="1"/>
  <c r="BP10" i="2" s="1"/>
  <c r="R11" i="2"/>
  <c r="S11" i="2"/>
  <c r="P11" i="2"/>
  <c r="H11" i="2"/>
  <c r="O10" i="2"/>
  <c r="AC10" i="2" s="1"/>
  <c r="AJ10" i="2" s="1"/>
  <c r="BN10" i="2" s="1"/>
  <c r="M10" i="2"/>
  <c r="J12" i="2"/>
  <c r="A12" i="2"/>
  <c r="F13" i="2"/>
  <c r="L12" i="2"/>
  <c r="I12" i="2"/>
  <c r="K12" i="2"/>
  <c r="C12" i="2"/>
  <c r="CP12" i="2" s="1"/>
  <c r="D12" i="2"/>
  <c r="E12" i="2"/>
  <c r="AD4" i="2"/>
  <c r="AK4" i="2" s="1"/>
  <c r="AR4" i="2" s="1"/>
  <c r="BA4" i="2" s="1"/>
  <c r="BH4" i="2" s="1"/>
  <c r="BO4" i="2" s="1"/>
  <c r="BV4" i="2" s="1"/>
  <c r="CC4" i="2" s="1"/>
  <c r="AE4" i="2"/>
  <c r="AL4" i="2" s="1"/>
  <c r="AS4" i="2" s="1"/>
  <c r="BB4" i="2" s="1"/>
  <c r="BI4" i="2" s="1"/>
  <c r="BP4" i="2" s="1"/>
  <c r="BW4" i="2" s="1"/>
  <c r="CD4" i="2" s="1"/>
  <c r="AF4" i="2"/>
  <c r="AM4" i="2" s="1"/>
  <c r="AT4" i="2" s="1"/>
  <c r="BC4" i="2" s="1"/>
  <c r="BJ4" i="2" s="1"/>
  <c r="BQ4" i="2" s="1"/>
  <c r="BX4" i="2" s="1"/>
  <c r="CE4" i="2" s="1"/>
  <c r="AG4" i="2"/>
  <c r="AN4" i="2" s="1"/>
  <c r="AU4" i="2" s="1"/>
  <c r="BD4" i="2" s="1"/>
  <c r="BK4" i="2" s="1"/>
  <c r="BR4" i="2" s="1"/>
  <c r="BY4" i="2" s="1"/>
  <c r="CF4" i="2" s="1"/>
  <c r="AH4" i="2"/>
  <c r="AO4" i="2" s="1"/>
  <c r="AV4" i="2" s="1"/>
  <c r="BE4" i="2" s="1"/>
  <c r="BL4" i="2" s="1"/>
  <c r="BS4" i="2" s="1"/>
  <c r="BZ4" i="2" s="1"/>
  <c r="CG4" i="2" s="1"/>
  <c r="AC4" i="2"/>
  <c r="AJ4" i="2" s="1"/>
  <c r="AQ4" i="2" s="1"/>
  <c r="AZ4" i="2" s="1"/>
  <c r="BG4" i="2" s="1"/>
  <c r="BN4" i="2" s="1"/>
  <c r="BU4" i="2" s="1"/>
  <c r="CB4" i="2" s="1"/>
  <c r="W10" i="2" l="1"/>
  <c r="AR10" i="2" s="1"/>
  <c r="BC9" i="2"/>
  <c r="Y9" i="2"/>
  <c r="AT9" i="2" s="1"/>
  <c r="BA10" i="2"/>
  <c r="CC10" i="2" s="1"/>
  <c r="CK10" i="2" s="1"/>
  <c r="Y8" i="2"/>
  <c r="AT8" i="2" s="1"/>
  <c r="V9" i="2"/>
  <c r="AQ9" i="2" s="1"/>
  <c r="AZ9" i="2"/>
  <c r="CB9" i="2" s="1"/>
  <c r="CJ9" i="2" s="1"/>
  <c r="X10" i="2"/>
  <c r="AS10" i="2" s="1"/>
  <c r="Y10" i="2"/>
  <c r="AT10" i="2" s="1"/>
  <c r="Z10" i="2"/>
  <c r="AU10" i="2" s="1"/>
  <c r="BC10" i="2"/>
  <c r="CE10" i="2" s="1"/>
  <c r="CM10" i="2" s="1"/>
  <c r="AD11" i="2"/>
  <c r="AK11" i="2" s="1"/>
  <c r="BO11" i="2" s="1"/>
  <c r="AE11" i="2"/>
  <c r="AL11" i="2" s="1"/>
  <c r="BP11" i="2" s="1"/>
  <c r="AF5" i="2"/>
  <c r="AM5" i="2" s="1"/>
  <c r="BQ5" i="2" s="1"/>
  <c r="AG11" i="2"/>
  <c r="AN11" i="2" s="1"/>
  <c r="BR11" i="2" s="1"/>
  <c r="Y7" i="2"/>
  <c r="AT7" i="2" s="1"/>
  <c r="W8" i="2"/>
  <c r="AR8" i="2" s="1"/>
  <c r="AF11" i="2"/>
  <c r="AM11" i="2" s="1"/>
  <c r="BC11" i="2" s="1"/>
  <c r="AC6" i="2"/>
  <c r="AJ6" i="2" s="1"/>
  <c r="BN6" i="2" s="1"/>
  <c r="AD7" i="2"/>
  <c r="AK7" i="2" s="1"/>
  <c r="BO7" i="2" s="1"/>
  <c r="BA8" i="2"/>
  <c r="CC8" i="2" s="1"/>
  <c r="CK8" i="2" s="1"/>
  <c r="BC7" i="2"/>
  <c r="CE7" i="2" s="1"/>
  <c r="E92" i="4" s="1" a="1"/>
  <c r="E92" i="4" s="1"/>
  <c r="BB8" i="2"/>
  <c r="CD8" i="2" s="1"/>
  <c r="CL8" i="2" s="1"/>
  <c r="BC8" i="2"/>
  <c r="CE8" i="2" s="1"/>
  <c r="CM8" i="2" s="1"/>
  <c r="T9" i="2"/>
  <c r="AZ5" i="2"/>
  <c r="BD10" i="2"/>
  <c r="CF10" i="2" s="1"/>
  <c r="CN10" i="2" s="1"/>
  <c r="V5" i="2"/>
  <c r="AQ5" i="2" s="1"/>
  <c r="Z5" i="2"/>
  <c r="AU5" i="2" s="1"/>
  <c r="AG6" i="2"/>
  <c r="AN6" i="2" s="1"/>
  <c r="BR6" i="2" s="1"/>
  <c r="AE6" i="2"/>
  <c r="AL6" i="2" s="1"/>
  <c r="BP6" i="2" s="1"/>
  <c r="W6" i="2"/>
  <c r="AR6" i="2" s="1"/>
  <c r="BA6" i="2"/>
  <c r="BO6" i="2"/>
  <c r="BD5" i="2"/>
  <c r="BD7" i="2"/>
  <c r="CF7" i="2" s="1"/>
  <c r="F92" i="4" s="1" a="1"/>
  <c r="F92" i="4" s="1"/>
  <c r="AD5" i="2"/>
  <c r="AK5" i="2" s="1"/>
  <c r="AR5" i="2" s="1"/>
  <c r="AE5" i="2"/>
  <c r="AL5" i="2" s="1"/>
  <c r="AS5" i="2" s="1"/>
  <c r="Z7" i="2"/>
  <c r="AU7" i="2" s="1"/>
  <c r="Z8" i="2"/>
  <c r="AU8" i="2" s="1"/>
  <c r="W11" i="2"/>
  <c r="CE9" i="2"/>
  <c r="CM9" i="2" s="1"/>
  <c r="AF6" i="2"/>
  <c r="AM6" i="2" s="1"/>
  <c r="BQ6" i="2" s="1"/>
  <c r="AE7" i="2"/>
  <c r="AL7" i="2" s="1"/>
  <c r="BP7" i="2" s="1"/>
  <c r="BD8" i="2"/>
  <c r="CF8" i="2" s="1"/>
  <c r="CN8" i="2" s="1"/>
  <c r="X8" i="2"/>
  <c r="AS8" i="2" s="1"/>
  <c r="T5" i="2"/>
  <c r="V6" i="2"/>
  <c r="T6" i="2"/>
  <c r="AC7" i="2"/>
  <c r="T7" i="2"/>
  <c r="V8" i="2"/>
  <c r="T8" i="2"/>
  <c r="AC8" i="2"/>
  <c r="AD9" i="2"/>
  <c r="W9" i="2"/>
  <c r="AG9" i="2"/>
  <c r="AN9" i="2" s="1"/>
  <c r="BR9" i="2" s="1"/>
  <c r="Z9" i="2"/>
  <c r="AE9" i="2"/>
  <c r="AL9" i="2" s="1"/>
  <c r="BP9" i="2" s="1"/>
  <c r="X9" i="2"/>
  <c r="J8" i="5"/>
  <c r="K8" i="5" s="1"/>
  <c r="L8" i="5" s="1"/>
  <c r="M8" i="5" s="1"/>
  <c r="N8" i="5" s="1"/>
  <c r="O8" i="5" s="1"/>
  <c r="O11" i="2"/>
  <c r="V11" i="2" s="1"/>
  <c r="BU11" i="2"/>
  <c r="BG11" i="2"/>
  <c r="AZ10" i="2"/>
  <c r="CB10" i="2" s="1"/>
  <c r="CJ10" i="2" s="1"/>
  <c r="BH12" i="2"/>
  <c r="BV12" i="2"/>
  <c r="BW12" i="2"/>
  <c r="BI12" i="2"/>
  <c r="Z11" i="2"/>
  <c r="BB10" i="2"/>
  <c r="CD10" i="2" s="1"/>
  <c r="CL10" i="2" s="1"/>
  <c r="BX12" i="2"/>
  <c r="BJ12" i="2"/>
  <c r="BY12" i="2"/>
  <c r="BK12" i="2"/>
  <c r="AX12" i="2"/>
  <c r="G12" i="2"/>
  <c r="M11" i="2"/>
  <c r="Y11" i="2"/>
  <c r="R12" i="2"/>
  <c r="Y12" i="2" s="1"/>
  <c r="S12" i="2"/>
  <c r="Q12" i="2"/>
  <c r="X12" i="2" s="1"/>
  <c r="BL7" i="2"/>
  <c r="T10" i="2"/>
  <c r="P12" i="2"/>
  <c r="V10" i="2"/>
  <c r="AQ10" i="2" s="1"/>
  <c r="J13" i="2"/>
  <c r="H12" i="2"/>
  <c r="K13" i="2"/>
  <c r="A13" i="2"/>
  <c r="L13" i="2"/>
  <c r="I13" i="2"/>
  <c r="F14" i="2"/>
  <c r="C13" i="2"/>
  <c r="CP13" i="2" s="1"/>
  <c r="D13" i="2"/>
  <c r="E13" i="2"/>
  <c r="BA11" i="2" l="1"/>
  <c r="CC11" i="2" s="1"/>
  <c r="CK11" i="2" s="1"/>
  <c r="CO10" i="2"/>
  <c r="CF5" i="2"/>
  <c r="AC11" i="2"/>
  <c r="AJ11" i="2" s="1"/>
  <c r="AZ11" i="2" s="1"/>
  <c r="H15" i="5"/>
  <c r="AU11" i="2"/>
  <c r="BQ11" i="2"/>
  <c r="CE11" i="2" s="1"/>
  <c r="CM11" i="2" s="1"/>
  <c r="BD11" i="2"/>
  <c r="CF11" i="2" s="1"/>
  <c r="CN11" i="2" s="1"/>
  <c r="T11" i="2"/>
  <c r="BD9" i="2"/>
  <c r="CF9" i="2" s="1"/>
  <c r="CN9" i="2" s="1"/>
  <c r="AT11" i="2"/>
  <c r="AA9" i="2"/>
  <c r="BB6" i="2"/>
  <c r="CD6" i="2" s="1"/>
  <c r="AU9" i="2"/>
  <c r="BC5" i="2"/>
  <c r="AS9" i="2"/>
  <c r="AU6" i="2"/>
  <c r="BB11" i="2"/>
  <c r="CD11" i="2" s="1"/>
  <c r="CL11" i="2" s="1"/>
  <c r="BB9" i="2"/>
  <c r="CD9" i="2" s="1"/>
  <c r="CL9" i="2" s="1"/>
  <c r="AR7" i="2"/>
  <c r="AR11" i="2"/>
  <c r="BA7" i="2"/>
  <c r="CC7" i="2" s="1"/>
  <c r="C92" i="4" s="1" a="1"/>
  <c r="C92" i="4" s="1"/>
  <c r="AT5" i="2"/>
  <c r="AZ6" i="2"/>
  <c r="CB6" i="2" s="1"/>
  <c r="AS11" i="2"/>
  <c r="BB7" i="2"/>
  <c r="CD7" i="2" s="1"/>
  <c r="D92" i="4" s="1" a="1"/>
  <c r="D92" i="4" s="1"/>
  <c r="AS7" i="2"/>
  <c r="AS6" i="2"/>
  <c r="BD6" i="2"/>
  <c r="CF6" i="2" s="1"/>
  <c r="AT6" i="2"/>
  <c r="BC6" i="2"/>
  <c r="CE6" i="2" s="1"/>
  <c r="AH6" i="2"/>
  <c r="AO6" i="2"/>
  <c r="AD12" i="2"/>
  <c r="AK12" i="2" s="1"/>
  <c r="BO12" i="2" s="1"/>
  <c r="AG12" i="2"/>
  <c r="AN12" i="2" s="1"/>
  <c r="BR12" i="2" s="1"/>
  <c r="AA7" i="2"/>
  <c r="BP5" i="2"/>
  <c r="BB5" i="2"/>
  <c r="BO5" i="2"/>
  <c r="BA5" i="2"/>
  <c r="CC6" i="2"/>
  <c r="AE12" i="2"/>
  <c r="AL12" i="2" s="1"/>
  <c r="BP12" i="2" s="1"/>
  <c r="AK9" i="2"/>
  <c r="AH9" i="2"/>
  <c r="AJ8" i="2"/>
  <c r="AQ8" i="2" s="1"/>
  <c r="AH8" i="2"/>
  <c r="AA8" i="2"/>
  <c r="AJ7" i="2"/>
  <c r="AH7" i="2"/>
  <c r="AQ6" i="2"/>
  <c r="AA6" i="2"/>
  <c r="BX13" i="2"/>
  <c r="BJ13" i="2"/>
  <c r="AX13" i="2"/>
  <c r="G13" i="2"/>
  <c r="BU12" i="2"/>
  <c r="BG12" i="2"/>
  <c r="BV13" i="2"/>
  <c r="BH13" i="2"/>
  <c r="BK13" i="2"/>
  <c r="BY13" i="2"/>
  <c r="BW13" i="2"/>
  <c r="BI13" i="2"/>
  <c r="AF12" i="2"/>
  <c r="AM12" i="2" s="1"/>
  <c r="AT12" i="2" s="1"/>
  <c r="Z12" i="2"/>
  <c r="P13" i="2"/>
  <c r="R13" i="2"/>
  <c r="O12" i="2"/>
  <c r="AC12" i="2" s="1"/>
  <c r="AJ12" i="2" s="1"/>
  <c r="BN12" i="2" s="1"/>
  <c r="S13" i="2"/>
  <c r="Q13" i="2"/>
  <c r="BL9" i="2"/>
  <c r="BS6" i="2"/>
  <c r="BL8" i="2"/>
  <c r="H13" i="2"/>
  <c r="BZ7" i="2"/>
  <c r="AA11" i="2"/>
  <c r="W12" i="2"/>
  <c r="AA10" i="2"/>
  <c r="M12" i="2"/>
  <c r="A14" i="2"/>
  <c r="C14" i="2"/>
  <c r="CP14" i="2" s="1"/>
  <c r="D14" i="2"/>
  <c r="E14" i="2"/>
  <c r="J14" i="2"/>
  <c r="K14" i="2"/>
  <c r="I14" i="2"/>
  <c r="L14" i="2"/>
  <c r="F15" i="2"/>
  <c r="G18" i="4"/>
  <c r="G59" i="4" s="1"/>
  <c r="C18" i="4"/>
  <c r="C59" i="4" s="1"/>
  <c r="D18" i="4"/>
  <c r="D59" i="4" s="1"/>
  <c r="E18" i="4"/>
  <c r="E59" i="4" s="1"/>
  <c r="F18" i="4"/>
  <c r="F59" i="4" s="1"/>
  <c r="B18" i="4"/>
  <c r="B59" i="4" s="1"/>
  <c r="CN5" i="2" l="1"/>
  <c r="F91" i="4" a="1"/>
  <c r="F91" i="4" s="1"/>
  <c r="F93" i="4" s="1"/>
  <c r="G27" i="4"/>
  <c r="G39" i="4" s="1"/>
  <c r="O27" i="4"/>
  <c r="O39" i="4" s="1"/>
  <c r="K27" i="4"/>
  <c r="K39" i="4" s="1"/>
  <c r="N27" i="4"/>
  <c r="N39" i="4" s="1"/>
  <c r="M27" i="4"/>
  <c r="M39" i="4" s="1"/>
  <c r="J27" i="4"/>
  <c r="J39" i="4" s="1"/>
  <c r="L27" i="4"/>
  <c r="L39" i="4" s="1"/>
  <c r="CE5" i="2"/>
  <c r="AV8" i="2"/>
  <c r="G15" i="5"/>
  <c r="BN11" i="2"/>
  <c r="CB11" i="2" s="1"/>
  <c r="CJ11" i="2" s="1"/>
  <c r="CO11" i="2" s="1"/>
  <c r="AQ11" i="2"/>
  <c r="AH11" i="2"/>
  <c r="AS12" i="2"/>
  <c r="CD5" i="2"/>
  <c r="AR12" i="2"/>
  <c r="BB12" i="2"/>
  <c r="CD12" i="2" s="1"/>
  <c r="CL12" i="2" s="1"/>
  <c r="AF13" i="2"/>
  <c r="AM13" i="2" s="1"/>
  <c r="BQ13" i="2" s="1"/>
  <c r="AV6" i="2"/>
  <c r="V12" i="2"/>
  <c r="AQ12" i="2" s="1"/>
  <c r="T12" i="2"/>
  <c r="AE13" i="2"/>
  <c r="AL13" i="2" s="1"/>
  <c r="BP13" i="2" s="1"/>
  <c r="AD13" i="2"/>
  <c r="AK13" i="2" s="1"/>
  <c r="BO13" i="2" s="1"/>
  <c r="BE6" i="2"/>
  <c r="AG13" i="2"/>
  <c r="AN13" i="2" s="1"/>
  <c r="BR13" i="2" s="1"/>
  <c r="AU12" i="2"/>
  <c r="BA12" i="2"/>
  <c r="CC12" i="2" s="1"/>
  <c r="CK12" i="2" s="1"/>
  <c r="BD12" i="2"/>
  <c r="CC5" i="2"/>
  <c r="F27" i="4"/>
  <c r="F39" i="4" s="1"/>
  <c r="E27" i="4"/>
  <c r="E39" i="4" s="1"/>
  <c r="D27" i="4"/>
  <c r="D39" i="4" s="1"/>
  <c r="C27" i="4"/>
  <c r="C39" i="4" s="1"/>
  <c r="BN7" i="2"/>
  <c r="BS7" i="2" s="1"/>
  <c r="AZ7" i="2"/>
  <c r="AO7" i="2"/>
  <c r="AQ7" i="2"/>
  <c r="BN8" i="2"/>
  <c r="BS8" i="2" s="1"/>
  <c r="AZ8" i="2"/>
  <c r="AO8" i="2"/>
  <c r="BO9" i="2"/>
  <c r="BS9" i="2" s="1"/>
  <c r="BA9" i="2"/>
  <c r="AO9" i="2"/>
  <c r="AR9" i="2"/>
  <c r="BJ14" i="2"/>
  <c r="BX14" i="2"/>
  <c r="AX14" i="2"/>
  <c r="G14" i="2"/>
  <c r="BY14" i="2"/>
  <c r="BK14" i="2"/>
  <c r="BW14" i="2"/>
  <c r="BI14" i="2"/>
  <c r="BQ12" i="2"/>
  <c r="BC12" i="2"/>
  <c r="AZ12" i="2"/>
  <c r="CB12" i="2" s="1"/>
  <c r="CJ12" i="2" s="1"/>
  <c r="BV14" i="2"/>
  <c r="BH14" i="2"/>
  <c r="W13" i="2"/>
  <c r="O13" i="2"/>
  <c r="AC13" i="2" s="1"/>
  <c r="AJ13" i="2" s="1"/>
  <c r="BG13" i="2"/>
  <c r="BU13" i="2"/>
  <c r="M13" i="2"/>
  <c r="X13" i="2"/>
  <c r="Y13" i="2"/>
  <c r="CG6" i="2"/>
  <c r="BL6" i="2"/>
  <c r="Q14" i="2"/>
  <c r="Z13" i="2"/>
  <c r="S14" i="2"/>
  <c r="B27" i="4"/>
  <c r="B39" i="4" s="1"/>
  <c r="H14" i="2"/>
  <c r="AO12" i="2"/>
  <c r="BZ8" i="2"/>
  <c r="BZ9" i="2"/>
  <c r="BZ6" i="2"/>
  <c r="P14" i="2"/>
  <c r="R14" i="2"/>
  <c r="AH10" i="2"/>
  <c r="A15" i="2"/>
  <c r="AH12" i="2"/>
  <c r="AO11" i="2"/>
  <c r="C15" i="2"/>
  <c r="CP15" i="2" s="1"/>
  <c r="D15" i="2"/>
  <c r="E15" i="2"/>
  <c r="L15" i="2"/>
  <c r="I15" i="2"/>
  <c r="J15" i="2"/>
  <c r="K15" i="2"/>
  <c r="F16" i="2"/>
  <c r="CL5" i="2" l="1"/>
  <c r="D91" i="4" a="1"/>
  <c r="D91" i="4" s="1"/>
  <c r="D93" i="4" s="1"/>
  <c r="CM5" i="2"/>
  <c r="E91" i="4" a="1"/>
  <c r="E91" i="4" s="1"/>
  <c r="E93" i="4" s="1"/>
  <c r="CK5" i="2"/>
  <c r="C91" i="4" a="1"/>
  <c r="C91" i="4" s="1"/>
  <c r="C93" i="4" s="1"/>
  <c r="T13" i="2"/>
  <c r="B81" i="4" a="1"/>
  <c r="B81" i="4" s="1"/>
  <c r="C81" i="4" a="1"/>
  <c r="C81" i="4" s="1"/>
  <c r="D81" i="4" a="1"/>
  <c r="D81" i="4" s="1"/>
  <c r="CF12" i="2"/>
  <c r="CN12" i="2" s="1"/>
  <c r="F15" i="5"/>
  <c r="AV9" i="2"/>
  <c r="AV7" i="2"/>
  <c r="CI6" i="2"/>
  <c r="AT13" i="2"/>
  <c r="AS13" i="2"/>
  <c r="BC13" i="2"/>
  <c r="CE13" i="2" s="1"/>
  <c r="CM13" i="2" s="1"/>
  <c r="E82" i="4" s="1" a="1"/>
  <c r="E82" i="4" s="1"/>
  <c r="BD13" i="2"/>
  <c r="CF13" i="2" s="1"/>
  <c r="CN13" i="2" s="1"/>
  <c r="F82" i="4" s="1" a="1"/>
  <c r="F82" i="4" s="1"/>
  <c r="AU13" i="2"/>
  <c r="AG14" i="2"/>
  <c r="AN14" i="2" s="1"/>
  <c r="BR14" i="2" s="1"/>
  <c r="AA12" i="2"/>
  <c r="AF14" i="2"/>
  <c r="AM14" i="2" s="1"/>
  <c r="BQ14" i="2" s="1"/>
  <c r="AD14" i="2"/>
  <c r="AK14" i="2" s="1"/>
  <c r="BO14" i="2" s="1"/>
  <c r="AE14" i="2"/>
  <c r="AL14" i="2" s="1"/>
  <c r="BP14" i="2" s="1"/>
  <c r="CE12" i="2"/>
  <c r="CM12" i="2" s="1"/>
  <c r="BA13" i="2"/>
  <c r="CC13" i="2" s="1"/>
  <c r="CK13" i="2" s="1"/>
  <c r="V13" i="2"/>
  <c r="AQ13" i="2" s="1"/>
  <c r="BB13" i="2"/>
  <c r="AR13" i="2"/>
  <c r="CC9" i="2"/>
  <c r="BE9" i="2"/>
  <c r="CB8" i="2"/>
  <c r="BE8" i="2"/>
  <c r="CB7" i="2"/>
  <c r="BE7" i="2"/>
  <c r="BN13" i="2"/>
  <c r="AZ13" i="2"/>
  <c r="BI15" i="2"/>
  <c r="BW15" i="2"/>
  <c r="BU14" i="2"/>
  <c r="BG14" i="2"/>
  <c r="BV15" i="2"/>
  <c r="BH15" i="2"/>
  <c r="BX15" i="2"/>
  <c r="BJ15" i="2"/>
  <c r="BY15" i="2"/>
  <c r="BK15" i="2"/>
  <c r="G15" i="2"/>
  <c r="AX15" i="2"/>
  <c r="Z14" i="2"/>
  <c r="X14" i="2"/>
  <c r="O14" i="2"/>
  <c r="AC14" i="2" s="1"/>
  <c r="AJ14" i="2" s="1"/>
  <c r="BN14" i="2" s="1"/>
  <c r="R15" i="2"/>
  <c r="S15" i="2"/>
  <c r="Q15" i="2"/>
  <c r="P15" i="2"/>
  <c r="W15" i="2" s="1"/>
  <c r="M14" i="2"/>
  <c r="BZ12" i="2"/>
  <c r="BL12" i="2"/>
  <c r="BS11" i="2"/>
  <c r="BL11" i="2"/>
  <c r="H15" i="2"/>
  <c r="AV12" i="2"/>
  <c r="BE12" i="2"/>
  <c r="W14" i="2"/>
  <c r="Y14" i="2"/>
  <c r="AH13" i="2"/>
  <c r="AO13" i="2"/>
  <c r="AO10" i="2"/>
  <c r="A16" i="2"/>
  <c r="AV11" i="2"/>
  <c r="C16" i="2"/>
  <c r="CP16" i="2" s="1"/>
  <c r="D16" i="2"/>
  <c r="E16" i="2"/>
  <c r="K16" i="2"/>
  <c r="J16" i="2"/>
  <c r="I16" i="2"/>
  <c r="L16" i="2"/>
  <c r="F17" i="2"/>
  <c r="CG7" i="2" l="1"/>
  <c r="CI7" i="2" s="1"/>
  <c r="B92" i="4" a="1"/>
  <c r="B92" i="4" s="1"/>
  <c r="G92" i="4" s="1"/>
  <c r="C82" i="4" a="1"/>
  <c r="C82" i="4" s="1"/>
  <c r="E81" i="4" a="1"/>
  <c r="E81" i="4" s="1"/>
  <c r="CO12" i="2"/>
  <c r="F81" i="4" a="1"/>
  <c r="F81" i="4" s="1"/>
  <c r="E15" i="5"/>
  <c r="CG9" i="2"/>
  <c r="CI9" i="2" s="1"/>
  <c r="CK9" i="2"/>
  <c r="CG8" i="2"/>
  <c r="CI8" i="2" s="1"/>
  <c r="CJ8" i="2"/>
  <c r="CD13" i="2"/>
  <c r="CL13" i="2" s="1"/>
  <c r="AU14" i="2"/>
  <c r="BB14" i="2"/>
  <c r="CD14" i="2" s="1"/>
  <c r="CL14" i="2" s="1"/>
  <c r="D83" i="4" s="1" a="1"/>
  <c r="D83" i="4" s="1"/>
  <c r="CB13" i="2"/>
  <c r="CJ13" i="2" s="1"/>
  <c r="BD14" i="2"/>
  <c r="CF14" i="2" s="1"/>
  <c r="CN14" i="2" s="1"/>
  <c r="AS14" i="2"/>
  <c r="V14" i="2"/>
  <c r="AQ14" i="2" s="1"/>
  <c r="AR14" i="2"/>
  <c r="AT14" i="2"/>
  <c r="BC14" i="2"/>
  <c r="CE14" i="2" s="1"/>
  <c r="CM14" i="2" s="1"/>
  <c r="BA14" i="2"/>
  <c r="CC14" i="2" s="1"/>
  <c r="CK14" i="2" s="1"/>
  <c r="AV13" i="2"/>
  <c r="BE13" i="2"/>
  <c r="AG15" i="2"/>
  <c r="AN15" i="2" s="1"/>
  <c r="BD15" i="2" s="1"/>
  <c r="AA13" i="2"/>
  <c r="AF15" i="2"/>
  <c r="AM15" i="2" s="1"/>
  <c r="BQ15" i="2" s="1"/>
  <c r="T14" i="2"/>
  <c r="BH16" i="2"/>
  <c r="BV16" i="2"/>
  <c r="BX16" i="2"/>
  <c r="BJ16" i="2"/>
  <c r="G16" i="2"/>
  <c r="AX16" i="2"/>
  <c r="AD15" i="2"/>
  <c r="AK15" i="2" s="1"/>
  <c r="BO15" i="2" s="1"/>
  <c r="BU15" i="2"/>
  <c r="BG15" i="2"/>
  <c r="BW16" i="2"/>
  <c r="BI16" i="2"/>
  <c r="BY16" i="2"/>
  <c r="BK16" i="2"/>
  <c r="AE15" i="2"/>
  <c r="AL15" i="2" s="1"/>
  <c r="BP15" i="2" s="1"/>
  <c r="AZ14" i="2"/>
  <c r="CB14" i="2" s="1"/>
  <c r="CJ14" i="2" s="1"/>
  <c r="Z15" i="2"/>
  <c r="BZ13" i="2"/>
  <c r="BS13" i="2"/>
  <c r="CG12" i="2"/>
  <c r="CI12" i="2" s="1"/>
  <c r="M15" i="2"/>
  <c r="X15" i="2"/>
  <c r="P16" i="2"/>
  <c r="R16" i="2"/>
  <c r="Y16" i="2" s="1"/>
  <c r="Q16" i="2"/>
  <c r="X16" i="2" s="1"/>
  <c r="Y15" i="2"/>
  <c r="O15" i="2"/>
  <c r="V15" i="2" s="1"/>
  <c r="BL13" i="2"/>
  <c r="BS10" i="2"/>
  <c r="BL10" i="2"/>
  <c r="BE10" i="2"/>
  <c r="BE11" i="2"/>
  <c r="H16" i="2"/>
  <c r="BS12" i="2"/>
  <c r="AV10" i="2"/>
  <c r="CG11" i="2"/>
  <c r="CI11" i="2" s="1"/>
  <c r="BZ11" i="2"/>
  <c r="AO14" i="2"/>
  <c r="S16" i="2"/>
  <c r="AH14" i="2"/>
  <c r="A17" i="2"/>
  <c r="AO5" i="2"/>
  <c r="C17" i="2"/>
  <c r="CP17" i="2" s="1"/>
  <c r="D17" i="2"/>
  <c r="E17" i="2"/>
  <c r="F18" i="2"/>
  <c r="AH5" i="2"/>
  <c r="AA5" i="2"/>
  <c r="M5" i="2"/>
  <c r="G81" i="4" l="1"/>
  <c r="B83" i="4" a="1"/>
  <c r="B83" i="4" s="1"/>
  <c r="CO14" i="2"/>
  <c r="C83" i="4" a="1"/>
  <c r="C83" i="4" s="1"/>
  <c r="C84" i="4" s="1"/>
  <c r="E83" i="4" a="1"/>
  <c r="E83" i="4" s="1"/>
  <c r="E84" i="4" s="1"/>
  <c r="F83" i="4" a="1"/>
  <c r="F83" i="4" s="1"/>
  <c r="F84" i="4" s="1"/>
  <c r="B82" i="4" a="1"/>
  <c r="B82" i="4" s="1"/>
  <c r="CO13" i="2"/>
  <c r="D82" i="4" a="1"/>
  <c r="D82" i="4" s="1"/>
  <c r="D84" i="4" s="1"/>
  <c r="CO9" i="2"/>
  <c r="CO8" i="2"/>
  <c r="BC15" i="2"/>
  <c r="CE15" i="2" s="1"/>
  <c r="CM15" i="2" s="1"/>
  <c r="BR15" i="2"/>
  <c r="CF15" i="2" s="1"/>
  <c r="CN15" i="2" s="1"/>
  <c r="AA14" i="2"/>
  <c r="AT15" i="2"/>
  <c r="AV14" i="2"/>
  <c r="AG16" i="2"/>
  <c r="AN16" i="2" s="1"/>
  <c r="BR16" i="2" s="1"/>
  <c r="AD16" i="2"/>
  <c r="AK16" i="2" s="1"/>
  <c r="BO16" i="2" s="1"/>
  <c r="AU15" i="2"/>
  <c r="AF16" i="2"/>
  <c r="AM16" i="2" s="1"/>
  <c r="BQ16" i="2" s="1"/>
  <c r="BA15" i="2"/>
  <c r="CC15" i="2" s="1"/>
  <c r="CK15" i="2" s="1"/>
  <c r="W16" i="2"/>
  <c r="T15" i="2"/>
  <c r="AS15" i="2"/>
  <c r="AX17" i="2"/>
  <c r="G17" i="2"/>
  <c r="BB15" i="2"/>
  <c r="BU16" i="2"/>
  <c r="BG16" i="2"/>
  <c r="AR15" i="2"/>
  <c r="CG13" i="2"/>
  <c r="CI13" i="2" s="1"/>
  <c r="AC15" i="2"/>
  <c r="AJ15" i="2" s="1"/>
  <c r="AE16" i="2"/>
  <c r="CG10" i="2"/>
  <c r="CI10" i="2" s="1"/>
  <c r="O16" i="2"/>
  <c r="T16" i="2" s="1"/>
  <c r="AA15" i="2"/>
  <c r="M16" i="2"/>
  <c r="Z16" i="2"/>
  <c r="BZ14" i="2"/>
  <c r="BZ10" i="2"/>
  <c r="BL14" i="2"/>
  <c r="BS14" i="2"/>
  <c r="BE14" i="2"/>
  <c r="AV5" i="2"/>
  <c r="F19" i="2"/>
  <c r="A18" i="2"/>
  <c r="C18" i="2"/>
  <c r="CP18" i="2" s="1"/>
  <c r="D18" i="2"/>
  <c r="E18" i="2"/>
  <c r="J18" i="2"/>
  <c r="I18" i="2"/>
  <c r="K18" i="2"/>
  <c r="L18" i="2"/>
  <c r="G82" i="4" l="1"/>
  <c r="B84" i="4"/>
  <c r="G83" i="4"/>
  <c r="CD15" i="2"/>
  <c r="CL15" i="2" s="1"/>
  <c r="BC16" i="2"/>
  <c r="CE16" i="2" s="1"/>
  <c r="CM16" i="2" s="1"/>
  <c r="AR16" i="2"/>
  <c r="AU16" i="2"/>
  <c r="BD16" i="2"/>
  <c r="CF16" i="2" s="1"/>
  <c r="CN16" i="2" s="1"/>
  <c r="BA16" i="2"/>
  <c r="CC16" i="2" s="1"/>
  <c r="CK16" i="2" s="1"/>
  <c r="AT16" i="2"/>
  <c r="V16" i="2"/>
  <c r="AA16" i="2" s="1"/>
  <c r="AC16" i="2"/>
  <c r="AJ16" i="2" s="1"/>
  <c r="BN16" i="2" s="1"/>
  <c r="BN15" i="2"/>
  <c r="AQ15" i="2"/>
  <c r="BJ18" i="2"/>
  <c r="BX18" i="2"/>
  <c r="BY18" i="2"/>
  <c r="BK18" i="2"/>
  <c r="BV18" i="2"/>
  <c r="BH18" i="2"/>
  <c r="BW18" i="2"/>
  <c r="BI18" i="2"/>
  <c r="AZ15" i="2"/>
  <c r="AX18" i="2"/>
  <c r="G18" i="2"/>
  <c r="AL16" i="2"/>
  <c r="CB5" i="2"/>
  <c r="B91" i="4" s="1" a="1"/>
  <c r="B91" i="4" s="1"/>
  <c r="AH15" i="2"/>
  <c r="Q18" i="2"/>
  <c r="X18" i="2" s="1"/>
  <c r="S18" i="2"/>
  <c r="Z18" i="2" s="1"/>
  <c r="AO15" i="2"/>
  <c r="BS5" i="2"/>
  <c r="BE5" i="2"/>
  <c r="BZ5" i="2"/>
  <c r="H18" i="2"/>
  <c r="BL5" i="2"/>
  <c r="CG14" i="2"/>
  <c r="CI14" i="2" s="1"/>
  <c r="R18" i="2"/>
  <c r="P18" i="2"/>
  <c r="A19" i="2"/>
  <c r="E19" i="2"/>
  <c r="C19" i="2"/>
  <c r="CP19" i="2" s="1"/>
  <c r="F20" i="2"/>
  <c r="D19" i="2"/>
  <c r="I19" i="2"/>
  <c r="B93" i="4" l="1"/>
  <c r="G91" i="4"/>
  <c r="G93" i="4" s="1"/>
  <c r="G84" i="4"/>
  <c r="CG5" i="2"/>
  <c r="CJ5" i="2"/>
  <c r="AE18" i="2"/>
  <c r="AL18" i="2" s="1"/>
  <c r="BP18" i="2" s="1"/>
  <c r="AD18" i="2"/>
  <c r="AK18" i="2" s="1"/>
  <c r="BO18" i="2" s="1"/>
  <c r="AF18" i="2"/>
  <c r="AM18" i="2" s="1"/>
  <c r="BQ18" i="2" s="1"/>
  <c r="CB15" i="2"/>
  <c r="CJ15" i="2" s="1"/>
  <c r="AQ16" i="2"/>
  <c r="AZ16" i="2"/>
  <c r="CB16" i="2" s="1"/>
  <c r="CJ16" i="2" s="1"/>
  <c r="AH16" i="2"/>
  <c r="AO16" i="2"/>
  <c r="AG18" i="2"/>
  <c r="AN18" i="2" s="1"/>
  <c r="BR18" i="2" s="1"/>
  <c r="J19" i="2"/>
  <c r="BI19" i="2" s="1"/>
  <c r="BP16" i="2"/>
  <c r="BS16" i="2" s="1"/>
  <c r="AS16" i="2"/>
  <c r="BB16" i="2"/>
  <c r="G19" i="2"/>
  <c r="AX19" i="2"/>
  <c r="BV19" i="2"/>
  <c r="BH19" i="2"/>
  <c r="BU18" i="2"/>
  <c r="BG18" i="2"/>
  <c r="P19" i="2"/>
  <c r="M18" i="2"/>
  <c r="BS15" i="2"/>
  <c r="BL15" i="2"/>
  <c r="AV15" i="2"/>
  <c r="BE15" i="2"/>
  <c r="O18" i="2"/>
  <c r="V18" i="2" s="1"/>
  <c r="BZ16" i="2"/>
  <c r="H19" i="2"/>
  <c r="W18" i="2"/>
  <c r="Y18" i="2"/>
  <c r="A20" i="2"/>
  <c r="L20" i="2"/>
  <c r="K20" i="2"/>
  <c r="I20" i="2"/>
  <c r="J20" i="2"/>
  <c r="E20" i="2"/>
  <c r="D20" i="2"/>
  <c r="C20" i="2"/>
  <c r="CP20" i="2" s="1"/>
  <c r="F21" i="2"/>
  <c r="BA18" i="2" l="1"/>
  <c r="CC18" i="2" s="1"/>
  <c r="CK18" i="2" s="1"/>
  <c r="CO5" i="2"/>
  <c r="CI5" i="2"/>
  <c r="CO15" i="2"/>
  <c r="AR18" i="2"/>
  <c r="BC18" i="2"/>
  <c r="CE18" i="2" s="1"/>
  <c r="CM18" i="2" s="1"/>
  <c r="AV16" i="2"/>
  <c r="AS18" i="2"/>
  <c r="AT18" i="2"/>
  <c r="BB18" i="2"/>
  <c r="CD18" i="2" s="1"/>
  <c r="CL18" i="2" s="1"/>
  <c r="BW19" i="2"/>
  <c r="Q19" i="2"/>
  <c r="X19" i="2" s="1"/>
  <c r="BD18" i="2"/>
  <c r="CF18" i="2" s="1"/>
  <c r="CN18" i="2" s="1"/>
  <c r="AU18" i="2"/>
  <c r="T18" i="2"/>
  <c r="L19" i="2"/>
  <c r="BX20" i="2"/>
  <c r="BJ20" i="2"/>
  <c r="AX20" i="2"/>
  <c r="G20" i="2"/>
  <c r="BU19" i="2"/>
  <c r="BG19" i="2"/>
  <c r="BY20" i="2"/>
  <c r="BK20" i="2"/>
  <c r="AD19" i="2"/>
  <c r="AK19" i="2" s="1"/>
  <c r="BO19" i="2" s="1"/>
  <c r="CD16" i="2"/>
  <c r="BH20" i="2"/>
  <c r="BV20" i="2"/>
  <c r="BW20" i="2"/>
  <c r="BI20" i="2"/>
  <c r="CG15" i="2"/>
  <c r="W19" i="2"/>
  <c r="O19" i="2"/>
  <c r="AC19" i="2" s="1"/>
  <c r="AJ19" i="2" s="1"/>
  <c r="BN19" i="2" s="1"/>
  <c r="BZ15" i="2"/>
  <c r="AC18" i="2"/>
  <c r="AJ18" i="2" s="1"/>
  <c r="BN18" i="2" s="1"/>
  <c r="P20" i="2"/>
  <c r="R20" i="2"/>
  <c r="Y20" i="2" s="1"/>
  <c r="BL16" i="2"/>
  <c r="BE16" i="2"/>
  <c r="AA18" i="2"/>
  <c r="H20" i="2"/>
  <c r="S20" i="2"/>
  <c r="Q20" i="2"/>
  <c r="A21" i="2"/>
  <c r="I21" i="2"/>
  <c r="E21" i="2"/>
  <c r="D21" i="2"/>
  <c r="C21" i="2"/>
  <c r="CP21" i="2" s="1"/>
  <c r="F22" i="2"/>
  <c r="CI15" i="2" l="1"/>
  <c r="CG16" i="2"/>
  <c r="CL16" i="2"/>
  <c r="AE19" i="2"/>
  <c r="AL19" i="2" s="1"/>
  <c r="BP19" i="2" s="1"/>
  <c r="AF20" i="2"/>
  <c r="AM20" i="2" s="1"/>
  <c r="BC20" i="2" s="1"/>
  <c r="AE20" i="2"/>
  <c r="AL20" i="2" s="1"/>
  <c r="BP20" i="2" s="1"/>
  <c r="K19" i="2"/>
  <c r="BY19" i="2"/>
  <c r="BK19" i="2"/>
  <c r="S19" i="2"/>
  <c r="AZ19" i="2"/>
  <c r="CB19" i="2" s="1"/>
  <c r="CJ19" i="2" s="1"/>
  <c r="BU20" i="2"/>
  <c r="BG20" i="2"/>
  <c r="AX21" i="2"/>
  <c r="G21" i="2"/>
  <c r="BV21" i="2"/>
  <c r="BH21" i="2"/>
  <c r="AG20" i="2"/>
  <c r="AN20" i="2" s="1"/>
  <c r="BA19" i="2"/>
  <c r="CC19" i="2" s="1"/>
  <c r="CK19" i="2" s="1"/>
  <c r="V19" i="2"/>
  <c r="AQ19" i="2" s="1"/>
  <c r="AD20" i="2"/>
  <c r="AK20" i="2" s="1"/>
  <c r="AR19" i="2"/>
  <c r="AQ18" i="2"/>
  <c r="AZ18" i="2"/>
  <c r="CB18" i="2" s="1"/>
  <c r="CJ18" i="2" s="1"/>
  <c r="AH18" i="2"/>
  <c r="O20" i="2"/>
  <c r="AC20" i="2" s="1"/>
  <c r="AJ20" i="2" s="1"/>
  <c r="BN20" i="2" s="1"/>
  <c r="P21" i="2"/>
  <c r="W21" i="2" s="1"/>
  <c r="W20" i="2"/>
  <c r="M20" i="2"/>
  <c r="H21" i="2"/>
  <c r="X20" i="2"/>
  <c r="Z20" i="2"/>
  <c r="A22" i="2"/>
  <c r="F23" i="2"/>
  <c r="D22" i="2"/>
  <c r="C22" i="2"/>
  <c r="CP22" i="2" s="1"/>
  <c r="E22" i="2"/>
  <c r="CO18" i="2" l="1"/>
  <c r="CO16" i="2"/>
  <c r="CI16" i="2"/>
  <c r="BQ20" i="2"/>
  <c r="CE20" i="2" s="1"/>
  <c r="CM20" i="2" s="1"/>
  <c r="AT20" i="2"/>
  <c r="BB19" i="2"/>
  <c r="CD19" i="2" s="1"/>
  <c r="CL19" i="2" s="1"/>
  <c r="AS19" i="2"/>
  <c r="AU20" i="2"/>
  <c r="J17" i="2"/>
  <c r="BB20" i="2"/>
  <c r="CD20" i="2" s="1"/>
  <c r="CL20" i="2" s="1"/>
  <c r="AS20" i="2"/>
  <c r="AG19" i="2"/>
  <c r="AN19" i="2" s="1"/>
  <c r="BR19" i="2" s="1"/>
  <c r="Z19" i="2"/>
  <c r="BX19" i="2"/>
  <c r="BZ19" i="2" s="1"/>
  <c r="BJ19" i="2"/>
  <c r="R19" i="2"/>
  <c r="T19" i="2" s="1"/>
  <c r="M19" i="2"/>
  <c r="AD21" i="2"/>
  <c r="AK21" i="2" s="1"/>
  <c r="BO21" i="2" s="1"/>
  <c r="BG21" i="2"/>
  <c r="BU21" i="2"/>
  <c r="BA20" i="2"/>
  <c r="BO20" i="2"/>
  <c r="AR20" i="2"/>
  <c r="BR20" i="2"/>
  <c r="BD20" i="2"/>
  <c r="AZ20" i="2"/>
  <c r="CB20" i="2" s="1"/>
  <c r="CJ20" i="2" s="1"/>
  <c r="AX22" i="2"/>
  <c r="G22" i="2"/>
  <c r="T20" i="2"/>
  <c r="V20" i="2"/>
  <c r="AQ20" i="2" s="1"/>
  <c r="AO18" i="2"/>
  <c r="O21" i="2"/>
  <c r="AC21" i="2" s="1"/>
  <c r="AJ21" i="2" s="1"/>
  <c r="BN21" i="2" s="1"/>
  <c r="AH20" i="2"/>
  <c r="A23" i="2"/>
  <c r="D23" i="2"/>
  <c r="J23" i="2"/>
  <c r="L23" i="2"/>
  <c r="C23" i="2"/>
  <c r="CP23" i="2" s="1"/>
  <c r="K23" i="2"/>
  <c r="E23" i="2"/>
  <c r="I23" i="2"/>
  <c r="F24" i="2"/>
  <c r="AA20" i="2" l="1"/>
  <c r="K17" i="2"/>
  <c r="K21" i="2"/>
  <c r="L17" i="2"/>
  <c r="BY17" i="2" s="1"/>
  <c r="L21" i="2"/>
  <c r="J21" i="2"/>
  <c r="BD19" i="2"/>
  <c r="CF19" i="2" s="1"/>
  <c r="CN19" i="2" s="1"/>
  <c r="AU19" i="2"/>
  <c r="V21" i="2"/>
  <c r="AQ21" i="2" s="1"/>
  <c r="BA21" i="2"/>
  <c r="CC21" i="2" s="1"/>
  <c r="CK21" i="2" s="1"/>
  <c r="Y19" i="2"/>
  <c r="AA19" i="2" s="1"/>
  <c r="AR21" i="2"/>
  <c r="AF19" i="2"/>
  <c r="AH19" i="2" s="1"/>
  <c r="BW17" i="2"/>
  <c r="BI17" i="2"/>
  <c r="Q17" i="2"/>
  <c r="X17" i="2" s="1"/>
  <c r="AV20" i="2"/>
  <c r="BY23" i="2"/>
  <c r="BK23" i="2"/>
  <c r="BI23" i="2"/>
  <c r="BW23" i="2"/>
  <c r="BX23" i="2"/>
  <c r="BJ23" i="2"/>
  <c r="CC20" i="2"/>
  <c r="CK20" i="2" s="1"/>
  <c r="BV23" i="2"/>
  <c r="BH23" i="2"/>
  <c r="CF20" i="2"/>
  <c r="CN20" i="2" s="1"/>
  <c r="AZ21" i="2"/>
  <c r="CB21" i="2" s="1"/>
  <c r="CJ21" i="2" s="1"/>
  <c r="G23" i="2"/>
  <c r="AX23" i="2"/>
  <c r="AO20" i="2"/>
  <c r="BL19" i="2"/>
  <c r="S23" i="2"/>
  <c r="Z23" i="2" s="1"/>
  <c r="Q23" i="2"/>
  <c r="R23" i="2"/>
  <c r="Y23" i="2" s="1"/>
  <c r="BL18" i="2"/>
  <c r="AV18" i="2"/>
  <c r="BS18" i="2"/>
  <c r="BE18" i="2"/>
  <c r="H23" i="2"/>
  <c r="O23" i="2" s="1"/>
  <c r="BL20" i="2"/>
  <c r="BS20" i="2"/>
  <c r="BE20" i="2"/>
  <c r="BZ20" i="2"/>
  <c r="P23" i="2"/>
  <c r="W23" i="2" s="1"/>
  <c r="F25" i="2"/>
  <c r="A24" i="2"/>
  <c r="K24" i="2"/>
  <c r="E24" i="2"/>
  <c r="D24" i="2"/>
  <c r="L24" i="2"/>
  <c r="I24" i="2"/>
  <c r="J24" i="2"/>
  <c r="C24" i="2"/>
  <c r="CP24" i="2" s="1"/>
  <c r="CO20" i="2" l="1"/>
  <c r="M23" i="2"/>
  <c r="BK17" i="2"/>
  <c r="S17" i="2"/>
  <c r="AG17" i="2" s="1"/>
  <c r="AN17" i="2" s="1"/>
  <c r="BR17" i="2" s="1"/>
  <c r="BW21" i="2"/>
  <c r="BI21" i="2"/>
  <c r="Q21" i="2"/>
  <c r="X21" i="2" s="1"/>
  <c r="M21" i="2"/>
  <c r="BK21" i="2"/>
  <c r="BY21" i="2"/>
  <c r="S21" i="2"/>
  <c r="AG21" i="2" s="1"/>
  <c r="AN21" i="2" s="1"/>
  <c r="BR21" i="2" s="1"/>
  <c r="BX21" i="2"/>
  <c r="BJ21" i="2"/>
  <c r="R21" i="2"/>
  <c r="Y21" i="2" s="1"/>
  <c r="AE23" i="2"/>
  <c r="AL23" i="2" s="1"/>
  <c r="BP23" i="2" s="1"/>
  <c r="AM19" i="2"/>
  <c r="BQ19" i="2" s="1"/>
  <c r="BS19" i="2" s="1"/>
  <c r="AG23" i="2"/>
  <c r="AN23" i="2" s="1"/>
  <c r="BR23" i="2" s="1"/>
  <c r="AE17" i="2"/>
  <c r="BX17" i="2"/>
  <c r="BJ17" i="2"/>
  <c r="R17" i="2"/>
  <c r="Y17" i="2" s="1"/>
  <c r="X23" i="2"/>
  <c r="AF23" i="2"/>
  <c r="AM23" i="2" s="1"/>
  <c r="BQ23" i="2" s="1"/>
  <c r="BH24" i="2"/>
  <c r="BV24" i="2"/>
  <c r="BW24" i="2"/>
  <c r="BI24" i="2"/>
  <c r="BY24" i="2"/>
  <c r="BK24" i="2"/>
  <c r="BU23" i="2"/>
  <c r="BG23" i="2"/>
  <c r="BX24" i="2"/>
  <c r="BJ24" i="2"/>
  <c r="AX24" i="2"/>
  <c r="G24" i="2"/>
  <c r="CG18" i="2"/>
  <c r="CI18" i="2" s="1"/>
  <c r="AD23" i="2"/>
  <c r="P24" i="2"/>
  <c r="W24" i="2" s="1"/>
  <c r="Q24" i="2"/>
  <c r="AC23" i="2"/>
  <c r="AJ23" i="2" s="1"/>
  <c r="BN23" i="2" s="1"/>
  <c r="R24" i="2"/>
  <c r="Y24" i="2" s="1"/>
  <c r="BZ18" i="2"/>
  <c r="H24" i="2"/>
  <c r="CG20" i="2"/>
  <c r="CI20" i="2" s="1"/>
  <c r="T23" i="2"/>
  <c r="V23" i="2"/>
  <c r="S24" i="2"/>
  <c r="F26" i="2"/>
  <c r="A25" i="2"/>
  <c r="I25" i="2"/>
  <c r="J25" i="2"/>
  <c r="E25" i="2"/>
  <c r="D25" i="2"/>
  <c r="C25" i="2"/>
  <c r="CP25" i="2" s="1"/>
  <c r="K25" i="2"/>
  <c r="L25" i="2"/>
  <c r="E52" i="4" l="1"/>
  <c r="E53" i="4"/>
  <c r="E51" i="4"/>
  <c r="H50" i="4"/>
  <c r="H52" i="4"/>
  <c r="H51" i="4"/>
  <c r="H53" i="4"/>
  <c r="B53" i="4"/>
  <c r="BC19" i="2"/>
  <c r="CE19" i="2" s="1"/>
  <c r="BL21" i="2"/>
  <c r="BD17" i="2"/>
  <c r="CF17" i="2" s="1"/>
  <c r="CN17" i="2" s="1"/>
  <c r="AS23" i="2"/>
  <c r="AT19" i="2"/>
  <c r="AV19" i="2" s="1"/>
  <c r="AF21" i="2"/>
  <c r="AM21" i="2" s="1"/>
  <c r="BQ21" i="2" s="1"/>
  <c r="Z17" i="2"/>
  <c r="AU17" i="2" s="1"/>
  <c r="AO19" i="2"/>
  <c r="AE21" i="2"/>
  <c r="AL21" i="2" s="1"/>
  <c r="BB21" i="2" s="1"/>
  <c r="BZ21" i="2"/>
  <c r="BB23" i="2"/>
  <c r="CD23" i="2" s="1"/>
  <c r="CL23" i="2" s="1"/>
  <c r="Z21" i="2"/>
  <c r="AU21" i="2" s="1"/>
  <c r="A61" i="4" a="1"/>
  <c r="A61" i="4" s="1"/>
  <c r="BD21" i="2"/>
  <c r="CF21" i="2" s="1"/>
  <c r="CN21" i="2" s="1"/>
  <c r="T21" i="2"/>
  <c r="AF24" i="2"/>
  <c r="AM24" i="2" s="1"/>
  <c r="BQ24" i="2" s="1"/>
  <c r="BD23" i="2"/>
  <c r="CF23" i="2" s="1"/>
  <c r="CN23" i="2" s="1"/>
  <c r="AQ23" i="2"/>
  <c r="AE24" i="2"/>
  <c r="AL24" i="2" s="1"/>
  <c r="BP24" i="2" s="1"/>
  <c r="BC23" i="2"/>
  <c r="CE23" i="2" s="1"/>
  <c r="CM23" i="2" s="1"/>
  <c r="AT23" i="2"/>
  <c r="AU23" i="2"/>
  <c r="AG24" i="2"/>
  <c r="AN24" i="2" s="1"/>
  <c r="BR24" i="2" s="1"/>
  <c r="AF17" i="2"/>
  <c r="AM17" i="2" s="1"/>
  <c r="AL17" i="2"/>
  <c r="X24" i="2"/>
  <c r="AD24" i="2"/>
  <c r="AK24" i="2" s="1"/>
  <c r="BO24" i="2" s="1"/>
  <c r="AZ23" i="2"/>
  <c r="CB23" i="2" s="1"/>
  <c r="CJ23" i="2" s="1"/>
  <c r="G25" i="2"/>
  <c r="AX25" i="2"/>
  <c r="O24" i="2"/>
  <c r="AC24" i="2" s="1"/>
  <c r="AJ24" i="2" s="1"/>
  <c r="BN24" i="2" s="1"/>
  <c r="BU24" i="2"/>
  <c r="BG24" i="2"/>
  <c r="BX25" i="2"/>
  <c r="BJ25" i="2"/>
  <c r="BW25" i="2"/>
  <c r="BI25" i="2"/>
  <c r="BV25" i="2"/>
  <c r="BH25" i="2"/>
  <c r="BK25" i="2"/>
  <c r="BY25" i="2"/>
  <c r="AK23" i="2"/>
  <c r="M24" i="2"/>
  <c r="R25" i="2"/>
  <c r="Y25" i="2" s="1"/>
  <c r="P25" i="2"/>
  <c r="H25" i="2"/>
  <c r="M25" i="2" s="1"/>
  <c r="Z24" i="2"/>
  <c r="Q25" i="2"/>
  <c r="AA23" i="2"/>
  <c r="S25" i="2"/>
  <c r="F27" i="2"/>
  <c r="A10" i="4" a="1"/>
  <c r="A10" i="4" s="1"/>
  <c r="L26" i="2"/>
  <c r="C26" i="2"/>
  <c r="CP26" i="2" s="1"/>
  <c r="J26" i="2"/>
  <c r="D26" i="2"/>
  <c r="H26" i="2"/>
  <c r="E26" i="2"/>
  <c r="I26" i="2"/>
  <c r="K26" i="2"/>
  <c r="A26" i="2"/>
  <c r="A20" i="4" a="1"/>
  <c r="A20" i="4" s="1"/>
  <c r="B51" i="4" l="1"/>
  <c r="I29" i="4"/>
  <c r="CG19" i="2"/>
  <c r="CI19" i="2" s="1"/>
  <c r="CM19" i="2"/>
  <c r="CK27" i="2"/>
  <c r="CN27" i="2"/>
  <c r="CJ27" i="2"/>
  <c r="CP27" i="2"/>
  <c r="CM27" i="2"/>
  <c r="CL27" i="2"/>
  <c r="G26" i="2"/>
  <c r="AX26" i="2"/>
  <c r="O26" i="2"/>
  <c r="V26" i="2" s="1"/>
  <c r="BU26" i="2"/>
  <c r="M26" i="2"/>
  <c r="BG26" i="2"/>
  <c r="BJ26" i="2"/>
  <c r="R26" i="2"/>
  <c r="Y26" i="2" s="1"/>
  <c r="BX26" i="2"/>
  <c r="BY26" i="2"/>
  <c r="S26" i="2"/>
  <c r="Z26" i="2" s="1"/>
  <c r="BK26" i="2"/>
  <c r="BV26" i="2"/>
  <c r="P26" i="2"/>
  <c r="BH26" i="2"/>
  <c r="BI26" i="2"/>
  <c r="Q26" i="2"/>
  <c r="AE26" i="2" s="1"/>
  <c r="AL26" i="2" s="1"/>
  <c r="BW26" i="2"/>
  <c r="A62" i="4" a="1"/>
  <c r="A62" i="4" s="1"/>
  <c r="BE19" i="2"/>
  <c r="BC21" i="2"/>
  <c r="CE21" i="2" s="1"/>
  <c r="CM21" i="2" s="1"/>
  <c r="AH21" i="2"/>
  <c r="AT21" i="2"/>
  <c r="AA21" i="2"/>
  <c r="BP21" i="2"/>
  <c r="AO21" i="2"/>
  <c r="AS21" i="2"/>
  <c r="H54" i="4"/>
  <c r="AG25" i="2"/>
  <c r="AN25" i="2" s="1"/>
  <c r="BD25" i="2" s="1"/>
  <c r="BB24" i="2"/>
  <c r="CD24" i="2" s="1"/>
  <c r="CL24" i="2" s="1"/>
  <c r="AT24" i="2"/>
  <c r="BC24" i="2"/>
  <c r="CE24" i="2" s="1"/>
  <c r="CM24" i="2" s="1"/>
  <c r="BD24" i="2"/>
  <c r="CF24" i="2" s="1"/>
  <c r="CN24" i="2" s="1"/>
  <c r="AE25" i="2"/>
  <c r="AL25" i="2" s="1"/>
  <c r="BP25" i="2" s="1"/>
  <c r="AD25" i="2"/>
  <c r="AK25" i="2" s="1"/>
  <c r="BA25" i="2" s="1"/>
  <c r="AS24" i="2"/>
  <c r="AR24" i="2"/>
  <c r="AU24" i="2"/>
  <c r="T24" i="2"/>
  <c r="AF25" i="2"/>
  <c r="AM25" i="2" s="1"/>
  <c r="BQ25" i="2" s="1"/>
  <c r="BP17" i="2"/>
  <c r="BB17" i="2"/>
  <c r="AS17" i="2"/>
  <c r="BQ17" i="2"/>
  <c r="BC17" i="2"/>
  <c r="AT17" i="2"/>
  <c r="BA24" i="2"/>
  <c r="CC24" i="2" s="1"/>
  <c r="CK24" i="2" s="1"/>
  <c r="I27" i="2"/>
  <c r="V24" i="2"/>
  <c r="AQ24" i="2" s="1"/>
  <c r="BO23" i="2"/>
  <c r="AR23" i="2"/>
  <c r="BA23" i="2"/>
  <c r="AZ24" i="2"/>
  <c r="CB24" i="2" s="1"/>
  <c r="CJ24" i="2" s="1"/>
  <c r="BG25" i="2"/>
  <c r="BU25" i="2"/>
  <c r="W25" i="2"/>
  <c r="O25" i="2"/>
  <c r="T25" i="2" s="1"/>
  <c r="X25" i="2"/>
  <c r="Z25" i="2"/>
  <c r="AO24" i="2"/>
  <c r="AH24" i="2"/>
  <c r="AH23" i="2"/>
  <c r="L27" i="2"/>
  <c r="C27" i="2"/>
  <c r="A27" i="2"/>
  <c r="A11" i="4" a="1"/>
  <c r="A11" i="4" s="1"/>
  <c r="B27" i="2"/>
  <c r="K27" i="2"/>
  <c r="H27" i="2"/>
  <c r="D27" i="2"/>
  <c r="J27" i="2"/>
  <c r="E27" i="2"/>
  <c r="A21" i="4" a="1"/>
  <c r="A21" i="4" s="1"/>
  <c r="M10" i="4" l="1"/>
  <c r="F60" i="4"/>
  <c r="N28" i="4" s="1"/>
  <c r="E60" i="4"/>
  <c r="M28" i="4" s="1"/>
  <c r="D60" i="4"/>
  <c r="L28" i="4" s="1"/>
  <c r="C60" i="4"/>
  <c r="K28" i="4" s="1"/>
  <c r="B60" i="4"/>
  <c r="J28" i="4" s="1"/>
  <c r="B61" i="4"/>
  <c r="C61" i="4"/>
  <c r="K29" i="4" s="1"/>
  <c r="D61" i="4"/>
  <c r="L29" i="4" s="1"/>
  <c r="E61" i="4"/>
  <c r="M29" i="4" s="1"/>
  <c r="F61" i="4"/>
  <c r="N29" i="4" s="1"/>
  <c r="I30" i="4"/>
  <c r="B62" i="4"/>
  <c r="J30" i="4" s="1"/>
  <c r="C62" i="4"/>
  <c r="K30" i="4" s="1"/>
  <c r="D62" i="4"/>
  <c r="L30" i="4" s="1"/>
  <c r="E62" i="4"/>
  <c r="M30" i="4" s="1"/>
  <c r="F62" i="4"/>
  <c r="N30" i="4" s="1"/>
  <c r="K11" i="4"/>
  <c r="L11" i="4"/>
  <c r="M11" i="4"/>
  <c r="N11" i="4"/>
  <c r="J11" i="4"/>
  <c r="J8" i="4"/>
  <c r="K8" i="4"/>
  <c r="J9" i="4"/>
  <c r="L9" i="4"/>
  <c r="M9" i="4"/>
  <c r="L8" i="4"/>
  <c r="J10" i="4"/>
  <c r="N9" i="4"/>
  <c r="K9" i="4"/>
  <c r="K10" i="4"/>
  <c r="N8" i="4"/>
  <c r="J12" i="4"/>
  <c r="M12" i="4"/>
  <c r="N12" i="4"/>
  <c r="N10" i="4"/>
  <c r="L12" i="4"/>
  <c r="CO19" i="2"/>
  <c r="M8" i="4"/>
  <c r="CO24" i="2"/>
  <c r="CO27" i="2"/>
  <c r="X26" i="2"/>
  <c r="AS26" i="2" s="1"/>
  <c r="AD26" i="2"/>
  <c r="AK26" i="2" s="1"/>
  <c r="BO26" i="2" s="1"/>
  <c r="AG26" i="2"/>
  <c r="AN26" i="2" s="1"/>
  <c r="BR26" i="2" s="1"/>
  <c r="AF26" i="2"/>
  <c r="AM26" i="2" s="1"/>
  <c r="BQ26" i="2" s="1"/>
  <c r="AC26" i="2"/>
  <c r="AJ26" i="2" s="1"/>
  <c r="AQ26" i="2" s="1"/>
  <c r="F19" i="4"/>
  <c r="C8" i="4"/>
  <c r="B8" i="4"/>
  <c r="F8" i="4"/>
  <c r="B10" i="4"/>
  <c r="C10" i="4"/>
  <c r="D10" i="4"/>
  <c r="E10" i="4"/>
  <c r="F10" i="4"/>
  <c r="G27" i="2"/>
  <c r="AX27" i="2"/>
  <c r="E8" i="4"/>
  <c r="BL26" i="2"/>
  <c r="BB26" i="2"/>
  <c r="BP26" i="2"/>
  <c r="BK27" i="2"/>
  <c r="F29" i="4" s="1"/>
  <c r="BY27" i="2"/>
  <c r="F31" i="4" s="1"/>
  <c r="S27" i="2"/>
  <c r="Z27" i="2" s="1"/>
  <c r="BI27" i="2"/>
  <c r="D29" i="4" s="1"/>
  <c r="Q27" i="2"/>
  <c r="X27" i="2" s="1"/>
  <c r="BW27" i="2"/>
  <c r="D31" i="4" s="1"/>
  <c r="BH27" i="2"/>
  <c r="P27" i="2"/>
  <c r="BV27" i="2"/>
  <c r="M27" i="2"/>
  <c r="O27" i="2"/>
  <c r="V27" i="2" s="1"/>
  <c r="BG27" i="2"/>
  <c r="BU27" i="2"/>
  <c r="W26" i="2"/>
  <c r="BZ26" i="2"/>
  <c r="R27" i="2"/>
  <c r="Y27" i="2" s="1"/>
  <c r="BX27" i="2"/>
  <c r="E31" i="4" s="1"/>
  <c r="BJ27" i="2"/>
  <c r="E29" i="4" s="1"/>
  <c r="T26" i="2"/>
  <c r="A63" i="4" a="1"/>
  <c r="A63" i="4" s="1"/>
  <c r="A12" i="4" a="1"/>
  <c r="A12" i="4" s="1"/>
  <c r="B11" i="4"/>
  <c r="C11" i="4"/>
  <c r="D11" i="4"/>
  <c r="E11" i="4"/>
  <c r="F11" i="4"/>
  <c r="D8" i="4"/>
  <c r="AV21" i="2"/>
  <c r="BE21" i="2"/>
  <c r="BC25" i="2"/>
  <c r="CE25" i="2" s="1"/>
  <c r="CM25" i="2" s="1"/>
  <c r="AT25" i="2"/>
  <c r="BS21" i="2"/>
  <c r="CD21" i="2"/>
  <c r="BO25" i="2"/>
  <c r="CC25" i="2" s="1"/>
  <c r="CK25" i="2" s="1"/>
  <c r="AU25" i="2"/>
  <c r="BB25" i="2"/>
  <c r="CD25" i="2" s="1"/>
  <c r="CL25" i="2" s="1"/>
  <c r="BR25" i="2"/>
  <c r="AS25" i="2"/>
  <c r="AR25" i="2"/>
  <c r="E19" i="4"/>
  <c r="CE17" i="2"/>
  <c r="CM17" i="2" s="1"/>
  <c r="AA24" i="2"/>
  <c r="CD17" i="2"/>
  <c r="CL17" i="2" s="1"/>
  <c r="AC25" i="2"/>
  <c r="AJ25" i="2" s="1"/>
  <c r="BN25" i="2" s="1"/>
  <c r="CC23" i="2"/>
  <c r="CK23" i="2" s="1"/>
  <c r="BS24" i="2"/>
  <c r="V25" i="2"/>
  <c r="AV24" i="2"/>
  <c r="BL24" i="2"/>
  <c r="BE24" i="2"/>
  <c r="D19" i="4"/>
  <c r="AO23" i="2"/>
  <c r="A22" i="4" a="1"/>
  <c r="A22" i="4" s="1"/>
  <c r="A23" i="4" s="1" a="1"/>
  <c r="A23" i="4" s="1"/>
  <c r="CO23" i="2" l="1"/>
  <c r="K12" i="4"/>
  <c r="B50" i="4"/>
  <c r="B63" i="4"/>
  <c r="C63" i="4"/>
  <c r="K31" i="4" s="1"/>
  <c r="D63" i="4"/>
  <c r="L31" i="4" s="1"/>
  <c r="E63" i="4"/>
  <c r="M31" i="4" s="1"/>
  <c r="F63" i="4"/>
  <c r="N31" i="4" s="1"/>
  <c r="B52" i="4"/>
  <c r="AR26" i="2"/>
  <c r="BA26" i="2"/>
  <c r="O8" i="4"/>
  <c r="O11" i="4"/>
  <c r="CG21" i="2"/>
  <c r="CI21" i="2" s="1"/>
  <c r="CL21" i="2"/>
  <c r="L10" i="4" s="1"/>
  <c r="O9" i="4"/>
  <c r="A13" i="4" a="1"/>
  <c r="A13" i="4" s="1"/>
  <c r="AF27" i="2"/>
  <c r="AM27" i="2" s="1"/>
  <c r="BQ27" i="2" s="1"/>
  <c r="E30" i="4" s="1"/>
  <c r="BD26" i="2"/>
  <c r="AU26" i="2"/>
  <c r="F9" i="4" s="1"/>
  <c r="AG27" i="2"/>
  <c r="AN27" i="2" s="1"/>
  <c r="BR27" i="2" s="1"/>
  <c r="F30" i="4" s="1"/>
  <c r="AT26" i="2"/>
  <c r="BC26" i="2"/>
  <c r="CE26" i="2" s="1"/>
  <c r="CM26" i="2" s="1"/>
  <c r="M14" i="4" s="1"/>
  <c r="AD27" i="2"/>
  <c r="AK27" i="2" s="1"/>
  <c r="BO27" i="2" s="1"/>
  <c r="AH26" i="2"/>
  <c r="AC27" i="2"/>
  <c r="AJ27" i="2" s="1"/>
  <c r="AA26" i="2"/>
  <c r="O28" i="4"/>
  <c r="O30" i="4"/>
  <c r="A64" i="4" a="1"/>
  <c r="A64" i="4" s="1"/>
  <c r="I31" i="4"/>
  <c r="BZ27" i="2"/>
  <c r="BL27" i="2"/>
  <c r="W27" i="2"/>
  <c r="AE27" i="2"/>
  <c r="AL27" i="2" s="1"/>
  <c r="BP27" i="2" s="1"/>
  <c r="D30" i="4" s="1"/>
  <c r="CD26" i="2"/>
  <c r="CL26" i="2" s="1"/>
  <c r="L14" i="4" s="1"/>
  <c r="T27" i="2"/>
  <c r="G62" i="4"/>
  <c r="AO26" i="2"/>
  <c r="BN26" i="2"/>
  <c r="BS26" i="2" s="1"/>
  <c r="AZ26" i="2"/>
  <c r="D9" i="4"/>
  <c r="G60" i="4"/>
  <c r="CF25" i="2"/>
  <c r="CN25" i="2" s="1"/>
  <c r="AH25" i="2"/>
  <c r="AZ25" i="2"/>
  <c r="AA25" i="2"/>
  <c r="AQ25" i="2"/>
  <c r="CG24" i="2"/>
  <c r="CI24" i="2" s="1"/>
  <c r="BZ24" i="2"/>
  <c r="BS23" i="2"/>
  <c r="BL23" i="2"/>
  <c r="BE23" i="2"/>
  <c r="AV23" i="2"/>
  <c r="AO25" i="2"/>
  <c r="B54" i="4" l="1"/>
  <c r="B64" i="4"/>
  <c r="J32" i="4" s="1"/>
  <c r="C64" i="4"/>
  <c r="K32" i="4" s="1"/>
  <c r="D64" i="4"/>
  <c r="L32" i="4" s="1"/>
  <c r="E64" i="4"/>
  <c r="M32" i="4" s="1"/>
  <c r="F64" i="4"/>
  <c r="N32" i="4" s="1"/>
  <c r="O12" i="4"/>
  <c r="O10" i="4"/>
  <c r="CC26" i="2"/>
  <c r="CK26" i="2" s="1"/>
  <c r="BC27" i="2"/>
  <c r="CE27" i="2" s="1"/>
  <c r="E9" i="4"/>
  <c r="CF26" i="2"/>
  <c r="CN26" i="2" s="1"/>
  <c r="N14" i="4" s="1"/>
  <c r="AT27" i="2"/>
  <c r="E23" i="4" s="1"/>
  <c r="AU27" i="2"/>
  <c r="F21" i="4" s="1"/>
  <c r="BD27" i="2"/>
  <c r="CF27" i="2" s="1"/>
  <c r="AR27" i="2"/>
  <c r="C23" i="4" s="1"/>
  <c r="BA27" i="2"/>
  <c r="AH27" i="2"/>
  <c r="AV26" i="2"/>
  <c r="CO21" i="2"/>
  <c r="B13" i="4"/>
  <c r="F13" i="4"/>
  <c r="C13" i="4"/>
  <c r="E13" i="4"/>
  <c r="D13" i="4"/>
  <c r="E22" i="4"/>
  <c r="CB25" i="2"/>
  <c r="CJ25" i="2" s="1"/>
  <c r="F28" i="4"/>
  <c r="I32" i="4"/>
  <c r="E28" i="4"/>
  <c r="A65" i="4" a="1"/>
  <c r="A65" i="4" s="1"/>
  <c r="AO27" i="2"/>
  <c r="AZ27" i="2"/>
  <c r="BN27" i="2"/>
  <c r="CB26" i="2"/>
  <c r="BE26" i="2"/>
  <c r="AA27" i="2"/>
  <c r="BB27" i="2"/>
  <c r="AS27" i="2"/>
  <c r="AQ27" i="2"/>
  <c r="B21" i="4" s="1"/>
  <c r="CG23" i="2"/>
  <c r="G10" i="4"/>
  <c r="BL25" i="2"/>
  <c r="BZ23" i="2"/>
  <c r="AV25" i="2"/>
  <c r="J29" i="4"/>
  <c r="CC27" i="2" l="1"/>
  <c r="CI23" i="2"/>
  <c r="B65" i="4"/>
  <c r="C65" i="4"/>
  <c r="K33" i="4" s="1"/>
  <c r="D65" i="4"/>
  <c r="L33" i="4" s="1"/>
  <c r="E65" i="4"/>
  <c r="M33" i="4" s="1"/>
  <c r="F65" i="4"/>
  <c r="N33" i="4" s="1"/>
  <c r="E21" i="4"/>
  <c r="CG26" i="2"/>
  <c r="CJ26" i="2"/>
  <c r="C22" i="4"/>
  <c r="F22" i="4"/>
  <c r="F23" i="4"/>
  <c r="C21" i="4"/>
  <c r="B22" i="4"/>
  <c r="B23" i="4"/>
  <c r="CO25" i="2"/>
  <c r="G64" i="4"/>
  <c r="O29" i="4"/>
  <c r="D23" i="4"/>
  <c r="D21" i="4"/>
  <c r="D22" i="4"/>
  <c r="CD27" i="2"/>
  <c r="D28" i="4"/>
  <c r="BS27" i="2"/>
  <c r="A66" i="4" a="1"/>
  <c r="A66" i="4" s="1"/>
  <c r="I33" i="4"/>
  <c r="G63" i="4"/>
  <c r="J31" i="4"/>
  <c r="O32" i="4"/>
  <c r="AV27" i="2"/>
  <c r="CB27" i="2"/>
  <c r="BE27" i="2"/>
  <c r="AD2" i="4"/>
  <c r="AA2" i="4"/>
  <c r="AC2" i="4"/>
  <c r="BE25" i="2"/>
  <c r="BS25" i="2"/>
  <c r="BZ25" i="2"/>
  <c r="G8" i="4"/>
  <c r="G11" i="4"/>
  <c r="G61" i="4"/>
  <c r="G13" i="4"/>
  <c r="D66" i="4" l="1"/>
  <c r="L34" i="4" s="1"/>
  <c r="E66" i="4"/>
  <c r="M34" i="4" s="1"/>
  <c r="F66" i="4"/>
  <c r="N34" i="4" s="1"/>
  <c r="CO26" i="2"/>
  <c r="E50" i="4"/>
  <c r="E54" i="4" s="1"/>
  <c r="G21" i="4"/>
  <c r="G22" i="4"/>
  <c r="G23" i="4"/>
  <c r="Z2" i="4"/>
  <c r="AB2" i="4"/>
  <c r="CG27" i="2"/>
  <c r="J33" i="4"/>
  <c r="G65" i="4"/>
  <c r="O31" i="4"/>
  <c r="A67" i="4" a="1"/>
  <c r="A67" i="4" s="1"/>
  <c r="I34" i="4"/>
  <c r="CG25" i="2"/>
  <c r="A68" i="4" l="1" a="1"/>
  <c r="A68" i="4" s="1"/>
  <c r="I36" i="4" s="1"/>
  <c r="B67" i="4"/>
  <c r="C67" i="4"/>
  <c r="K35" i="4" s="1"/>
  <c r="D67" i="4"/>
  <c r="L35" i="4" s="1"/>
  <c r="E67" i="4"/>
  <c r="M35" i="4" s="1"/>
  <c r="F67" i="4"/>
  <c r="N35" i="4" s="1"/>
  <c r="AE2" i="4"/>
  <c r="O33" i="4"/>
  <c r="I35" i="4"/>
  <c r="CI25" i="2"/>
  <c r="A69" i="4" l="1" a="1"/>
  <c r="A69" i="4" s="1"/>
  <c r="I40" i="4" s="1"/>
  <c r="B68" i="4"/>
  <c r="J36" i="4" s="1"/>
  <c r="C68" i="4"/>
  <c r="K36" i="4" s="1"/>
  <c r="D68" i="4"/>
  <c r="L36" i="4" s="1"/>
  <c r="E68" i="4"/>
  <c r="M36" i="4" s="1"/>
  <c r="F68" i="4"/>
  <c r="N36" i="4" s="1"/>
  <c r="J35" i="4"/>
  <c r="G67" i="4"/>
  <c r="A70" i="4" l="1" a="1"/>
  <c r="A70" i="4" s="1"/>
  <c r="E70" i="4" s="1"/>
  <c r="M41" i="4" s="1"/>
  <c r="G68" i="4"/>
  <c r="O36" i="4"/>
  <c r="O35" i="4"/>
  <c r="A71" i="4" l="1" a="1"/>
  <c r="A71" i="4" s="1"/>
  <c r="E71" i="4" s="1"/>
  <c r="M42" i="4" s="1"/>
  <c r="C70" i="4"/>
  <c r="K41" i="4" s="1"/>
  <c r="I41" i="4"/>
  <c r="F70" i="4"/>
  <c r="N41" i="4" s="1"/>
  <c r="B70" i="4"/>
  <c r="D70" i="4"/>
  <c r="L41" i="4" s="1"/>
  <c r="G70" i="4" l="1"/>
  <c r="D71" i="4"/>
  <c r="L42" i="4" s="1"/>
  <c r="I42" i="4"/>
  <c r="C71" i="4"/>
  <c r="K42" i="4" s="1"/>
  <c r="A72" i="4" a="1"/>
  <c r="A72" i="4" s="1"/>
  <c r="B72" i="4" s="1"/>
  <c r="F71" i="4"/>
  <c r="N42" i="4" s="1"/>
  <c r="B71" i="4"/>
  <c r="J41" i="4"/>
  <c r="O41" i="4" s="1"/>
  <c r="G71" i="4" l="1"/>
  <c r="J42" i="4"/>
  <c r="O42" i="4" s="1"/>
  <c r="D72" i="4"/>
  <c r="L43" i="4" s="1"/>
  <c r="A73" i="4" a="1"/>
  <c r="A73" i="4" s="1"/>
  <c r="C73" i="4" s="1"/>
  <c r="C72" i="4"/>
  <c r="K43" i="4" s="1"/>
  <c r="I43" i="4"/>
  <c r="E72" i="4"/>
  <c r="M43" i="4" s="1"/>
  <c r="F72" i="4"/>
  <c r="N43" i="4" s="1"/>
  <c r="J43" i="4"/>
  <c r="G72" i="4" l="1"/>
  <c r="D73" i="4"/>
  <c r="F73" i="4"/>
  <c r="B73" i="4"/>
  <c r="A74" i="4" a="1"/>
  <c r="A74" i="4" s="1"/>
  <c r="D74" i="4" s="1"/>
  <c r="E73" i="4"/>
  <c r="O43" i="4"/>
  <c r="G73" i="4" l="1"/>
  <c r="F74" i="4"/>
  <c r="B74" i="4"/>
  <c r="E74" i="4"/>
  <c r="C74" i="4"/>
  <c r="G74" i="4" l="1"/>
  <c r="H17" i="2" l="1"/>
  <c r="I17" i="2"/>
  <c r="BV17" i="2" l="1"/>
  <c r="C31" i="4" s="1"/>
  <c r="BH17" i="2"/>
  <c r="C29" i="4" s="1"/>
  <c r="P17" i="2"/>
  <c r="AD17" i="2" s="1"/>
  <c r="AK17" i="2" s="1"/>
  <c r="BO17" i="2" s="1"/>
  <c r="C30" i="4" s="1"/>
  <c r="O17" i="2"/>
  <c r="AC17" i="2" s="1"/>
  <c r="BG17" i="2"/>
  <c r="BU17" i="2"/>
  <c r="M17" i="2"/>
  <c r="W17" i="2" l="1"/>
  <c r="AR17" i="2" s="1"/>
  <c r="C66" i="4" s="1"/>
  <c r="K34" i="4" s="1"/>
  <c r="V17" i="2"/>
  <c r="T17" i="2"/>
  <c r="BZ17" i="2"/>
  <c r="B31" i="4"/>
  <c r="G31" i="4" s="1"/>
  <c r="BL17" i="2"/>
  <c r="B29" i="4"/>
  <c r="G29" i="4" s="1"/>
  <c r="AJ17" i="2"/>
  <c r="AH17" i="2"/>
  <c r="BA17" i="2"/>
  <c r="C19" i="4" l="1"/>
  <c r="C9" i="4"/>
  <c r="H22" i="2"/>
  <c r="C2" i="7"/>
  <c r="CC17" i="2"/>
  <c r="CK17" i="2" s="1"/>
  <c r="K14" i="4" s="1"/>
  <c r="C28" i="4"/>
  <c r="AO17" i="2"/>
  <c r="AZ17" i="2"/>
  <c r="BN17" i="2"/>
  <c r="AQ17" i="2"/>
  <c r="AA17" i="2"/>
  <c r="O22" i="2" l="1"/>
  <c r="AC22" i="2" s="1"/>
  <c r="BG22" i="2"/>
  <c r="BU22" i="2"/>
  <c r="AV17" i="2"/>
  <c r="B19" i="4"/>
  <c r="B9" i="4"/>
  <c r="B66" i="4"/>
  <c r="BS17" i="2"/>
  <c r="B30" i="4"/>
  <c r="G30" i="4" s="1"/>
  <c r="CB17" i="2"/>
  <c r="BE17" i="2"/>
  <c r="B28" i="4"/>
  <c r="G28" i="4" s="1"/>
  <c r="G19" i="4" l="1"/>
  <c r="B43" i="4"/>
  <c r="B41" i="4"/>
  <c r="AJ22" i="2"/>
  <c r="AZ22" i="2" s="1"/>
  <c r="V22" i="2"/>
  <c r="CJ17" i="2"/>
  <c r="CG17" i="2"/>
  <c r="J34" i="4"/>
  <c r="O34" i="4" s="1"/>
  <c r="G66" i="4"/>
  <c r="G9" i="4"/>
  <c r="AQ22" i="2" l="1"/>
  <c r="B40" i="4"/>
  <c r="BN22" i="2"/>
  <c r="CB22" i="2" s="1"/>
  <c r="CO17" i="2"/>
  <c r="J14" i="4"/>
  <c r="CI17" i="2"/>
  <c r="CJ22" i="2" l="1"/>
  <c r="B42" i="4"/>
  <c r="B69" i="4"/>
  <c r="B12" i="4"/>
  <c r="B20" i="4"/>
  <c r="B24" i="4" s="1"/>
  <c r="O14" i="4"/>
  <c r="B14" i="4" l="1"/>
  <c r="B2" i="4" s="1"/>
  <c r="B98" i="4"/>
  <c r="J13" i="4"/>
  <c r="J2" i="4" s="1"/>
  <c r="J40" i="4"/>
  <c r="B100" i="4" l="1"/>
  <c r="J15" i="4"/>
  <c r="K15" i="5" l="1"/>
  <c r="L15" i="5" l="1"/>
  <c r="M15" i="5" l="1"/>
  <c r="N15" i="5" l="1"/>
  <c r="D2" i="7"/>
  <c r="I22" i="2"/>
  <c r="E2" i="7" l="1"/>
  <c r="J22" i="2"/>
  <c r="BH22" i="2"/>
  <c r="P22" i="2"/>
  <c r="BV22" i="2"/>
  <c r="O15" i="5"/>
  <c r="W22" i="2" l="1"/>
  <c r="C41" i="4"/>
  <c r="F2" i="7"/>
  <c r="K22" i="2"/>
  <c r="AD22" i="2"/>
  <c r="BI22" i="2"/>
  <c r="D41" i="4" s="1"/>
  <c r="BW22" i="2"/>
  <c r="D43" i="4" s="1"/>
  <c r="Q22" i="2"/>
  <c r="X22" i="2" s="1"/>
  <c r="C43" i="4"/>
  <c r="AE22" i="2" l="1"/>
  <c r="AL22" i="2" s="1"/>
  <c r="AS22" i="2" s="1"/>
  <c r="AK22" i="2"/>
  <c r="G2" i="7"/>
  <c r="H2" i="7" s="1"/>
  <c r="L22" i="2"/>
  <c r="BX22" i="2"/>
  <c r="BJ22" i="2"/>
  <c r="E41" i="4" s="1"/>
  <c r="R22" i="2"/>
  <c r="AF22" i="2" s="1"/>
  <c r="AM22" i="2" s="1"/>
  <c r="BQ22" i="2" s="1"/>
  <c r="E42" i="4" s="1"/>
  <c r="M22" i="2"/>
  <c r="M2" i="2" s="1"/>
  <c r="BK22" i="2" l="1"/>
  <c r="S22" i="2"/>
  <c r="Z22" i="2" s="1"/>
  <c r="BY22" i="2"/>
  <c r="F43" i="4" s="1"/>
  <c r="D20" i="4"/>
  <c r="D24" i="4" s="1"/>
  <c r="D12" i="4"/>
  <c r="D69" i="4"/>
  <c r="L40" i="4" s="1"/>
  <c r="Y22" i="2"/>
  <c r="E43" i="4"/>
  <c r="AR22" i="2"/>
  <c r="BO22" i="2"/>
  <c r="BA22" i="2"/>
  <c r="BC22" i="2"/>
  <c r="T22" i="2"/>
  <c r="T2" i="2" s="1"/>
  <c r="BP22" i="2"/>
  <c r="D42" i="4" s="1"/>
  <c r="BB22" i="2"/>
  <c r="AG22" i="2" l="1"/>
  <c r="AN22" i="2" s="1"/>
  <c r="BD22" i="2" s="1"/>
  <c r="F40" i="4" s="1"/>
  <c r="C42" i="4"/>
  <c r="AT22" i="2"/>
  <c r="AA22" i="2"/>
  <c r="AA2" i="2" s="1"/>
  <c r="G43" i="4"/>
  <c r="E40" i="4"/>
  <c r="CE22" i="2"/>
  <c r="CM22" i="2" s="1"/>
  <c r="M13" i="4" s="1"/>
  <c r="C12" i="4"/>
  <c r="C69" i="4"/>
  <c r="C20" i="4"/>
  <c r="CD22" i="2"/>
  <c r="CL22" i="2" s="1"/>
  <c r="L13" i="4" s="1"/>
  <c r="D40" i="4"/>
  <c r="CC22" i="2"/>
  <c r="C40" i="4"/>
  <c r="BZ22" i="2"/>
  <c r="D98" i="4"/>
  <c r="D100" i="4" s="1"/>
  <c r="D14" i="4"/>
  <c r="D2" i="4" s="1"/>
  <c r="F41" i="4"/>
  <c r="G41" i="4" s="1"/>
  <c r="BL22" i="2"/>
  <c r="AO22" i="2" l="1"/>
  <c r="AO2" i="2" s="1"/>
  <c r="BE22" i="2"/>
  <c r="BE2" i="2" s="1"/>
  <c r="AU22" i="2"/>
  <c r="AV22" i="2" s="1"/>
  <c r="AV2" i="2" s="1"/>
  <c r="AE1" i="4" s="1"/>
  <c r="AH22" i="2"/>
  <c r="AH2" i="2" s="1"/>
  <c r="BR22" i="2"/>
  <c r="F42" i="4" s="1"/>
  <c r="G42" i="4" s="1"/>
  <c r="CK22" i="2"/>
  <c r="C24" i="4"/>
  <c r="E12" i="4"/>
  <c r="E20" i="4"/>
  <c r="E24" i="4" s="1"/>
  <c r="E69" i="4"/>
  <c r="M40" i="4" s="1"/>
  <c r="M15" i="4"/>
  <c r="M2" i="4"/>
  <c r="BL2" i="2"/>
  <c r="K51" i="4"/>
  <c r="K53" i="4"/>
  <c r="BZ2" i="2"/>
  <c r="L2" i="4"/>
  <c r="L15" i="4"/>
  <c r="K40" i="4"/>
  <c r="G40" i="4"/>
  <c r="C14" i="4"/>
  <c r="C2" i="4" s="1"/>
  <c r="C98" i="4"/>
  <c r="BS22" i="2" l="1"/>
  <c r="K50" i="4"/>
  <c r="F20" i="4"/>
  <c r="F24" i="4" s="1"/>
  <c r="F69" i="4"/>
  <c r="N40" i="4" s="1"/>
  <c r="O40" i="4" s="1"/>
  <c r="F12" i="4"/>
  <c r="G12" i="4" s="1"/>
  <c r="G14" i="4" s="1"/>
  <c r="CF22" i="2"/>
  <c r="CN22" i="2" s="1"/>
  <c r="N13" i="4" s="1"/>
  <c r="N2" i="4" s="1"/>
  <c r="K52" i="4"/>
  <c r="BS2" i="2"/>
  <c r="C100" i="4"/>
  <c r="E14" i="4"/>
  <c r="E2" i="4" s="1"/>
  <c r="E98" i="4"/>
  <c r="E100" i="4" s="1"/>
  <c r="K13" i="4"/>
  <c r="G20" i="4" l="1"/>
  <c r="G24" i="4" s="1"/>
  <c r="F98" i="4"/>
  <c r="F100" i="4" s="1"/>
  <c r="F14" i="4"/>
  <c r="F2" i="4" s="1"/>
  <c r="G2" i="4" s="1"/>
  <c r="G1" i="4" s="1"/>
  <c r="G69" i="4"/>
  <c r="C43" i="3" s="1"/>
  <c r="B43" i="3" s="1" a="1"/>
  <c r="B43" i="3" s="1"/>
  <c r="K54" i="4"/>
  <c r="CO22" i="2"/>
  <c r="CO2" i="2" s="1"/>
  <c r="CG22" i="2"/>
  <c r="CG2" i="2" s="1"/>
  <c r="N15" i="4"/>
  <c r="K15" i="4"/>
  <c r="K2" i="4"/>
  <c r="O13" i="4"/>
  <c r="O15" i="4" s="1"/>
  <c r="C45" i="3"/>
  <c r="B45" i="3" s="1" a="1"/>
  <c r="B45" i="3" s="1"/>
  <c r="C44" i="3"/>
  <c r="B44" i="3" s="1" a="1"/>
  <c r="B44" i="3" s="1"/>
  <c r="C38" i="3"/>
  <c r="B38" i="3" s="1" a="1"/>
  <c r="B38" i="3" s="1"/>
  <c r="C49" i="3"/>
  <c r="B49" i="3" s="1" a="1"/>
  <c r="B49" i="3" s="1"/>
  <c r="C48" i="3"/>
  <c r="B48" i="3" s="1" a="1"/>
  <c r="B48" i="3" s="1"/>
  <c r="C46" i="3"/>
  <c r="B46" i="3" s="1" a="1"/>
  <c r="B46" i="3" s="1"/>
  <c r="C41" i="3"/>
  <c r="B41" i="3" s="1" a="1"/>
  <c r="B41" i="3" s="1"/>
  <c r="C51" i="3"/>
  <c r="B51" i="3" s="1" a="1"/>
  <c r="B51" i="3" s="1"/>
  <c r="C40" i="3"/>
  <c r="B40" i="3" s="1" a="1"/>
  <c r="B40" i="3" s="1"/>
  <c r="C39" i="3"/>
  <c r="B39" i="3" s="1" a="1"/>
  <c r="B39" i="3" s="1"/>
  <c r="C50" i="3"/>
  <c r="B50" i="3" s="1" a="1"/>
  <c r="B50" i="3" s="1"/>
  <c r="C47" i="3"/>
  <c r="B47" i="3" s="1" a="1"/>
  <c r="B47" i="3" s="1"/>
  <c r="O2" i="4"/>
  <c r="CI22" i="2"/>
  <c r="G98" i="4"/>
  <c r="G100" i="4" s="1"/>
  <c r="C42" i="3" l="1"/>
  <c r="B42" i="3" s="1" a="1"/>
  <c r="B4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<sst xmlns="http://schemas.openxmlformats.org/spreadsheetml/2006/main" count="447" uniqueCount="113">
  <si>
    <t>Labour</t>
  </si>
  <si>
    <t>Materials</t>
  </si>
  <si>
    <t>Contractor</t>
  </si>
  <si>
    <t>Other</t>
  </si>
  <si>
    <t>Asset Class</t>
  </si>
  <si>
    <t>Driver</t>
  </si>
  <si>
    <t>Program</t>
  </si>
  <si>
    <t>No</t>
  </si>
  <si>
    <t>Replacement</t>
  </si>
  <si>
    <t>Pipeline Integrity</t>
  </si>
  <si>
    <t>Yes</t>
  </si>
  <si>
    <t>Pipelines</t>
  </si>
  <si>
    <t>Supply Security Project</t>
  </si>
  <si>
    <t>SCADA Hardware Lifecycle Management</t>
  </si>
  <si>
    <t xml:space="preserve">Compressors </t>
  </si>
  <si>
    <t>Battery Charger Replacement</t>
  </si>
  <si>
    <t>Liquids Removal</t>
  </si>
  <si>
    <t>Valve Upgrade</t>
  </si>
  <si>
    <t>Dalby Communication Relocation</t>
  </si>
  <si>
    <t>Pipeline Relocation</t>
  </si>
  <si>
    <t>Minor Projects</t>
  </si>
  <si>
    <t>SIB Capex</t>
  </si>
  <si>
    <t>Rich Gas Segregation</t>
  </si>
  <si>
    <t>Access Arrangement</t>
  </si>
  <si>
    <t>FY23</t>
  </si>
  <si>
    <t>FY24</t>
  </si>
  <si>
    <t>FY25</t>
  </si>
  <si>
    <t>FY26</t>
  </si>
  <si>
    <t>FY27</t>
  </si>
  <si>
    <t>$FY21</t>
  </si>
  <si>
    <t>Group IT</t>
  </si>
  <si>
    <t>$FY22</t>
  </si>
  <si>
    <t>Non-network</t>
  </si>
  <si>
    <t>Capitalised AA costs</t>
  </si>
  <si>
    <t>Property Leases</t>
  </si>
  <si>
    <t>Vehicle Leases</t>
  </si>
  <si>
    <t>Project</t>
  </si>
  <si>
    <t>dollars</t>
  </si>
  <si>
    <t>Imnmediately deductible</t>
  </si>
  <si>
    <t>Indirect HCC</t>
  </si>
  <si>
    <t>Total</t>
  </si>
  <si>
    <t>HCC Uplift</t>
  </si>
  <si>
    <t>Inflation</t>
  </si>
  <si>
    <t>FY 17</t>
  </si>
  <si>
    <t>FY 18</t>
  </si>
  <si>
    <t>FY 19</t>
  </si>
  <si>
    <t>FY 20</t>
  </si>
  <si>
    <t>FY 21</t>
  </si>
  <si>
    <t>FY22</t>
  </si>
  <si>
    <t>CPI</t>
  </si>
  <si>
    <t>Index</t>
  </si>
  <si>
    <t>Categorisation</t>
  </si>
  <si>
    <t>Original Pipeline</t>
  </si>
  <si>
    <t>Cathodic Protection</t>
  </si>
  <si>
    <t>Regulators and meters</t>
  </si>
  <si>
    <t>Gas Measurement Upgrade</t>
  </si>
  <si>
    <t xml:space="preserve">Easements </t>
  </si>
  <si>
    <t>Labour cost escalation</t>
  </si>
  <si>
    <t>WPI</t>
  </si>
  <si>
    <t>Labour Index</t>
  </si>
  <si>
    <t>Indirect HCC cost</t>
  </si>
  <si>
    <t>Subtotal</t>
  </si>
  <si>
    <t>Labour Component</t>
  </si>
  <si>
    <t>Labour Escalation</t>
  </si>
  <si>
    <t>Total Cost</t>
  </si>
  <si>
    <t>Internal labour as a portion of Labour</t>
  </si>
  <si>
    <t>Instant Expense</t>
  </si>
  <si>
    <t>Capex by Type</t>
  </si>
  <si>
    <t>Totals</t>
  </si>
  <si>
    <t>PTRM Inputs</t>
  </si>
  <si>
    <t>Forecast Capex</t>
  </si>
  <si>
    <t>Instant Expensing Capex</t>
  </si>
  <si>
    <t>RIN Schedules</t>
  </si>
  <si>
    <t>Business Cases</t>
  </si>
  <si>
    <t>Total ($M)</t>
  </si>
  <si>
    <t>Direct labour</t>
  </si>
  <si>
    <t>Direct materials</t>
  </si>
  <si>
    <t>Direct contractor</t>
  </si>
  <si>
    <t>Other direct expenditure</t>
  </si>
  <si>
    <t>Battery Chargers</t>
  </si>
  <si>
    <t>Gatton - Battery Charger Replacement</t>
  </si>
  <si>
    <t>Kogan - Battery Charger Replacement</t>
  </si>
  <si>
    <t>Oakey - Battery Charger Replacement</t>
  </si>
  <si>
    <t>DN250 Expenditure</t>
  </si>
  <si>
    <t>Validation and Repair Digs</t>
  </si>
  <si>
    <t>DN250 Validation and repair Dig ILI (MFL)</t>
  </si>
  <si>
    <t>DN250 - Supply Security Project</t>
  </si>
  <si>
    <t>Revised Proposal</t>
  </si>
  <si>
    <t>Draft Determiantion</t>
  </si>
  <si>
    <t>Difference</t>
  </si>
  <si>
    <t>CP Augmentation</t>
  </si>
  <si>
    <t>DN300 Metro - ILI - MFL + EMAT</t>
  </si>
  <si>
    <t>DN300 Metro Validation dig ILI</t>
  </si>
  <si>
    <t>DN200 Lytton Lateral - ILI - MFL</t>
  </si>
  <si>
    <t>Peat Lateral Liquid Removal upgrades</t>
  </si>
  <si>
    <t>Underground valves upgrades</t>
  </si>
  <si>
    <t>Dalby CS Comms Relocation</t>
  </si>
  <si>
    <t>DN400 Metro Loop - ILI - MFL</t>
  </si>
  <si>
    <t>Warrego Highway upgrade pipeline protection</t>
  </si>
  <si>
    <t>Oakey &amp; Kogan Decommissioning</t>
  </si>
  <si>
    <t>Gas Measurement Upgrade - including shades - FEED</t>
  </si>
  <si>
    <t>Property leases</t>
  </si>
  <si>
    <t>Motor vehicle leases</t>
  </si>
  <si>
    <t/>
  </si>
  <si>
    <t>Expansion</t>
  </si>
  <si>
    <t>Capitalised network overheads</t>
  </si>
  <si>
    <t>Capitalised corporate overheads</t>
  </si>
  <si>
    <t>Other capex</t>
  </si>
  <si>
    <t>Capital contributions included in the above</t>
  </si>
  <si>
    <t>Overheads</t>
  </si>
  <si>
    <t>BIS</t>
  </si>
  <si>
    <t>DAE</t>
  </si>
  <si>
    <t>Super guarantee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</si>
</sst>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0.0%"/>
    <numFmt numFmtId="170" formatCode="_-* #,##0.00_-;\-* #,##0.00_-;_-* &quot;-&quot;_-;_-@_-"/>
    <numFmt numFmtId="171" formatCode="_-* #,##0.0_-;\-* #,##0.0_-;_-* &quot;-&quot;??_-;_-@_-"/>
    <numFmt numFmtId="172" formatCode="_-* #,##0.0_-;\-* #,##0.0_-;_-* &quot;-&quot;_-;_-@_-"/>
    <numFmt numFmtId="173" formatCode="dd/mmm"/>
    <numFmt numFmtId="174" formatCode="_(#,##0_);\(#,##0\);_(&quot;-&quot;_)"/>
    <numFmt numFmtId="175" formatCode="_-* #,##0.00_-;[Red]\(#,##0.00\)_-;_-* &quot;-&quot;??_-;_-@_-"/>
    <numFmt numFmtId="176" formatCode="mm/dd/yy"/>
    <numFmt numFmtId="177" formatCode="_([$€-2]* #,##0.00_);_([$€-2]* \(#,##0.00\);_([$€-2]* &quot;-&quot;??_)"/>
    <numFmt numFmtId="178" formatCode="0_);[Red]\(0\)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&quot;Warning&quot;;&quot;Warning&quot;;&quot;OK&quot;"/>
    <numFmt numFmtId="190" formatCode="#,##0_);\(#,##0\);\-\-_)"/>
  </numFmts>
  <fonts count="85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C0006"/>
      <name val="Century Gothic"/>
      <family val="2"/>
    </font>
    <font>
      <sz val="8"/>
      <color theme="2" tint="-0.749961851863155"/>
      <name val="Century Gothic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21">
    <xf numFmtId="0" fontId="0" fillId="4" borderId="0"/>
    <xf numFmtId="0" fontId="2" fillId="0" borderId="1" applyNumberFormat="0" applyFill="0" applyAlignment="0" applyProtection="0"/>
    <xf numFmtId="0" fontId="5" fillId="0" borderId="2" applyNumberFormat="0" applyAlignment="0" applyProtection="0"/>
    <xf numFmtId="0" fontId="11" fillId="3" borderId="6" applyNumberFormat="0" applyAlignment="0" applyProtection="0"/>
    <xf numFmtId="0" fontId="6" fillId="3" borderId="5" applyNumberFormat="0" applyAlignment="0" applyProtection="0"/>
    <xf numFmtId="0" fontId="4" fillId="0" borderId="3" applyNumberFormat="0" applyFill="0" applyAlignment="0" applyProtection="0"/>
    <xf numFmtId="0" fontId="8" fillId="2" borderId="4" applyNumberFormat="0" applyAlignment="0" applyProtection="0"/>
    <xf numFmtId="165" fontId="7" fillId="3" borderId="6" applyAlignment="0" applyProtection="0"/>
    <xf numFmtId="165" fontId="5" fillId="0" borderId="2" applyAlignment="0" applyProtection="0"/>
    <xf numFmtId="9" fontId="9" fillId="0" borderId="0" applyFont="0" applyFill="0" applyBorder="0" applyAlignment="0" applyProtection="0"/>
    <xf numFmtId="0" fontId="10" fillId="5" borderId="0" applyNumberFormat="0" applyBorder="0" applyAlignment="0" applyProtection="0"/>
    <xf numFmtId="167" fontId="9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0"/>
    <xf numFmtId="173" fontId="15" fillId="3" borderId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174" fontId="17" fillId="0" borderId="12">
      <alignment horizontal="right" vertical="center"/>
      <protection locked="0"/>
    </xf>
    <xf numFmtId="167" fontId="14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17" fillId="0" borderId="0"/>
    <xf numFmtId="175" fontId="17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20" fillId="7" borderId="0" applyNumberFormat="0" applyFont="0" applyBorder="0" applyAlignment="0">
      <alignment horizontal="right"/>
    </xf>
    <xf numFmtId="165" fontId="20" fillId="7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6" applyNumberFormat="0" applyAlignment="0" applyProtection="0"/>
    <xf numFmtId="0" fontId="29" fillId="31" borderId="17" applyNumberFormat="0" applyAlignment="0" applyProtection="0"/>
    <xf numFmtId="165" fontId="2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7" fontId="1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8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9" applyNumberFormat="0" applyFill="0" applyAlignment="0" applyProtection="0"/>
    <xf numFmtId="0" fontId="39" fillId="0" borderId="0" applyFill="0" applyBorder="0">
      <alignment vertical="center"/>
    </xf>
    <xf numFmtId="0" fontId="16" fillId="0" borderId="0" applyFill="0" applyBorder="0">
      <alignment vertical="center"/>
    </xf>
    <xf numFmtId="0" fontId="41" fillId="0" borderId="20" applyNumberFormat="0" applyFill="0" applyAlignment="0" applyProtection="0"/>
    <xf numFmtId="0" fontId="16" fillId="0" borderId="0" applyFill="0" applyBorder="0">
      <alignment vertical="center"/>
    </xf>
    <xf numFmtId="0" fontId="17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7" fillId="0" borderId="0" applyFill="0" applyBorder="0">
      <alignment vertical="center"/>
    </xf>
    <xf numFmtId="169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6" applyNumberFormat="0" applyAlignment="0" applyProtection="0"/>
    <xf numFmtId="165" fontId="20" fillId="36" borderId="0" applyFont="0" applyBorder="0" applyAlignment="0">
      <alignment horizontal="right"/>
      <protection locked="0"/>
    </xf>
    <xf numFmtId="165" fontId="20" fillId="36" borderId="0" applyFont="0" applyBorder="0" applyAlignment="0">
      <alignment horizontal="right"/>
      <protection locked="0"/>
    </xf>
    <xf numFmtId="179" fontId="20" fillId="8" borderId="0" applyFont="0" applyBorder="0">
      <alignment horizontal="right"/>
      <protection locked="0"/>
    </xf>
    <xf numFmtId="179" fontId="20" fillId="8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0" fontId="17" fillId="7" borderId="0"/>
    <xf numFmtId="0" fontId="47" fillId="0" borderId="21" applyNumberFormat="0" applyFill="0" applyAlignment="0" applyProtection="0"/>
    <xf numFmtId="180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1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4" fillId="0" borderId="0"/>
    <xf numFmtId="0" fontId="20" fillId="6" borderId="0"/>
    <xf numFmtId="0" fontId="1" fillId="0" borderId="0"/>
    <xf numFmtId="0" fontId="20" fillId="0" borderId="0"/>
    <xf numFmtId="0" fontId="20" fillId="0" borderId="0"/>
    <xf numFmtId="0" fontId="20" fillId="13" borderId="22" applyNumberFormat="0" applyFont="0" applyAlignment="0" applyProtection="0"/>
    <xf numFmtId="0" fontId="52" fillId="14" borderId="23" applyNumberFormat="0" applyAlignment="0" applyProtection="0"/>
    <xf numFmtId="182" fontId="20" fillId="0" borderId="0" applyFill="0" applyBorder="0"/>
    <xf numFmtId="182" fontId="20" fillId="0" borderId="0" applyFill="0" applyBorder="0"/>
    <xf numFmtId="182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53" fillId="0" borderId="0"/>
    <xf numFmtId="0" fontId="16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3" fontId="54" fillId="0" borderId="24"/>
    <xf numFmtId="0" fontId="55" fillId="0" borderId="25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4" fontId="20" fillId="0" borderId="0"/>
    <xf numFmtId="184" fontId="20" fillId="0" borderId="0"/>
    <xf numFmtId="184" fontId="20" fillId="0" borderId="0"/>
    <xf numFmtId="185" fontId="17" fillId="0" borderId="0" applyFill="0" applyBorder="0">
      <alignment horizontal="right" vertical="center"/>
    </xf>
    <xf numFmtId="186" fontId="17" fillId="0" borderId="0" applyFill="0" applyBorder="0">
      <alignment horizontal="right" vertical="center"/>
    </xf>
    <xf numFmtId="187" fontId="17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9" fillId="0" borderId="0"/>
    <xf numFmtId="0" fontId="57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58" fillId="9" borderId="14" applyBorder="0" applyProtection="0">
      <alignment horizontal="centerContinuous" vertical="center"/>
    </xf>
    <xf numFmtId="0" fontId="59" fillId="0" borderId="0" applyBorder="0" applyProtection="0">
      <alignment vertical="center"/>
    </xf>
    <xf numFmtId="0" fontId="60" fillId="0" borderId="0">
      <alignment horizontal="left"/>
    </xf>
    <xf numFmtId="0" fontId="60" fillId="0" borderId="15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1" fillId="0" borderId="0"/>
    <xf numFmtId="49" fontId="20" fillId="0" borderId="0" applyFont="0" applyFill="0" applyBorder="0" applyAlignment="0" applyProtection="0"/>
    <xf numFmtId="0" fontId="62" fillId="0" borderId="0"/>
    <xf numFmtId="0" fontId="62" fillId="0" borderId="0"/>
    <xf numFmtId="0" fontId="61" fillId="0" borderId="0"/>
    <xf numFmtId="180" fontId="63" fillId="0" borderId="0"/>
    <xf numFmtId="0" fontId="56" fillId="0" borderId="0" applyNumberFormat="0" applyFill="0" applyBorder="0" applyAlignment="0" applyProtection="0"/>
    <xf numFmtId="0" fontId="64" fillId="0" borderId="0" applyFill="0" applyBorder="0">
      <alignment horizontal="left" vertical="center"/>
      <protection locked="0"/>
    </xf>
    <xf numFmtId="0" fontId="61" fillId="0" borderId="0"/>
    <xf numFmtId="0" fontId="65" fillId="0" borderId="0" applyFill="0" applyBorder="0">
      <alignment horizontal="left" vertical="center"/>
      <protection locked="0"/>
    </xf>
    <xf numFmtId="0" fontId="33" fillId="0" borderId="26" applyNumberFormat="0" applyFill="0" applyAlignment="0" applyProtection="0"/>
    <xf numFmtId="0" fontId="66" fillId="0" borderId="0" applyNumberFormat="0" applyFill="0" applyBorder="0" applyAlignment="0" applyProtection="0"/>
    <xf numFmtId="188" fontId="20" fillId="0" borderId="14" applyBorder="0" applyProtection="0">
      <alignment horizontal="right"/>
    </xf>
    <xf numFmtId="188" fontId="20" fillId="0" borderId="14" applyBorder="0" applyProtection="0">
      <alignment horizontal="right"/>
    </xf>
    <xf numFmtId="188" fontId="20" fillId="0" borderId="14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7" fillId="38" borderId="0"/>
    <xf numFmtId="189" fontId="68" fillId="0" borderId="27">
      <alignment horizontal="center"/>
    </xf>
    <xf numFmtId="0" fontId="69" fillId="39" borderId="13">
      <alignment horizontal="center" vertical="center"/>
    </xf>
    <xf numFmtId="0" fontId="20" fillId="40" borderId="16"/>
    <xf numFmtId="0" fontId="70" fillId="0" borderId="0" applyFill="0" applyBorder="0"/>
    <xf numFmtId="0" fontId="71" fillId="0" borderId="0" applyNumberFormat="0" applyFill="0"/>
    <xf numFmtId="0" fontId="72" fillId="0" borderId="0" applyFill="0"/>
    <xf numFmtId="0" fontId="73" fillId="0" borderId="0" applyFill="0"/>
    <xf numFmtId="0" fontId="74" fillId="0" borderId="0" applyFill="0"/>
    <xf numFmtId="0" fontId="67" fillId="41" borderId="0"/>
    <xf numFmtId="0" fontId="20" fillId="4" borderId="28" applyNumberFormat="0" applyFont="0" applyAlignment="0"/>
    <xf numFmtId="0" fontId="75" fillId="3" borderId="29" applyNumberFormat="0"/>
    <xf numFmtId="0" fontId="76" fillId="42" borderId="0"/>
    <xf numFmtId="0" fontId="77" fillId="42" borderId="0" applyNumberFormat="0"/>
    <xf numFmtId="0" fontId="78" fillId="42" borderId="0"/>
    <xf numFmtId="0" fontId="79" fillId="43" borderId="13" applyNumberFormat="0">
      <alignment horizontal="center" vertical="center"/>
    </xf>
    <xf numFmtId="0" fontId="80" fillId="44" borderId="16" applyNumberFormat="0" applyAlignment="0">
      <alignment horizontal="right"/>
    </xf>
    <xf numFmtId="0" fontId="21" fillId="4" borderId="28" applyNumberFormat="0" applyAlignment="0"/>
    <xf numFmtId="0" fontId="68" fillId="0" borderId="0" applyNumberFormat="0" applyFill="0" applyBorder="0"/>
    <xf numFmtId="0" fontId="81" fillId="45" borderId="28" applyNumberFormat="0">
      <protection locked="0"/>
    </xf>
    <xf numFmtId="0" fontId="1" fillId="0" borderId="0"/>
    <xf numFmtId="0" fontId="82" fillId="46" borderId="30">
      <alignment vertical="center"/>
    </xf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7" borderId="0" applyNumberFormat="0" applyFont="0" applyBorder="0" applyAlignment="0">
      <alignment horizontal="right"/>
    </xf>
    <xf numFmtId="165" fontId="20" fillId="7" borderId="0" applyNumberFormat="0" applyFont="0" applyBorder="0" applyAlignment="0">
      <alignment horizontal="right"/>
    </xf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0" fillId="36" borderId="0" applyFont="0" applyBorder="0" applyAlignment="0">
      <alignment horizontal="right"/>
      <protection locked="0"/>
    </xf>
    <xf numFmtId="165" fontId="20" fillId="36" borderId="0" applyFont="0" applyBorder="0" applyAlignment="0">
      <alignment horizontal="right"/>
      <protection locked="0"/>
    </xf>
    <xf numFmtId="165" fontId="20" fillId="10" borderId="0" applyFont="0" applyBorder="0">
      <alignment horizontal="right"/>
      <protection locked="0"/>
    </xf>
    <xf numFmtId="165" fontId="20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3" fillId="0" borderId="0"/>
    <xf numFmtId="9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0" fontId="1" fillId="0" borderId="0"/>
    <xf numFmtId="167" fontId="83" fillId="0" borderId="0" applyFont="0" applyFill="0" applyBorder="0" applyAlignment="0" applyProtection="0"/>
    <xf numFmtId="0" fontId="83" fillId="0" borderId="0"/>
    <xf numFmtId="190" fontId="20" fillId="0" borderId="0" applyFill="0" applyBorder="0">
      <alignment vertical="center"/>
    </xf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84" fillId="0" borderId="0"/>
  </cellStyleXfs>
  <cellXfs count="39">
    <xf numFmtId="0" fontId="0" fillId="4" borderId="0" xfId="0"/>
    <xf numFmtId="0" fontId="5" fillId="0" borderId="2" xfId="2"/>
    <xf numFmtId="0" fontId="2" fillId="0" borderId="1" xfId="1"/>
    <xf numFmtId="0" fontId="6" fillId="3" borderId="5" xfId="4"/>
    <xf numFmtId="0" fontId="3" fillId="4" borderId="0" xfId="0" applyFont="1"/>
    <xf numFmtId="0" fontId="4" fillId="0" borderId="3" xfId="5"/>
    <xf numFmtId="168" fontId="8" fillId="2" borderId="4" xfId="6" applyNumberFormat="1"/>
    <xf numFmtId="165" fontId="7" fillId="3" borderId="6" xfId="7"/>
    <xf numFmtId="169" fontId="5" fillId="0" borderId="2" xfId="2" applyNumberFormat="1"/>
    <xf numFmtId="165" fontId="5" fillId="0" borderId="2" xfId="8"/>
    <xf numFmtId="0" fontId="8" fillId="2" borderId="4" xfId="6"/>
    <xf numFmtId="0" fontId="4" fillId="4" borderId="3" xfId="5" applyFill="1"/>
    <xf numFmtId="10" fontId="5" fillId="0" borderId="2" xfId="2" applyNumberFormat="1"/>
    <xf numFmtId="170" fontId="7" fillId="3" borderId="6" xfId="7" applyNumberFormat="1"/>
    <xf numFmtId="14" fontId="0" fillId="4" borderId="0" xfId="0" applyNumberFormat="1"/>
    <xf numFmtId="168" fontId="11" fillId="3" borderId="6" xfId="3" applyNumberFormat="1"/>
    <xf numFmtId="10" fontId="6" fillId="3" borderId="5" xfId="9" applyNumberFormat="1" applyFont="1" applyFill="1" applyBorder="1"/>
    <xf numFmtId="0" fontId="2" fillId="4" borderId="1" xfId="1" applyFill="1"/>
    <xf numFmtId="165" fontId="0" fillId="4" borderId="0" xfId="0" applyNumberFormat="1"/>
    <xf numFmtId="0" fontId="5" fillId="0" borderId="7" xfId="2" applyBorder="1"/>
    <xf numFmtId="9" fontId="5" fillId="0" borderId="2" xfId="9" applyFont="1" applyBorder="1"/>
    <xf numFmtId="9" fontId="4" fillId="0" borderId="3" xfId="5" applyNumberFormat="1"/>
    <xf numFmtId="9" fontId="6" fillId="3" borderId="5" xfId="4" applyNumberFormat="1"/>
    <xf numFmtId="10" fontId="0" fillId="4" borderId="0" xfId="0" applyNumberFormat="1"/>
    <xf numFmtId="0" fontId="4" fillId="0" borderId="0" xfId="5" applyFill="1" applyBorder="1"/>
    <xf numFmtId="0" fontId="8" fillId="2" borderId="8" xfId="6" applyBorder="1"/>
    <xf numFmtId="168" fontId="8" fillId="2" borderId="9" xfId="6" applyNumberFormat="1" applyBorder="1"/>
    <xf numFmtId="9" fontId="11" fillId="3" borderId="6" xfId="3" applyNumberFormat="1"/>
    <xf numFmtId="171" fontId="8" fillId="2" borderId="4" xfId="6" applyNumberFormat="1"/>
    <xf numFmtId="172" fontId="8" fillId="2" borderId="4" xfId="6" applyNumberFormat="1"/>
    <xf numFmtId="172" fontId="7" fillId="3" borderId="6" xfId="7" applyNumberFormat="1"/>
    <xf numFmtId="165" fontId="5" fillId="0" borderId="2" xfId="2" quotePrefix="1" applyNumberFormat="1"/>
    <xf numFmtId="0" fontId="13" fillId="4" borderId="11" xfId="12" applyFill="1"/>
    <xf numFmtId="0" fontId="2" fillId="0" borderId="1" xfId="1" applyFill="1"/>
    <xf numFmtId="171" fontId="0" fillId="4" borderId="0" xfId="11" applyNumberFormat="1" applyFont="1" applyFill="1"/>
    <xf numFmtId="10" fontId="15" fillId="0" borderId="0" xfId="15" applyNumberFormat="1" applyFont="1" applyFill="1" applyAlignment="1" applyProtection="1">
      <alignment horizontal="center"/>
      <protection locked="0"/>
    </xf>
    <xf numFmtId="169" fontId="15" fillId="0" borderId="0" xfId="318" applyNumberFormat="1" applyFont="1" applyFill="1" applyAlignment="1" applyProtection="1">
      <alignment horizontal="center"/>
      <protection locked="0"/>
    </xf>
    <xf numFmtId="9" fontId="4" fillId="0" borderId="0" xfId="5" applyNumberFormat="1" applyBorder="1" applyAlignment="1">
      <alignment horizontal="left"/>
    </xf>
    <xf numFmtId="9" fontId="4" fillId="0" borderId="10" xfId="5" applyNumberFormat="1" applyBorder="1" applyAlignment="1">
      <alignment horizontal="left"/>
    </xf>
  </cellXfs>
  <cellStyles count="321">
    <cellStyle name=" 1" xfId="22" xr:uid="{4566A5E4-1E49-4F31-BC99-5152444D608C}"/>
    <cellStyle name=" 1 2" xfId="23" xr:uid="{C5AF342E-C420-4EFD-9A6A-09DE058CCEE8}"/>
    <cellStyle name=" 1_29(d) - Gas extensions -tariffs" xfId="24" xr:uid="{71E1AAEF-96EE-435F-97BA-96B64826BCD2}"/>
    <cellStyle name="_Capex" xfId="25" xr:uid="{FD84D9A1-53EC-4186-9428-40B410A2F184}"/>
    <cellStyle name="_Capex 2" xfId="26" xr:uid="{691ACD77-36A0-48B9-AFAB-1AF7DEABDA5B}"/>
    <cellStyle name="_Capex_29(d) - Gas extensions -tariffs" xfId="27" xr:uid="{6241F098-81A4-4EFB-91AC-0850F6CC77A8}"/>
    <cellStyle name="_UED AMP 2009-14 Final 250309 Less PU" xfId="28" xr:uid="{4601C613-3C70-4964-B208-D3E076384560}"/>
    <cellStyle name="_UED AMP 2009-14 Final 250309 Less PU_1011 monthly" xfId="29" xr:uid="{4B16C407-89DA-43B2-AFDD-64FC0DB49F7C}"/>
    <cellStyle name="20% - Accent1 2" xfId="30" xr:uid="{CC5642C0-1983-4D07-B181-31A693FC5834}"/>
    <cellStyle name="20% - Accent2 2" xfId="31" xr:uid="{976D4804-D266-499A-9B34-B0034BB749A5}"/>
    <cellStyle name="20% - Accent3 2" xfId="32" xr:uid="{249C21C5-8162-4533-88D4-DAF10B4365FA}"/>
    <cellStyle name="20% - Accent4 2" xfId="33" xr:uid="{93DD6E8F-9D14-4E70-A65D-F3BD145883CC}"/>
    <cellStyle name="20% - Accent5 2" xfId="34" xr:uid="{A02A4DD6-5FDE-4C86-B9C7-56052D1CBB7E}"/>
    <cellStyle name="20% - Accent6 2" xfId="35" xr:uid="{C021F730-786A-4F7C-936F-912699690F14}"/>
    <cellStyle name="40% - Accent1 2" xfId="36" xr:uid="{9565F739-A83C-4978-B8C8-CF15A631FCF5}"/>
    <cellStyle name="40% - Accent2 2" xfId="37" xr:uid="{C7255972-8188-4334-AC50-A04CD30CC85B}"/>
    <cellStyle name="40% - Accent3 2" xfId="38" xr:uid="{D354586A-D2D5-48B5-AEA8-D7A801EC5E71}"/>
    <cellStyle name="40% - Accent4 2" xfId="39" xr:uid="{8FDD1C1A-68F6-4D62-8C2D-66F172965D24}"/>
    <cellStyle name="40% - Accent5 2" xfId="40" xr:uid="{5F2D2A0A-B68E-4F18-8406-BCAACD5E59EE}"/>
    <cellStyle name="40% - Accent6 2" xfId="41" xr:uid="{3F22881F-4470-44A6-BC20-8BD207FA2CA3}"/>
    <cellStyle name="60% - Accent1 2" xfId="42" xr:uid="{0283ADFB-D277-4413-94A5-9C7B632EF766}"/>
    <cellStyle name="60% - Accent2 2" xfId="43" xr:uid="{5F60E615-2AC3-4816-B595-818895D85FC3}"/>
    <cellStyle name="60% - Accent3 2" xfId="44" xr:uid="{CDEF47E0-3D93-4312-8473-B83B0DA8EC3D}"/>
    <cellStyle name="60% - Accent4 2" xfId="45" xr:uid="{FBDF30A0-036B-4C0F-8B97-F66914E40DFF}"/>
    <cellStyle name="60% - Accent5 2" xfId="46" xr:uid="{C14E3767-2F00-4044-96E1-9D5D9D531646}"/>
    <cellStyle name="60% - Accent6 2" xfId="47" xr:uid="{FDF95B25-F8E9-4A78-950F-A179B2795EEE}"/>
    <cellStyle name="Accent1 - 20%" xfId="48" xr:uid="{B63CF56F-9BE9-46B3-83AE-2009E7CD8B89}"/>
    <cellStyle name="Accent1 - 40%" xfId="49" xr:uid="{CACA4BB4-A875-45B7-9DBA-3982A587C5A4}"/>
    <cellStyle name="Accent1 - 60%" xfId="50" xr:uid="{F905B283-482F-4C01-A33C-43163F4BD789}"/>
    <cellStyle name="Accent1 2" xfId="51" xr:uid="{DCB74089-ED95-472A-9275-4E4B23E40C1C}"/>
    <cellStyle name="Accent2 - 20%" xfId="52" xr:uid="{A44C7DAB-D11C-4819-B19F-15839C846E32}"/>
    <cellStyle name="Accent2 - 40%" xfId="53" xr:uid="{E451C769-CA59-4009-9BEF-DA5515DC94D0}"/>
    <cellStyle name="Accent2 - 60%" xfId="54" xr:uid="{EB228A85-DF58-4BFA-992C-5A343E4E5A8B}"/>
    <cellStyle name="Accent2 2" xfId="55" xr:uid="{F1D57592-F9CD-4F2F-B5CA-5EDE8A3F38EC}"/>
    <cellStyle name="Accent3 - 20%" xfId="56" xr:uid="{3FB20957-8B0B-4E21-9E86-CCF176D7A4ED}"/>
    <cellStyle name="Accent3 - 40%" xfId="57" xr:uid="{AF10C173-A362-4A14-9F0E-67022284B8BF}"/>
    <cellStyle name="Accent3 - 60%" xfId="58" xr:uid="{9F48E31C-EC14-4831-AF13-588F98549147}"/>
    <cellStyle name="Accent3 2" xfId="59" xr:uid="{91467F24-9636-4ADD-8708-57DFCCD7CE22}"/>
    <cellStyle name="Accent4 - 20%" xfId="60" xr:uid="{254F7696-D580-4748-81C6-42D2F39BDD41}"/>
    <cellStyle name="Accent4 - 40%" xfId="61" xr:uid="{D120C39C-EF93-442F-B0C0-CEDBFAD5F6A1}"/>
    <cellStyle name="Accent4 - 60%" xfId="62" xr:uid="{AA1565F5-78D5-4A76-B018-CA20430F2498}"/>
    <cellStyle name="Accent4 2" xfId="63" xr:uid="{9B6EA99D-A348-4473-9305-45B373597963}"/>
    <cellStyle name="Accent5 - 20%" xfId="64" xr:uid="{197F809F-8505-4ED5-8092-F10406F0338E}"/>
    <cellStyle name="Accent5 - 40%" xfId="65" xr:uid="{0F3FC7C3-642C-403B-9A42-4AC9059B1D7C}"/>
    <cellStyle name="Accent5 - 60%" xfId="66" xr:uid="{0D6B032E-563B-4079-B2BE-1DB48E69F954}"/>
    <cellStyle name="Accent5 2" xfId="67" xr:uid="{2C6F3ABA-C542-4374-AB0E-9099B2BBC2B0}"/>
    <cellStyle name="Accent6 - 20%" xfId="68" xr:uid="{1513534D-98BF-4D4D-A934-9C39A83A263A}"/>
    <cellStyle name="Accent6 - 40%" xfId="69" xr:uid="{ED4DEF13-D6D8-41A6-8E57-F32574A141AE}"/>
    <cellStyle name="Accent6 - 60%" xfId="70" xr:uid="{DCDA8ECC-5F19-4161-AA9C-2616BFDEC121}"/>
    <cellStyle name="Accent6 2" xfId="71" xr:uid="{1A39BEC1-4BCD-4DB5-8896-C4F9232847DD}"/>
    <cellStyle name="Agara" xfId="72" xr:uid="{3B12A02D-B5E0-4441-909D-E06A79A926BA}"/>
    <cellStyle name="Assumptions Right Number" xfId="17" xr:uid="{B3C6714F-424B-41EC-A957-7ABC8BCB73CE}"/>
    <cellStyle name="B79812_.wvu.PrintTitlest" xfId="73" xr:uid="{474CC1C8-C265-4118-A015-2507E9A4D655}"/>
    <cellStyle name="Bad" xfId="10" builtinId="27" customBuiltin="1"/>
    <cellStyle name="Bad 2" xfId="74" xr:uid="{7AA5D303-9F95-4E0D-9474-93D7B06664C9}"/>
    <cellStyle name="Black" xfId="75" xr:uid="{4B061653-FB92-4AF4-B9BF-54CB24846380}"/>
    <cellStyle name="Blockout" xfId="76" xr:uid="{A135D180-7A6C-4F98-9D62-44178AA7DE6E}"/>
    <cellStyle name="Blockout 2" xfId="77" xr:uid="{18B409B5-F8BC-4D8F-9D22-822FF067B5C4}"/>
    <cellStyle name="Blockout 2 2" xfId="281" xr:uid="{8E9E5749-1F07-4138-BFDD-64CEBCA8D9AA}"/>
    <cellStyle name="Blockout 3" xfId="280" xr:uid="{4FEBBA24-0579-4CE3-B6AF-E0F83D0327B8}"/>
    <cellStyle name="Blue" xfId="78" xr:uid="{47367876-2A78-4733-A251-32B954309A3C}"/>
    <cellStyle name="Calcs_Divider" xfId="256" xr:uid="{EE2AA19D-281B-4521-8D7F-E9638494C767}"/>
    <cellStyle name="Calculation" xfId="3" builtinId="22" customBuiltin="1"/>
    <cellStyle name="Calculation #" xfId="7" xr:uid="{00000000-0005-0000-0000-000002000000}"/>
    <cellStyle name="Calculation 2" xfId="79" xr:uid="{3DD03E7E-BA84-46CC-A2B7-6ABCB48A694B}"/>
    <cellStyle name="Check" xfId="257" xr:uid="{124EDDD8-A056-4B87-851E-9E6F6E2E3BF2}"/>
    <cellStyle name="Check Cell 2" xfId="80" xr:uid="{51341CE0-9F27-4169-8A43-EF51FA37E6E6}"/>
    <cellStyle name="Column_Heading_1" xfId="258" xr:uid="{DB428105-0D78-469D-AF63-E1C841DFDF36}"/>
    <cellStyle name="Comma" xfId="11" builtinId="3"/>
    <cellStyle name="Comma [0]7Z_87C" xfId="81" xr:uid="{BB7AFCA6-E0D9-4E1C-8749-E12C3D7A9426}"/>
    <cellStyle name="Comma 0" xfId="82" xr:uid="{6B9E8839-E8AC-4256-B061-1235D22E2B01}"/>
    <cellStyle name="Comma 1" xfId="83" xr:uid="{E0E9C892-A540-4450-9CEF-692A028975A9}"/>
    <cellStyle name="Comma 1 2" xfId="84" xr:uid="{66227037-5DE9-48AF-942A-918359EA003C}"/>
    <cellStyle name="Comma 10" xfId="278" xr:uid="{2E3626B2-10EF-4D4B-93B8-0C02F0A91305}"/>
    <cellStyle name="Comma 11" xfId="18" xr:uid="{E1713BB9-5330-479C-BC67-D62C071B7C23}"/>
    <cellStyle name="Comma 12" xfId="319" xr:uid="{FC577914-3FF1-4453-8CB9-DF3FB2B5E5B0}"/>
    <cellStyle name="Comma 2" xfId="20" xr:uid="{FBAE5605-AA62-4C70-B82E-DF15A297EE8E}"/>
    <cellStyle name="Comma 2 2" xfId="85" xr:uid="{7F549436-B82F-4CDE-825B-229BB5A244DD}"/>
    <cellStyle name="Comma 2 2 2" xfId="282" xr:uid="{4FFEAEBE-F2F5-4030-B6F7-BED24852D276}"/>
    <cellStyle name="Comma 2 3" xfId="86" xr:uid="{A353434F-7A44-42EB-B489-A920890FB98B}"/>
    <cellStyle name="Comma 2 3 2" xfId="87" xr:uid="{ECA1BFB8-E56B-4D30-93AF-94AA81430242}"/>
    <cellStyle name="Comma 2 3 2 2" xfId="284" xr:uid="{08FD70D3-134F-4357-A77D-7BFB8BE99735}"/>
    <cellStyle name="Comma 2 3 3" xfId="283" xr:uid="{E61A512C-F258-44BD-B5B3-30FB5343899F}"/>
    <cellStyle name="Comma 2 4" xfId="88" xr:uid="{74D5E2F1-4DA3-4FCA-84D6-DDB75E86023F}"/>
    <cellStyle name="Comma 2 4 2" xfId="285" xr:uid="{9E8321D3-6BD0-4F24-80B6-827DAC6E44C9}"/>
    <cellStyle name="Comma 2 5" xfId="89" xr:uid="{C648EF49-EFD9-406C-AFAA-875CAE821B5A}"/>
    <cellStyle name="Comma 2 5 2" xfId="286" xr:uid="{D35B1327-2009-4081-A9CB-75E8206577F8}"/>
    <cellStyle name="Comma 2 6" xfId="279" xr:uid="{D6967FB3-AD5A-43C5-AC1D-3103BA3C17AA}"/>
    <cellStyle name="Comma 3" xfId="90" xr:uid="{1FD833AF-B7D4-4AE6-8F33-3B73D30752B2}"/>
    <cellStyle name="Comma 3 2" xfId="91" xr:uid="{D54AA7A2-8090-4E96-AC16-98A8373FFD08}"/>
    <cellStyle name="Comma 3 3" xfId="92" xr:uid="{712B79FF-F206-4DD3-A95B-3A0E9F891EEB}"/>
    <cellStyle name="Comma 3 3 2" xfId="287" xr:uid="{597E5E42-95BF-4F2E-BCC5-BBD380093B15}"/>
    <cellStyle name="Comma 4" xfId="93" xr:uid="{CB7D820D-313A-4E4F-9DE3-D593B3FA714D}"/>
    <cellStyle name="Comma 4 2" xfId="288" xr:uid="{7D8090A0-B9F2-47A5-9D12-19E07F62B200}"/>
    <cellStyle name="Comma 5" xfId="94" xr:uid="{AE135439-CEBB-4B27-B203-9BD56189AD2F}"/>
    <cellStyle name="Comma 5 2" xfId="289" xr:uid="{4F8C2999-9896-4DB4-86D9-4B6254756C66}"/>
    <cellStyle name="Comma 6" xfId="95" xr:uid="{0EF618F0-A92B-40DE-A942-DA3D10384041}"/>
    <cellStyle name="Comma 6 2" xfId="290" xr:uid="{2635AB50-4134-4084-9BF8-D6DFCCE02324}"/>
    <cellStyle name="Comma 7" xfId="96" xr:uid="{F00B0A1C-3FA4-4A3D-B1EB-2EEE9CA1A34F}"/>
    <cellStyle name="Comma 7 2" xfId="291" xr:uid="{4795BCA0-15C1-42B8-867C-C662E5D99C08}"/>
    <cellStyle name="Comma 8" xfId="97" xr:uid="{9DC321A6-F238-4681-BCDD-23CE39039284}"/>
    <cellStyle name="Comma 8 2" xfId="292" xr:uid="{9DEF993C-9F75-4D47-A503-603FA7D32542}"/>
    <cellStyle name="Comma 9" xfId="314" xr:uid="{30ED04F5-8303-4BD0-B6AE-D46D8E3FE9C6}"/>
    <cellStyle name="Comma0" xfId="98" xr:uid="{D024AB00-E982-44AE-9415-E855DC345219}"/>
    <cellStyle name="Currency 11" xfId="99" xr:uid="{B4136801-3311-4AE1-A0AD-7910F9E9419F}"/>
    <cellStyle name="Currency 11 2" xfId="100" xr:uid="{075C4453-4BBD-48DB-A85A-5B59616F0408}"/>
    <cellStyle name="Currency 11 2 2" xfId="294" xr:uid="{9352BC9B-77B4-4BEE-85C8-7ED9D4099638}"/>
    <cellStyle name="Currency 11 3" xfId="293" xr:uid="{94408873-0494-4D7D-B5BB-1E480B0647A8}"/>
    <cellStyle name="Currency 2" xfId="101" xr:uid="{1E245ECC-C632-4CAF-B977-2653896EF834}"/>
    <cellStyle name="Currency 2 2" xfId="102" xr:uid="{8FBEC291-962C-42C7-9033-F0BB3D96D835}"/>
    <cellStyle name="Currency 2 2 2" xfId="296" xr:uid="{D4CC9E0D-BDCB-4C55-B1CF-7B6958839A8F}"/>
    <cellStyle name="Currency 2 3" xfId="295" xr:uid="{E724088C-8BED-486E-A0D6-6152C153AD64}"/>
    <cellStyle name="Currency 3" xfId="103" xr:uid="{35644A9E-3E6D-4ED4-88A0-A4FB6AD66EAC}"/>
    <cellStyle name="Currency 3 2" xfId="104" xr:uid="{617FDE57-6323-49FE-AE42-1EC91CCA03C3}"/>
    <cellStyle name="Currency 3 2 2" xfId="298" xr:uid="{1FD60289-6939-45DD-936A-6E7505805E67}"/>
    <cellStyle name="Currency 3 3" xfId="297" xr:uid="{DB58660D-F88B-4D12-AFE8-58AB2E486FCF}"/>
    <cellStyle name="Currency 4" xfId="105" xr:uid="{77DBF649-35DB-4B8A-84DE-77818E4C3077}"/>
    <cellStyle name="Currency 4 2" xfId="106" xr:uid="{3A113102-C7BE-49F4-A9E8-58467CD17AFB}"/>
    <cellStyle name="Currency 4 2 2" xfId="300" xr:uid="{494FC914-6E59-40B3-B346-C4489B9E901A}"/>
    <cellStyle name="Currency 4 3" xfId="299" xr:uid="{FEFFCE83-8DC8-481C-B773-FA0CAAA64475}"/>
    <cellStyle name="Currency 5" xfId="255" xr:uid="{0026E6A7-A209-42BC-9C00-7E50547B6A6F}"/>
    <cellStyle name="Currency 5 2" xfId="309" xr:uid="{EEB4133C-9172-4B94-8AC2-F83114FE330C}"/>
    <cellStyle name="Currency 6" xfId="312" xr:uid="{760DC5A7-283B-4ABF-95E6-148D5D860783}"/>
    <cellStyle name="D4_B8B1_005004B79812_.wvu.PrintTitlest" xfId="107" xr:uid="{F04ECA0A-90F9-4ED9-80FD-50E2BFD5999A}"/>
    <cellStyle name="Date" xfId="108" xr:uid="{CD479BCC-51F0-41BE-AAAA-89825A754F6E}"/>
    <cellStyle name="Date 2" xfId="109" xr:uid="{B6D2CAC5-B85D-40A2-9D4B-86652B399160}"/>
    <cellStyle name="dms_1" xfId="277" xr:uid="{FF6EFB3B-57F2-4DAF-8D67-D5CA00F7FA20}"/>
    <cellStyle name="Emphasis 1" xfId="110" xr:uid="{1718BC81-AE0D-44F9-921E-E9F2E01CF4DA}"/>
    <cellStyle name="Emphasis 2" xfId="111" xr:uid="{02F2E750-1B99-442F-99B1-CDEA82304107}"/>
    <cellStyle name="Emphasis 3" xfId="112" xr:uid="{0DD5D26C-FCA9-47CA-9FAD-8302F766F027}"/>
    <cellStyle name="Empty_Cell" xfId="259" xr:uid="{ACFA5195-CCAF-45CA-9294-298702F93E67}"/>
    <cellStyle name="Euro" xfId="113" xr:uid="{9921F192-A90C-4999-8F51-7CDBA35295D4}"/>
    <cellStyle name="Explanatory Text 2" xfId="114" xr:uid="{E0952B43-8F21-411E-B4B2-FACEF488FB2F}"/>
    <cellStyle name="Fixed" xfId="115" xr:uid="{7BE0C5FE-9D27-4064-89BB-13441A84AE92}"/>
    <cellStyle name="Fixed 2" xfId="116" xr:uid="{898C16CB-135C-495A-8FF2-BBA6D811A72E}"/>
    <cellStyle name="Gilsans" xfId="117" xr:uid="{8283460D-FA0F-4BD1-99D6-5AB4F2308B98}"/>
    <cellStyle name="Gilsansl" xfId="118" xr:uid="{984543DA-934E-4829-8F6E-D0C017172220}"/>
    <cellStyle name="Good 2" xfId="119" xr:uid="{48FE9BD2-3B1B-413C-9763-6EF0C42F6307}"/>
    <cellStyle name="Header1" xfId="260" xr:uid="{0E96BC93-E689-445A-AED2-108BFD6C9822}"/>
    <cellStyle name="Header2" xfId="261" xr:uid="{CDF3BD69-39BF-4205-A6FA-C1D798727466}"/>
    <cellStyle name="Header3" xfId="262" xr:uid="{47933E55-50BD-4997-90FE-54CDD48BA75A}"/>
    <cellStyle name="Header4" xfId="263" xr:uid="{D297C6A3-1D19-48EB-BA39-9DEBC70D3D20}"/>
    <cellStyle name="Header5" xfId="264" xr:uid="{290DE8BE-3EC9-4B45-94EE-E18510143471}"/>
    <cellStyle name="Heading 1" xfId="12" builtinId="16"/>
    <cellStyle name="Heading 1 2" xfId="120" xr:uid="{C86155AE-7EEC-45CF-8795-228710ACB895}"/>
    <cellStyle name="Heading 1 2 2" xfId="121" xr:uid="{F179E6AA-3D6D-44C3-90A9-58423F41886B}"/>
    <cellStyle name="Heading 1 3" xfId="122" xr:uid="{832B9515-8607-4C76-B529-177567DDD154}"/>
    <cellStyle name="Heading 2" xfId="1" builtinId="17"/>
    <cellStyle name="Heading 2 2" xfId="123" xr:uid="{DF4F5F31-C195-481A-A625-F86E74F9A850}"/>
    <cellStyle name="Heading 2 2 2" xfId="124" xr:uid="{F38F3290-3C8C-42E2-B875-45B1484D02B0}"/>
    <cellStyle name="Heading 2 3" xfId="125" xr:uid="{F5D960D6-A853-4543-B15D-9EA69DBF8343}"/>
    <cellStyle name="Heading 3" xfId="5" builtinId="18"/>
    <cellStyle name="Heading 3 2" xfId="126" xr:uid="{93D336E9-521A-4EAC-8311-FF26FE4F5D14}"/>
    <cellStyle name="Heading 3 2 2" xfId="127" xr:uid="{337CA104-E8BF-4F17-BAEC-341A960B1DCE}"/>
    <cellStyle name="Heading 3 3" xfId="128" xr:uid="{6B5CA1C2-283B-4E9C-8895-DE9FEC2692D8}"/>
    <cellStyle name="Heading 4 2" xfId="129" xr:uid="{E832636E-9183-42B8-ACE8-9C7AE89E88F8}"/>
    <cellStyle name="Heading 4 2 2" xfId="130" xr:uid="{9059B9AE-C84E-42E9-80DC-3CFFDF1D1E47}"/>
    <cellStyle name="Heading 4 3" xfId="131" xr:uid="{491686D0-BF97-4CA6-829F-04F6EC200F83}"/>
    <cellStyle name="Heading(4)" xfId="132" xr:uid="{C1E22D06-C2F5-41AE-95B7-6492BE9848C9}"/>
    <cellStyle name="Hyperlink 2" xfId="133" xr:uid="{2C151C28-C5D5-4E59-946D-127D082523FF}"/>
    <cellStyle name="Hyperlink Arrow" xfId="134" xr:uid="{8F4013A3-269B-4C94-9998-8757C598F675}"/>
    <cellStyle name="Hyperlink Text" xfId="135" xr:uid="{A9B5796C-5E00-41D0-88DB-998372D1881B}"/>
    <cellStyle name="Input" xfId="2" builtinId="20" customBuiltin="1"/>
    <cellStyle name="Input #" xfId="8" xr:uid="{00000000-0005-0000-0000-000007000000}"/>
    <cellStyle name="Input 2" xfId="136" xr:uid="{8FC2404A-D04D-4CCC-8011-648677B3F065}"/>
    <cellStyle name="Input|Date" xfId="14" xr:uid="{34408CED-E337-4732-8FD6-07B865BB4240}"/>
    <cellStyle name="Input1" xfId="137" xr:uid="{37903479-D3A7-4B4B-A7BC-F5FE8122BDF8}"/>
    <cellStyle name="Input1 2" xfId="138" xr:uid="{177453E2-48BC-4C9A-81F2-215EFC5D18A7}"/>
    <cellStyle name="Input1 2 2" xfId="302" xr:uid="{007AFDC0-0556-4180-945E-9BDE075D8391}"/>
    <cellStyle name="Input1 3" xfId="301" xr:uid="{48066D17-1E6C-4507-99E8-76F931C8B44D}"/>
    <cellStyle name="Input2" xfId="139" xr:uid="{F709FF27-A5B4-4356-8987-E00807A5A961}"/>
    <cellStyle name="Input2 2" xfId="140" xr:uid="{64357D6B-C9F4-4472-A167-379FF875E85C}"/>
    <cellStyle name="Input3" xfId="141" xr:uid="{48E029A0-9D63-4B26-86D0-8EE9DE403A98}"/>
    <cellStyle name="Input3 2" xfId="142" xr:uid="{A2CEAD9F-E1D0-40B1-B467-8AD0A58A4D81}"/>
    <cellStyle name="Input3 2 2" xfId="304" xr:uid="{DDA90E87-E92E-4325-936B-8121BDC93C6F}"/>
    <cellStyle name="Input3 3" xfId="303" xr:uid="{21E8EEBD-C909-4342-A3C9-8561E0322749}"/>
    <cellStyle name="Inputs_Divider" xfId="265" xr:uid="{24210FB5-B424-4F1E-A1D9-F364F39115F9}"/>
    <cellStyle name="InSheet" xfId="266" xr:uid="{B902C03F-6CC2-4570-9DAD-6A0FC0F54FED}"/>
    <cellStyle name="K_Number" xfId="316" xr:uid="{93A8DED5-E7DF-401A-BE61-34E12D0DF51E}"/>
    <cellStyle name="Lines" xfId="143" xr:uid="{153CA9EC-BFC2-41D9-9321-F4C127C7C207}"/>
    <cellStyle name="Linked Cell" xfId="4" builtinId="24" customBuiltin="1"/>
    <cellStyle name="Linked Cell 2" xfId="144" xr:uid="{400E6772-EB65-4892-AE33-D94E9D7AC760}"/>
    <cellStyle name="Mine" xfId="145" xr:uid="{1B1D7F97-2619-416E-A0C7-2086C1F98AB2}"/>
    <cellStyle name="Model Name" xfId="146" xr:uid="{2768F0BA-383D-4703-A1E5-F5FA7112BEB5}"/>
    <cellStyle name="Neutral 2" xfId="147" xr:uid="{1673D265-0A8D-44C9-9AF9-FF9A1B7BE06F}"/>
    <cellStyle name="Normal" xfId="0" builtinId="0" customBuiltin="1"/>
    <cellStyle name="Normal - Style1" xfId="148" xr:uid="{B590B2CB-D88E-4D54-A298-5C0333CE71C1}"/>
    <cellStyle name="Normal 10" xfId="253" xr:uid="{6213761A-156D-41C5-959F-ED6ED4E591D9}"/>
    <cellStyle name="Normal 10 2" xfId="307" xr:uid="{4362E84F-92EB-4FB7-8257-874C4ED4BD15}"/>
    <cellStyle name="Normal 11" xfId="276" xr:uid="{D4118B4D-A5FE-4DC6-9603-CCF6DAA77D52}"/>
    <cellStyle name="Normal 11 2" xfId="310" xr:uid="{A61E970E-AD93-4071-BC42-CFC2E18F476A}"/>
    <cellStyle name="Normal 12" xfId="313" xr:uid="{2418AF84-F228-4A11-91D3-03662463B1BF}"/>
    <cellStyle name="Normal 13" xfId="149" xr:uid="{53386500-4222-48F3-BFFA-CF2E8A438AF4}"/>
    <cellStyle name="Normal 13 2" xfId="19" xr:uid="{13ABDFFC-4A8B-4C42-B060-95F3FA6473B7}"/>
    <cellStyle name="Normal 13_29(d) - Gas extensions -tariffs" xfId="150" xr:uid="{0151927F-A6E0-4CAC-A950-EA5B14C49227}"/>
    <cellStyle name="Normal 14" xfId="13" xr:uid="{6D544FAD-20C5-479C-8C9D-F6804F3E37C3}"/>
    <cellStyle name="Normal 15" xfId="151" xr:uid="{CD15CBC6-AC4F-4C29-B853-81DAF3A5B150}"/>
    <cellStyle name="Normal 16" xfId="152" xr:uid="{B49BF262-CC21-4E8E-A5FF-3FF9D211257A}"/>
    <cellStyle name="Normal 17" xfId="317" xr:uid="{DA8CD464-336A-4D7C-AB16-0BE9660F3CAF}"/>
    <cellStyle name="Normal 18" xfId="320" xr:uid="{EF5583F7-602C-4790-9750-DC38FBA800B7}"/>
    <cellStyle name="Normal 2" xfId="153" xr:uid="{6FD15AA1-0904-4932-B94B-E796181A598F}"/>
    <cellStyle name="Normal 2 2" xfId="154" xr:uid="{501415DA-145F-4147-A6AB-A3BE86EE7789}"/>
    <cellStyle name="Normal 2 2 2" xfId="155" xr:uid="{38697A57-12DC-452E-8ED5-B50BC64BB44D}"/>
    <cellStyle name="Normal 2 3" xfId="156" xr:uid="{15498203-3CE7-4FC0-9D72-BF3B0E0954E4}"/>
    <cellStyle name="Normal 2 3 2" xfId="157" xr:uid="{92557500-8FC1-4A8A-8FCD-CA43058B740D}"/>
    <cellStyle name="Normal 2 3_29(d) - Gas extensions -tariffs" xfId="158" xr:uid="{2FC9087E-6E10-40E8-ADB9-74F5E78030CD}"/>
    <cellStyle name="Normal 2 4" xfId="159" xr:uid="{F2E47756-9500-40D9-B7DD-3FD486B1AED3}"/>
    <cellStyle name="Normal 2 5" xfId="160" xr:uid="{652A9FBE-9DBC-4301-B6E0-4541C3C85EA4}"/>
    <cellStyle name="Normal 2_29(d) - Gas extensions -tariffs" xfId="161" xr:uid="{F83EBECB-FBFF-4088-BD7F-DDE5B73D2FC1}"/>
    <cellStyle name="Normal 3" xfId="162" xr:uid="{B2789C57-A20E-45E7-B793-1D329AED6400}"/>
    <cellStyle name="Normal 3 2" xfId="163" xr:uid="{C5203D86-9A9C-44CE-8FD0-903833A43B91}"/>
    <cellStyle name="Normal 3_29(d) - Gas extensions -tariffs" xfId="164" xr:uid="{26601D34-CB67-4197-AF16-B856D19D84AA}"/>
    <cellStyle name="Normal 38" xfId="165" xr:uid="{DC0B9860-125A-4843-A494-BFCE9D7106CC}"/>
    <cellStyle name="Normal 38 2" xfId="166" xr:uid="{20A7AC91-C4A8-4037-BAB5-8992300C5004}"/>
    <cellStyle name="Normal 38_29(d) - Gas extensions -tariffs" xfId="167" xr:uid="{74634486-2AE9-4DD0-8E66-8CC85E59904A}"/>
    <cellStyle name="Normal 4" xfId="168" xr:uid="{D48F742D-7DD7-492D-A34A-B119CF5168C3}"/>
    <cellStyle name="Normal 4 2" xfId="169" xr:uid="{3DE18EE6-51E3-4F06-BDAF-F05FA4C9B8D9}"/>
    <cellStyle name="Normal 4 3" xfId="170" xr:uid="{1A706B22-35B0-4783-8CE1-339F00130584}"/>
    <cellStyle name="Normal 4 3 2" xfId="305" xr:uid="{5EAD1A96-23DC-4B03-8D6A-0CA69B0EE679}"/>
    <cellStyle name="Normal 4_29(d) - Gas extensions -tariffs" xfId="171" xr:uid="{169F5414-2B83-43B1-8F7C-3B04447757B0}"/>
    <cellStyle name="Normal 40" xfId="172" xr:uid="{E757699E-83B4-4DD8-BAE0-F9F34CFC9C9E}"/>
    <cellStyle name="Normal 40 2" xfId="173" xr:uid="{53FC1353-EFE8-4CD6-92AF-EF8AD5464486}"/>
    <cellStyle name="Normal 40_29(d) - Gas extensions -tariffs" xfId="174" xr:uid="{15B2FDA1-312E-421E-B004-8791D923AA5C}"/>
    <cellStyle name="Normal 42" xfId="315" xr:uid="{6724189C-9CFB-4431-A9CB-8B4426B1CB51}"/>
    <cellStyle name="Normal 5" xfId="175" xr:uid="{193E3232-F23A-4BD2-9F98-F8CA0A4262A5}"/>
    <cellStyle name="Normal 5 2" xfId="176" xr:uid="{28D44D43-2A10-4E22-B3AA-C44D81B2C088}"/>
    <cellStyle name="Normal 6" xfId="177" xr:uid="{BBD1084C-3751-4D31-8938-E1B60E0AB23E}"/>
    <cellStyle name="Normal 6 2" xfId="178" xr:uid="{52A8060F-7367-49A9-B45D-577833BCB208}"/>
    <cellStyle name="Normal 7" xfId="21" xr:uid="{75A865BF-E1FE-4EE6-A6F7-D509BC05213A}"/>
    <cellStyle name="Normal 7 2" xfId="179" xr:uid="{D90D67AC-C567-49F4-BF1E-BBA5717131EF}"/>
    <cellStyle name="Normal 7 2 2" xfId="306" xr:uid="{C5584FA2-CAAC-4E2B-9CAA-7327A8B6CEDC}"/>
    <cellStyle name="Normal 8" xfId="180" xr:uid="{203575C2-4086-411F-BE5C-B31F49EECB48}"/>
    <cellStyle name="Normal 9" xfId="181" xr:uid="{84EBA48E-3F0E-45B3-9625-4FE1C9A9B174}"/>
    <cellStyle name="Note 2" xfId="182" xr:uid="{79E32CE3-4B9A-4C1D-9384-2A730D155E65}"/>
    <cellStyle name="OffSheet" xfId="267" xr:uid="{7F431BC0-E733-4825-A99C-F4E68BA2139A}"/>
    <cellStyle name="Output" xfId="6" builtinId="21" customBuiltin="1"/>
    <cellStyle name="Output 2" xfId="183" xr:uid="{49F80D81-EA91-4A62-824D-29FDF29115DF}"/>
    <cellStyle name="Percent" xfId="9" builtinId="5"/>
    <cellStyle name="Percent [2]" xfId="184" xr:uid="{61CDD8BB-EBDD-47B4-B987-04FEE158BA18}"/>
    <cellStyle name="Percent [2] 2" xfId="185" xr:uid="{2E4053C8-95D3-4964-A560-BDC298FF65C1}"/>
    <cellStyle name="Percent [2]_29(d) - Gas extensions -tariffs" xfId="186" xr:uid="{DB866C0F-A785-45F6-AF74-D7B071DF3238}"/>
    <cellStyle name="Percent 2" xfId="16" xr:uid="{C99D7A77-8508-4183-9377-DDD43F8825A7}"/>
    <cellStyle name="Percent 2 2" xfId="187" xr:uid="{0D76304D-E885-4C5B-8D95-46ADCF04416B}"/>
    <cellStyle name="Percent 3" xfId="188" xr:uid="{37BEBE5A-4F88-45F3-9630-506A8BB6D172}"/>
    <cellStyle name="Percent 3 2" xfId="189" xr:uid="{A6C9C568-0C1E-4648-8A80-E727454A55B6}"/>
    <cellStyle name="Percent 4" xfId="190" xr:uid="{CF35E85D-8186-4796-A04B-1642C7034F29}"/>
    <cellStyle name="Percent 5" xfId="254" xr:uid="{D45D7F93-9577-4430-84F5-45C6A11733B0}"/>
    <cellStyle name="Percent 5 2" xfId="308" xr:uid="{9E86176D-BE87-48F0-975C-DEA475ED1D85}"/>
    <cellStyle name="Percent 6" xfId="311" xr:uid="{313586B7-AEE4-49F5-AFA7-8803E53B5334}"/>
    <cellStyle name="Percent 7" xfId="191" xr:uid="{11B98FE9-7687-4360-AD24-6E435D396389}"/>
    <cellStyle name="Percent 8" xfId="15" xr:uid="{90545B0A-E5C6-4378-B817-6B2458127B1E}"/>
    <cellStyle name="Percent 9" xfId="318" xr:uid="{D13A7BAE-B91B-44B5-9466-A8105BB97DE3}"/>
    <cellStyle name="Percentage" xfId="192" xr:uid="{17EDB6DB-F0D3-4531-A6E3-9CE2CA11CAE9}"/>
    <cellStyle name="Period Title" xfId="193" xr:uid="{4A695899-0C2A-4DD2-B80B-6E22A4BCEA7E}"/>
    <cellStyle name="PSChar" xfId="194" xr:uid="{5407CCA4-384D-4C97-9187-2579C143FD0A}"/>
    <cellStyle name="PSDate" xfId="195" xr:uid="{8BAC3441-142C-4706-83E0-48ED370A84E5}"/>
    <cellStyle name="PSDec" xfId="196" xr:uid="{8E9E240C-0D93-43CA-B75F-02F8DE8AE4A6}"/>
    <cellStyle name="PSDetail" xfId="197" xr:uid="{B70B94B7-1E46-4A8F-857E-36D160F41D76}"/>
    <cellStyle name="PSHeading" xfId="198" xr:uid="{FFB133BD-476C-4471-99AF-47CF79A01E81}"/>
    <cellStyle name="PSInt" xfId="199" xr:uid="{B133BD91-57CA-4A50-898D-59C2C82ACF36}"/>
    <cellStyle name="PSSpacer" xfId="200" xr:uid="{E5C5B9B9-24B7-4B20-A04C-001E72A203F5}"/>
    <cellStyle name="Ratio" xfId="201" xr:uid="{162752D9-EC6E-435D-AA2D-F0705C4E2958}"/>
    <cellStyle name="Ratio 2" xfId="202" xr:uid="{3DCCDAEE-86C3-4ED6-A399-249857FF23A3}"/>
    <cellStyle name="Ratio_29(d) - Gas extensions -tariffs" xfId="203" xr:uid="{2A2406E0-7A8A-421C-8482-9FE8A43B33C8}"/>
    <cellStyle name="Right Date" xfId="204" xr:uid="{7D7EF624-DAD9-4358-90FD-51427786CFA3}"/>
    <cellStyle name="Right Number" xfId="205" xr:uid="{25FD3191-0464-43CD-82A2-70AFC8A73908}"/>
    <cellStyle name="Right Year" xfId="206" xr:uid="{22597AC6-FD97-4FF8-B4B7-82722B6580D1}"/>
    <cellStyle name="SAPError" xfId="207" xr:uid="{4A336A2C-5606-403F-8ED2-1E1F23643B86}"/>
    <cellStyle name="SAPError 2" xfId="208" xr:uid="{AD6FD3E1-B497-4421-AA27-83CB145DA5E4}"/>
    <cellStyle name="SAPKey" xfId="209" xr:uid="{093BE1A3-1A0D-43C9-AB32-E5E174964241}"/>
    <cellStyle name="SAPKey 2" xfId="210" xr:uid="{FE9BE466-9F8C-4558-80B9-DE3B23ACF54F}"/>
    <cellStyle name="SAPLocked" xfId="211" xr:uid="{18F6BE25-0EB6-4E6C-A8D3-D5BDC5436EE8}"/>
    <cellStyle name="SAPLocked 2" xfId="212" xr:uid="{78AA08C8-0183-48E5-A91F-72F6D40414A4}"/>
    <cellStyle name="SAPOutput" xfId="213" xr:uid="{743BC0C0-64C0-497A-AC89-5AF5361C2005}"/>
    <cellStyle name="SAPOutput 2" xfId="214" xr:uid="{A5E8C9C4-F5DC-4554-BEBD-5484025E0D84}"/>
    <cellStyle name="SAPSpace" xfId="215" xr:uid="{9D112757-D6FB-4781-B9CF-28366D77F119}"/>
    <cellStyle name="SAPSpace 2" xfId="216" xr:uid="{519A91D1-4DF6-4833-84DD-0B72A90D20D1}"/>
    <cellStyle name="SAPText" xfId="217" xr:uid="{1C858F05-3A95-474A-9904-95D0F3301656}"/>
    <cellStyle name="SAPText 2" xfId="218" xr:uid="{47D7092C-A658-43FB-B898-B140ABB895D2}"/>
    <cellStyle name="SAPUnLocked" xfId="219" xr:uid="{59FA219F-D3EB-4549-A98D-59499059F32F}"/>
    <cellStyle name="SAPUnLocked 2" xfId="220" xr:uid="{2856B7AA-4D8D-4D75-8E98-9AED9F6B2FE2}"/>
    <cellStyle name="Sheet Title" xfId="221" xr:uid="{12A04A58-4276-48FD-8563-C557FE1C0377}"/>
    <cellStyle name="SheetHeader1" xfId="268" xr:uid="{0B3D346F-56CC-4060-8F89-48C60A0EC240}"/>
    <cellStyle name="SheetHeader2" xfId="269" xr:uid="{34817963-7795-436D-9324-946F8782FC07}"/>
    <cellStyle name="SheetHeader3" xfId="270" xr:uid="{CD380576-067E-4A0F-A0E3-23E44296D810}"/>
    <cellStyle name="Style 1" xfId="222" xr:uid="{B442588F-2C54-4CC9-9E9A-1D37E0973419}"/>
    <cellStyle name="Style 1 2" xfId="223" xr:uid="{D33A94A8-B280-4142-B7A7-E744325459BB}"/>
    <cellStyle name="Style 1_29(d) - Gas extensions -tariffs" xfId="224" xr:uid="{C3ACB281-ADBA-4A51-9B04-E37E57D80AC7}"/>
    <cellStyle name="Style2" xfId="225" xr:uid="{9F22B3EE-45D6-4F1F-8CC8-807CC8CC105A}"/>
    <cellStyle name="Style3" xfId="226" xr:uid="{92214130-ECAC-44DD-9B82-2A76A4955E53}"/>
    <cellStyle name="Style4" xfId="227" xr:uid="{BD99EA37-8BB1-4C31-940A-042A859E8EDA}"/>
    <cellStyle name="Style4 2" xfId="228" xr:uid="{2B11F9B4-E016-4E10-A608-67E0F8BF19E2}"/>
    <cellStyle name="Style4_29(d) - Gas extensions -tariffs" xfId="229" xr:uid="{434DB76C-E470-47D6-875C-B2FD8B46A737}"/>
    <cellStyle name="Style5" xfId="230" xr:uid="{1A06901E-2E5F-4D59-B3A4-7D0F021E0596}"/>
    <cellStyle name="Style5 2" xfId="231" xr:uid="{49950DCF-0E7A-4473-8BF0-31880D3DB4BC}"/>
    <cellStyle name="Style5_29(d) - Gas extensions -tariffs" xfId="232" xr:uid="{EA10FAEB-E706-4A3C-B5E2-CB93F101618A}"/>
    <cellStyle name="Table Head Green" xfId="233" xr:uid="{29AF0F3B-9E14-4059-A964-B85A89A6D5A8}"/>
    <cellStyle name="Table Head_pldt" xfId="234" xr:uid="{AFCC72E6-2CF3-4EA8-99BE-D92D6E120AF1}"/>
    <cellStyle name="Table Source" xfId="235" xr:uid="{5F2EA342-F96E-41C1-82E7-DCE0B2043228}"/>
    <cellStyle name="Table Units" xfId="236" xr:uid="{2A920E58-5848-4D26-A2E8-A51F706F482A}"/>
    <cellStyle name="Table_Heading" xfId="271" xr:uid="{681882B4-07F8-4B0D-950A-520172BDF71A}"/>
    <cellStyle name="Technical_Input" xfId="272" xr:uid="{72368233-781E-4539-BC45-F59FD58023DE}"/>
    <cellStyle name="Text" xfId="237" xr:uid="{D673ACC2-4012-4E29-AC6D-B6AA514E90A1}"/>
    <cellStyle name="Text 2" xfId="238" xr:uid="{28FC3C6A-F0CC-47E5-B795-07DC4E83571B}"/>
    <cellStyle name="Text 3" xfId="239" xr:uid="{301DB75B-859C-4F2D-9D36-CC95B6BF6A36}"/>
    <cellStyle name="Text Head 1" xfId="240" xr:uid="{FF9D6CC7-7121-4107-A98C-9D5240CFF7C9}"/>
    <cellStyle name="Text Head 2" xfId="241" xr:uid="{5DCDEB50-262D-4EE0-9930-3E348653AA03}"/>
    <cellStyle name="Text Indent 2" xfId="242" xr:uid="{5832B75F-4EB3-41EA-8C81-DED96CE7ECC1}"/>
    <cellStyle name="Theirs" xfId="243" xr:uid="{AEF4D05D-B493-42B6-B2A3-B35BF34D6BFE}"/>
    <cellStyle name="Title 2" xfId="244" xr:uid="{CA99AFE0-1A77-4EE7-AA6A-030583321D29}"/>
    <cellStyle name="TOC 1" xfId="245" xr:uid="{10F89FE2-88BC-4427-BD98-1A842A1EDEAC}"/>
    <cellStyle name="TOC 2" xfId="246" xr:uid="{AF525BCC-1C26-4FB2-AA19-C111A62DDB76}"/>
    <cellStyle name="TOC 3" xfId="247" xr:uid="{DA10F67A-B079-4536-A1A2-77635ECDB8D5}"/>
    <cellStyle name="Total 2" xfId="248" xr:uid="{12950E43-82E2-4019-97A3-E984343D339C}"/>
    <cellStyle name="Totals" xfId="273" xr:uid="{CBEBABE8-09F3-49E2-B906-84D6C4FC0642}"/>
    <cellStyle name="unit" xfId="274" xr:uid="{54C6D5A7-18C4-445E-886B-2FD02D3954AD}"/>
    <cellStyle name="User_Input" xfId="275" xr:uid="{7E6DAB7F-3D65-47D5-AA05-86BC11A6F2F4}"/>
    <cellStyle name="Warning Text 2" xfId="249" xr:uid="{FB993EFC-82A2-44FD-9085-CBA38FB233CB}"/>
    <cellStyle name="year" xfId="250" xr:uid="{BAB99A5D-4AD1-438E-AA33-18B5D2892A37}"/>
    <cellStyle name="year 2" xfId="251" xr:uid="{8CD2290B-1AAE-43D0-B8A7-91837785ABF5}"/>
    <cellStyle name="year_29(d) - Gas extensions -tariffs" xfId="252" xr:uid="{D26242B0-E3D2-4BE4-B027-5B74B13E6A97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Outputs!$G$7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0-45E1-91AF-68FED73BC0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3-4E65-A171-942EE7F08630}"/>
              </c:ext>
            </c:extLst>
          </c:dPt>
          <c:dPt>
            <c:idx val="4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3-4E65-A171-942EE7F08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65-4E8A-9E38-B69EC87F87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43-47D8-B1C7-539CEDF0035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65-4E8A-9E38-B69EC87F87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65-4E8A-9E38-B69EC87F87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CA-48B5-BF6E-9A8E8BF9C78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3-47D8-B1C7-539CEDF0035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43-47D8-B1C7-539CEDF0035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B-4159-91CD-5D5D4E9AF2A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CA-48B5-BF6E-9A8E8BF9C78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CA-48B5-BF6E-9A8E8BF9C78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BF-4B5C-AC1B-7DFA3A9222E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BF-4B5C-AC1B-7DFA3A9222E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BF-4B5C-AC1B-7DFA3A9222E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BF-4B5C-AC1B-7DFA3A9222E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6-408C-AB04-16ABFB2103B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B6-408C-AB04-16ABFB2103B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B6-408C-AB04-16ABFB2103B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B6-408C-AB04-16ABFB2103B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F7-436B-BB82-CC668274722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F7-436B-BB82-CC668274722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F7-436B-BB82-CC668274722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F7-436B-BB82-CC668274722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4-4CD6-B4F0-74792D4D6E59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4-4CD6-B4F0-74792D4D6E59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4-4CD6-B4F0-74792D4D6E59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4-4CD6-B4F0-74792D4D6E59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7F-4A4E-B8A5-E21556A9E43B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7F-4A4E-B8A5-E21556A9E43B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7F-4A4E-B8A5-E21556A9E43B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7F-4A4E-B8A5-E21556A9E43B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65-4A78-9278-C454D38E7EF1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65-4A78-9278-C454D38E7EF1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65-4A78-9278-C454D38E7EF1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65-4A78-9278-C454D38E7EF1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F-46B9-8B55-95EBCA73913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F-46B9-8B55-95EBCA73913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2F-46B9-8B55-95EBCA73913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2F-46B9-8B55-95EBCA73913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BD-4F36-AD96-4B699D7223E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BD-4F36-AD96-4B699D7223EE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BD-4F36-AD96-4B699D7223EE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BD-4F36-AD96-4B699D7223EE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12-4BBF-A09E-35D799425406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12-4BBF-A09E-35D799425406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12-4BBF-A09E-35D799425406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12-4BBF-A09E-35D799425406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1B-4D1D-9ED6-0812922A9460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1B-4D1D-9ED6-0812922A9460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1B-4D1D-9ED6-0812922A9460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1B-4D1D-9ED6-0812922A9460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4-4B48-8B44-097A6B3195BD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4-4B48-8B44-097A6B3195BD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4-4B48-8B44-097A6B3195BD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4-4B48-8B44-097A6B3195B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22-49CC-9633-233E5A9A143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Outputs!$A$8:$A$16</c15:sqref>
                  </c15:fullRef>
                </c:ext>
              </c:extLst>
              <c:f>(Outputs!$A$8:$A$12,Outputs!$A$14)</c:f>
              <c:strCache>
                <c:ptCount val="6"/>
                <c:pt idx="0">
                  <c:v>Pipelines</c:v>
                </c:pt>
                <c:pt idx="1">
                  <c:v>SIB Capex</c:v>
                </c:pt>
                <c:pt idx="2">
                  <c:v>Compressors </c:v>
                </c:pt>
                <c:pt idx="3">
                  <c:v>Regulators and meters</c:v>
                </c:pt>
                <c:pt idx="4">
                  <c:v>Group IT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Outputs!$G$8:$G$16</c15:sqref>
                  </c15:fullRef>
                </c:ext>
              </c:extLst>
              <c:f>(Outputs!$G$8:$G$12,Outputs!$G$14)</c:f>
              <c:numCache>
                <c:formatCode>_-* #,##0.0_-;\-* #,##0.0_-;_-* "-"_-;_-@_-</c:formatCode>
                <c:ptCount val="6"/>
                <c:pt idx="0">
                  <c:v>19.810521840820748</c:v>
                </c:pt>
                <c:pt idx="1">
                  <c:v>5.5579870554930393</c:v>
                </c:pt>
                <c:pt idx="2">
                  <c:v>0.25569237799790773</c:v>
                </c:pt>
                <c:pt idx="3">
                  <c:v>0</c:v>
                </c:pt>
                <c:pt idx="4">
                  <c:v>12.535809132351011</c:v>
                </c:pt>
                <c:pt idx="5">
                  <c:v>38.951617060414492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6-43AA-955C-17831B25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4-4900-9E5B-C9777E4A46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4-4900-9E5B-C9777E4A4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4-4900-9E5B-C9777E4A46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4-4900-9E5B-C9777E4A46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4-4900-9E5B-C9777E4A46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4-4900-9E5B-C9777E4A46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4-4900-9E5B-C9777E4A46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B-4A20-9C18-A132D66B1C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B-4A20-9C18-A132D66B1CD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B-4A20-9C18-A132D66B1CD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B-4A20-9C18-A132D66B1CD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B-4A20-9C18-A132D66B1CD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B-4A20-9C18-A132D66B1CD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B-4A20-9C18-A132D66B1CD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D-4B87-9134-7C865CD7CA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D-4B87-9134-7C865CD7CA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D-4B87-9134-7C865CD7CA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D-4B87-9134-7C865CD7CAD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D-4B87-9134-7C865CD7CAD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FD-4B87-9134-7C865CD7CAD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FD-4B87-9134-7C865CD7CAD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C-43B7-9CA9-E7716EAAFE9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C-43B7-9CA9-E7716EAAFE9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C-43B7-9CA9-E7716EAAFE9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CC-43B7-9CA9-E7716EAAFE9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C-43B7-9CA9-E7716EAAFE9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C-43B7-9CA9-E7716EAAFE9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C-43B7-9CA9-E7716EAAFE9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C-4413-BC7D-9C895185D38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C-4413-BC7D-9C895185D38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C-4413-BC7D-9C895185D38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DC-4413-BC7D-9C895185D38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DC-4413-BC7D-9C895185D38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DC-4413-BC7D-9C895185D38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DC-4413-BC7D-9C895185D38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69-4D6A-BBE9-20468CA4770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9-4D6A-BBE9-20468CA4770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69-4D6A-BBE9-20468CA4770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69-4D6A-BBE9-20468CA4770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69-4D6A-BBE9-20468CA4770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69-4D6A-BBE9-20468CA4770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69-4D6A-BBE9-20468CA4770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8-4FC0-87FA-1AC5DE7DFA1A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8-4FC0-87FA-1AC5DE7DFA1A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B8-4FC0-87FA-1AC5DE7DFA1A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B8-4FC0-87FA-1AC5DE7DFA1A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B8-4FC0-87FA-1AC5DE7DFA1A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B8-4FC0-87FA-1AC5DE7DFA1A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B8-4FC0-87FA-1AC5DE7DFA1A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C-4ACB-A87E-7E3E3B1D78E8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C-4ACB-A87E-7E3E3B1D78E8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C-4ACB-A87E-7E3E3B1D78E8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C-4ACB-A87E-7E3E3B1D78E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C-4ACB-A87E-7E3E3B1D78E8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C-4ACB-A87E-7E3E3B1D78E8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3BC-4ACB-A87E-7E3E3B1D78E8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E-490E-ABBC-D27132704F2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E-490E-ABBC-D27132704F2D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E-490E-ABBC-D27132704F2D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E-490E-ABBC-D27132704F2D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E-490E-ABBC-D27132704F2D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E-490E-ABBC-D27132704F2D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E-490E-ABBC-D27132704F2D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4-4FB0-9859-76204065C6EF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4-4FB0-9859-76204065C6EF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4-4FB0-9859-76204065C6EF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4-4FB0-9859-76204065C6EF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4-4FB0-9859-76204065C6EF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64-4FB0-9859-76204065C6EF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64-4FB0-9859-76204065C6EF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3-4D9A-86B6-D814CBD64E14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3-4D9A-86B6-D814CBD64E14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3-4D9A-86B6-D814CBD64E14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13-4D9A-86B6-D814CBD64E14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13-4D9A-86B6-D814CBD64E14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13-4D9A-86B6-D814CBD64E14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13-4D9A-86B6-D814CBD64E14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5-4319-8ECF-2F3ACA8DF416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5-4319-8ECF-2F3ACA8DF416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319-8ECF-2F3ACA8DF416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55-4319-8ECF-2F3ACA8DF416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55-4319-8ECF-2F3ACA8DF416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55-4319-8ECF-2F3ACA8DF416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55-4319-8ECF-2F3ACA8DF416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2-434F-BA5D-4B01799A3D39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2-434F-BA5D-4B01799A3D39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2-434F-BA5D-4B01799A3D39}"/>
              </c:ext>
            </c:extLst>
          </c:dPt>
          <c:cat>
            <c:strRef>
              <c:f>Outputs!$A$19:$A$20</c:f>
              <c:strCache>
                <c:ptCount val="2"/>
                <c:pt idx="0">
                  <c:v>Replacement</c:v>
                </c:pt>
                <c:pt idx="1">
                  <c:v>Non-network</c:v>
                </c:pt>
              </c:strCache>
            </c:strRef>
          </c:cat>
          <c:val>
            <c:numRef>
              <c:f>Outputs!$G$19:$G$20</c:f>
              <c:numCache>
                <c:formatCode>_-* #,##0_-;\-* #,##0_-;_-* "-"??_-;_-@_-</c:formatCode>
                <c:ptCount val="2"/>
                <c:pt idx="0">
                  <c:v>22942651.231337152</c:v>
                </c:pt>
                <c:pt idx="1">
                  <c:v>16008965.829077343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Program</a:t>
            </a:r>
          </a:p>
        </c:rich>
      </c:tx>
      <c:layout>
        <c:manualLayout>
          <c:xMode val="edge"/>
          <c:yMode val="edge"/>
          <c:x val="0.76710473551607827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62313452466551"/>
          <c:y val="2.1523333333333332E-2"/>
          <c:w val="0.55736691042795594"/>
          <c:h val="0.66214027777777773"/>
        </c:manualLayout>
      </c:layout>
      <c:pieChart>
        <c:varyColors val="1"/>
        <c:ser>
          <c:idx val="0"/>
          <c:order val="0"/>
          <c:tx>
            <c:strRef>
              <c:f>Graphs!$C$37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03D-94E3-8F9F286CB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9B-403D-94E3-8F9F286CB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F-4213-97FA-B7B8C4D48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F-4213-97FA-B7B8C4D485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6F-4213-97FA-B7B8C4D485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7-4705-961A-7C2696B31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7-4705-961A-7C2696B31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7-4705-961A-7C2696B31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7-4705-961A-7C2696B31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28-43F8-AE1C-71F415244D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28-43F8-AE1C-71F415244D8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0B9-4A73-8036-A4FDACF4C0E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0B9-4A73-8036-A4FDACF4C0E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0B9-4A73-8036-A4FDACF4C0E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31-4FD4-B071-153CD718483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231-4FD4-B071-153CD718483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231-4FD4-B071-153CD718483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2D-48D0-B62A-3C53B93D8C9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2D-48D0-B62A-3C53B93D8C9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2D-48D0-B62A-3C53B93D8C9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A-42A8-9524-4A008A3A14A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A-42A8-9524-4A008A3A14A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A-42A8-9524-4A008A3A14A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9-4C61-8D84-3B7259FFF73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89-4C61-8D84-3B7259FFF73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89-4C61-8D84-3B7259FFF73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38-48A0-8D7C-2FDEFA0A385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F38-48A0-8D7C-2FDEFA0A385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F38-48A0-8D7C-2FDEFA0A385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6FD-4AB4-A8DC-1BB233F80A4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6FD-4AB4-A8DC-1BB233F80A4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6FD-4AB4-A8DC-1BB233F80A4D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8E-4E81-8B7A-59A9C00CE3AF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8E-4E81-8B7A-59A9C00CE3AF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B79-4DA2-AC2A-369AB9CFC2F9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03-4D88-A31E-C75E871AF29D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8F-40AC-9D6A-44E29724F04D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8F-40AC-9D6A-44E29724F04D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EB-42D4-BD63-FA3804A76DF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EB-42D4-BD63-FA3804A76DF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B9-4082-BFD0-BA1B79BA4D36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B9-4082-BFD0-BA1B79BA4D36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E6-434D-AD81-638EE26D9C6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E6-434D-AD81-638EE26D9C6C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6-46F3-AD70-D8954E4C8341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6-46F3-AD70-D8954E4C83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Graphs!$B$38:$B$51</c15:sqref>
                  </c15:fullRef>
                </c:ext>
              </c:extLst>
              <c:f>Graphs!$B$38:$B$48</c:f>
              <c:strCache>
                <c:ptCount val="11"/>
                <c:pt idx="0">
                  <c:v>Pipeline Integrity</c:v>
                </c:pt>
                <c:pt idx="1">
                  <c:v>Group IT</c:v>
                </c:pt>
                <c:pt idx="2">
                  <c:v>Supply Security Project</c:v>
                </c:pt>
                <c:pt idx="3">
                  <c:v>Property Leases</c:v>
                </c:pt>
                <c:pt idx="4">
                  <c:v>Minor Projects</c:v>
                </c:pt>
                <c:pt idx="5">
                  <c:v>Liquids Removal</c:v>
                </c:pt>
                <c:pt idx="6">
                  <c:v>Access Arrangement</c:v>
                </c:pt>
                <c:pt idx="7">
                  <c:v>SCADA Hardware Lifecycle Management</c:v>
                </c:pt>
                <c:pt idx="8">
                  <c:v>Vehicle Leases</c:v>
                </c:pt>
                <c:pt idx="9">
                  <c:v>Pipeline Relocation</c:v>
                </c:pt>
                <c:pt idx="10">
                  <c:v>Battery Charger Replacement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Graphs!$C$38:$C$51</c15:sqref>
                  </c15:fullRef>
                </c:ext>
              </c:extLst>
              <c:f>Graphs!$C$38:$C$48</c:f>
              <c:numCache>
                <c:formatCode>_-* #,##0.0_-;\-* #,##0.0_-;_-* "-"??_-;_-@_-</c:formatCode>
                <c:ptCount val="11"/>
                <c:pt idx="0">
                  <c:v>13.319492093590423</c:v>
                </c:pt>
                <c:pt idx="1">
                  <c:v>12.535809132351011</c:v>
                </c:pt>
                <c:pt idx="2">
                  <c:v>4.8339015784955963</c:v>
                </c:pt>
                <c:pt idx="3">
                  <c:v>2.0778327451061784</c:v>
                </c:pt>
                <c:pt idx="4">
                  <c:v>2.0551894732791864</c:v>
                </c:pt>
                <c:pt idx="5">
                  <c:v>1.0655114577992852</c:v>
                </c:pt>
                <c:pt idx="6">
                  <c:v>0.79160665375178563</c:v>
                </c:pt>
                <c:pt idx="7">
                  <c:v>0.76443890670450598</c:v>
                </c:pt>
                <c:pt idx="8">
                  <c:v>0.60371729786836659</c:v>
                </c:pt>
                <c:pt idx="9">
                  <c:v>0.34105475874857777</c:v>
                </c:pt>
                <c:pt idx="10">
                  <c:v>0.25569237799790773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29B-403D-94E3-8F9F286C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4441950324138E-3"/>
          <c:y val="0.71236170191369752"/>
          <c:w val="0.99651555804967584"/>
          <c:h val="0.28763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38100</xdr:rowOff>
    </xdr:from>
    <xdr:to>
      <xdr:col>9</xdr:col>
      <xdr:colOff>76200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47625</xdr:rowOff>
    </xdr:from>
    <xdr:to>
      <xdr:col>17</xdr:col>
      <xdr:colOff>371475</xdr:colOff>
      <xdr:row>24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466725</xdr:colOff>
      <xdr:row>7</xdr:row>
      <xdr:rowOff>38098</xdr:rowOff>
    </xdr:from>
    <xdr:to>
      <xdr:col>26</xdr:col>
      <xdr:colOff>476250</xdr:colOff>
      <xdr:row>32</xdr:row>
      <xdr:rowOff>66223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Q50"/>
  <sheetViews>
    <sheetView workbookViewId="0">
      <selection activeCell="C22" sqref="C22:G22"/>
    </sheetView>
  </sheetViews>
  <sheetFormatPr defaultRowHeight="10.5"/>
  <cols>
    <col min="1" max="1" width="43.125" bestFit="1" customWidth="1"/>
    <col min="2" max="2" width="6.625" bestFit="1" customWidth="1"/>
    <col min="3" max="7" width="12.125" bestFit="1" customWidth="1"/>
    <col min="8" max="8" width="24.125" bestFit="1" customWidth="1"/>
    <col min="9" max="13" width="24.125" customWidth="1"/>
    <col min="14" max="14" width="19.375" bestFit="1" customWidth="1"/>
    <col min="15" max="15" width="13.875" bestFit="1" customWidth="1"/>
    <col min="16" max="16" width="24.875" bestFit="1" customWidth="1"/>
  </cols>
  <sheetData>
    <row r="2" spans="1:17">
      <c r="C2" s="18">
        <f>SUM(C5:C50)</f>
        <v>16793941.125558268</v>
      </c>
      <c r="D2" s="18">
        <f t="shared" ref="D2:G2" si="0">SUM(D5:D50)</f>
        <v>5345004.8468721835</v>
      </c>
      <c r="E2" s="18">
        <f t="shared" si="0"/>
        <v>4229089.0526657179</v>
      </c>
      <c r="F2" s="18">
        <f t="shared" si="0"/>
        <v>2887679.390140126</v>
      </c>
      <c r="G2" s="18">
        <f t="shared" si="0"/>
        <v>4921816.0923123304</v>
      </c>
      <c r="H2" s="18">
        <f>SUM(C2:G2)</f>
        <v>34177530.50754863</v>
      </c>
      <c r="J2" s="18"/>
      <c r="K2" s="18"/>
      <c r="L2" s="18"/>
      <c r="M2" s="18"/>
    </row>
    <row r="4" spans="1:17" ht="15" thickBot="1">
      <c r="A4" s="11" t="s">
        <v>36</v>
      </c>
      <c r="B4" s="11" t="s">
        <v>37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21" t="s">
        <v>0</v>
      </c>
      <c r="I4" s="21" t="s">
        <v>1</v>
      </c>
      <c r="J4" s="21" t="s">
        <v>2</v>
      </c>
      <c r="K4" s="21" t="s">
        <v>3</v>
      </c>
      <c r="L4" s="21" t="s">
        <v>39</v>
      </c>
      <c r="M4" s="21" t="s">
        <v>40</v>
      </c>
      <c r="N4" s="11" t="s">
        <v>4</v>
      </c>
      <c r="O4" s="11" t="s">
        <v>5</v>
      </c>
      <c r="P4" s="11" t="s">
        <v>6</v>
      </c>
      <c r="Q4" s="11" t="s">
        <v>38</v>
      </c>
    </row>
    <row r="5" spans="1:17" ht="11.5">
      <c r="A5" s="1" t="s">
        <v>85</v>
      </c>
      <c r="B5" s="1" t="s">
        <v>29</v>
      </c>
      <c r="C5" s="9">
        <v>1877600</v>
      </c>
      <c r="D5" s="9">
        <v>0</v>
      </c>
      <c r="E5" s="9">
        <v>0</v>
      </c>
      <c r="F5" s="9">
        <v>0</v>
      </c>
      <c r="G5" s="9">
        <v>0</v>
      </c>
      <c r="H5" s="20">
        <v>0.30432522214287383</v>
      </c>
      <c r="I5" s="20">
        <v>6.1537716452556061E-2</v>
      </c>
      <c r="J5" s="20">
        <v>0.62654768947962014</v>
      </c>
      <c r="K5" s="20">
        <v>7.5893719249499874E-3</v>
      </c>
      <c r="L5" s="20">
        <v>8.1430493120896216E-2</v>
      </c>
      <c r="M5" s="20">
        <v>1.0814304931208962</v>
      </c>
      <c r="N5" s="1" t="s">
        <v>11</v>
      </c>
      <c r="O5" s="1" t="s">
        <v>8</v>
      </c>
      <c r="P5" s="1" t="s">
        <v>9</v>
      </c>
      <c r="Q5" s="1" t="s">
        <v>10</v>
      </c>
    </row>
    <row r="6" spans="1:17" ht="11.5">
      <c r="A6" s="1" t="s">
        <v>90</v>
      </c>
      <c r="B6" s="1" t="s">
        <v>29</v>
      </c>
      <c r="C6" s="9">
        <v>3600000</v>
      </c>
      <c r="D6" s="9">
        <v>1200000</v>
      </c>
      <c r="E6" s="9">
        <v>1000000</v>
      </c>
      <c r="F6" s="9">
        <v>900000</v>
      </c>
      <c r="G6" s="9">
        <v>1100000</v>
      </c>
      <c r="H6" s="20">
        <v>0.20100000000000001</v>
      </c>
      <c r="I6" s="20">
        <v>0.26633333333333331</v>
      </c>
      <c r="J6" s="20">
        <v>0.26633333333333331</v>
      </c>
      <c r="K6" s="20">
        <v>0.26633333333333331</v>
      </c>
      <c r="L6" s="20">
        <v>8.1430493120896216E-2</v>
      </c>
      <c r="M6" s="20">
        <v>1.0814304931208962</v>
      </c>
      <c r="N6" s="1" t="s">
        <v>11</v>
      </c>
      <c r="O6" s="1" t="s">
        <v>8</v>
      </c>
      <c r="P6" s="1" t="s">
        <v>9</v>
      </c>
      <c r="Q6" s="1" t="s">
        <v>7</v>
      </c>
    </row>
    <row r="7" spans="1:17" ht="11.5">
      <c r="A7" s="1" t="s">
        <v>86</v>
      </c>
      <c r="B7" s="1" t="s">
        <v>29</v>
      </c>
      <c r="C7" s="9">
        <v>4255000</v>
      </c>
      <c r="D7" s="9">
        <v>0</v>
      </c>
      <c r="E7" s="9">
        <v>0</v>
      </c>
      <c r="F7" s="9">
        <v>0</v>
      </c>
      <c r="G7" s="9">
        <v>0</v>
      </c>
      <c r="H7" s="20">
        <v>0.19070000000000001</v>
      </c>
      <c r="I7" s="20">
        <v>0.4531</v>
      </c>
      <c r="J7" s="20">
        <v>0.34439999999999998</v>
      </c>
      <c r="K7" s="20">
        <v>1.18E-2</v>
      </c>
      <c r="L7" s="20">
        <v>8.1430493120896216E-2</v>
      </c>
      <c r="M7" s="20">
        <v>1.0814304931208962</v>
      </c>
      <c r="N7" s="1" t="s">
        <v>11</v>
      </c>
      <c r="O7" s="1" t="s">
        <v>8</v>
      </c>
      <c r="P7" s="1" t="s">
        <v>12</v>
      </c>
      <c r="Q7" s="1" t="s">
        <v>7</v>
      </c>
    </row>
    <row r="8" spans="1:17" ht="11.5">
      <c r="A8" s="1" t="s">
        <v>13</v>
      </c>
      <c r="B8" s="1" t="s">
        <v>29</v>
      </c>
      <c r="C8" s="9">
        <v>673030</v>
      </c>
      <c r="D8" s="9">
        <v>0</v>
      </c>
      <c r="E8" s="9">
        <v>0</v>
      </c>
      <c r="F8" s="9">
        <v>0</v>
      </c>
      <c r="G8" s="9">
        <v>0</v>
      </c>
      <c r="H8" s="20">
        <v>0.82899999999999996</v>
      </c>
      <c r="I8" s="20">
        <v>5.7000000000000016E-2</v>
      </c>
      <c r="J8" s="20">
        <v>5.7000000000000016E-2</v>
      </c>
      <c r="K8" s="20">
        <v>5.7000000000000016E-2</v>
      </c>
      <c r="L8" s="20">
        <v>8.1430493120896216E-2</v>
      </c>
      <c r="M8" s="20">
        <v>1.0814304931208962</v>
      </c>
      <c r="N8" s="1" t="s">
        <v>21</v>
      </c>
      <c r="O8" s="1" t="s">
        <v>8</v>
      </c>
      <c r="P8" s="1" t="s">
        <v>13</v>
      </c>
      <c r="Q8" s="1" t="s">
        <v>7</v>
      </c>
    </row>
    <row r="9" spans="1:17" ht="11.5">
      <c r="A9" s="1" t="s">
        <v>91</v>
      </c>
      <c r="B9" s="1" t="s">
        <v>29</v>
      </c>
      <c r="C9" s="9">
        <v>0</v>
      </c>
      <c r="D9" s="9">
        <v>0</v>
      </c>
      <c r="E9" s="9">
        <v>0</v>
      </c>
      <c r="F9" s="9">
        <v>0</v>
      </c>
      <c r="G9" s="9">
        <v>1000000</v>
      </c>
      <c r="H9" s="20">
        <v>0.39471952746670791</v>
      </c>
      <c r="I9" s="20">
        <v>3.268678242468747E-2</v>
      </c>
      <c r="J9" s="20">
        <v>0.5725936901086045</v>
      </c>
      <c r="K9" s="20">
        <v>0</v>
      </c>
      <c r="L9" s="20">
        <v>8.1430493120896216E-2</v>
      </c>
      <c r="M9" s="20">
        <v>1.081430493120896</v>
      </c>
      <c r="N9" s="1" t="s">
        <v>11</v>
      </c>
      <c r="O9" s="1" t="s">
        <v>8</v>
      </c>
      <c r="P9" s="1" t="s">
        <v>9</v>
      </c>
      <c r="Q9" s="1" t="s">
        <v>10</v>
      </c>
    </row>
    <row r="10" spans="1:17" ht="11.5">
      <c r="A10" s="1" t="s">
        <v>92</v>
      </c>
      <c r="B10" s="1" t="s">
        <v>29</v>
      </c>
      <c r="C10" s="9">
        <v>760000</v>
      </c>
      <c r="D10" s="9">
        <v>0</v>
      </c>
      <c r="E10" s="9">
        <v>0</v>
      </c>
      <c r="F10" s="9">
        <v>0</v>
      </c>
      <c r="G10" s="9">
        <v>0</v>
      </c>
      <c r="H10" s="20">
        <v>0.30432522214287383</v>
      </c>
      <c r="I10" s="20">
        <v>6.1537716452556061E-2</v>
      </c>
      <c r="J10" s="20">
        <v>0.62654768947962014</v>
      </c>
      <c r="K10" s="20">
        <v>7.5893719249499874E-3</v>
      </c>
      <c r="L10" s="20">
        <v>8.1430493120896216E-2</v>
      </c>
      <c r="M10" s="20">
        <v>1.0814304931208962</v>
      </c>
      <c r="N10" s="1" t="s">
        <v>11</v>
      </c>
      <c r="O10" s="1" t="s">
        <v>8</v>
      </c>
      <c r="P10" s="1" t="s">
        <v>9</v>
      </c>
      <c r="Q10" s="1" t="s">
        <v>10</v>
      </c>
    </row>
    <row r="11" spans="1:17" ht="11.5">
      <c r="A11" s="1" t="s">
        <v>93</v>
      </c>
      <c r="B11" s="1" t="s">
        <v>29</v>
      </c>
      <c r="C11" s="9">
        <v>0</v>
      </c>
      <c r="D11" s="9">
        <v>0</v>
      </c>
      <c r="E11" s="9">
        <v>0</v>
      </c>
      <c r="F11" s="9">
        <v>0</v>
      </c>
      <c r="G11" s="9">
        <v>210000</v>
      </c>
      <c r="H11" s="20">
        <v>0.39471952746670791</v>
      </c>
      <c r="I11" s="20">
        <v>3.268678242468747E-2</v>
      </c>
      <c r="J11" s="20">
        <v>0.5725936901086045</v>
      </c>
      <c r="K11" s="20">
        <v>0</v>
      </c>
      <c r="L11" s="20">
        <v>8.1430493120896216E-2</v>
      </c>
      <c r="M11" s="20">
        <v>1.081430493120896</v>
      </c>
      <c r="N11" s="1" t="s">
        <v>11</v>
      </c>
      <c r="O11" s="1" t="s">
        <v>8</v>
      </c>
      <c r="P11" s="1" t="s">
        <v>9</v>
      </c>
      <c r="Q11" s="1" t="s">
        <v>10</v>
      </c>
    </row>
    <row r="12" spans="1:17" ht="11.5">
      <c r="A12" s="1" t="s">
        <v>80</v>
      </c>
      <c r="B12" s="1" t="s">
        <v>29</v>
      </c>
      <c r="C12" s="9">
        <v>75000</v>
      </c>
      <c r="D12" s="9">
        <v>0</v>
      </c>
      <c r="E12" s="9">
        <v>0</v>
      </c>
      <c r="F12" s="9">
        <v>0</v>
      </c>
      <c r="G12" s="9">
        <v>0</v>
      </c>
      <c r="H12" s="20">
        <v>0</v>
      </c>
      <c r="I12" s="20">
        <v>1</v>
      </c>
      <c r="J12" s="20">
        <v>0</v>
      </c>
      <c r="K12" s="20">
        <v>0</v>
      </c>
      <c r="L12" s="20">
        <v>8.1430493120896216E-2</v>
      </c>
      <c r="M12" s="20">
        <v>1.0814304931208962</v>
      </c>
      <c r="N12" s="1" t="s">
        <v>14</v>
      </c>
      <c r="O12" s="1" t="s">
        <v>8</v>
      </c>
      <c r="P12" s="1" t="s">
        <v>15</v>
      </c>
      <c r="Q12" s="1" t="s">
        <v>10</v>
      </c>
    </row>
    <row r="13" spans="1:17" ht="11.5">
      <c r="A13" s="1" t="s">
        <v>81</v>
      </c>
      <c r="B13" s="1" t="s">
        <v>29</v>
      </c>
      <c r="C13" s="9">
        <v>75000</v>
      </c>
      <c r="D13" s="9">
        <v>0</v>
      </c>
      <c r="E13" s="9">
        <v>0</v>
      </c>
      <c r="F13" s="9">
        <v>0</v>
      </c>
      <c r="G13" s="9">
        <v>0</v>
      </c>
      <c r="H13" s="20">
        <v>0</v>
      </c>
      <c r="I13" s="20">
        <v>1</v>
      </c>
      <c r="J13" s="20">
        <v>0</v>
      </c>
      <c r="K13" s="20">
        <v>0</v>
      </c>
      <c r="L13" s="20">
        <v>8.1430493120896216E-2</v>
      </c>
      <c r="M13" s="20">
        <v>1.0814304931208962</v>
      </c>
      <c r="N13" s="1" t="s">
        <v>14</v>
      </c>
      <c r="O13" s="1" t="s">
        <v>8</v>
      </c>
      <c r="P13" s="1" t="s">
        <v>15</v>
      </c>
      <c r="Q13" s="1" t="s">
        <v>10</v>
      </c>
    </row>
    <row r="14" spans="1:17" ht="11.5">
      <c r="A14" s="1" t="s">
        <v>82</v>
      </c>
      <c r="B14" s="1" t="s">
        <v>29</v>
      </c>
      <c r="C14" s="9">
        <v>75000</v>
      </c>
      <c r="D14" s="9">
        <v>0</v>
      </c>
      <c r="E14" s="9">
        <v>0</v>
      </c>
      <c r="F14" s="9">
        <v>0</v>
      </c>
      <c r="G14" s="9">
        <v>0</v>
      </c>
      <c r="H14" s="20">
        <v>0</v>
      </c>
      <c r="I14" s="20">
        <v>1</v>
      </c>
      <c r="J14" s="20">
        <v>0</v>
      </c>
      <c r="K14" s="20">
        <v>0</v>
      </c>
      <c r="L14" s="20">
        <v>8.1430493120896216E-2</v>
      </c>
      <c r="M14" s="20">
        <v>1.0814304931208962</v>
      </c>
      <c r="N14" s="1" t="s">
        <v>14</v>
      </c>
      <c r="O14" s="1" t="s">
        <v>8</v>
      </c>
      <c r="P14" s="1" t="s">
        <v>15</v>
      </c>
      <c r="Q14" s="1" t="s">
        <v>10</v>
      </c>
    </row>
    <row r="15" spans="1:17" ht="11.5">
      <c r="A15" s="1" t="s">
        <v>94</v>
      </c>
      <c r="B15" s="1" t="s">
        <v>29</v>
      </c>
      <c r="C15" s="9">
        <v>937893.35</v>
      </c>
      <c r="D15" s="9">
        <v>0</v>
      </c>
      <c r="E15" s="9">
        <v>0</v>
      </c>
      <c r="F15" s="9">
        <v>0</v>
      </c>
      <c r="G15" s="9">
        <v>0</v>
      </c>
      <c r="H15" s="20">
        <v>0.23</v>
      </c>
      <c r="I15" s="20">
        <v>0.48</v>
      </c>
      <c r="J15" s="20">
        <v>0.28000000000000003</v>
      </c>
      <c r="K15" s="20">
        <v>0.01</v>
      </c>
      <c r="L15" s="20">
        <v>8.1430493120896216E-2</v>
      </c>
      <c r="M15" s="20">
        <v>1.0814304931208962</v>
      </c>
      <c r="N15" s="1" t="s">
        <v>11</v>
      </c>
      <c r="O15" s="1" t="s">
        <v>8</v>
      </c>
      <c r="P15" s="1" t="s">
        <v>16</v>
      </c>
      <c r="Q15" s="1" t="s">
        <v>7</v>
      </c>
    </row>
    <row r="16" spans="1:17" ht="11.5">
      <c r="A16" s="1" t="s">
        <v>95</v>
      </c>
      <c r="B16" s="1" t="s">
        <v>29</v>
      </c>
      <c r="C16" s="9">
        <v>100000</v>
      </c>
      <c r="D16" s="9">
        <v>120000</v>
      </c>
      <c r="E16" s="9">
        <v>0</v>
      </c>
      <c r="F16" s="9">
        <v>0</v>
      </c>
      <c r="G16" s="9">
        <v>0</v>
      </c>
      <c r="H16" s="20">
        <v>1</v>
      </c>
      <c r="I16" s="20">
        <v>0</v>
      </c>
      <c r="J16" s="20">
        <v>0</v>
      </c>
      <c r="K16" s="20">
        <v>0</v>
      </c>
      <c r="L16" s="20">
        <v>8.1430493120896216E-2</v>
      </c>
      <c r="M16" s="20">
        <v>1.0814304931208962</v>
      </c>
      <c r="N16" s="1" t="s">
        <v>11</v>
      </c>
      <c r="O16" s="1" t="s">
        <v>8</v>
      </c>
      <c r="P16" s="1" t="s">
        <v>17</v>
      </c>
      <c r="Q16" s="1" t="s">
        <v>10</v>
      </c>
    </row>
    <row r="17" spans="1:17" ht="11.5">
      <c r="A17" s="1" t="s">
        <v>96</v>
      </c>
      <c r="B17" s="1" t="s">
        <v>29</v>
      </c>
      <c r="C17" s="9">
        <v>50000</v>
      </c>
      <c r="D17" s="9">
        <v>0</v>
      </c>
      <c r="E17" s="9">
        <v>0</v>
      </c>
      <c r="F17" s="9">
        <v>0</v>
      </c>
      <c r="G17" s="9">
        <v>0</v>
      </c>
      <c r="H17" s="20">
        <v>3.268678242468747E-2</v>
      </c>
      <c r="I17" s="20">
        <v>0.32243773919177082</v>
      </c>
      <c r="J17" s="20">
        <v>0.32243773919177082</v>
      </c>
      <c r="K17" s="20">
        <v>0.32243773919177082</v>
      </c>
      <c r="L17" s="20">
        <v>8.1430493120896216E-2</v>
      </c>
      <c r="M17" s="20">
        <v>1.0814304931208962</v>
      </c>
      <c r="N17" s="1" t="s">
        <v>21</v>
      </c>
      <c r="O17" s="1" t="s">
        <v>8</v>
      </c>
      <c r="P17" s="1" t="s">
        <v>18</v>
      </c>
      <c r="Q17" s="1" t="s">
        <v>10</v>
      </c>
    </row>
    <row r="18" spans="1:17" ht="11.5">
      <c r="A18" s="1" t="s">
        <v>97</v>
      </c>
      <c r="B18" s="1" t="s">
        <v>29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0">
        <v>0.39471952746670791</v>
      </c>
      <c r="I18" s="20">
        <v>3.268678242468747E-2</v>
      </c>
      <c r="J18" s="20">
        <v>0.5725936901086045</v>
      </c>
      <c r="K18" s="20">
        <v>0</v>
      </c>
      <c r="L18" s="20">
        <v>0</v>
      </c>
      <c r="M18" s="20">
        <v>0.99999999999999989</v>
      </c>
      <c r="N18" s="1" t="s">
        <v>11</v>
      </c>
      <c r="O18" s="1" t="s">
        <v>8</v>
      </c>
      <c r="P18" s="1" t="s">
        <v>9</v>
      </c>
      <c r="Q18" s="1" t="s">
        <v>10</v>
      </c>
    </row>
    <row r="19" spans="1:17" ht="11.5">
      <c r="A19" s="1" t="s">
        <v>98</v>
      </c>
      <c r="B19" s="1" t="s">
        <v>29</v>
      </c>
      <c r="C19" s="9">
        <v>0</v>
      </c>
      <c r="D19" s="9">
        <v>300000</v>
      </c>
      <c r="E19" s="9">
        <v>0</v>
      </c>
      <c r="F19" s="9">
        <v>0</v>
      </c>
      <c r="G19" s="9">
        <v>0</v>
      </c>
      <c r="H19" s="20">
        <v>0</v>
      </c>
      <c r="I19" s="20">
        <v>1</v>
      </c>
      <c r="J19" s="20">
        <v>0</v>
      </c>
      <c r="K19" s="20">
        <v>0</v>
      </c>
      <c r="L19" s="20">
        <v>8.1430493120896216E-2</v>
      </c>
      <c r="M19" s="20">
        <v>1.0814304931208962</v>
      </c>
      <c r="N19" s="1" t="s">
        <v>11</v>
      </c>
      <c r="O19" s="1" t="s">
        <v>8</v>
      </c>
      <c r="P19" s="1" t="s">
        <v>19</v>
      </c>
      <c r="Q19" s="1" t="s">
        <v>10</v>
      </c>
    </row>
    <row r="20" spans="1:17" ht="11.5">
      <c r="A20" s="1" t="s">
        <v>99</v>
      </c>
      <c r="B20" s="1" t="s">
        <v>29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20">
        <v>0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1" t="s">
        <v>14</v>
      </c>
      <c r="O20" s="1" t="s">
        <v>8</v>
      </c>
      <c r="P20" s="1" t="s">
        <v>20</v>
      </c>
      <c r="Q20" s="1" t="s">
        <v>10</v>
      </c>
    </row>
    <row r="21" spans="1:17" ht="11.5">
      <c r="A21" s="1" t="s">
        <v>100</v>
      </c>
      <c r="B21" s="1" t="s">
        <v>29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1</v>
      </c>
      <c r="N21" s="1" t="s">
        <v>54</v>
      </c>
      <c r="O21" s="1" t="s">
        <v>8</v>
      </c>
      <c r="P21" s="1" t="s">
        <v>20</v>
      </c>
      <c r="Q21" s="1" t="s">
        <v>10</v>
      </c>
    </row>
    <row r="22" spans="1:17" ht="11.5">
      <c r="A22" s="1" t="s">
        <v>30</v>
      </c>
      <c r="B22" s="1" t="s">
        <v>29</v>
      </c>
      <c r="C22" s="9">
        <v>3198972.4219684736</v>
      </c>
      <c r="D22" s="9">
        <v>3214704.9057517247</v>
      </c>
      <c r="E22" s="9">
        <v>2235462.8072098522</v>
      </c>
      <c r="F22" s="9">
        <v>1522688.5446679804</v>
      </c>
      <c r="G22" s="9">
        <v>850731.36650246324</v>
      </c>
      <c r="H22" s="20">
        <v>0</v>
      </c>
      <c r="I22" s="20">
        <v>1</v>
      </c>
      <c r="J22" s="20">
        <v>0</v>
      </c>
      <c r="K22" s="20">
        <v>0</v>
      </c>
      <c r="L22" s="20">
        <v>8.1430493120896216E-2</v>
      </c>
      <c r="M22" s="20">
        <v>1.0814304931208962</v>
      </c>
      <c r="N22" s="1" t="s">
        <v>30</v>
      </c>
      <c r="O22" s="1" t="s">
        <v>32</v>
      </c>
      <c r="P22" s="1" t="s">
        <v>30</v>
      </c>
      <c r="Q22" s="1" t="s">
        <v>10</v>
      </c>
    </row>
    <row r="23" spans="1:17" ht="11.5">
      <c r="A23" s="1" t="s">
        <v>23</v>
      </c>
      <c r="B23" s="1" t="s">
        <v>29</v>
      </c>
      <c r="C23" s="9">
        <v>651454.50811764714</v>
      </c>
      <c r="D23" s="9">
        <v>45309.095648312657</v>
      </c>
      <c r="E23" s="9">
        <v>0</v>
      </c>
      <c r="F23" s="9">
        <v>0</v>
      </c>
      <c r="G23" s="9">
        <v>0</v>
      </c>
      <c r="H23" s="20">
        <v>1</v>
      </c>
      <c r="I23" s="20">
        <v>0</v>
      </c>
      <c r="J23" s="20">
        <v>0</v>
      </c>
      <c r="K23" s="20">
        <v>0</v>
      </c>
      <c r="L23" s="20">
        <v>8.1430493120896216E-2</v>
      </c>
      <c r="M23" s="20">
        <v>1.0814304931208962</v>
      </c>
      <c r="N23" s="1" t="s">
        <v>33</v>
      </c>
      <c r="O23" s="1" t="s">
        <v>32</v>
      </c>
      <c r="P23" s="1" t="s">
        <v>23</v>
      </c>
      <c r="Q23" s="1" t="s">
        <v>10</v>
      </c>
    </row>
    <row r="24" spans="1:17" ht="11.5">
      <c r="A24" s="1" t="s">
        <v>20</v>
      </c>
      <c r="B24" s="1" t="s">
        <v>29</v>
      </c>
      <c r="C24" s="9">
        <v>358862.81559787411</v>
      </c>
      <c r="D24" s="9">
        <v>358862.81559787411</v>
      </c>
      <c r="E24" s="9">
        <v>358862.81559787411</v>
      </c>
      <c r="F24" s="9">
        <v>358862.81559787411</v>
      </c>
      <c r="G24" s="9">
        <v>358862.81559787411</v>
      </c>
      <c r="H24" s="20">
        <v>0.25</v>
      </c>
      <c r="I24" s="20">
        <v>0.25</v>
      </c>
      <c r="J24" s="20">
        <v>0.25</v>
      </c>
      <c r="K24" s="20">
        <v>0.25</v>
      </c>
      <c r="L24" s="20">
        <v>8.1430493120896216E-2</v>
      </c>
      <c r="M24" s="20">
        <v>1.0814304931208962</v>
      </c>
      <c r="N24" s="1" t="s">
        <v>21</v>
      </c>
      <c r="O24" s="1" t="s">
        <v>8</v>
      </c>
      <c r="P24" s="1" t="s">
        <v>20</v>
      </c>
      <c r="Q24" s="1" t="s">
        <v>10</v>
      </c>
    </row>
    <row r="25" spans="1:17" ht="11.5">
      <c r="A25" s="1" t="s">
        <v>101</v>
      </c>
      <c r="B25" s="1" t="s">
        <v>29</v>
      </c>
      <c r="C25" s="9">
        <v>0</v>
      </c>
      <c r="D25" s="9">
        <v>0</v>
      </c>
      <c r="E25" s="9">
        <v>528635.39998372004</v>
      </c>
      <c r="F25" s="9">
        <v>0</v>
      </c>
      <c r="G25" s="9">
        <v>1296093.8803377212</v>
      </c>
      <c r="H25" s="20">
        <v>0</v>
      </c>
      <c r="I25" s="20">
        <v>1</v>
      </c>
      <c r="J25" s="20">
        <v>0</v>
      </c>
      <c r="K25" s="20">
        <v>0</v>
      </c>
      <c r="L25" s="20">
        <v>8.1430493120896216E-2</v>
      </c>
      <c r="M25" s="20">
        <v>1.0814304931208962</v>
      </c>
      <c r="N25" s="1" t="s">
        <v>21</v>
      </c>
      <c r="O25" s="1" t="s">
        <v>32</v>
      </c>
      <c r="P25" s="1" t="s">
        <v>34</v>
      </c>
      <c r="Q25" s="1" t="s">
        <v>10</v>
      </c>
    </row>
    <row r="26" spans="1:17" ht="11.5">
      <c r="A26" s="1" t="s">
        <v>102</v>
      </c>
      <c r="B26" s="1" t="s">
        <v>29</v>
      </c>
      <c r="C26" s="9">
        <v>106128.02987427135</v>
      </c>
      <c r="D26" s="9">
        <v>106128.02987427135</v>
      </c>
      <c r="E26" s="9">
        <v>106128.02987427135</v>
      </c>
      <c r="F26" s="9">
        <v>106128.02987427135</v>
      </c>
      <c r="G26" s="9">
        <v>106128.02987427135</v>
      </c>
      <c r="H26" s="20">
        <v>0</v>
      </c>
      <c r="I26" s="20">
        <v>1</v>
      </c>
      <c r="J26" s="20">
        <v>0</v>
      </c>
      <c r="K26" s="20">
        <v>0</v>
      </c>
      <c r="L26" s="20">
        <v>8.1430493120896216E-2</v>
      </c>
      <c r="M26" s="20">
        <v>1.0814304931208962</v>
      </c>
      <c r="N26" s="1" t="s">
        <v>21</v>
      </c>
      <c r="O26" s="1" t="s">
        <v>32</v>
      </c>
      <c r="P26" s="1" t="s">
        <v>35</v>
      </c>
      <c r="Q26" s="1" t="s">
        <v>10</v>
      </c>
    </row>
    <row r="27" spans="1:17" ht="11.5">
      <c r="A27" s="1" t="s">
        <v>103</v>
      </c>
      <c r="B27" s="1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" t="s">
        <v>103</v>
      </c>
      <c r="O27" s="1" t="s">
        <v>103</v>
      </c>
      <c r="P27" s="1" t="s">
        <v>103</v>
      </c>
      <c r="Q27" s="1" t="s">
        <v>103</v>
      </c>
    </row>
    <row r="28" spans="1:17" ht="11.5">
      <c r="A28" s="1" t="s">
        <v>103</v>
      </c>
      <c r="B28" s="1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1" t="s">
        <v>103</v>
      </c>
      <c r="O28" s="1" t="s">
        <v>103</v>
      </c>
      <c r="P28" s="1" t="s">
        <v>103</v>
      </c>
      <c r="Q28" s="1" t="s">
        <v>103</v>
      </c>
    </row>
    <row r="29" spans="1:17" ht="11.5">
      <c r="A29" s="1" t="s">
        <v>103</v>
      </c>
      <c r="B29" s="1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" t="s">
        <v>103</v>
      </c>
      <c r="O29" s="1" t="s">
        <v>103</v>
      </c>
      <c r="P29" s="1" t="s">
        <v>103</v>
      </c>
      <c r="Q29" s="1" t="s">
        <v>103</v>
      </c>
    </row>
    <row r="30" spans="1:17" ht="11.5">
      <c r="A30" s="1" t="s">
        <v>103</v>
      </c>
      <c r="B30" s="1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" t="s">
        <v>103</v>
      </c>
      <c r="O30" s="1" t="s">
        <v>103</v>
      </c>
      <c r="P30" s="1" t="s">
        <v>103</v>
      </c>
      <c r="Q30" s="1" t="s">
        <v>103</v>
      </c>
    </row>
    <row r="31" spans="1:17" ht="11.5">
      <c r="A31" s="1" t="s">
        <v>103</v>
      </c>
      <c r="B31" s="1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" t="s">
        <v>103</v>
      </c>
      <c r="O31" s="1" t="s">
        <v>103</v>
      </c>
      <c r="P31" s="1" t="s">
        <v>103</v>
      </c>
      <c r="Q31" s="1" t="s">
        <v>103</v>
      </c>
    </row>
    <row r="32" spans="1:17" ht="11.5">
      <c r="A32" s="1" t="s">
        <v>103</v>
      </c>
      <c r="B32" s="1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" t="s">
        <v>103</v>
      </c>
      <c r="O32" s="1" t="s">
        <v>103</v>
      </c>
      <c r="P32" s="1" t="s">
        <v>103</v>
      </c>
      <c r="Q32" s="1" t="s">
        <v>103</v>
      </c>
    </row>
    <row r="33" spans="1:17" ht="11.5">
      <c r="A33" s="1" t="s">
        <v>103</v>
      </c>
      <c r="B33" s="1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" t="s">
        <v>103</v>
      </c>
      <c r="O33" s="1" t="s">
        <v>103</v>
      </c>
      <c r="P33" s="1" t="s">
        <v>103</v>
      </c>
      <c r="Q33" s="1" t="s">
        <v>103</v>
      </c>
    </row>
    <row r="34" spans="1:17" ht="11.5">
      <c r="A34" s="1" t="s">
        <v>103</v>
      </c>
      <c r="B34" s="1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1" t="s">
        <v>103</v>
      </c>
      <c r="O34" s="1" t="s">
        <v>103</v>
      </c>
      <c r="P34" s="1" t="s">
        <v>103</v>
      </c>
      <c r="Q34" s="1" t="s">
        <v>103</v>
      </c>
    </row>
    <row r="35" spans="1:17" ht="11.5">
      <c r="A35" s="1" t="s">
        <v>103</v>
      </c>
      <c r="B35" s="1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1" t="s">
        <v>103</v>
      </c>
      <c r="O35" s="1" t="s">
        <v>103</v>
      </c>
      <c r="P35" s="1" t="s">
        <v>103</v>
      </c>
      <c r="Q35" s="1" t="s">
        <v>103</v>
      </c>
    </row>
    <row r="36" spans="1:17" ht="11.5">
      <c r="A36" s="1" t="s">
        <v>103</v>
      </c>
      <c r="B36" s="1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" t="s">
        <v>103</v>
      </c>
      <c r="O36" s="1" t="s">
        <v>103</v>
      </c>
      <c r="P36" s="1" t="s">
        <v>103</v>
      </c>
      <c r="Q36" s="1" t="s">
        <v>103</v>
      </c>
    </row>
    <row r="37" spans="1:17" ht="11.5">
      <c r="A37" s="1" t="s">
        <v>103</v>
      </c>
      <c r="B37" s="1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" t="s">
        <v>103</v>
      </c>
      <c r="O37" s="1" t="s">
        <v>103</v>
      </c>
      <c r="P37" s="1" t="s">
        <v>103</v>
      </c>
      <c r="Q37" s="1" t="s">
        <v>103</v>
      </c>
    </row>
    <row r="38" spans="1:17" ht="11.5">
      <c r="A38" s="1" t="s">
        <v>103</v>
      </c>
      <c r="B38" s="1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" t="s">
        <v>103</v>
      </c>
      <c r="O38" s="1" t="s">
        <v>103</v>
      </c>
      <c r="P38" s="1" t="s">
        <v>103</v>
      </c>
      <c r="Q38" s="1" t="s">
        <v>103</v>
      </c>
    </row>
    <row r="39" spans="1:17" ht="11.5">
      <c r="A39" s="1" t="s">
        <v>103</v>
      </c>
      <c r="B39" s="1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" t="s">
        <v>103</v>
      </c>
      <c r="O39" s="1" t="s">
        <v>103</v>
      </c>
      <c r="P39" s="1" t="s">
        <v>103</v>
      </c>
      <c r="Q39" s="1" t="s">
        <v>103</v>
      </c>
    </row>
    <row r="40" spans="1:17" ht="11.5">
      <c r="A40" s="1" t="s">
        <v>103</v>
      </c>
      <c r="B40" s="1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" t="s">
        <v>103</v>
      </c>
      <c r="O40" s="1" t="s">
        <v>103</v>
      </c>
      <c r="P40" s="1" t="s">
        <v>103</v>
      </c>
      <c r="Q40" s="1" t="s">
        <v>103</v>
      </c>
    </row>
    <row r="41" spans="1:17" ht="11.5">
      <c r="A41" s="1" t="s">
        <v>103</v>
      </c>
      <c r="B41" s="1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" t="s">
        <v>103</v>
      </c>
      <c r="O41" s="1" t="s">
        <v>103</v>
      </c>
      <c r="P41" s="1" t="s">
        <v>103</v>
      </c>
      <c r="Q41" s="1" t="s">
        <v>103</v>
      </c>
    </row>
    <row r="42" spans="1:17" ht="11.5">
      <c r="A42" s="1" t="s">
        <v>103</v>
      </c>
      <c r="B42" s="1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" t="s">
        <v>103</v>
      </c>
      <c r="O42" s="1" t="s">
        <v>103</v>
      </c>
      <c r="P42" s="1" t="s">
        <v>103</v>
      </c>
      <c r="Q42" s="1" t="s">
        <v>103</v>
      </c>
    </row>
    <row r="43" spans="1:17" ht="11.5">
      <c r="A43" s="1" t="s">
        <v>103</v>
      </c>
      <c r="B43" s="1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" t="s">
        <v>103</v>
      </c>
      <c r="O43" s="1" t="s">
        <v>103</v>
      </c>
      <c r="P43" s="1" t="s">
        <v>103</v>
      </c>
      <c r="Q43" s="1" t="s">
        <v>103</v>
      </c>
    </row>
    <row r="44" spans="1:17" ht="11.5">
      <c r="A44" s="1" t="s">
        <v>103</v>
      </c>
      <c r="B44" s="1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" t="s">
        <v>103</v>
      </c>
      <c r="O44" s="1" t="s">
        <v>103</v>
      </c>
      <c r="P44" s="1" t="s">
        <v>103</v>
      </c>
      <c r="Q44" s="1" t="s">
        <v>103</v>
      </c>
    </row>
    <row r="45" spans="1:17" ht="11.5">
      <c r="A45" s="1" t="s">
        <v>103</v>
      </c>
      <c r="B45" s="1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" t="s">
        <v>103</v>
      </c>
      <c r="O45" s="1" t="s">
        <v>103</v>
      </c>
      <c r="P45" s="1" t="s">
        <v>103</v>
      </c>
      <c r="Q45" s="1" t="s">
        <v>103</v>
      </c>
    </row>
    <row r="46" spans="1:17" ht="11.5">
      <c r="A46" s="1" t="s">
        <v>103</v>
      </c>
      <c r="B46" s="1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" t="s">
        <v>103</v>
      </c>
      <c r="O46" s="1" t="s">
        <v>103</v>
      </c>
      <c r="P46" s="1" t="s">
        <v>103</v>
      </c>
      <c r="Q46" s="1" t="s">
        <v>103</v>
      </c>
    </row>
    <row r="47" spans="1:17" ht="11.5">
      <c r="A47" s="1" t="s">
        <v>103</v>
      </c>
      <c r="B47" s="1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" t="s">
        <v>103</v>
      </c>
      <c r="O47" s="1" t="s">
        <v>103</v>
      </c>
      <c r="P47" s="1" t="s">
        <v>103</v>
      </c>
      <c r="Q47" s="1" t="s">
        <v>103</v>
      </c>
    </row>
    <row r="48" spans="1:17" ht="11.5">
      <c r="A48" s="1" t="s">
        <v>103</v>
      </c>
      <c r="B48" s="1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" t="s">
        <v>103</v>
      </c>
      <c r="O48" s="1" t="s">
        <v>103</v>
      </c>
      <c r="P48" s="1" t="s">
        <v>103</v>
      </c>
      <c r="Q48" s="1" t="s">
        <v>103</v>
      </c>
    </row>
    <row r="49" spans="1:17" ht="11.5">
      <c r="A49" s="1" t="s">
        <v>103</v>
      </c>
      <c r="B49" s="1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" t="s">
        <v>103</v>
      </c>
      <c r="O49" s="1" t="s">
        <v>103</v>
      </c>
      <c r="P49" s="1" t="s">
        <v>103</v>
      </c>
      <c r="Q49" s="1" t="s">
        <v>103</v>
      </c>
    </row>
    <row r="50" spans="1:17" ht="11.5">
      <c r="A50" s="1" t="s">
        <v>103</v>
      </c>
      <c r="B50" s="1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" t="s">
        <v>103</v>
      </c>
      <c r="O50" s="1" t="s">
        <v>103</v>
      </c>
      <c r="P50" s="1" t="s">
        <v>103</v>
      </c>
      <c r="Q50" s="1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3:O46"/>
  <sheetViews>
    <sheetView tabSelected="1" workbookViewId="0">
      <selection activeCell="I22" sqref="I22"/>
    </sheetView>
  </sheetViews>
  <sheetFormatPr defaultRowHeight="10.5"/>
  <cols>
    <col min="10" max="10" width="10.125" bestFit="1" customWidth="1"/>
  </cols>
  <sheetData>
    <row r="3" spans="2:15" ht="11.5">
      <c r="B3" t="s">
        <v>41</v>
      </c>
      <c r="C3" s="8">
        <v>8.1430493120896216E-2</v>
      </c>
    </row>
    <row r="6" spans="2:15" ht="15" thickBot="1">
      <c r="B6" s="11" t="s">
        <v>42</v>
      </c>
      <c r="C6" s="11"/>
      <c r="D6" s="11"/>
      <c r="E6" s="11" t="s">
        <v>43</v>
      </c>
      <c r="F6" s="11" t="s">
        <v>44</v>
      </c>
      <c r="G6" s="11" t="s">
        <v>45</v>
      </c>
      <c r="H6" s="11" t="s">
        <v>46</v>
      </c>
      <c r="I6" s="11" t="s">
        <v>47</v>
      </c>
      <c r="J6" s="11" t="s">
        <v>48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8" spans="2:15">
      <c r="E8" s="14">
        <v>42795</v>
      </c>
      <c r="F8" s="14">
        <f>DATE(YEAR(E8)+1,MONTH(E8),DAY(E8))</f>
        <v>43160</v>
      </c>
      <c r="G8" s="14">
        <f t="shared" ref="G8:O8" si="0">DATE(YEAR(F8)+1,MONTH(F8),DAY(F8))</f>
        <v>43525</v>
      </c>
      <c r="H8" s="14">
        <f t="shared" si="0"/>
        <v>43891</v>
      </c>
      <c r="I8" s="14">
        <f t="shared" si="0"/>
        <v>44256</v>
      </c>
      <c r="J8" s="14">
        <f t="shared" si="0"/>
        <v>44621</v>
      </c>
      <c r="K8" s="14">
        <f t="shared" si="0"/>
        <v>44986</v>
      </c>
      <c r="L8" s="14">
        <f t="shared" si="0"/>
        <v>45352</v>
      </c>
      <c r="M8" s="14">
        <f t="shared" si="0"/>
        <v>45717</v>
      </c>
      <c r="N8" s="14">
        <f t="shared" si="0"/>
        <v>46082</v>
      </c>
      <c r="O8" s="14">
        <f t="shared" si="0"/>
        <v>46447</v>
      </c>
    </row>
    <row r="9" spans="2:15" ht="11.5">
      <c r="B9" t="s">
        <v>49</v>
      </c>
      <c r="E9" s="16">
        <v>2.1256931608133023E-2</v>
      </c>
      <c r="F9" s="16">
        <v>1.9004524886877761E-2</v>
      </c>
      <c r="G9" s="16">
        <v>1.3321492007104752E-2</v>
      </c>
      <c r="H9" s="16">
        <v>2.1910604732690686E-2</v>
      </c>
      <c r="I9" s="16">
        <v>1.1149228130360234E-2</v>
      </c>
      <c r="J9" s="12">
        <v>5.0890585241730298E-2</v>
      </c>
      <c r="K9" s="12">
        <v>2.2498471879899951E-2</v>
      </c>
      <c r="L9" s="12">
        <v>2.2498471879899951E-2</v>
      </c>
      <c r="M9" s="12">
        <v>2.2498471879899951E-2</v>
      </c>
      <c r="N9" s="12">
        <v>2.2498471879899951E-2</v>
      </c>
      <c r="O9" s="12">
        <v>2.2498471879899951E-2</v>
      </c>
    </row>
    <row r="15" spans="2:15" ht="11.5">
      <c r="B15" t="s">
        <v>50</v>
      </c>
      <c r="E15" s="13">
        <f t="shared" ref="E15:G15" si="1">F15/(1+F$9)</f>
        <v>0.93723494486853265</v>
      </c>
      <c r="F15" s="13">
        <f t="shared" si="1"/>
        <v>0.95504664970313824</v>
      </c>
      <c r="G15" s="13">
        <f t="shared" si="1"/>
        <v>0.96776929601357076</v>
      </c>
      <c r="H15" s="13">
        <f>I15/(1+I$9)</f>
        <v>0.9889737065309584</v>
      </c>
      <c r="I15" s="9">
        <v>1</v>
      </c>
      <c r="J15" s="13">
        <f t="shared" ref="J15:O15" si="2">I15*(1+J$9)</f>
        <v>1.0508905852417303</v>
      </c>
      <c r="K15" s="13">
        <f t="shared" si="2"/>
        <v>1.074534017522643</v>
      </c>
      <c r="L15" s="13">
        <f t="shared" si="2"/>
        <v>1.0987093908998722</v>
      </c>
      <c r="M15" s="13">
        <f t="shared" si="2"/>
        <v>1.123428673235215</v>
      </c>
      <c r="N15" s="13">
        <f t="shared" si="2"/>
        <v>1.1487041016490709</v>
      </c>
      <c r="O15" s="13">
        <f t="shared" si="2"/>
        <v>1.1745481885783482</v>
      </c>
    </row>
    <row r="18" spans="2:15" ht="15" thickBot="1">
      <c r="B18" s="11" t="s">
        <v>51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20" spans="2:15" ht="11.5">
      <c r="B20" s="1" t="s">
        <v>52</v>
      </c>
      <c r="C20" s="1" t="s">
        <v>8</v>
      </c>
      <c r="D20" s="1" t="s">
        <v>53</v>
      </c>
    </row>
    <row r="21" spans="2:15" ht="11.5">
      <c r="B21" s="1" t="s">
        <v>11</v>
      </c>
      <c r="C21" s="1" t="s">
        <v>104</v>
      </c>
      <c r="D21" s="1" t="s">
        <v>9</v>
      </c>
    </row>
    <row r="22" spans="2:15" ht="11.5">
      <c r="B22" s="1" t="s">
        <v>14</v>
      </c>
      <c r="C22" s="1" t="s">
        <v>32</v>
      </c>
      <c r="D22" s="1" t="s">
        <v>18</v>
      </c>
    </row>
    <row r="23" spans="2:15" ht="11.5">
      <c r="B23" s="1" t="s">
        <v>54</v>
      </c>
      <c r="C23" s="1" t="s">
        <v>105</v>
      </c>
      <c r="D23" s="1" t="s">
        <v>55</v>
      </c>
    </row>
    <row r="24" spans="2:15" ht="11.5">
      <c r="B24" s="1" t="s">
        <v>56</v>
      </c>
      <c r="C24" s="1" t="s">
        <v>106</v>
      </c>
      <c r="D24" s="1" t="s">
        <v>15</v>
      </c>
    </row>
    <row r="25" spans="2:15" ht="11.5">
      <c r="B25" s="1" t="s">
        <v>33</v>
      </c>
      <c r="C25" s="1" t="s">
        <v>107</v>
      </c>
      <c r="D25" s="1" t="s">
        <v>12</v>
      </c>
    </row>
    <row r="26" spans="2:15" ht="11.5">
      <c r="B26" s="1" t="s">
        <v>30</v>
      </c>
      <c r="C26" s="1" t="s">
        <v>108</v>
      </c>
      <c r="D26" s="1" t="s">
        <v>17</v>
      </c>
    </row>
    <row r="27" spans="2:15" ht="11.5">
      <c r="B27" s="1" t="s">
        <v>21</v>
      </c>
      <c r="C27" s="1"/>
      <c r="D27" s="1" t="s">
        <v>22</v>
      </c>
    </row>
    <row r="28" spans="2:15" ht="11.5">
      <c r="B28" s="1"/>
      <c r="C28" s="1"/>
      <c r="D28" s="1" t="s">
        <v>19</v>
      </c>
    </row>
    <row r="29" spans="2:15" ht="11.5">
      <c r="D29" s="19" t="s">
        <v>30</v>
      </c>
    </row>
    <row r="30" spans="2:15" ht="11.5">
      <c r="D30" s="19" t="s">
        <v>23</v>
      </c>
    </row>
    <row r="31" spans="2:15" ht="11.5">
      <c r="D31" s="19" t="s">
        <v>20</v>
      </c>
    </row>
    <row r="32" spans="2:15" ht="11.5">
      <c r="D32" s="19" t="s">
        <v>13</v>
      </c>
    </row>
    <row r="33" spans="2:15" ht="11.5">
      <c r="D33" s="19" t="s">
        <v>34</v>
      </c>
    </row>
    <row r="34" spans="2:15" ht="11.5">
      <c r="D34" s="19" t="s">
        <v>35</v>
      </c>
    </row>
    <row r="35" spans="2:15" ht="11.5">
      <c r="D35" s="19" t="s">
        <v>16</v>
      </c>
    </row>
    <row r="37" spans="2:15" ht="15" thickBot="1">
      <c r="B37" s="11" t="s">
        <v>57</v>
      </c>
      <c r="C37" s="11"/>
      <c r="D37" s="11"/>
      <c r="E37" s="11"/>
      <c r="F37" s="11"/>
      <c r="G37" s="11"/>
      <c r="H37" s="11"/>
      <c r="I37" s="11" t="str">
        <f t="shared" ref="I37:O37" si="3">I6</f>
        <v>FY 21</v>
      </c>
      <c r="J37" s="11" t="str">
        <f t="shared" si="3"/>
        <v>FY22</v>
      </c>
      <c r="K37" s="11" t="str">
        <f t="shared" si="3"/>
        <v>FY23</v>
      </c>
      <c r="L37" s="11" t="str">
        <f t="shared" si="3"/>
        <v>FY24</v>
      </c>
      <c r="M37" s="11" t="str">
        <f t="shared" si="3"/>
        <v>FY25</v>
      </c>
      <c r="N37" s="11" t="str">
        <f t="shared" si="3"/>
        <v>FY26</v>
      </c>
      <c r="O37" s="11" t="str">
        <f t="shared" si="3"/>
        <v>FY27</v>
      </c>
    </row>
    <row r="38" spans="2:15">
      <c r="B38" t="s">
        <v>58</v>
      </c>
      <c r="J38" s="23">
        <f>(J41+J42)/2+J43</f>
        <v>-4.4146176207247494E-3</v>
      </c>
      <c r="K38" s="23">
        <v>3.7938524011807656E-3</v>
      </c>
      <c r="L38" s="23">
        <v>5.1289409836666033E-3</v>
      </c>
      <c r="M38" s="23">
        <v>8.5049899184493228E-3</v>
      </c>
      <c r="N38" s="23">
        <v>1.1396303374195879E-2</v>
      </c>
      <c r="O38" s="23">
        <v>6.830847002371368E-3</v>
      </c>
    </row>
    <row r="39" spans="2:15">
      <c r="B39" t="s">
        <v>59</v>
      </c>
      <c r="I39">
        <v>1</v>
      </c>
      <c r="J39">
        <f>I39*(1+J38)</f>
        <v>0.9955853823792753</v>
      </c>
      <c r="K39">
        <f t="shared" ref="K39:O39" si="4">J39*(1+K38)</f>
        <v>0.99936248637279534</v>
      </c>
      <c r="L39">
        <f t="shared" si="4"/>
        <v>1.0044881575866917</v>
      </c>
      <c r="M39">
        <f t="shared" si="4"/>
        <v>1.0130313192401683</v>
      </c>
      <c r="N39">
        <f t="shared" si="4"/>
        <v>1.0245761314817912</v>
      </c>
      <c r="O39">
        <f t="shared" si="4"/>
        <v>1.0315748542782248</v>
      </c>
    </row>
    <row r="41" spans="2:15">
      <c r="B41" t="s">
        <v>110</v>
      </c>
      <c r="J41" s="35">
        <v>8.0000000000000002E-3</v>
      </c>
      <c r="K41" s="35">
        <v>6.0000000000000001E-3</v>
      </c>
      <c r="L41" s="35">
        <v>5.0000000000000001E-3</v>
      </c>
      <c r="M41" s="35">
        <v>8.0000000000000002E-3</v>
      </c>
      <c r="N41" s="35">
        <v>8.0000000000000002E-3</v>
      </c>
      <c r="O41" s="35">
        <v>8.9999999999999993E-3</v>
      </c>
    </row>
    <row r="42" spans="2:15">
      <c r="B42" t="s">
        <v>111</v>
      </c>
      <c r="J42" s="36">
        <v>-2.6829235241449499E-2</v>
      </c>
      <c r="K42" s="36">
        <v>-4.5897642644056047E-3</v>
      </c>
      <c r="L42" s="36">
        <v>2.759538008456186E-3</v>
      </c>
      <c r="M42" s="36">
        <v>4.5778309779020976E-3</v>
      </c>
      <c r="N42" s="36">
        <v>4.6572152336861183E-3</v>
      </c>
      <c r="O42" s="36">
        <v>5.8629705722093028E-3</v>
      </c>
    </row>
    <row r="43" spans="2:15">
      <c r="B43" t="s">
        <v>112</v>
      </c>
      <c r="J43" s="35">
        <v>5.0000000000000001E-3</v>
      </c>
      <c r="K43" s="35">
        <v>5.0000000000000001E-3</v>
      </c>
      <c r="L43" s="35">
        <v>5.0000000000000001E-3</v>
      </c>
      <c r="M43" s="35">
        <v>5.0000000000000001E-3</v>
      </c>
      <c r="N43" s="35">
        <v>5.0000000000000001E-3</v>
      </c>
    </row>
    <row r="45" spans="2:15">
      <c r="B45" t="s">
        <v>58</v>
      </c>
      <c r="J45" s="23">
        <v>9.8252646141938002E-3</v>
      </c>
      <c r="K45" s="23">
        <v>3.7938524011807656E-3</v>
      </c>
      <c r="L45" s="23">
        <v>5.1289409836666033E-3</v>
      </c>
      <c r="M45" s="23">
        <v>8.5049899184493228E-3</v>
      </c>
      <c r="N45" s="23">
        <v>1.1396303374195879E-2</v>
      </c>
      <c r="O45" s="23">
        <v>6.830847002371368E-3</v>
      </c>
    </row>
    <row r="46" spans="2:15">
      <c r="J46">
        <v>-4.4146176207247494E-3</v>
      </c>
      <c r="K46">
        <v>3.7938524011807656E-3</v>
      </c>
      <c r="L46">
        <v>5.1289409836666033E-3</v>
      </c>
      <c r="M46">
        <v>8.5049899184493228E-3</v>
      </c>
      <c r="N46">
        <v>1.1396303374195879E-2</v>
      </c>
      <c r="O46">
        <v>6.830847002371368E-3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CP27"/>
  <sheetViews>
    <sheetView workbookViewId="0">
      <pane xSplit="5" ySplit="4" topLeftCell="F5" activePane="bottomRight" state="frozen"/>
      <selection pane="topRight" activeCell="H5" sqref="H5:K5"/>
      <selection pane="bottomLeft" activeCell="H5" sqref="H5:K5"/>
      <selection pane="bottomRight" activeCell="H22" sqref="H22:L22"/>
    </sheetView>
  </sheetViews>
  <sheetFormatPr defaultRowHeight="10.5"/>
  <cols>
    <col min="1" max="1" width="43.125" bestFit="1" customWidth="1"/>
    <col min="2" max="2" width="7.5" customWidth="1"/>
    <col min="3" max="3" width="30.625" customWidth="1"/>
    <col min="4" max="4" width="21.375" bestFit="1" customWidth="1"/>
    <col min="5" max="5" width="19.625" bestFit="1" customWidth="1"/>
    <col min="6" max="7" width="19.625" customWidth="1"/>
    <col min="8" max="12" width="14.125" customWidth="1"/>
    <col min="13" max="13" width="22.875" bestFit="1" customWidth="1"/>
    <col min="14" max="21" width="11.625" customWidth="1"/>
    <col min="22" max="24" width="13.625" bestFit="1" customWidth="1"/>
    <col min="25" max="26" width="12.375" bestFit="1" customWidth="1"/>
    <col min="27" max="27" width="13.625" bestFit="1" customWidth="1"/>
    <col min="29" max="29" width="11.5" bestFit="1" customWidth="1"/>
    <col min="30" max="31" width="11.125" bestFit="1" customWidth="1"/>
    <col min="32" max="33" width="10.125" bestFit="1" customWidth="1"/>
    <col min="34" max="34" width="13.625" bestFit="1" customWidth="1"/>
    <col min="36" max="36" width="15.375" bestFit="1" customWidth="1"/>
    <col min="37" max="40" width="10.5" bestFit="1" customWidth="1"/>
    <col min="41" max="41" width="11.125" bestFit="1" customWidth="1"/>
    <col min="43" max="45" width="11.5" bestFit="1" customWidth="1"/>
    <col min="46" max="47" width="10.5" bestFit="1" customWidth="1"/>
    <col min="48" max="48" width="11.5" bestFit="1" customWidth="1"/>
    <col min="52" max="52" width="11.5" bestFit="1" customWidth="1"/>
    <col min="57" max="57" width="11.125" bestFit="1" customWidth="1"/>
    <col min="59" max="59" width="11.5" bestFit="1" customWidth="1"/>
    <col min="60" max="63" width="10.5" bestFit="1" customWidth="1"/>
    <col min="64" max="64" width="11.125" bestFit="1" customWidth="1"/>
    <col min="66" max="66" width="10.5" bestFit="1" customWidth="1"/>
    <col min="70" max="71" width="10.5" bestFit="1" customWidth="1"/>
    <col min="73" max="73" width="10.5" bestFit="1" customWidth="1"/>
    <col min="78" max="78" width="10.5" bestFit="1" customWidth="1"/>
    <col min="80" max="84" width="10.5" bestFit="1" customWidth="1"/>
    <col min="85" max="85" width="11.125" bestFit="1" customWidth="1"/>
    <col min="87" max="87" width="10.125" bestFit="1" customWidth="1"/>
    <col min="88" max="92" width="10.5" bestFit="1" customWidth="1"/>
    <col min="93" max="93" width="11.125" bestFit="1" customWidth="1"/>
    <col min="94" max="94" width="23" bestFit="1" customWidth="1"/>
  </cols>
  <sheetData>
    <row r="2" spans="1:94" ht="17.5" thickBot="1">
      <c r="H2" s="2" t="s">
        <v>31</v>
      </c>
      <c r="L2" s="2" t="s">
        <v>40</v>
      </c>
      <c r="M2" s="6">
        <f>SUM(M5:M27)</f>
        <v>35916845.037194878</v>
      </c>
      <c r="O2" s="2" t="s">
        <v>60</v>
      </c>
      <c r="S2" s="2" t="s">
        <v>40</v>
      </c>
      <c r="T2" s="6">
        <f>SUM(T5:T27)</f>
        <v>2924726.4027255904</v>
      </c>
      <c r="V2" s="2" t="s">
        <v>61</v>
      </c>
      <c r="Z2" s="2" t="s">
        <v>40</v>
      </c>
      <c r="AA2" s="6">
        <f>SUM(AA5:AA27)</f>
        <v>38841571.439920463</v>
      </c>
      <c r="AC2" s="5" t="s">
        <v>62</v>
      </c>
      <c r="AG2" s="2" t="s">
        <v>40</v>
      </c>
      <c r="AH2" s="6">
        <f>SUM(AH5:AH27)</f>
        <v>16012598.609268019</v>
      </c>
      <c r="AJ2" s="5" t="s">
        <v>63</v>
      </c>
      <c r="AO2" s="6">
        <f>SUM(AO5:AO27)</f>
        <v>110045.62049403296</v>
      </c>
      <c r="AQ2" s="5" t="s">
        <v>64</v>
      </c>
      <c r="AV2" s="6">
        <f>SUM(AV5:AV27)</f>
        <v>38951617.060414478</v>
      </c>
      <c r="AX2" s="5" t="s">
        <v>65</v>
      </c>
      <c r="AZ2" s="21" t="str">
        <f>Data!H4</f>
        <v>Labour</v>
      </c>
      <c r="BE2" s="6">
        <f>SUM(BE5:BE27)</f>
        <v>9061860.5400367696</v>
      </c>
      <c r="BG2" s="21" t="str">
        <f>Data!I4</f>
        <v>Materials</v>
      </c>
      <c r="BL2" s="6">
        <f>SUM(BL5:BL27)</f>
        <v>20033531.596443854</v>
      </c>
      <c r="BN2" s="21" t="str">
        <f>Data!J4</f>
        <v>Contractor</v>
      </c>
      <c r="BS2" s="6">
        <f>SUM(BS5:BS27)</f>
        <v>7060783.6897252863</v>
      </c>
      <c r="BU2" s="21" t="str">
        <f>Data!K4</f>
        <v>Other</v>
      </c>
      <c r="BZ2" s="6">
        <f>SUM(BZ5:BZ27)</f>
        <v>2795441.2342085801</v>
      </c>
      <c r="CB2" s="21" t="s">
        <v>40</v>
      </c>
      <c r="CG2" s="6">
        <f>SUM(CG5:CG27)</f>
        <v>38951617.060414471</v>
      </c>
      <c r="CJ2" s="37" t="s">
        <v>66</v>
      </c>
      <c r="CK2" s="37"/>
      <c r="CL2" s="37"/>
      <c r="CM2" s="37"/>
      <c r="CN2" s="38"/>
      <c r="CO2" s="6">
        <f>SUM(CO5:CO27)</f>
        <v>23381254.346064501</v>
      </c>
    </row>
    <row r="3" spans="1:94" ht="11" thickTop="1"/>
    <row r="4" spans="1:94" ht="15" thickBot="1">
      <c r="A4" s="5" t="str">
        <f>Data!A4</f>
        <v>Project</v>
      </c>
      <c r="B4" s="5" t="str">
        <f>Data!B4</f>
        <v>dollars</v>
      </c>
      <c r="C4" s="5" t="str">
        <f>Data!N4</f>
        <v>Asset Class</v>
      </c>
      <c r="D4" s="5" t="str">
        <f>Data!O4</f>
        <v>Driver</v>
      </c>
      <c r="E4" s="5" t="str">
        <f>Data!P4</f>
        <v>Program</v>
      </c>
      <c r="F4" s="5" t="str">
        <f>Data!Q4</f>
        <v>Imnmediately deductible</v>
      </c>
      <c r="G4" s="21" t="str">
        <f>Data!H4</f>
        <v>Labour</v>
      </c>
      <c r="H4" s="5" t="str">
        <f>Data!C4</f>
        <v>FY23</v>
      </c>
      <c r="I4" s="5" t="str">
        <f>Data!D4</f>
        <v>FY24</v>
      </c>
      <c r="J4" s="5" t="str">
        <f>Data!E4</f>
        <v>FY25</v>
      </c>
      <c r="K4" s="5" t="str">
        <f>Data!F4</f>
        <v>FY26</v>
      </c>
      <c r="L4" s="5" t="str">
        <f>Data!G4</f>
        <v>FY27</v>
      </c>
      <c r="M4" s="5" t="s">
        <v>40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40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40</v>
      </c>
      <c r="AC4" s="5" t="str">
        <f>V4</f>
        <v>FY23</v>
      </c>
      <c r="AD4" s="5" t="str">
        <f t="shared" ref="AD4:AH4" si="0">W4</f>
        <v>FY24</v>
      </c>
      <c r="AE4" s="5" t="str">
        <f t="shared" si="0"/>
        <v>FY25</v>
      </c>
      <c r="AF4" s="5" t="str">
        <f t="shared" si="0"/>
        <v>FY26</v>
      </c>
      <c r="AG4" s="5" t="str">
        <f t="shared" si="0"/>
        <v>FY27</v>
      </c>
      <c r="AH4" s="5" t="str">
        <f t="shared" si="0"/>
        <v>Total</v>
      </c>
      <c r="AJ4" s="24" t="str">
        <f>AC4</f>
        <v>FY23</v>
      </c>
      <c r="AK4" s="24" t="str">
        <f t="shared" ref="AK4:AO4" si="1">AD4</f>
        <v>FY24</v>
      </c>
      <c r="AL4" s="24" t="str">
        <f t="shared" si="1"/>
        <v>FY25</v>
      </c>
      <c r="AM4" s="24" t="str">
        <f t="shared" si="1"/>
        <v>FY26</v>
      </c>
      <c r="AN4" s="24" t="str">
        <f t="shared" si="1"/>
        <v>FY27</v>
      </c>
      <c r="AO4" s="24" t="str">
        <f t="shared" si="1"/>
        <v>Total</v>
      </c>
      <c r="AQ4" s="24" t="str">
        <f>AJ4</f>
        <v>FY23</v>
      </c>
      <c r="AR4" s="24" t="str">
        <f t="shared" ref="AR4:AV4" si="2">AK4</f>
        <v>FY24</v>
      </c>
      <c r="AS4" s="24" t="str">
        <f t="shared" si="2"/>
        <v>FY25</v>
      </c>
      <c r="AT4" s="24" t="str">
        <f t="shared" si="2"/>
        <v>FY26</v>
      </c>
      <c r="AU4" s="24" t="str">
        <f t="shared" si="2"/>
        <v>FY27</v>
      </c>
      <c r="AV4" s="24" t="str">
        <f t="shared" si="2"/>
        <v>Total</v>
      </c>
      <c r="AZ4" s="24" t="str">
        <f t="shared" ref="AZ4:BE4" si="3">AQ4</f>
        <v>FY23</v>
      </c>
      <c r="BA4" s="24" t="str">
        <f t="shared" si="3"/>
        <v>FY24</v>
      </c>
      <c r="BB4" s="24" t="str">
        <f t="shared" si="3"/>
        <v>FY25</v>
      </c>
      <c r="BC4" s="24" t="str">
        <f t="shared" si="3"/>
        <v>FY26</v>
      </c>
      <c r="BD4" s="24" t="str">
        <f t="shared" si="3"/>
        <v>FY27</v>
      </c>
      <c r="BE4" s="24" t="str">
        <f t="shared" si="3"/>
        <v>Total</v>
      </c>
      <c r="BG4" s="24" t="str">
        <f>AZ4</f>
        <v>FY23</v>
      </c>
      <c r="BH4" s="24" t="str">
        <f t="shared" ref="BH4" si="4">BA4</f>
        <v>FY24</v>
      </c>
      <c r="BI4" s="24" t="str">
        <f t="shared" ref="BI4" si="5">BB4</f>
        <v>FY25</v>
      </c>
      <c r="BJ4" s="24" t="str">
        <f t="shared" ref="BJ4" si="6">BC4</f>
        <v>FY26</v>
      </c>
      <c r="BK4" s="24" t="str">
        <f t="shared" ref="BK4" si="7">BD4</f>
        <v>FY27</v>
      </c>
      <c r="BL4" s="24" t="str">
        <f t="shared" ref="BL4" si="8">BE4</f>
        <v>Total</v>
      </c>
      <c r="BN4" s="24" t="str">
        <f>BG4</f>
        <v>FY23</v>
      </c>
      <c r="BO4" s="24" t="str">
        <f t="shared" ref="BO4" si="9">BH4</f>
        <v>FY24</v>
      </c>
      <c r="BP4" s="24" t="str">
        <f t="shared" ref="BP4" si="10">BI4</f>
        <v>FY25</v>
      </c>
      <c r="BQ4" s="24" t="str">
        <f t="shared" ref="BQ4" si="11">BJ4</f>
        <v>FY26</v>
      </c>
      <c r="BR4" s="24" t="str">
        <f t="shared" ref="BR4" si="12">BK4</f>
        <v>FY27</v>
      </c>
      <c r="BS4" s="24" t="str">
        <f t="shared" ref="BS4" si="13">BL4</f>
        <v>Total</v>
      </c>
      <c r="BU4" s="24" t="str">
        <f>BN4</f>
        <v>FY23</v>
      </c>
      <c r="BV4" s="24" t="str">
        <f t="shared" ref="BV4" si="14">BO4</f>
        <v>FY24</v>
      </c>
      <c r="BW4" s="24" t="str">
        <f t="shared" ref="BW4" si="15">BP4</f>
        <v>FY25</v>
      </c>
      <c r="BX4" s="24" t="str">
        <f t="shared" ref="BX4" si="16">BQ4</f>
        <v>FY26</v>
      </c>
      <c r="BY4" s="24" t="str">
        <f t="shared" ref="BY4" si="17">BR4</f>
        <v>FY27</v>
      </c>
      <c r="BZ4" s="24" t="str">
        <f t="shared" ref="BZ4" si="18">BS4</f>
        <v>Total</v>
      </c>
      <c r="CB4" s="24" t="str">
        <f>BU4</f>
        <v>FY23</v>
      </c>
      <c r="CC4" s="24" t="str">
        <f t="shared" ref="CC4:CF4" si="19">BV4</f>
        <v>FY24</v>
      </c>
      <c r="CD4" s="24" t="str">
        <f t="shared" si="19"/>
        <v>FY25</v>
      </c>
      <c r="CE4" s="24" t="str">
        <f t="shared" si="19"/>
        <v>FY26</v>
      </c>
      <c r="CF4" s="24" t="str">
        <f t="shared" si="19"/>
        <v>FY27</v>
      </c>
      <c r="CG4" s="24" t="str">
        <f>BZ4</f>
        <v>Total</v>
      </c>
      <c r="CJ4" s="24" t="str">
        <f>CB4</f>
        <v>FY23</v>
      </c>
      <c r="CK4" s="24" t="str">
        <f t="shared" ref="CK4:CO4" si="20">CC4</f>
        <v>FY24</v>
      </c>
      <c r="CL4" s="24" t="str">
        <f t="shared" si="20"/>
        <v>FY25</v>
      </c>
      <c r="CM4" s="24" t="str">
        <f t="shared" si="20"/>
        <v>FY26</v>
      </c>
      <c r="CN4" s="24" t="str">
        <f t="shared" si="20"/>
        <v>FY27</v>
      </c>
      <c r="CO4" s="24" t="str">
        <f t="shared" si="20"/>
        <v>Total</v>
      </c>
    </row>
    <row r="5" spans="1:94" ht="11.5">
      <c r="A5" s="3" t="str">
        <f>Data!A5</f>
        <v>DN250 Validation and repair Dig ILI (MFL)</v>
      </c>
      <c r="B5" s="31" t="s">
        <v>31</v>
      </c>
      <c r="C5" s="3" t="str">
        <f>Data!N5</f>
        <v>Pipelines</v>
      </c>
      <c r="D5" s="3" t="str">
        <f>Data!O5</f>
        <v>Replacement</v>
      </c>
      <c r="E5" s="3" t="str">
        <f>Data!P5</f>
        <v>Pipeline Integrity</v>
      </c>
      <c r="F5" s="3" t="str">
        <f>Data!Q5</f>
        <v>Yes</v>
      </c>
      <c r="G5" s="22">
        <f>Data!H5+Data!J5</f>
        <v>0.93087291162249397</v>
      </c>
      <c r="H5" s="7">
        <f>Data!C5*Inputs!$J$15</f>
        <v>1973152.1628498728</v>
      </c>
      <c r="I5" s="7">
        <f>Data!D5*Inputs!$J$15</f>
        <v>0</v>
      </c>
      <c r="J5" s="7">
        <f>Data!E5*Inputs!$J$15</f>
        <v>0</v>
      </c>
      <c r="K5" s="7">
        <f>Data!F5*Inputs!$J$15</f>
        <v>0</v>
      </c>
      <c r="L5" s="7">
        <f>Data!G5*Inputs!$J$15</f>
        <v>0</v>
      </c>
      <c r="M5" s="7">
        <f t="shared" ref="M5" si="21">SUM(H5:L5)</f>
        <v>1973152.1628498728</v>
      </c>
      <c r="O5" s="7">
        <f>H5*Inputs!$C$3</f>
        <v>160674.75362342806</v>
      </c>
      <c r="P5" s="7">
        <f>I5*Inputs!$C$3</f>
        <v>0</v>
      </c>
      <c r="Q5" s="7">
        <f>J5*Inputs!$C$3</f>
        <v>0</v>
      </c>
      <c r="R5" s="7">
        <f>K5*Inputs!$C$3</f>
        <v>0</v>
      </c>
      <c r="S5" s="7">
        <f>L5*Inputs!$C$3</f>
        <v>0</v>
      </c>
      <c r="T5" s="7">
        <f>SUM(O5:S5)</f>
        <v>160674.75362342806</v>
      </c>
      <c r="V5" s="7">
        <f>H5+O5</f>
        <v>2133826.9164733011</v>
      </c>
      <c r="W5" s="7">
        <f t="shared" ref="W5:Z5" si="22">I5+P5</f>
        <v>0</v>
      </c>
      <c r="X5" s="7">
        <f t="shared" si="22"/>
        <v>0</v>
      </c>
      <c r="Y5" s="7">
        <f t="shared" si="22"/>
        <v>0</v>
      </c>
      <c r="Z5" s="7">
        <f t="shared" si="22"/>
        <v>0</v>
      </c>
      <c r="AA5" s="7">
        <f>SUM(V5:Z5)</f>
        <v>2133826.9164733011</v>
      </c>
      <c r="AC5" s="7">
        <f>IFERROR(H5*$G5+O5,0)</f>
        <v>1997428.6525297107</v>
      </c>
      <c r="AD5" s="7">
        <f>IFERROR(I5*$G5+P5,0)</f>
        <v>0</v>
      </c>
      <c r="AE5" s="7">
        <f t="shared" ref="AE5:AG5" si="23">IFERROR(J5*$G5+Q5,0)</f>
        <v>0</v>
      </c>
      <c r="AF5" s="7">
        <f t="shared" si="23"/>
        <v>0</v>
      </c>
      <c r="AG5" s="7">
        <f t="shared" si="23"/>
        <v>0</v>
      </c>
      <c r="AH5" s="7">
        <f>SUM(AC5:AG5)</f>
        <v>1997428.6525297107</v>
      </c>
      <c r="AJ5" s="7">
        <f>AC5*(Inputs!K$39-1)</f>
        <v>-1273.3879853567234</v>
      </c>
      <c r="AK5" s="7">
        <f>AD5*(Inputs!L$39-1)</f>
        <v>0</v>
      </c>
      <c r="AL5" s="7">
        <f>AE5*(Inputs!M$39-1)</f>
        <v>0</v>
      </c>
      <c r="AM5" s="7">
        <f>AF5*(Inputs!N$39-1)</f>
        <v>0</v>
      </c>
      <c r="AN5" s="7">
        <f>AG5*(Inputs!O$39-1)</f>
        <v>0</v>
      </c>
      <c r="AO5" s="7">
        <f>SUM(AJ5:AN5)</f>
        <v>-1273.3879853567234</v>
      </c>
      <c r="AQ5" s="7">
        <f>V5+AJ5</f>
        <v>2132553.5284879445</v>
      </c>
      <c r="AR5" s="7">
        <f t="shared" ref="AR5:AU5" si="24">W5+AK5</f>
        <v>0</v>
      </c>
      <c r="AS5" s="7">
        <f t="shared" si="24"/>
        <v>0</v>
      </c>
      <c r="AT5" s="7">
        <f t="shared" si="24"/>
        <v>0</v>
      </c>
      <c r="AU5" s="7">
        <f t="shared" si="24"/>
        <v>0</v>
      </c>
      <c r="AV5" s="7">
        <f>SUM(AQ5:AU5)</f>
        <v>2132553.5284879445</v>
      </c>
      <c r="AX5" s="27">
        <f>IFERROR(Data!H5/(Data!H5+Data!J5),0)</f>
        <v>0.32692456547311133</v>
      </c>
      <c r="AZ5" s="15">
        <f>(H5*Data!$H5)+O5+(AJ5*$AX5)</f>
        <v>760738.42209061619</v>
      </c>
      <c r="BA5" s="15">
        <f>(I5*Data!$H5)+P5+(AK5*$AX5)</f>
        <v>0</v>
      </c>
      <c r="BB5" s="15">
        <f>(J5*Data!$H5)+Q5+(AL5*$AX5)</f>
        <v>0</v>
      </c>
      <c r="BC5" s="15">
        <f>(K5*Data!$H5)+R5+(AM5*$AX5)</f>
        <v>0</v>
      </c>
      <c r="BD5" s="15">
        <f>(L5*Data!$H5)+S5+(AN5*$AX5)</f>
        <v>0</v>
      </c>
      <c r="BE5" s="7">
        <f>SUM(AZ5:BD5)</f>
        <v>760738.42209061619</v>
      </c>
      <c r="BG5" s="15">
        <f>H5*Data!$I5</f>
        <v>121423.27831520319</v>
      </c>
      <c r="BH5" s="15">
        <f>I5*Data!$I5</f>
        <v>0</v>
      </c>
      <c r="BI5" s="15">
        <f>J5*Data!$I5</f>
        <v>0</v>
      </c>
      <c r="BJ5" s="15">
        <f>K5*Data!$I5</f>
        <v>0</v>
      </c>
      <c r="BK5" s="15">
        <f>L5*Data!$I5</f>
        <v>0</v>
      </c>
      <c r="BL5" s="7">
        <f>SUM(BG5:BK5)</f>
        <v>121423.27831520319</v>
      </c>
      <c r="BN5" s="15">
        <f>H5*Data!$J5+(AJ5*(1-$AX5))</f>
        <v>1235416.8424537377</v>
      </c>
      <c r="BO5" s="15">
        <f>I5*Data!$J5+(AK5*(1-$AX5))</f>
        <v>0</v>
      </c>
      <c r="BP5" s="15">
        <f>J5*Data!$J5+(AL5*(1-$AX5))</f>
        <v>0</v>
      </c>
      <c r="BQ5" s="15">
        <f>K5*Data!$J5+(AM5*(1-$AX5))</f>
        <v>0</v>
      </c>
      <c r="BR5" s="15">
        <f>L5*Data!$J5+(AN5*(1-$AX5))</f>
        <v>0</v>
      </c>
      <c r="BS5" s="7">
        <f>SUM(BN5:BR5)</f>
        <v>1235416.8424537377</v>
      </c>
      <c r="BU5" s="15">
        <f>H5*Data!$K5</f>
        <v>14974.98562838717</v>
      </c>
      <c r="BV5" s="15">
        <f>I5*Data!$K5</f>
        <v>0</v>
      </c>
      <c r="BW5" s="15">
        <f>J5*Data!$K5</f>
        <v>0</v>
      </c>
      <c r="BX5" s="15">
        <f>K5*Data!$K5</f>
        <v>0</v>
      </c>
      <c r="BY5" s="15">
        <f>L5*Data!$K5</f>
        <v>0</v>
      </c>
      <c r="BZ5" s="7">
        <f>SUM(BU5:BY5)</f>
        <v>14974.98562838717</v>
      </c>
      <c r="CB5" s="15">
        <f>AZ5+BG5+BN5+BU5</f>
        <v>2132553.528487944</v>
      </c>
      <c r="CC5" s="15">
        <f t="shared" ref="CC5:CF5" si="25">BA5+BH5+BO5+BV5</f>
        <v>0</v>
      </c>
      <c r="CD5" s="15">
        <f t="shared" si="25"/>
        <v>0</v>
      </c>
      <c r="CE5" s="15">
        <f t="shared" si="25"/>
        <v>0</v>
      </c>
      <c r="CF5" s="15">
        <f t="shared" si="25"/>
        <v>0</v>
      </c>
      <c r="CG5" s="7">
        <f>SUM(CB5:CF5)</f>
        <v>2132553.528487944</v>
      </c>
      <c r="CI5" s="18">
        <f>CG5-AV5</f>
        <v>0</v>
      </c>
      <c r="CJ5" s="15">
        <f>IF($F5="Yes",CB5,0)</f>
        <v>2132553.528487944</v>
      </c>
      <c r="CK5" s="15">
        <f t="shared" ref="CK5:CN5" si="26">IF($F5="Yes",CC5,0)</f>
        <v>0</v>
      </c>
      <c r="CL5" s="15">
        <f t="shared" si="26"/>
        <v>0</v>
      </c>
      <c r="CM5" s="15">
        <f t="shared" si="26"/>
        <v>0</v>
      </c>
      <c r="CN5" s="15">
        <f t="shared" si="26"/>
        <v>0</v>
      </c>
      <c r="CO5" s="7">
        <f>SUM(CJ5:CN5)</f>
        <v>2132553.528487944</v>
      </c>
      <c r="CP5" s="15" t="str">
        <f>IF($F5="Yes",C5,"")</f>
        <v>Pipelines</v>
      </c>
    </row>
    <row r="6" spans="1:94" ht="11.5">
      <c r="A6" s="3" t="str">
        <f>Data!A6</f>
        <v>CP Augmentation</v>
      </c>
      <c r="B6" s="31" t="s">
        <v>31</v>
      </c>
      <c r="C6" s="3" t="str">
        <f>Data!N6</f>
        <v>Pipelines</v>
      </c>
      <c r="D6" s="3" t="str">
        <f>Data!O6</f>
        <v>Replacement</v>
      </c>
      <c r="E6" s="3" t="str">
        <f>Data!P6</f>
        <v>Pipeline Integrity</v>
      </c>
      <c r="F6" s="3" t="str">
        <f>Data!Q6</f>
        <v>No</v>
      </c>
      <c r="G6" s="22">
        <f>Data!H6+Data!J6</f>
        <v>0.46733333333333332</v>
      </c>
      <c r="H6" s="7">
        <f>Data!C6*Inputs!$J$15</f>
        <v>3783206.1068702289</v>
      </c>
      <c r="I6" s="7">
        <f>Data!D6*Inputs!$J$15</f>
        <v>1261068.7022900763</v>
      </c>
      <c r="J6" s="7">
        <f>Data!E6*Inputs!$J$15</f>
        <v>1050890.5852417303</v>
      </c>
      <c r="K6" s="7">
        <f>Data!F6*Inputs!$J$15</f>
        <v>945801.52671755722</v>
      </c>
      <c r="L6" s="7">
        <f>Data!G6*Inputs!$J$15</f>
        <v>1155979.6437659033</v>
      </c>
      <c r="M6" s="7">
        <f t="shared" ref="M6:M25" si="27">SUM(H6:L6)</f>
        <v>8196946.5648854962</v>
      </c>
      <c r="O6" s="7">
        <f>H6*Inputs!$C$3</f>
        <v>308068.33886042872</v>
      </c>
      <c r="P6" s="7">
        <f>I6*Inputs!$C$3</f>
        <v>102689.44628680957</v>
      </c>
      <c r="Q6" s="7">
        <f>J6*Inputs!$C$3</f>
        <v>85574.53857234132</v>
      </c>
      <c r="R6" s="7">
        <f>K6*Inputs!$C$3</f>
        <v>77017.084715107179</v>
      </c>
      <c r="S6" s="7">
        <f>L6*Inputs!$C$3</f>
        <v>94131.992429575446</v>
      </c>
      <c r="T6" s="7">
        <f t="shared" ref="T6:T25" si="28">SUM(O6:S6)</f>
        <v>667481.40086426225</v>
      </c>
      <c r="V6" s="7">
        <f t="shared" ref="V6:V25" si="29">H6+O6</f>
        <v>4091274.4457306578</v>
      </c>
      <c r="W6" s="7">
        <f t="shared" ref="W6:W25" si="30">I6+P6</f>
        <v>1363758.1485768859</v>
      </c>
      <c r="X6" s="7">
        <f t="shared" ref="X6:X25" si="31">J6+Q6</f>
        <v>1136465.1238140715</v>
      </c>
      <c r="Y6" s="7">
        <f t="shared" ref="Y6:Y25" si="32">K6+R6</f>
        <v>1022818.6114326644</v>
      </c>
      <c r="Z6" s="7">
        <f t="shared" ref="Z6:Z25" si="33">L6+S6</f>
        <v>1250111.6361954787</v>
      </c>
      <c r="AA6" s="7">
        <f t="shared" ref="AA6:AA25" si="34">SUM(V6:Z6)</f>
        <v>8864427.9657497574</v>
      </c>
      <c r="AC6" s="7">
        <f t="shared" ref="AC6:AC25" si="35">IFERROR(H6*$G6+O6,0)</f>
        <v>2076086.6594711156</v>
      </c>
      <c r="AD6" s="7">
        <f t="shared" ref="AD6:AD25" si="36">IFERROR(I6*$G6+P6,0)</f>
        <v>692028.88649037178</v>
      </c>
      <c r="AE6" s="7">
        <f t="shared" ref="AE6:AE25" si="37">IFERROR(J6*$G6+Q6,0)</f>
        <v>576690.73874197667</v>
      </c>
      <c r="AF6" s="7">
        <f t="shared" ref="AF6:AF25" si="38">IFERROR(K6*$G6+R6,0)</f>
        <v>519021.66486777889</v>
      </c>
      <c r="AG6" s="7">
        <f t="shared" ref="AG6:AG25" si="39">IFERROR(L6*$G6+S6,0)</f>
        <v>634359.81261617423</v>
      </c>
      <c r="AH6" s="7">
        <f t="shared" ref="AH6:AH25" si="40">SUM(AC6:AG6)</f>
        <v>4498187.7621874167</v>
      </c>
      <c r="AJ6" s="7">
        <f>AC6*(Inputs!K$39-1)</f>
        <v>-1323.5335366706274</v>
      </c>
      <c r="AK6" s="7">
        <f>AD6*(Inputs!L$39-1)</f>
        <v>3105.9346971116015</v>
      </c>
      <c r="AL6" s="7">
        <f>AE6*(Inputs!M$39-1)</f>
        <v>7515.0411193951995</v>
      </c>
      <c r="AM6" s="7">
        <f>AF6*(Inputs!N$39-1)</f>
        <v>12755.544677688684</v>
      </c>
      <c r="AN6" s="7">
        <f>AG6*(Inputs!O$39-1)</f>
        <v>20029.818643317703</v>
      </c>
      <c r="AO6" s="7">
        <f t="shared" ref="AO6:AO25" si="41">SUM(AJ6:AN6)</f>
        <v>42082.805600842563</v>
      </c>
      <c r="AQ6" s="7">
        <f t="shared" ref="AQ6:AQ25" si="42">V6+AJ6</f>
        <v>4089950.9121939871</v>
      </c>
      <c r="AR6" s="7">
        <f t="shared" ref="AR6:AR25" si="43">W6+AK6</f>
        <v>1366864.0832739975</v>
      </c>
      <c r="AS6" s="7">
        <f t="shared" ref="AS6:AS25" si="44">X6+AL6</f>
        <v>1143980.1649334668</v>
      </c>
      <c r="AT6" s="7">
        <f t="shared" ref="AT6:AT25" si="45">Y6+AM6</f>
        <v>1035574.1561103532</v>
      </c>
      <c r="AU6" s="7">
        <f t="shared" ref="AU6:AU25" si="46">Z6+AN6</f>
        <v>1270141.4548387965</v>
      </c>
      <c r="AV6" s="7">
        <f t="shared" ref="AV6:AV25" si="47">SUM(AQ6:AU6)</f>
        <v>8906510.7713506017</v>
      </c>
      <c r="AX6" s="27">
        <f>IFERROR(Data!H6/(Data!H6+Data!J6),0)</f>
        <v>0.43009985734664768</v>
      </c>
      <c r="AZ6" s="15">
        <f>(H6*Data!$H6)+O6+(AJ6*$AX6)</f>
        <v>1067923.5147560292</v>
      </c>
      <c r="BA6" s="15">
        <f>(I6*Data!$H6)+P6+(AK6*$AX6)</f>
        <v>357500.11751727061</v>
      </c>
      <c r="BB6" s="15">
        <f>(J6*Data!$H6)+Q6+(AL6*$AX6)</f>
        <v>300035.76431933523</v>
      </c>
      <c r="BC6" s="15">
        <f>(K6*Data!$H6)+R6+(AM6*$AX6)</f>
        <v>272609.34953158884</v>
      </c>
      <c r="BD6" s="15">
        <f>(L6*Data!$H6)+S6+(AN6*$AX6)</f>
        <v>335098.72296769219</v>
      </c>
      <c r="BE6" s="7">
        <f t="shared" ref="BE6:BE25" si="48">SUM(AZ6:BD6)</f>
        <v>2333167.4690919165</v>
      </c>
      <c r="BG6" s="15">
        <f>H6*Data!$I6</f>
        <v>1007593.8931297709</v>
      </c>
      <c r="BH6" s="15">
        <f>I6*Data!$I6</f>
        <v>335864.63104325696</v>
      </c>
      <c r="BI6" s="15">
        <f>J6*Data!$I6</f>
        <v>279887.19253604749</v>
      </c>
      <c r="BJ6" s="15">
        <f>K6*Data!$I6</f>
        <v>251898.47328244272</v>
      </c>
      <c r="BK6" s="15">
        <f>L6*Data!$I6</f>
        <v>307875.91178965225</v>
      </c>
      <c r="BL6" s="7">
        <f t="shared" ref="BL6:BL25" si="49">SUM(BG6:BK6)</f>
        <v>2183120.1017811703</v>
      </c>
      <c r="BN6" s="15">
        <f>H6*Data!$J6+(AJ6*(1-$AX6))</f>
        <v>1006839.6111784158</v>
      </c>
      <c r="BO6" s="15">
        <f>I6*Data!$J6+(AK6*(1-$AX6))</f>
        <v>337634.70367021288</v>
      </c>
      <c r="BP6" s="15">
        <f>J6*Data!$J6+(AL6*(1-$AX6))</f>
        <v>284170.01554203662</v>
      </c>
      <c r="BQ6" s="15">
        <f>K6*Data!$J6+(AM6*(1-$AX6))</f>
        <v>259167.8600138787</v>
      </c>
      <c r="BR6" s="15">
        <f>L6*Data!$J6+(AN6*(1-$AX6))</f>
        <v>319290.90829179977</v>
      </c>
      <c r="BS6" s="7">
        <f t="shared" ref="BS6:BS25" si="50">SUM(BN6:BR6)</f>
        <v>2207103.0986963441</v>
      </c>
      <c r="BU6" s="15">
        <f>H6*Data!$K6</f>
        <v>1007593.8931297709</v>
      </c>
      <c r="BV6" s="15">
        <f>I6*Data!$K6</f>
        <v>335864.63104325696</v>
      </c>
      <c r="BW6" s="15">
        <f>J6*Data!$K6</f>
        <v>279887.19253604749</v>
      </c>
      <c r="BX6" s="15">
        <f>K6*Data!$K6</f>
        <v>251898.47328244272</v>
      </c>
      <c r="BY6" s="15">
        <f>L6*Data!$K6</f>
        <v>307875.91178965225</v>
      </c>
      <c r="BZ6" s="7">
        <f t="shared" ref="BZ6:BZ25" si="51">SUM(BU6:BY6)</f>
        <v>2183120.1017811703</v>
      </c>
      <c r="CB6" s="15">
        <f t="shared" ref="CB6:CB25" si="52">AZ6+BG6+BN6+BU6</f>
        <v>4089950.9121939866</v>
      </c>
      <c r="CC6" s="15">
        <f t="shared" ref="CC6:CC25" si="53">BA6+BH6+BO6+BV6</f>
        <v>1366864.0832739975</v>
      </c>
      <c r="CD6" s="15">
        <f t="shared" ref="CD6:CD25" si="54">BB6+BI6+BP6+BW6</f>
        <v>1143980.1649334668</v>
      </c>
      <c r="CE6" s="15">
        <f t="shared" ref="CE6:CE25" si="55">BC6+BJ6+BQ6+BX6</f>
        <v>1035574.1561103528</v>
      </c>
      <c r="CF6" s="15">
        <f t="shared" ref="CF6:CF25" si="56">BD6+BK6+BR6+BY6</f>
        <v>1270141.4548387963</v>
      </c>
      <c r="CG6" s="7">
        <f t="shared" ref="CG6:CG25" si="57">SUM(CB6:CF6)</f>
        <v>8906510.7713505998</v>
      </c>
      <c r="CI6" s="18">
        <f t="shared" ref="CI6:CI25" si="58">CG6-AV6</f>
        <v>0</v>
      </c>
      <c r="CJ6" s="15">
        <f t="shared" ref="CJ6:CJ27" si="59">IF($F6="Yes",CB6,0)</f>
        <v>0</v>
      </c>
      <c r="CK6" s="15">
        <f t="shared" ref="CK6:CK27" si="60">IF($F6="Yes",CC6,0)</f>
        <v>0</v>
      </c>
      <c r="CL6" s="15">
        <f t="shared" ref="CL6:CL27" si="61">IF($F6="Yes",CD6,0)</f>
        <v>0</v>
      </c>
      <c r="CM6" s="15">
        <f t="shared" ref="CM6:CM27" si="62">IF($F6="Yes",CE6,0)</f>
        <v>0</v>
      </c>
      <c r="CN6" s="15">
        <f t="shared" ref="CN6:CN27" si="63">IF($F6="Yes",CF6,0)</f>
        <v>0</v>
      </c>
      <c r="CO6" s="7">
        <f t="shared" ref="CO6:CO27" si="64">SUM(CJ6:CN6)</f>
        <v>0</v>
      </c>
      <c r="CP6" s="15" t="str">
        <f t="shared" ref="CP6:CP27" si="65">IF($F6="Yes",C6,"")</f>
        <v/>
      </c>
    </row>
    <row r="7" spans="1:94" ht="11.5">
      <c r="A7" s="3" t="str">
        <f>Data!A7</f>
        <v>DN250 - Supply Security Project</v>
      </c>
      <c r="B7" s="31" t="s">
        <v>31</v>
      </c>
      <c r="C7" s="3" t="str">
        <f>Data!N7</f>
        <v>Pipelines</v>
      </c>
      <c r="D7" s="3" t="str">
        <f>Data!O7</f>
        <v>Replacement</v>
      </c>
      <c r="E7" s="3" t="str">
        <f>Data!P7</f>
        <v>Supply Security Project</v>
      </c>
      <c r="F7" s="3" t="str">
        <f>Data!Q7</f>
        <v>No</v>
      </c>
      <c r="G7" s="22">
        <f>Data!H7+Data!J7</f>
        <v>0.53510000000000002</v>
      </c>
      <c r="H7" s="7">
        <f>Data!C7*Inputs!$J$15</f>
        <v>4471539.4402035624</v>
      </c>
      <c r="I7" s="7">
        <f>Data!D7*Inputs!$J$15</f>
        <v>0</v>
      </c>
      <c r="J7" s="7">
        <f>Data!E7*Inputs!$J$15</f>
        <v>0</v>
      </c>
      <c r="K7" s="7">
        <f>Data!F7*Inputs!$J$15</f>
        <v>0</v>
      </c>
      <c r="L7" s="7">
        <f>Data!G7*Inputs!$J$15</f>
        <v>0</v>
      </c>
      <c r="M7" s="7">
        <f t="shared" si="27"/>
        <v>4471539.4402035624</v>
      </c>
      <c r="O7" s="7">
        <f>H7*Inputs!$C$3</f>
        <v>364119.66162531229</v>
      </c>
      <c r="P7" s="7">
        <f>I7*Inputs!$C$3</f>
        <v>0</v>
      </c>
      <c r="Q7" s="7">
        <f>J7*Inputs!$C$3</f>
        <v>0</v>
      </c>
      <c r="R7" s="7">
        <f>K7*Inputs!$C$3</f>
        <v>0</v>
      </c>
      <c r="S7" s="7">
        <f>L7*Inputs!$C$3</f>
        <v>0</v>
      </c>
      <c r="T7" s="7">
        <f t="shared" si="28"/>
        <v>364119.66162531229</v>
      </c>
      <c r="V7" s="7">
        <f t="shared" si="29"/>
        <v>4835659.101828875</v>
      </c>
      <c r="W7" s="7">
        <f t="shared" si="30"/>
        <v>0</v>
      </c>
      <c r="X7" s="7">
        <f t="shared" si="31"/>
        <v>0</v>
      </c>
      <c r="Y7" s="7">
        <f t="shared" si="32"/>
        <v>0</v>
      </c>
      <c r="Z7" s="7">
        <f t="shared" si="33"/>
        <v>0</v>
      </c>
      <c r="AA7" s="7">
        <f t="shared" si="34"/>
        <v>4835659.101828875</v>
      </c>
      <c r="AC7" s="7">
        <f t="shared" si="35"/>
        <v>2756840.4160782383</v>
      </c>
      <c r="AD7" s="7">
        <f t="shared" si="36"/>
        <v>0</v>
      </c>
      <c r="AE7" s="7">
        <f t="shared" si="37"/>
        <v>0</v>
      </c>
      <c r="AF7" s="7">
        <f t="shared" si="38"/>
        <v>0</v>
      </c>
      <c r="AG7" s="7">
        <f t="shared" si="39"/>
        <v>0</v>
      </c>
      <c r="AH7" s="7">
        <f t="shared" si="40"/>
        <v>2756840.4160782383</v>
      </c>
      <c r="AJ7" s="7">
        <f>AC7*(Inputs!K$39-1)</f>
        <v>-1757.5233332784294</v>
      </c>
      <c r="AK7" s="7">
        <f>AD7*(Inputs!L$39-1)</f>
        <v>0</v>
      </c>
      <c r="AL7" s="7">
        <f>AE7*(Inputs!M$39-1)</f>
        <v>0</v>
      </c>
      <c r="AM7" s="7">
        <f>AF7*(Inputs!N$39-1)</f>
        <v>0</v>
      </c>
      <c r="AN7" s="7">
        <f>AG7*(Inputs!O$39-1)</f>
        <v>0</v>
      </c>
      <c r="AO7" s="7">
        <f t="shared" si="41"/>
        <v>-1757.5233332784294</v>
      </c>
      <c r="AQ7" s="7">
        <f t="shared" si="42"/>
        <v>4833901.5784955965</v>
      </c>
      <c r="AR7" s="7">
        <f t="shared" si="43"/>
        <v>0</v>
      </c>
      <c r="AS7" s="7">
        <f t="shared" si="44"/>
        <v>0</v>
      </c>
      <c r="AT7" s="7">
        <f t="shared" si="45"/>
        <v>0</v>
      </c>
      <c r="AU7" s="7">
        <f t="shared" si="46"/>
        <v>0</v>
      </c>
      <c r="AV7" s="7">
        <f t="shared" si="47"/>
        <v>4833901.5784955965</v>
      </c>
      <c r="AX7" s="27">
        <f>IFERROR(Data!H7/(Data!H7+Data!J7),0)</f>
        <v>0.35638198467576154</v>
      </c>
      <c r="AZ7" s="15">
        <f>(H7*Data!$H7)+O7+(AJ7*$AX7)</f>
        <v>1216215.883218504</v>
      </c>
      <c r="BA7" s="15">
        <f>(I7*Data!$H7)+P7+(AK7*$AX7)</f>
        <v>0</v>
      </c>
      <c r="BB7" s="15">
        <f>(J7*Data!$H7)+Q7+(AL7*$AX7)</f>
        <v>0</v>
      </c>
      <c r="BC7" s="15">
        <f>(K7*Data!$H7)+R7+(AM7*$AX7)</f>
        <v>0</v>
      </c>
      <c r="BD7" s="15">
        <f>(L7*Data!$H7)+S7+(AN7*$AX7)</f>
        <v>0</v>
      </c>
      <c r="BE7" s="7">
        <f t="shared" si="48"/>
        <v>1216215.883218504</v>
      </c>
      <c r="BG7" s="15">
        <f>H7*Data!$I7</f>
        <v>2026054.5203562342</v>
      </c>
      <c r="BH7" s="15">
        <f>I7*Data!$I7</f>
        <v>0</v>
      </c>
      <c r="BI7" s="15">
        <f>J7*Data!$I7</f>
        <v>0</v>
      </c>
      <c r="BJ7" s="15">
        <f>K7*Data!$I7</f>
        <v>0</v>
      </c>
      <c r="BK7" s="15">
        <f>L7*Data!$I7</f>
        <v>0</v>
      </c>
      <c r="BL7" s="7">
        <f t="shared" si="49"/>
        <v>2026054.5203562342</v>
      </c>
      <c r="BN7" s="15">
        <f>H7*Data!$J7+(AJ7*(1-$AX7))</f>
        <v>1538867.009526456</v>
      </c>
      <c r="BO7" s="15">
        <f>I7*Data!$J7+(AK7*(1-$AX7))</f>
        <v>0</v>
      </c>
      <c r="BP7" s="15">
        <f>J7*Data!$J7+(AL7*(1-$AX7))</f>
        <v>0</v>
      </c>
      <c r="BQ7" s="15">
        <f>K7*Data!$J7+(AM7*(1-$AX7))</f>
        <v>0</v>
      </c>
      <c r="BR7" s="15">
        <f>L7*Data!$J7+(AN7*(1-$AX7))</f>
        <v>0</v>
      </c>
      <c r="BS7" s="7">
        <f t="shared" si="50"/>
        <v>1538867.009526456</v>
      </c>
      <c r="BU7" s="15">
        <f>H7*Data!$K7</f>
        <v>52764.165394402036</v>
      </c>
      <c r="BV7" s="15">
        <f>I7*Data!$K7</f>
        <v>0</v>
      </c>
      <c r="BW7" s="15">
        <f>J7*Data!$K7</f>
        <v>0</v>
      </c>
      <c r="BX7" s="15">
        <f>K7*Data!$K7</f>
        <v>0</v>
      </c>
      <c r="BY7" s="15">
        <f>L7*Data!$K7</f>
        <v>0</v>
      </c>
      <c r="BZ7" s="7">
        <f t="shared" si="51"/>
        <v>52764.165394402036</v>
      </c>
      <c r="CB7" s="15">
        <f t="shared" si="52"/>
        <v>4833901.5784955965</v>
      </c>
      <c r="CC7" s="15">
        <f t="shared" si="53"/>
        <v>0</v>
      </c>
      <c r="CD7" s="15">
        <f t="shared" si="54"/>
        <v>0</v>
      </c>
      <c r="CE7" s="15">
        <f t="shared" si="55"/>
        <v>0</v>
      </c>
      <c r="CF7" s="15">
        <f t="shared" si="56"/>
        <v>0</v>
      </c>
      <c r="CG7" s="7">
        <f t="shared" si="57"/>
        <v>4833901.5784955965</v>
      </c>
      <c r="CI7" s="18">
        <f t="shared" si="58"/>
        <v>0</v>
      </c>
      <c r="CJ7" s="15">
        <f t="shared" si="59"/>
        <v>0</v>
      </c>
      <c r="CK7" s="15">
        <f t="shared" si="60"/>
        <v>0</v>
      </c>
      <c r="CL7" s="15">
        <f t="shared" si="61"/>
        <v>0</v>
      </c>
      <c r="CM7" s="15">
        <f t="shared" si="62"/>
        <v>0</v>
      </c>
      <c r="CN7" s="15">
        <f t="shared" si="63"/>
        <v>0</v>
      </c>
      <c r="CO7" s="7">
        <f t="shared" si="64"/>
        <v>0</v>
      </c>
      <c r="CP7" s="15" t="str">
        <f t="shared" si="65"/>
        <v/>
      </c>
    </row>
    <row r="8" spans="1:94" ht="11.5">
      <c r="A8" s="3" t="str">
        <f>Data!A8</f>
        <v>SCADA Hardware Lifecycle Management</v>
      </c>
      <c r="B8" s="31" t="s">
        <v>31</v>
      </c>
      <c r="C8" s="3" t="str">
        <f>Data!N8</f>
        <v>SIB Capex</v>
      </c>
      <c r="D8" s="3" t="str">
        <f>Data!O8</f>
        <v>Replacement</v>
      </c>
      <c r="E8" s="3" t="str">
        <f>Data!P8</f>
        <v>SCADA Hardware Lifecycle Management</v>
      </c>
      <c r="F8" s="3" t="str">
        <f>Data!Q8</f>
        <v>No</v>
      </c>
      <c r="G8" s="22">
        <f>Data!H8+Data!J8</f>
        <v>0.88600000000000001</v>
      </c>
      <c r="H8" s="7">
        <f>Data!C8*Inputs!$J$15</f>
        <v>707280.89058524172</v>
      </c>
      <c r="I8" s="7">
        <f>Data!D8*Inputs!$J$15</f>
        <v>0</v>
      </c>
      <c r="J8" s="7">
        <f>Data!E8*Inputs!$J$15</f>
        <v>0</v>
      </c>
      <c r="K8" s="7">
        <f>Data!F8*Inputs!$J$15</f>
        <v>0</v>
      </c>
      <c r="L8" s="7">
        <f>Data!G8*Inputs!$J$15</f>
        <v>0</v>
      </c>
      <c r="M8" s="7">
        <f t="shared" si="27"/>
        <v>707280.89058524172</v>
      </c>
      <c r="O8" s="7">
        <f>H8*Inputs!$C$3</f>
        <v>57594.231695342874</v>
      </c>
      <c r="P8" s="7">
        <f>I8*Inputs!$C$3</f>
        <v>0</v>
      </c>
      <c r="Q8" s="7">
        <f>J8*Inputs!$C$3</f>
        <v>0</v>
      </c>
      <c r="R8" s="7">
        <f>K8*Inputs!$C$3</f>
        <v>0</v>
      </c>
      <c r="S8" s="7">
        <f>L8*Inputs!$C$3</f>
        <v>0</v>
      </c>
      <c r="T8" s="7">
        <f t="shared" si="28"/>
        <v>57594.231695342874</v>
      </c>
      <c r="V8" s="7">
        <f t="shared" si="29"/>
        <v>764875.12228058465</v>
      </c>
      <c r="W8" s="7">
        <f t="shared" si="30"/>
        <v>0</v>
      </c>
      <c r="X8" s="7">
        <f t="shared" si="31"/>
        <v>0</v>
      </c>
      <c r="Y8" s="7">
        <f t="shared" si="32"/>
        <v>0</v>
      </c>
      <c r="Z8" s="7">
        <f t="shared" si="33"/>
        <v>0</v>
      </c>
      <c r="AA8" s="7">
        <f t="shared" si="34"/>
        <v>764875.12228058465</v>
      </c>
      <c r="AC8" s="7">
        <f t="shared" si="35"/>
        <v>684245.10075386707</v>
      </c>
      <c r="AD8" s="7">
        <f t="shared" si="36"/>
        <v>0</v>
      </c>
      <c r="AE8" s="7">
        <f t="shared" si="37"/>
        <v>0</v>
      </c>
      <c r="AF8" s="7">
        <f t="shared" si="38"/>
        <v>0</v>
      </c>
      <c r="AG8" s="7">
        <f t="shared" si="39"/>
        <v>0</v>
      </c>
      <c r="AH8" s="7">
        <f t="shared" si="40"/>
        <v>684245.10075386707</v>
      </c>
      <c r="AJ8" s="7">
        <f>AC8*(Inputs!K$39-1)</f>
        <v>-436.2155760786128</v>
      </c>
      <c r="AK8" s="7">
        <f>AD8*(Inputs!L$39-1)</f>
        <v>0</v>
      </c>
      <c r="AL8" s="7">
        <f>AE8*(Inputs!M$39-1)</f>
        <v>0</v>
      </c>
      <c r="AM8" s="7">
        <f>AF8*(Inputs!N$39-1)</f>
        <v>0</v>
      </c>
      <c r="AN8" s="7">
        <f>AG8*(Inputs!O$39-1)</f>
        <v>0</v>
      </c>
      <c r="AO8" s="7">
        <f t="shared" si="41"/>
        <v>-436.2155760786128</v>
      </c>
      <c r="AQ8" s="7">
        <f t="shared" si="42"/>
        <v>764438.90670450602</v>
      </c>
      <c r="AR8" s="7">
        <f t="shared" si="43"/>
        <v>0</v>
      </c>
      <c r="AS8" s="7">
        <f t="shared" si="44"/>
        <v>0</v>
      </c>
      <c r="AT8" s="7">
        <f t="shared" si="45"/>
        <v>0</v>
      </c>
      <c r="AU8" s="7">
        <f t="shared" si="46"/>
        <v>0</v>
      </c>
      <c r="AV8" s="7">
        <f t="shared" si="47"/>
        <v>764438.90670450602</v>
      </c>
      <c r="AX8" s="27">
        <f>IFERROR(Data!H8/(Data!H8+Data!J8),0)</f>
        <v>0.93566591422121892</v>
      </c>
      <c r="AZ8" s="15">
        <f>(H8*Data!$H8)+O8+(AJ8*$AX8)</f>
        <v>643521.9379447191</v>
      </c>
      <c r="BA8" s="15">
        <f>(I8*Data!$H8)+P8+(AK8*$AX8)</f>
        <v>0</v>
      </c>
      <c r="BB8" s="15">
        <f>(J8*Data!$H8)+Q8+(AL8*$AX8)</f>
        <v>0</v>
      </c>
      <c r="BC8" s="15">
        <f>(K8*Data!$H8)+R8+(AM8*$AX8)</f>
        <v>0</v>
      </c>
      <c r="BD8" s="15">
        <f>(L8*Data!$H8)+S8+(AN8*$AX8)</f>
        <v>0</v>
      </c>
      <c r="BE8" s="7">
        <f t="shared" si="48"/>
        <v>643521.9379447191</v>
      </c>
      <c r="BG8" s="15">
        <f>H8*Data!$I8</f>
        <v>40315.01076335879</v>
      </c>
      <c r="BH8" s="15">
        <f>I8*Data!$I8</f>
        <v>0</v>
      </c>
      <c r="BI8" s="15">
        <f>J8*Data!$I8</f>
        <v>0</v>
      </c>
      <c r="BJ8" s="15">
        <f>K8*Data!$I8</f>
        <v>0</v>
      </c>
      <c r="BK8" s="15">
        <f>L8*Data!$I8</f>
        <v>0</v>
      </c>
      <c r="BL8" s="7">
        <f t="shared" si="49"/>
        <v>40315.01076335879</v>
      </c>
      <c r="BN8" s="15">
        <f>H8*Data!$J8+(AJ8*(1-$AX8))</f>
        <v>40286.94723306931</v>
      </c>
      <c r="BO8" s="15">
        <f>I8*Data!$J8+(AK8*(1-$AX8))</f>
        <v>0</v>
      </c>
      <c r="BP8" s="15">
        <f>J8*Data!$J8+(AL8*(1-$AX8))</f>
        <v>0</v>
      </c>
      <c r="BQ8" s="15">
        <f>K8*Data!$J8+(AM8*(1-$AX8))</f>
        <v>0</v>
      </c>
      <c r="BR8" s="15">
        <f>L8*Data!$J8+(AN8*(1-$AX8))</f>
        <v>0</v>
      </c>
      <c r="BS8" s="7">
        <f t="shared" si="50"/>
        <v>40286.94723306931</v>
      </c>
      <c r="BU8" s="15">
        <f>H8*Data!$K8</f>
        <v>40315.01076335879</v>
      </c>
      <c r="BV8" s="15">
        <f>I8*Data!$K8</f>
        <v>0</v>
      </c>
      <c r="BW8" s="15">
        <f>J8*Data!$K8</f>
        <v>0</v>
      </c>
      <c r="BX8" s="15">
        <f>K8*Data!$K8</f>
        <v>0</v>
      </c>
      <c r="BY8" s="15">
        <f>L8*Data!$K8</f>
        <v>0</v>
      </c>
      <c r="BZ8" s="7">
        <f t="shared" si="51"/>
        <v>40315.01076335879</v>
      </c>
      <c r="CB8" s="15">
        <f t="shared" si="52"/>
        <v>764438.90670450602</v>
      </c>
      <c r="CC8" s="15">
        <f t="shared" si="53"/>
        <v>0</v>
      </c>
      <c r="CD8" s="15">
        <f t="shared" si="54"/>
        <v>0</v>
      </c>
      <c r="CE8" s="15">
        <f t="shared" si="55"/>
        <v>0</v>
      </c>
      <c r="CF8" s="15">
        <f t="shared" si="56"/>
        <v>0</v>
      </c>
      <c r="CG8" s="7">
        <f t="shared" si="57"/>
        <v>764438.90670450602</v>
      </c>
      <c r="CI8" s="18">
        <f t="shared" si="58"/>
        <v>0</v>
      </c>
      <c r="CJ8" s="15">
        <f t="shared" si="59"/>
        <v>0</v>
      </c>
      <c r="CK8" s="15">
        <f t="shared" si="60"/>
        <v>0</v>
      </c>
      <c r="CL8" s="15">
        <f t="shared" si="61"/>
        <v>0</v>
      </c>
      <c r="CM8" s="15">
        <f t="shared" si="62"/>
        <v>0</v>
      </c>
      <c r="CN8" s="15">
        <f t="shared" si="63"/>
        <v>0</v>
      </c>
      <c r="CO8" s="7">
        <f t="shared" si="64"/>
        <v>0</v>
      </c>
      <c r="CP8" s="15" t="str">
        <f t="shared" si="65"/>
        <v/>
      </c>
    </row>
    <row r="9" spans="1:94" ht="11.5">
      <c r="A9" s="3" t="str">
        <f>Data!A9</f>
        <v>DN300 Metro - ILI - MFL + EMAT</v>
      </c>
      <c r="B9" s="31" t="s">
        <v>31</v>
      </c>
      <c r="C9" s="3" t="str">
        <f>Data!N9</f>
        <v>Pipelines</v>
      </c>
      <c r="D9" s="3" t="str">
        <f>Data!O9</f>
        <v>Replacement</v>
      </c>
      <c r="E9" s="3" t="str">
        <f>Data!P9</f>
        <v>Pipeline Integrity</v>
      </c>
      <c r="F9" s="3" t="str">
        <f>Data!Q9</f>
        <v>Yes</v>
      </c>
      <c r="G9" s="22">
        <f>Data!H9+Data!J9</f>
        <v>0.96731321757531241</v>
      </c>
      <c r="H9" s="7">
        <f>Data!C9*Inputs!$J$15</f>
        <v>0</v>
      </c>
      <c r="I9" s="7">
        <f>Data!D9*Inputs!$J$15</f>
        <v>0</v>
      </c>
      <c r="J9" s="7">
        <f>Data!E9*Inputs!$J$15</f>
        <v>0</v>
      </c>
      <c r="K9" s="7">
        <f>Data!F9*Inputs!$J$15</f>
        <v>0</v>
      </c>
      <c r="L9" s="7">
        <f>Data!G9*Inputs!$J$15</f>
        <v>1050890.5852417303</v>
      </c>
      <c r="M9" s="7">
        <f t="shared" si="27"/>
        <v>1050890.5852417303</v>
      </c>
      <c r="O9" s="7">
        <f>H9*Inputs!$C$3</f>
        <v>0</v>
      </c>
      <c r="P9" s="7">
        <f>I9*Inputs!$C$3</f>
        <v>0</v>
      </c>
      <c r="Q9" s="7">
        <f>J9*Inputs!$C$3</f>
        <v>0</v>
      </c>
      <c r="R9" s="7">
        <f>K9*Inputs!$C$3</f>
        <v>0</v>
      </c>
      <c r="S9" s="7">
        <f>L9*Inputs!$C$3</f>
        <v>85574.53857234132</v>
      </c>
      <c r="T9" s="7">
        <f t="shared" si="28"/>
        <v>85574.53857234132</v>
      </c>
      <c r="V9" s="7">
        <f t="shared" si="29"/>
        <v>0</v>
      </c>
      <c r="W9" s="7">
        <f t="shared" si="30"/>
        <v>0</v>
      </c>
      <c r="X9" s="7">
        <f t="shared" si="31"/>
        <v>0</v>
      </c>
      <c r="Y9" s="7">
        <f t="shared" si="32"/>
        <v>0</v>
      </c>
      <c r="Z9" s="7">
        <f t="shared" si="33"/>
        <v>1136465.1238140715</v>
      </c>
      <c r="AA9" s="7">
        <f t="shared" si="34"/>
        <v>1136465.1238140715</v>
      </c>
      <c r="AC9" s="7">
        <f t="shared" si="35"/>
        <v>0</v>
      </c>
      <c r="AD9" s="7">
        <f t="shared" si="36"/>
        <v>0</v>
      </c>
      <c r="AE9" s="7">
        <f t="shared" si="37"/>
        <v>0</v>
      </c>
      <c r="AF9" s="7">
        <f t="shared" si="38"/>
        <v>0</v>
      </c>
      <c r="AG9" s="7">
        <f t="shared" si="39"/>
        <v>1102114.8919021226</v>
      </c>
      <c r="AH9" s="7">
        <f t="shared" si="40"/>
        <v>1102114.8919021226</v>
      </c>
      <c r="AJ9" s="7">
        <f>AC9*(Inputs!K$39-1)</f>
        <v>0</v>
      </c>
      <c r="AK9" s="7">
        <f>AD9*(Inputs!L$39-1)</f>
        <v>0</v>
      </c>
      <c r="AL9" s="7">
        <f>AE9*(Inputs!M$39-1)</f>
        <v>0</v>
      </c>
      <c r="AM9" s="7">
        <f>AF9*(Inputs!N$39-1)</f>
        <v>0</v>
      </c>
      <c r="AN9" s="7">
        <f>AG9*(Inputs!O$39-1)</f>
        <v>34799.117109671017</v>
      </c>
      <c r="AO9" s="7">
        <f t="shared" si="41"/>
        <v>34799.117109671017</v>
      </c>
      <c r="AQ9" s="7">
        <f t="shared" si="42"/>
        <v>0</v>
      </c>
      <c r="AR9" s="7">
        <f t="shared" si="43"/>
        <v>0</v>
      </c>
      <c r="AS9" s="7">
        <f t="shared" si="44"/>
        <v>0</v>
      </c>
      <c r="AT9" s="7">
        <f t="shared" si="45"/>
        <v>0</v>
      </c>
      <c r="AU9" s="7">
        <f t="shared" si="46"/>
        <v>1171264.2409237425</v>
      </c>
      <c r="AV9" s="7">
        <f t="shared" si="47"/>
        <v>1171264.2409237425</v>
      </c>
      <c r="AX9" s="27">
        <f>IFERROR(Data!H9/(Data!H9+Data!J9),0)</f>
        <v>0.40805761804446355</v>
      </c>
      <c r="AZ9" s="15">
        <f>(H9*Data!$H9)+O9+(AJ9*$AX9)</f>
        <v>0</v>
      </c>
      <c r="BA9" s="15">
        <f>(I9*Data!$H9)+P9+(AK9*$AX9)</f>
        <v>0</v>
      </c>
      <c r="BB9" s="15">
        <f>(J9*Data!$H9)+Q9+(AL9*$AX9)</f>
        <v>0</v>
      </c>
      <c r="BC9" s="15">
        <f>(K9*Data!$H9)+R9+(AM9*$AX9)</f>
        <v>0</v>
      </c>
      <c r="BD9" s="15">
        <f>(L9*Data!$H9)+S9+(AN9*$AX9)</f>
        <v>514581.61863599194</v>
      </c>
      <c r="BE9" s="7">
        <f t="shared" si="48"/>
        <v>514581.61863599194</v>
      </c>
      <c r="BG9" s="15">
        <f>H9*Data!$I9</f>
        <v>0</v>
      </c>
      <c r="BH9" s="15">
        <f>I9*Data!$I9</f>
        <v>0</v>
      </c>
      <c r="BI9" s="15">
        <f>J9*Data!$I9</f>
        <v>0</v>
      </c>
      <c r="BJ9" s="15">
        <f>K9*Data!$I9</f>
        <v>0</v>
      </c>
      <c r="BK9" s="15">
        <f>L9*Data!$I9</f>
        <v>34350.231911948918</v>
      </c>
      <c r="BL9" s="7">
        <f t="shared" si="49"/>
        <v>34350.231911948918</v>
      </c>
      <c r="BN9" s="15">
        <f>H9*Data!$J9+(AJ9*(1-$AX9))</f>
        <v>0</v>
      </c>
      <c r="BO9" s="15">
        <f>I9*Data!$J9+(AK9*(1-$AX9))</f>
        <v>0</v>
      </c>
      <c r="BP9" s="15">
        <f>J9*Data!$J9+(AL9*(1-$AX9))</f>
        <v>0</v>
      </c>
      <c r="BQ9" s="15">
        <f>K9*Data!$J9+(AM9*(1-$AX9))</f>
        <v>0</v>
      </c>
      <c r="BR9" s="15">
        <f>L9*Data!$J9+(AN9*(1-$AX9))</f>
        <v>622332.39037580171</v>
      </c>
      <c r="BS9" s="7">
        <f t="shared" si="50"/>
        <v>622332.39037580171</v>
      </c>
      <c r="BU9" s="15">
        <f>H9*Data!$K9</f>
        <v>0</v>
      </c>
      <c r="BV9" s="15">
        <f>I9*Data!$K9</f>
        <v>0</v>
      </c>
      <c r="BW9" s="15">
        <f>J9*Data!$K9</f>
        <v>0</v>
      </c>
      <c r="BX9" s="15">
        <f>K9*Data!$K9</f>
        <v>0</v>
      </c>
      <c r="BY9" s="15">
        <f>L9*Data!$K9</f>
        <v>0</v>
      </c>
      <c r="BZ9" s="7">
        <f t="shared" si="51"/>
        <v>0</v>
      </c>
      <c r="CB9" s="15">
        <f t="shared" si="52"/>
        <v>0</v>
      </c>
      <c r="CC9" s="15">
        <f t="shared" si="53"/>
        <v>0</v>
      </c>
      <c r="CD9" s="15">
        <f t="shared" si="54"/>
        <v>0</v>
      </c>
      <c r="CE9" s="15">
        <f t="shared" si="55"/>
        <v>0</v>
      </c>
      <c r="CF9" s="15">
        <f t="shared" si="56"/>
        <v>1171264.2409237425</v>
      </c>
      <c r="CG9" s="7">
        <f t="shared" si="57"/>
        <v>1171264.2409237425</v>
      </c>
      <c r="CI9" s="18">
        <f t="shared" si="58"/>
        <v>0</v>
      </c>
      <c r="CJ9" s="15">
        <f t="shared" si="59"/>
        <v>0</v>
      </c>
      <c r="CK9" s="15">
        <f t="shared" si="60"/>
        <v>0</v>
      </c>
      <c r="CL9" s="15">
        <f t="shared" si="61"/>
        <v>0</v>
      </c>
      <c r="CM9" s="15">
        <f t="shared" si="62"/>
        <v>0</v>
      </c>
      <c r="CN9" s="15">
        <f t="shared" si="63"/>
        <v>1171264.2409237425</v>
      </c>
      <c r="CO9" s="7">
        <f t="shared" si="64"/>
        <v>1171264.2409237425</v>
      </c>
      <c r="CP9" s="15" t="str">
        <f t="shared" si="65"/>
        <v>Pipelines</v>
      </c>
    </row>
    <row r="10" spans="1:94" ht="11.5">
      <c r="A10" s="3" t="str">
        <f>Data!A10</f>
        <v>DN300 Metro Validation dig ILI</v>
      </c>
      <c r="B10" s="31" t="s">
        <v>31</v>
      </c>
      <c r="C10" s="3" t="str">
        <f>Data!N10</f>
        <v>Pipelines</v>
      </c>
      <c r="D10" s="3" t="str">
        <f>Data!O10</f>
        <v>Replacement</v>
      </c>
      <c r="E10" s="3" t="str">
        <f>Data!P10</f>
        <v>Pipeline Integrity</v>
      </c>
      <c r="F10" s="3" t="str">
        <f>Data!Q10</f>
        <v>Yes</v>
      </c>
      <c r="G10" s="22">
        <f>Data!H10+Data!J10</f>
        <v>0.93087291162249397</v>
      </c>
      <c r="H10" s="7">
        <f>Data!C10*Inputs!$J$15</f>
        <v>798676.84478371497</v>
      </c>
      <c r="I10" s="7">
        <f>Data!D10*Inputs!$J$15</f>
        <v>0</v>
      </c>
      <c r="J10" s="7">
        <f>Data!E10*Inputs!$J$15</f>
        <v>0</v>
      </c>
      <c r="K10" s="7">
        <f>Data!F10*Inputs!$J$15</f>
        <v>0</v>
      </c>
      <c r="L10" s="7">
        <f>Data!G10*Inputs!$J$15</f>
        <v>0</v>
      </c>
      <c r="M10" s="7">
        <f t="shared" si="27"/>
        <v>798676.84478371497</v>
      </c>
      <c r="O10" s="7">
        <f>H10*Inputs!$C$3</f>
        <v>65036.649314979397</v>
      </c>
      <c r="P10" s="7">
        <f>I10*Inputs!$C$3</f>
        <v>0</v>
      </c>
      <c r="Q10" s="7">
        <f>J10*Inputs!$C$3</f>
        <v>0</v>
      </c>
      <c r="R10" s="7">
        <f>K10*Inputs!$C$3</f>
        <v>0</v>
      </c>
      <c r="S10" s="7">
        <f>L10*Inputs!$C$3</f>
        <v>0</v>
      </c>
      <c r="T10" s="7">
        <f t="shared" si="28"/>
        <v>65036.649314979397</v>
      </c>
      <c r="V10" s="7">
        <f t="shared" si="29"/>
        <v>863713.49409869441</v>
      </c>
      <c r="W10" s="7">
        <f t="shared" si="30"/>
        <v>0</v>
      </c>
      <c r="X10" s="7">
        <f t="shared" si="31"/>
        <v>0</v>
      </c>
      <c r="Y10" s="7">
        <f t="shared" si="32"/>
        <v>0</v>
      </c>
      <c r="Z10" s="7">
        <f t="shared" si="33"/>
        <v>0</v>
      </c>
      <c r="AA10" s="7">
        <f t="shared" si="34"/>
        <v>863713.49409869441</v>
      </c>
      <c r="AC10" s="7">
        <f t="shared" si="35"/>
        <v>808503.28926426289</v>
      </c>
      <c r="AD10" s="7">
        <f t="shared" si="36"/>
        <v>0</v>
      </c>
      <c r="AE10" s="7">
        <f t="shared" si="37"/>
        <v>0</v>
      </c>
      <c r="AF10" s="7">
        <f t="shared" si="38"/>
        <v>0</v>
      </c>
      <c r="AG10" s="7">
        <f t="shared" si="39"/>
        <v>0</v>
      </c>
      <c r="AH10" s="7">
        <f t="shared" si="40"/>
        <v>808503.28926426289</v>
      </c>
      <c r="AJ10" s="7">
        <f>AC10*(Inputs!K$39-1)</f>
        <v>-515.43186454575505</v>
      </c>
      <c r="AK10" s="7">
        <f>AD10*(Inputs!L$39-1)</f>
        <v>0</v>
      </c>
      <c r="AL10" s="7">
        <f>AE10*(Inputs!M$39-1)</f>
        <v>0</v>
      </c>
      <c r="AM10" s="7">
        <f>AF10*(Inputs!N$39-1)</f>
        <v>0</v>
      </c>
      <c r="AN10" s="7">
        <f>AG10*(Inputs!O$39-1)</f>
        <v>0</v>
      </c>
      <c r="AO10" s="7">
        <f t="shared" si="41"/>
        <v>-515.43186454575505</v>
      </c>
      <c r="AQ10" s="7">
        <f t="shared" si="42"/>
        <v>863198.06223414862</v>
      </c>
      <c r="AR10" s="7">
        <f t="shared" si="43"/>
        <v>0</v>
      </c>
      <c r="AS10" s="7">
        <f t="shared" si="44"/>
        <v>0</v>
      </c>
      <c r="AT10" s="7">
        <f t="shared" si="45"/>
        <v>0</v>
      </c>
      <c r="AU10" s="7">
        <f t="shared" si="46"/>
        <v>0</v>
      </c>
      <c r="AV10" s="7">
        <f t="shared" si="47"/>
        <v>863198.06223414862</v>
      </c>
      <c r="AX10" s="27">
        <f>IFERROR(Data!H10/(Data!H10+Data!J10),0)</f>
        <v>0.32692456547311133</v>
      </c>
      <c r="AZ10" s="15">
        <f>(H10*Data!$H10)+O10+(AJ10*$AX10)</f>
        <v>307925.6501858054</v>
      </c>
      <c r="BA10" s="15">
        <f>(I10*Data!$H10)+P10+(AK10*$AX10)</f>
        <v>0</v>
      </c>
      <c r="BB10" s="15">
        <f>(J10*Data!$H10)+Q10+(AL10*$AX10)</f>
        <v>0</v>
      </c>
      <c r="BC10" s="15">
        <f>(K10*Data!$H10)+R10+(AM10*$AX10)</f>
        <v>0</v>
      </c>
      <c r="BD10" s="15">
        <f>(L10*Data!$H10)+S10+(AN10*$AX10)</f>
        <v>0</v>
      </c>
      <c r="BE10" s="7">
        <f t="shared" si="48"/>
        <v>307925.6501858054</v>
      </c>
      <c r="BG10" s="15">
        <f>H10*Data!$I10</f>
        <v>49148.749211522379</v>
      </c>
      <c r="BH10" s="15">
        <f>I10*Data!$I10</f>
        <v>0</v>
      </c>
      <c r="BI10" s="15">
        <f>J10*Data!$I10</f>
        <v>0</v>
      </c>
      <c r="BJ10" s="15">
        <f>K10*Data!$I10</f>
        <v>0</v>
      </c>
      <c r="BK10" s="15">
        <f>L10*Data!$I10</f>
        <v>0</v>
      </c>
      <c r="BL10" s="7">
        <f t="shared" si="49"/>
        <v>49148.749211522379</v>
      </c>
      <c r="BN10" s="15">
        <f>H10*Data!$J10+(AJ10*(1-$AX10))</f>
        <v>500062.20721391169</v>
      </c>
      <c r="BO10" s="15">
        <f>I10*Data!$J10+(AK10*(1-$AX10))</f>
        <v>0</v>
      </c>
      <c r="BP10" s="15">
        <f>J10*Data!$J10+(AL10*(1-$AX10))</f>
        <v>0</v>
      </c>
      <c r="BQ10" s="15">
        <f>K10*Data!$J10+(AM10*(1-$AX10))</f>
        <v>0</v>
      </c>
      <c r="BR10" s="15">
        <f>L10*Data!$J10+(AN10*(1-$AX10))</f>
        <v>0</v>
      </c>
      <c r="BS10" s="7">
        <f t="shared" si="50"/>
        <v>500062.20721391169</v>
      </c>
      <c r="BU10" s="15">
        <f>H10*Data!$K10</f>
        <v>6061.455622909165</v>
      </c>
      <c r="BV10" s="15">
        <f>I10*Data!$K10</f>
        <v>0</v>
      </c>
      <c r="BW10" s="15">
        <f>J10*Data!$K10</f>
        <v>0</v>
      </c>
      <c r="BX10" s="15">
        <f>K10*Data!$K10</f>
        <v>0</v>
      </c>
      <c r="BY10" s="15">
        <f>L10*Data!$K10</f>
        <v>0</v>
      </c>
      <c r="BZ10" s="7">
        <f t="shared" si="51"/>
        <v>6061.455622909165</v>
      </c>
      <c r="CB10" s="15">
        <f t="shared" si="52"/>
        <v>863198.06223414862</v>
      </c>
      <c r="CC10" s="15">
        <f t="shared" si="53"/>
        <v>0</v>
      </c>
      <c r="CD10" s="15">
        <f t="shared" si="54"/>
        <v>0</v>
      </c>
      <c r="CE10" s="15">
        <f t="shared" si="55"/>
        <v>0</v>
      </c>
      <c r="CF10" s="15">
        <f t="shared" si="56"/>
        <v>0</v>
      </c>
      <c r="CG10" s="7">
        <f t="shared" si="57"/>
        <v>863198.06223414862</v>
      </c>
      <c r="CI10" s="18">
        <f t="shared" si="58"/>
        <v>0</v>
      </c>
      <c r="CJ10" s="15">
        <f t="shared" si="59"/>
        <v>863198.06223414862</v>
      </c>
      <c r="CK10" s="15">
        <f t="shared" si="60"/>
        <v>0</v>
      </c>
      <c r="CL10" s="15">
        <f t="shared" si="61"/>
        <v>0</v>
      </c>
      <c r="CM10" s="15">
        <f t="shared" si="62"/>
        <v>0</v>
      </c>
      <c r="CN10" s="15">
        <f t="shared" si="63"/>
        <v>0</v>
      </c>
      <c r="CO10" s="7">
        <f t="shared" si="64"/>
        <v>863198.06223414862</v>
      </c>
      <c r="CP10" s="15" t="str">
        <f t="shared" si="65"/>
        <v>Pipelines</v>
      </c>
    </row>
    <row r="11" spans="1:94" ht="11.5">
      <c r="A11" s="3" t="str">
        <f>Data!A11</f>
        <v>DN200 Lytton Lateral - ILI - MFL</v>
      </c>
      <c r="B11" s="31" t="s">
        <v>31</v>
      </c>
      <c r="C11" s="3" t="str">
        <f>Data!N11</f>
        <v>Pipelines</v>
      </c>
      <c r="D11" s="3" t="str">
        <f>Data!O11</f>
        <v>Replacement</v>
      </c>
      <c r="E11" s="3" t="str">
        <f>Data!P11</f>
        <v>Pipeline Integrity</v>
      </c>
      <c r="F11" s="3" t="str">
        <f>Data!Q11</f>
        <v>Yes</v>
      </c>
      <c r="G11" s="22">
        <f>Data!H11+Data!J11</f>
        <v>0.96731321757531241</v>
      </c>
      <c r="H11" s="7">
        <f>Data!C11*Inputs!$J$15</f>
        <v>0</v>
      </c>
      <c r="I11" s="7">
        <f>Data!D11*Inputs!$J$15</f>
        <v>0</v>
      </c>
      <c r="J11" s="7">
        <f>Data!E11*Inputs!$J$15</f>
        <v>0</v>
      </c>
      <c r="K11" s="7">
        <f>Data!F11*Inputs!$J$15</f>
        <v>0</v>
      </c>
      <c r="L11" s="7">
        <f>Data!G11*Inputs!$J$15</f>
        <v>220687.02290076338</v>
      </c>
      <c r="M11" s="7">
        <f t="shared" si="27"/>
        <v>220687.02290076338</v>
      </c>
      <c r="O11" s="7">
        <f>H11*Inputs!$C$3</f>
        <v>0</v>
      </c>
      <c r="P11" s="7">
        <f>I11*Inputs!$C$3</f>
        <v>0</v>
      </c>
      <c r="Q11" s="7">
        <f>J11*Inputs!$C$3</f>
        <v>0</v>
      </c>
      <c r="R11" s="7">
        <f>K11*Inputs!$C$3</f>
        <v>0</v>
      </c>
      <c r="S11" s="7">
        <f>L11*Inputs!$C$3</f>
        <v>17970.653100191677</v>
      </c>
      <c r="T11" s="7">
        <f t="shared" si="28"/>
        <v>17970.653100191677</v>
      </c>
      <c r="V11" s="7">
        <f t="shared" si="29"/>
        <v>0</v>
      </c>
      <c r="W11" s="7">
        <f t="shared" si="30"/>
        <v>0</v>
      </c>
      <c r="X11" s="7">
        <f t="shared" si="31"/>
        <v>0</v>
      </c>
      <c r="Y11" s="7">
        <f t="shared" si="32"/>
        <v>0</v>
      </c>
      <c r="Z11" s="7">
        <f t="shared" si="33"/>
        <v>238657.67600095505</v>
      </c>
      <c r="AA11" s="7">
        <f t="shared" si="34"/>
        <v>238657.67600095505</v>
      </c>
      <c r="AC11" s="7">
        <f t="shared" si="35"/>
        <v>0</v>
      </c>
      <c r="AD11" s="7">
        <f t="shared" si="36"/>
        <v>0</v>
      </c>
      <c r="AE11" s="7">
        <f t="shared" si="37"/>
        <v>0</v>
      </c>
      <c r="AF11" s="7">
        <f t="shared" si="38"/>
        <v>0</v>
      </c>
      <c r="AG11" s="7">
        <f t="shared" si="39"/>
        <v>231444.12729944574</v>
      </c>
      <c r="AH11" s="7">
        <f t="shared" si="40"/>
        <v>231444.12729944574</v>
      </c>
      <c r="AJ11" s="7">
        <f>AC11*(Inputs!K$39-1)</f>
        <v>0</v>
      </c>
      <c r="AK11" s="7">
        <f>AD11*(Inputs!L$39-1)</f>
        <v>0</v>
      </c>
      <c r="AL11" s="7">
        <f>AE11*(Inputs!M$39-1)</f>
        <v>0</v>
      </c>
      <c r="AM11" s="7">
        <f>AF11*(Inputs!N$39-1)</f>
        <v>0</v>
      </c>
      <c r="AN11" s="7">
        <f>AG11*(Inputs!O$39-1)</f>
        <v>7307.8145930309138</v>
      </c>
      <c r="AO11" s="7">
        <f t="shared" si="41"/>
        <v>7307.8145930309138</v>
      </c>
      <c r="AQ11" s="7">
        <f t="shared" si="42"/>
        <v>0</v>
      </c>
      <c r="AR11" s="7">
        <f t="shared" si="43"/>
        <v>0</v>
      </c>
      <c r="AS11" s="7">
        <f t="shared" si="44"/>
        <v>0</v>
      </c>
      <c r="AT11" s="7">
        <f t="shared" si="45"/>
        <v>0</v>
      </c>
      <c r="AU11" s="7">
        <f t="shared" si="46"/>
        <v>245965.49059398597</v>
      </c>
      <c r="AV11" s="7">
        <f t="shared" si="47"/>
        <v>245965.49059398597</v>
      </c>
      <c r="AX11" s="27">
        <f>IFERROR(Data!H11/(Data!H11+Data!J11),0)</f>
        <v>0.40805761804446355</v>
      </c>
      <c r="AZ11" s="15">
        <f>(H11*Data!$H11)+O11+(AJ11*$AX11)</f>
        <v>0</v>
      </c>
      <c r="BA11" s="15">
        <f>(I11*Data!$H11)+P11+(AK11*$AX11)</f>
        <v>0</v>
      </c>
      <c r="BB11" s="15">
        <f>(J11*Data!$H11)+Q11+(AL11*$AX11)</f>
        <v>0</v>
      </c>
      <c r="BC11" s="15">
        <f>(K11*Data!$H11)+R11+(AM11*$AX11)</f>
        <v>0</v>
      </c>
      <c r="BD11" s="15">
        <f>(L11*Data!$H11)+S11+(AN11*$AX11)</f>
        <v>108062.13991355831</v>
      </c>
      <c r="BE11" s="7">
        <f t="shared" si="48"/>
        <v>108062.13991355831</v>
      </c>
      <c r="BG11" s="15">
        <f>H11*Data!$I11</f>
        <v>0</v>
      </c>
      <c r="BH11" s="15">
        <f>I11*Data!$I11</f>
        <v>0</v>
      </c>
      <c r="BI11" s="15">
        <f>J11*Data!$I11</f>
        <v>0</v>
      </c>
      <c r="BJ11" s="15">
        <f>K11*Data!$I11</f>
        <v>0</v>
      </c>
      <c r="BK11" s="15">
        <f>L11*Data!$I11</f>
        <v>7213.548701509274</v>
      </c>
      <c r="BL11" s="7">
        <f t="shared" si="49"/>
        <v>7213.548701509274</v>
      </c>
      <c r="BN11" s="15">
        <f>H11*Data!$J11+(AJ11*(1-$AX11))</f>
        <v>0</v>
      </c>
      <c r="BO11" s="15">
        <f>I11*Data!$J11+(AK11*(1-$AX11))</f>
        <v>0</v>
      </c>
      <c r="BP11" s="15">
        <f>J11*Data!$J11+(AL11*(1-$AX11))</f>
        <v>0</v>
      </c>
      <c r="BQ11" s="15">
        <f>K11*Data!$J11+(AM11*(1-$AX11))</f>
        <v>0</v>
      </c>
      <c r="BR11" s="15">
        <f>L11*Data!$J11+(AN11*(1-$AX11))</f>
        <v>130689.80197891835</v>
      </c>
      <c r="BS11" s="7">
        <f t="shared" si="50"/>
        <v>130689.80197891835</v>
      </c>
      <c r="BU11" s="15">
        <f>H11*Data!$K11</f>
        <v>0</v>
      </c>
      <c r="BV11" s="15">
        <f>I11*Data!$K11</f>
        <v>0</v>
      </c>
      <c r="BW11" s="15">
        <f>J11*Data!$K11</f>
        <v>0</v>
      </c>
      <c r="BX11" s="15">
        <f>K11*Data!$K11</f>
        <v>0</v>
      </c>
      <c r="BY11" s="15">
        <f>L11*Data!$K11</f>
        <v>0</v>
      </c>
      <c r="BZ11" s="7">
        <f t="shared" si="51"/>
        <v>0</v>
      </c>
      <c r="CB11" s="15">
        <f t="shared" si="52"/>
        <v>0</v>
      </c>
      <c r="CC11" s="15">
        <f t="shared" si="53"/>
        <v>0</v>
      </c>
      <c r="CD11" s="15">
        <f t="shared" si="54"/>
        <v>0</v>
      </c>
      <c r="CE11" s="15">
        <f t="shared" si="55"/>
        <v>0</v>
      </c>
      <c r="CF11" s="15">
        <f t="shared" si="56"/>
        <v>245965.49059398595</v>
      </c>
      <c r="CG11" s="7">
        <f t="shared" si="57"/>
        <v>245965.49059398595</v>
      </c>
      <c r="CI11" s="18">
        <f t="shared" si="58"/>
        <v>0</v>
      </c>
      <c r="CJ11" s="15">
        <f t="shared" si="59"/>
        <v>0</v>
      </c>
      <c r="CK11" s="15">
        <f t="shared" si="60"/>
        <v>0</v>
      </c>
      <c r="CL11" s="15">
        <f t="shared" si="61"/>
        <v>0</v>
      </c>
      <c r="CM11" s="15">
        <f t="shared" si="62"/>
        <v>0</v>
      </c>
      <c r="CN11" s="15">
        <f t="shared" si="63"/>
        <v>245965.49059398595</v>
      </c>
      <c r="CO11" s="7">
        <f t="shared" si="64"/>
        <v>245965.49059398595</v>
      </c>
      <c r="CP11" s="15" t="str">
        <f t="shared" si="65"/>
        <v>Pipelines</v>
      </c>
    </row>
    <row r="12" spans="1:94" ht="11.5">
      <c r="A12" s="3" t="str">
        <f>Data!A12</f>
        <v>Gatton - Battery Charger Replacement</v>
      </c>
      <c r="B12" s="31" t="s">
        <v>31</v>
      </c>
      <c r="C12" s="3" t="str">
        <f>Data!N12</f>
        <v xml:space="preserve">Compressors </v>
      </c>
      <c r="D12" s="3" t="str">
        <f>Data!O12</f>
        <v>Replacement</v>
      </c>
      <c r="E12" s="3" t="str">
        <f>Data!P12</f>
        <v>Battery Charger Replacement</v>
      </c>
      <c r="F12" s="3" t="str">
        <f>Data!Q12</f>
        <v>Yes</v>
      </c>
      <c r="G12" s="22">
        <f>Data!H12+Data!J12</f>
        <v>0</v>
      </c>
      <c r="H12" s="7">
        <f>Data!C12*Inputs!$J$15</f>
        <v>78816.793893129769</v>
      </c>
      <c r="I12" s="7">
        <f>Data!D12*Inputs!$J$15</f>
        <v>0</v>
      </c>
      <c r="J12" s="7">
        <f>Data!E12*Inputs!$J$15</f>
        <v>0</v>
      </c>
      <c r="K12" s="7">
        <f>Data!F12*Inputs!$J$15</f>
        <v>0</v>
      </c>
      <c r="L12" s="7">
        <f>Data!G12*Inputs!$J$15</f>
        <v>0</v>
      </c>
      <c r="M12" s="7">
        <f t="shared" si="27"/>
        <v>78816.793893129769</v>
      </c>
      <c r="O12" s="7">
        <f>H12*Inputs!$C$3</f>
        <v>6418.0903929255983</v>
      </c>
      <c r="P12" s="7">
        <f>I12*Inputs!$C$3</f>
        <v>0</v>
      </c>
      <c r="Q12" s="7">
        <f>J12*Inputs!$C$3</f>
        <v>0</v>
      </c>
      <c r="R12" s="7">
        <f>K12*Inputs!$C$3</f>
        <v>0</v>
      </c>
      <c r="S12" s="7">
        <f>L12*Inputs!$C$3</f>
        <v>0</v>
      </c>
      <c r="T12" s="7">
        <f t="shared" si="28"/>
        <v>6418.0903929255983</v>
      </c>
      <c r="V12" s="7">
        <f t="shared" si="29"/>
        <v>85234.88428605537</v>
      </c>
      <c r="W12" s="7">
        <f t="shared" si="30"/>
        <v>0</v>
      </c>
      <c r="X12" s="7">
        <f t="shared" si="31"/>
        <v>0</v>
      </c>
      <c r="Y12" s="7">
        <f t="shared" si="32"/>
        <v>0</v>
      </c>
      <c r="Z12" s="7">
        <f t="shared" si="33"/>
        <v>0</v>
      </c>
      <c r="AA12" s="7">
        <f t="shared" si="34"/>
        <v>85234.88428605537</v>
      </c>
      <c r="AC12" s="7">
        <f t="shared" si="35"/>
        <v>6418.0903929255983</v>
      </c>
      <c r="AD12" s="7">
        <f t="shared" si="36"/>
        <v>0</v>
      </c>
      <c r="AE12" s="7">
        <f t="shared" si="37"/>
        <v>0</v>
      </c>
      <c r="AF12" s="7">
        <f t="shared" si="38"/>
        <v>0</v>
      </c>
      <c r="AG12" s="7">
        <f t="shared" si="39"/>
        <v>0</v>
      </c>
      <c r="AH12" s="7">
        <f t="shared" si="40"/>
        <v>6418.0903929255983</v>
      </c>
      <c r="AJ12" s="7">
        <f>AC12*(Inputs!K$39-1)</f>
        <v>-4.0916200861213508</v>
      </c>
      <c r="AK12" s="7">
        <f>AD12*(Inputs!L$39-1)</f>
        <v>0</v>
      </c>
      <c r="AL12" s="7">
        <f>AE12*(Inputs!M$39-1)</f>
        <v>0</v>
      </c>
      <c r="AM12" s="7">
        <f>AF12*(Inputs!N$39-1)</f>
        <v>0</v>
      </c>
      <c r="AN12" s="7">
        <f>AG12*(Inputs!O$39-1)</f>
        <v>0</v>
      </c>
      <c r="AO12" s="7">
        <f t="shared" si="41"/>
        <v>-4.0916200861213508</v>
      </c>
      <c r="AQ12" s="7">
        <f t="shared" si="42"/>
        <v>85230.792665969246</v>
      </c>
      <c r="AR12" s="7">
        <f t="shared" si="43"/>
        <v>0</v>
      </c>
      <c r="AS12" s="7">
        <f t="shared" si="44"/>
        <v>0</v>
      </c>
      <c r="AT12" s="7">
        <f t="shared" si="45"/>
        <v>0</v>
      </c>
      <c r="AU12" s="7">
        <f t="shared" si="46"/>
        <v>0</v>
      </c>
      <c r="AV12" s="7">
        <f t="shared" si="47"/>
        <v>85230.792665969246</v>
      </c>
      <c r="AX12" s="27">
        <f>IFERROR(Data!H12/(Data!H12+Data!J12),0)</f>
        <v>0</v>
      </c>
      <c r="AZ12" s="15">
        <f>(H12*Data!$H12)+O12+(AJ12*$AX12)</f>
        <v>6418.0903929255983</v>
      </c>
      <c r="BA12" s="15">
        <f>(I12*Data!$H12)+P12+(AK12*$AX12)</f>
        <v>0</v>
      </c>
      <c r="BB12" s="15">
        <f>(J12*Data!$H12)+Q12+(AL12*$AX12)</f>
        <v>0</v>
      </c>
      <c r="BC12" s="15">
        <f>(K12*Data!$H12)+R12+(AM12*$AX12)</f>
        <v>0</v>
      </c>
      <c r="BD12" s="15">
        <f>(L12*Data!$H12)+S12+(AN12*$AX12)</f>
        <v>0</v>
      </c>
      <c r="BE12" s="7">
        <f t="shared" si="48"/>
        <v>6418.0903929255983</v>
      </c>
      <c r="BG12" s="15">
        <f>H12*Data!$I12</f>
        <v>78816.793893129769</v>
      </c>
      <c r="BH12" s="15">
        <f>I12*Data!$I12</f>
        <v>0</v>
      </c>
      <c r="BI12" s="15">
        <f>J12*Data!$I12</f>
        <v>0</v>
      </c>
      <c r="BJ12" s="15">
        <f>K12*Data!$I12</f>
        <v>0</v>
      </c>
      <c r="BK12" s="15">
        <f>L12*Data!$I12</f>
        <v>0</v>
      </c>
      <c r="BL12" s="7">
        <f t="shared" si="49"/>
        <v>78816.793893129769</v>
      </c>
      <c r="BN12" s="15">
        <f>H12*Data!$J12+(AJ12*(1-$AX12))</f>
        <v>-4.0916200861213508</v>
      </c>
      <c r="BO12" s="15">
        <f>I12*Data!$J12+(AK12*(1-$AX12))</f>
        <v>0</v>
      </c>
      <c r="BP12" s="15">
        <f>J12*Data!$J12+(AL12*(1-$AX12))</f>
        <v>0</v>
      </c>
      <c r="BQ12" s="15">
        <f>K12*Data!$J12+(AM12*(1-$AX12))</f>
        <v>0</v>
      </c>
      <c r="BR12" s="15">
        <f>L12*Data!$J12+(AN12*(1-$AX12))</f>
        <v>0</v>
      </c>
      <c r="BS12" s="7">
        <f t="shared" si="50"/>
        <v>-4.0916200861213508</v>
      </c>
      <c r="BU12" s="15">
        <f>H12*Data!$K12</f>
        <v>0</v>
      </c>
      <c r="BV12" s="15">
        <f>I12*Data!$K12</f>
        <v>0</v>
      </c>
      <c r="BW12" s="15">
        <f>J12*Data!$K12</f>
        <v>0</v>
      </c>
      <c r="BX12" s="15">
        <f>K12*Data!$K12</f>
        <v>0</v>
      </c>
      <c r="BY12" s="15">
        <f>L12*Data!$K12</f>
        <v>0</v>
      </c>
      <c r="BZ12" s="7">
        <f t="shared" si="51"/>
        <v>0</v>
      </c>
      <c r="CB12" s="15">
        <f t="shared" si="52"/>
        <v>85230.792665969246</v>
      </c>
      <c r="CC12" s="15">
        <f t="shared" si="53"/>
        <v>0</v>
      </c>
      <c r="CD12" s="15">
        <f t="shared" si="54"/>
        <v>0</v>
      </c>
      <c r="CE12" s="15">
        <f t="shared" si="55"/>
        <v>0</v>
      </c>
      <c r="CF12" s="15">
        <f t="shared" si="56"/>
        <v>0</v>
      </c>
      <c r="CG12" s="7">
        <f t="shared" si="57"/>
        <v>85230.792665969246</v>
      </c>
      <c r="CI12" s="18">
        <f t="shared" si="58"/>
        <v>0</v>
      </c>
      <c r="CJ12" s="15">
        <f t="shared" si="59"/>
        <v>85230.792665969246</v>
      </c>
      <c r="CK12" s="15">
        <f t="shared" si="60"/>
        <v>0</v>
      </c>
      <c r="CL12" s="15">
        <f t="shared" si="61"/>
        <v>0</v>
      </c>
      <c r="CM12" s="15">
        <f t="shared" si="62"/>
        <v>0</v>
      </c>
      <c r="CN12" s="15">
        <f t="shared" si="63"/>
        <v>0</v>
      </c>
      <c r="CO12" s="7">
        <f t="shared" si="64"/>
        <v>85230.792665969246</v>
      </c>
      <c r="CP12" s="15" t="str">
        <f t="shared" si="65"/>
        <v xml:space="preserve">Compressors </v>
      </c>
    </row>
    <row r="13" spans="1:94" ht="11.5">
      <c r="A13" s="3" t="str">
        <f>Data!A13</f>
        <v>Kogan - Battery Charger Replacement</v>
      </c>
      <c r="B13" s="31" t="s">
        <v>31</v>
      </c>
      <c r="C13" s="3" t="str">
        <f>Data!N13</f>
        <v xml:space="preserve">Compressors </v>
      </c>
      <c r="D13" s="3" t="str">
        <f>Data!O13</f>
        <v>Replacement</v>
      </c>
      <c r="E13" s="3" t="str">
        <f>Data!P13</f>
        <v>Battery Charger Replacement</v>
      </c>
      <c r="F13" s="3" t="str">
        <f>Data!Q13</f>
        <v>Yes</v>
      </c>
      <c r="G13" s="22">
        <f>Data!H13+Data!J13</f>
        <v>0</v>
      </c>
      <c r="H13" s="7">
        <f>Data!C13*Inputs!$J$15</f>
        <v>78816.793893129769</v>
      </c>
      <c r="I13" s="7">
        <f>Data!D13*Inputs!$J$15</f>
        <v>0</v>
      </c>
      <c r="J13" s="7">
        <f>Data!E13*Inputs!$J$15</f>
        <v>0</v>
      </c>
      <c r="K13" s="7">
        <f>Data!F13*Inputs!$J$15</f>
        <v>0</v>
      </c>
      <c r="L13" s="7">
        <f>Data!G13*Inputs!$J$15</f>
        <v>0</v>
      </c>
      <c r="M13" s="7">
        <f t="shared" si="27"/>
        <v>78816.793893129769</v>
      </c>
      <c r="O13" s="7">
        <f>H13*Inputs!$C$3</f>
        <v>6418.0903929255983</v>
      </c>
      <c r="P13" s="7">
        <f>I13*Inputs!$C$3</f>
        <v>0</v>
      </c>
      <c r="Q13" s="7">
        <f>J13*Inputs!$C$3</f>
        <v>0</v>
      </c>
      <c r="R13" s="7">
        <f>K13*Inputs!$C$3</f>
        <v>0</v>
      </c>
      <c r="S13" s="7">
        <f>L13*Inputs!$C$3</f>
        <v>0</v>
      </c>
      <c r="T13" s="7">
        <f t="shared" si="28"/>
        <v>6418.0903929255983</v>
      </c>
      <c r="V13" s="7">
        <f t="shared" si="29"/>
        <v>85234.88428605537</v>
      </c>
      <c r="W13" s="7">
        <f t="shared" si="30"/>
        <v>0</v>
      </c>
      <c r="X13" s="7">
        <f t="shared" si="31"/>
        <v>0</v>
      </c>
      <c r="Y13" s="7">
        <f t="shared" si="32"/>
        <v>0</v>
      </c>
      <c r="Z13" s="7">
        <f t="shared" si="33"/>
        <v>0</v>
      </c>
      <c r="AA13" s="7">
        <f t="shared" si="34"/>
        <v>85234.88428605537</v>
      </c>
      <c r="AC13" s="7">
        <f t="shared" si="35"/>
        <v>6418.0903929255983</v>
      </c>
      <c r="AD13" s="7">
        <f t="shared" si="36"/>
        <v>0</v>
      </c>
      <c r="AE13" s="7">
        <f t="shared" si="37"/>
        <v>0</v>
      </c>
      <c r="AF13" s="7">
        <f t="shared" si="38"/>
        <v>0</v>
      </c>
      <c r="AG13" s="7">
        <f t="shared" si="39"/>
        <v>0</v>
      </c>
      <c r="AH13" s="7">
        <f t="shared" si="40"/>
        <v>6418.0903929255983</v>
      </c>
      <c r="AJ13" s="7">
        <f>AC13*(Inputs!K$39-1)</f>
        <v>-4.0916200861213508</v>
      </c>
      <c r="AK13" s="7">
        <f>AD13*(Inputs!L$39-1)</f>
        <v>0</v>
      </c>
      <c r="AL13" s="7">
        <f>AE13*(Inputs!M$39-1)</f>
        <v>0</v>
      </c>
      <c r="AM13" s="7">
        <f>AF13*(Inputs!N$39-1)</f>
        <v>0</v>
      </c>
      <c r="AN13" s="7">
        <f>AG13*(Inputs!O$39-1)</f>
        <v>0</v>
      </c>
      <c r="AO13" s="7">
        <f t="shared" si="41"/>
        <v>-4.0916200861213508</v>
      </c>
      <c r="AQ13" s="7">
        <f t="shared" si="42"/>
        <v>85230.792665969246</v>
      </c>
      <c r="AR13" s="7">
        <f t="shared" si="43"/>
        <v>0</v>
      </c>
      <c r="AS13" s="7">
        <f t="shared" si="44"/>
        <v>0</v>
      </c>
      <c r="AT13" s="7">
        <f t="shared" si="45"/>
        <v>0</v>
      </c>
      <c r="AU13" s="7">
        <f t="shared" si="46"/>
        <v>0</v>
      </c>
      <c r="AV13" s="7">
        <f t="shared" si="47"/>
        <v>85230.792665969246</v>
      </c>
      <c r="AX13" s="27">
        <f>IFERROR(Data!H13/(Data!H13+Data!J13),0)</f>
        <v>0</v>
      </c>
      <c r="AZ13" s="15">
        <f>(H13*Data!$H13)+O13+(AJ13*$AX13)</f>
        <v>6418.0903929255983</v>
      </c>
      <c r="BA13" s="15">
        <f>(I13*Data!$H13)+P13+(AK13*$AX13)</f>
        <v>0</v>
      </c>
      <c r="BB13" s="15">
        <f>(J13*Data!$H13)+Q13+(AL13*$AX13)</f>
        <v>0</v>
      </c>
      <c r="BC13" s="15">
        <f>(K13*Data!$H13)+R13+(AM13*$AX13)</f>
        <v>0</v>
      </c>
      <c r="BD13" s="15">
        <f>(L13*Data!$H13)+S13+(AN13*$AX13)</f>
        <v>0</v>
      </c>
      <c r="BE13" s="7">
        <f t="shared" si="48"/>
        <v>6418.0903929255983</v>
      </c>
      <c r="BG13" s="15">
        <f>H13*Data!$I13</f>
        <v>78816.793893129769</v>
      </c>
      <c r="BH13" s="15">
        <f>I13*Data!$I13</f>
        <v>0</v>
      </c>
      <c r="BI13" s="15">
        <f>J13*Data!$I13</f>
        <v>0</v>
      </c>
      <c r="BJ13" s="15">
        <f>K13*Data!$I13</f>
        <v>0</v>
      </c>
      <c r="BK13" s="15">
        <f>L13*Data!$I13</f>
        <v>0</v>
      </c>
      <c r="BL13" s="7">
        <f t="shared" si="49"/>
        <v>78816.793893129769</v>
      </c>
      <c r="BN13" s="15">
        <f>H13*Data!$J13+(AJ13*(1-$AX13))</f>
        <v>-4.0916200861213508</v>
      </c>
      <c r="BO13" s="15">
        <f>I13*Data!$J13+(AK13*(1-$AX13))</f>
        <v>0</v>
      </c>
      <c r="BP13" s="15">
        <f>J13*Data!$J13+(AL13*(1-$AX13))</f>
        <v>0</v>
      </c>
      <c r="BQ13" s="15">
        <f>K13*Data!$J13+(AM13*(1-$AX13))</f>
        <v>0</v>
      </c>
      <c r="BR13" s="15">
        <f>L13*Data!$J13+(AN13*(1-$AX13))</f>
        <v>0</v>
      </c>
      <c r="BS13" s="7">
        <f t="shared" si="50"/>
        <v>-4.0916200861213508</v>
      </c>
      <c r="BU13" s="15">
        <f>H13*Data!$K13</f>
        <v>0</v>
      </c>
      <c r="BV13" s="15">
        <f>I13*Data!$K13</f>
        <v>0</v>
      </c>
      <c r="BW13" s="15">
        <f>J13*Data!$K13</f>
        <v>0</v>
      </c>
      <c r="BX13" s="15">
        <f>K13*Data!$K13</f>
        <v>0</v>
      </c>
      <c r="BY13" s="15">
        <f>L13*Data!$K13</f>
        <v>0</v>
      </c>
      <c r="BZ13" s="7">
        <f t="shared" si="51"/>
        <v>0</v>
      </c>
      <c r="CB13" s="15">
        <f t="shared" si="52"/>
        <v>85230.792665969246</v>
      </c>
      <c r="CC13" s="15">
        <f t="shared" si="53"/>
        <v>0</v>
      </c>
      <c r="CD13" s="15">
        <f t="shared" si="54"/>
        <v>0</v>
      </c>
      <c r="CE13" s="15">
        <f t="shared" si="55"/>
        <v>0</v>
      </c>
      <c r="CF13" s="15">
        <f t="shared" si="56"/>
        <v>0</v>
      </c>
      <c r="CG13" s="7">
        <f t="shared" si="57"/>
        <v>85230.792665969246</v>
      </c>
      <c r="CI13" s="18">
        <f t="shared" si="58"/>
        <v>0</v>
      </c>
      <c r="CJ13" s="15">
        <f t="shared" si="59"/>
        <v>85230.792665969246</v>
      </c>
      <c r="CK13" s="15">
        <f t="shared" si="60"/>
        <v>0</v>
      </c>
      <c r="CL13" s="15">
        <f t="shared" si="61"/>
        <v>0</v>
      </c>
      <c r="CM13" s="15">
        <f t="shared" si="62"/>
        <v>0</v>
      </c>
      <c r="CN13" s="15">
        <f t="shared" si="63"/>
        <v>0</v>
      </c>
      <c r="CO13" s="7">
        <f t="shared" si="64"/>
        <v>85230.792665969246</v>
      </c>
      <c r="CP13" s="15" t="str">
        <f t="shared" si="65"/>
        <v xml:space="preserve">Compressors </v>
      </c>
    </row>
    <row r="14" spans="1:94" ht="11.5">
      <c r="A14" s="3" t="str">
        <f>Data!A14</f>
        <v>Oakey - Battery Charger Replacement</v>
      </c>
      <c r="B14" s="31" t="s">
        <v>31</v>
      </c>
      <c r="C14" s="3" t="str">
        <f>Data!N14</f>
        <v xml:space="preserve">Compressors </v>
      </c>
      <c r="D14" s="3" t="str">
        <f>Data!O14</f>
        <v>Replacement</v>
      </c>
      <c r="E14" s="3" t="str">
        <f>Data!P14</f>
        <v>Battery Charger Replacement</v>
      </c>
      <c r="F14" s="3" t="str">
        <f>Data!Q14</f>
        <v>Yes</v>
      </c>
      <c r="G14" s="22">
        <f>Data!H14+Data!J14</f>
        <v>0</v>
      </c>
      <c r="H14" s="7">
        <f>Data!C14*Inputs!$J$15</f>
        <v>78816.793893129769</v>
      </c>
      <c r="I14" s="7">
        <f>Data!D14*Inputs!$J$15</f>
        <v>0</v>
      </c>
      <c r="J14" s="7">
        <f>Data!E14*Inputs!$J$15</f>
        <v>0</v>
      </c>
      <c r="K14" s="7">
        <f>Data!F14*Inputs!$J$15</f>
        <v>0</v>
      </c>
      <c r="L14" s="7">
        <f>Data!G14*Inputs!$J$15</f>
        <v>0</v>
      </c>
      <c r="M14" s="7">
        <f t="shared" si="27"/>
        <v>78816.793893129769</v>
      </c>
      <c r="O14" s="7">
        <f>H14*Inputs!$C$3</f>
        <v>6418.0903929255983</v>
      </c>
      <c r="P14" s="7">
        <f>I14*Inputs!$C$3</f>
        <v>0</v>
      </c>
      <c r="Q14" s="7">
        <f>J14*Inputs!$C$3</f>
        <v>0</v>
      </c>
      <c r="R14" s="7">
        <f>K14*Inputs!$C$3</f>
        <v>0</v>
      </c>
      <c r="S14" s="7">
        <f>L14*Inputs!$C$3</f>
        <v>0</v>
      </c>
      <c r="T14" s="7">
        <f t="shared" si="28"/>
        <v>6418.0903929255983</v>
      </c>
      <c r="V14" s="7">
        <f t="shared" si="29"/>
        <v>85234.88428605537</v>
      </c>
      <c r="W14" s="7">
        <f t="shared" si="30"/>
        <v>0</v>
      </c>
      <c r="X14" s="7">
        <f t="shared" si="31"/>
        <v>0</v>
      </c>
      <c r="Y14" s="7">
        <f t="shared" si="32"/>
        <v>0</v>
      </c>
      <c r="Z14" s="7">
        <f t="shared" si="33"/>
        <v>0</v>
      </c>
      <c r="AA14" s="7">
        <f t="shared" si="34"/>
        <v>85234.88428605537</v>
      </c>
      <c r="AC14" s="7">
        <f t="shared" si="35"/>
        <v>6418.0903929255983</v>
      </c>
      <c r="AD14" s="7">
        <f t="shared" si="36"/>
        <v>0</v>
      </c>
      <c r="AE14" s="7">
        <f t="shared" si="37"/>
        <v>0</v>
      </c>
      <c r="AF14" s="7">
        <f t="shared" si="38"/>
        <v>0</v>
      </c>
      <c r="AG14" s="7">
        <f t="shared" si="39"/>
        <v>0</v>
      </c>
      <c r="AH14" s="7">
        <f t="shared" si="40"/>
        <v>6418.0903929255983</v>
      </c>
      <c r="AJ14" s="7">
        <f>AC14*(Inputs!K$39-1)</f>
        <v>-4.0916200861213508</v>
      </c>
      <c r="AK14" s="7">
        <f>AD14*(Inputs!L$39-1)</f>
        <v>0</v>
      </c>
      <c r="AL14" s="7">
        <f>AE14*(Inputs!M$39-1)</f>
        <v>0</v>
      </c>
      <c r="AM14" s="7">
        <f>AF14*(Inputs!N$39-1)</f>
        <v>0</v>
      </c>
      <c r="AN14" s="7">
        <f>AG14*(Inputs!O$39-1)</f>
        <v>0</v>
      </c>
      <c r="AO14" s="7">
        <f t="shared" si="41"/>
        <v>-4.0916200861213508</v>
      </c>
      <c r="AQ14" s="7">
        <f t="shared" si="42"/>
        <v>85230.792665969246</v>
      </c>
      <c r="AR14" s="7">
        <f t="shared" si="43"/>
        <v>0</v>
      </c>
      <c r="AS14" s="7">
        <f t="shared" si="44"/>
        <v>0</v>
      </c>
      <c r="AT14" s="7">
        <f t="shared" si="45"/>
        <v>0</v>
      </c>
      <c r="AU14" s="7">
        <f t="shared" si="46"/>
        <v>0</v>
      </c>
      <c r="AV14" s="7">
        <f t="shared" si="47"/>
        <v>85230.792665969246</v>
      </c>
      <c r="AX14" s="27">
        <f>IFERROR(Data!H14/(Data!H14+Data!J14),0)</f>
        <v>0</v>
      </c>
      <c r="AZ14" s="15">
        <f>(H14*Data!$H14)+O14+(AJ14*$AX14)</f>
        <v>6418.0903929255983</v>
      </c>
      <c r="BA14" s="15">
        <f>(I14*Data!$H14)+P14+(AK14*$AX14)</f>
        <v>0</v>
      </c>
      <c r="BB14" s="15">
        <f>(J14*Data!$H14)+Q14+(AL14*$AX14)</f>
        <v>0</v>
      </c>
      <c r="BC14" s="15">
        <f>(K14*Data!$H14)+R14+(AM14*$AX14)</f>
        <v>0</v>
      </c>
      <c r="BD14" s="15">
        <f>(L14*Data!$H14)+S14+(AN14*$AX14)</f>
        <v>0</v>
      </c>
      <c r="BE14" s="7">
        <f t="shared" si="48"/>
        <v>6418.0903929255983</v>
      </c>
      <c r="BG14" s="15">
        <f>H14*Data!$I14</f>
        <v>78816.793893129769</v>
      </c>
      <c r="BH14" s="15">
        <f>I14*Data!$I14</f>
        <v>0</v>
      </c>
      <c r="BI14" s="15">
        <f>J14*Data!$I14</f>
        <v>0</v>
      </c>
      <c r="BJ14" s="15">
        <f>K14*Data!$I14</f>
        <v>0</v>
      </c>
      <c r="BK14" s="15">
        <f>L14*Data!$I14</f>
        <v>0</v>
      </c>
      <c r="BL14" s="7">
        <f t="shared" si="49"/>
        <v>78816.793893129769</v>
      </c>
      <c r="BN14" s="15">
        <f>H14*Data!$J14+(AJ14*(1-$AX14))</f>
        <v>-4.0916200861213508</v>
      </c>
      <c r="BO14" s="15">
        <f>I14*Data!$J14+(AK14*(1-$AX14))</f>
        <v>0</v>
      </c>
      <c r="BP14" s="15">
        <f>J14*Data!$J14+(AL14*(1-$AX14))</f>
        <v>0</v>
      </c>
      <c r="BQ14" s="15">
        <f>K14*Data!$J14+(AM14*(1-$AX14))</f>
        <v>0</v>
      </c>
      <c r="BR14" s="15">
        <f>L14*Data!$J14+(AN14*(1-$AX14))</f>
        <v>0</v>
      </c>
      <c r="BS14" s="7">
        <f t="shared" si="50"/>
        <v>-4.0916200861213508</v>
      </c>
      <c r="BU14" s="15">
        <f>H14*Data!$K14</f>
        <v>0</v>
      </c>
      <c r="BV14" s="15">
        <f>I14*Data!$K14</f>
        <v>0</v>
      </c>
      <c r="BW14" s="15">
        <f>J14*Data!$K14</f>
        <v>0</v>
      </c>
      <c r="BX14" s="15">
        <f>K14*Data!$K14</f>
        <v>0</v>
      </c>
      <c r="BY14" s="15">
        <f>L14*Data!$K14</f>
        <v>0</v>
      </c>
      <c r="BZ14" s="7">
        <f t="shared" si="51"/>
        <v>0</v>
      </c>
      <c r="CB14" s="15">
        <f t="shared" si="52"/>
        <v>85230.792665969246</v>
      </c>
      <c r="CC14" s="15">
        <f t="shared" si="53"/>
        <v>0</v>
      </c>
      <c r="CD14" s="15">
        <f t="shared" si="54"/>
        <v>0</v>
      </c>
      <c r="CE14" s="15">
        <f t="shared" si="55"/>
        <v>0</v>
      </c>
      <c r="CF14" s="15">
        <f t="shared" si="56"/>
        <v>0</v>
      </c>
      <c r="CG14" s="7">
        <f t="shared" si="57"/>
        <v>85230.792665969246</v>
      </c>
      <c r="CI14" s="18">
        <f t="shared" si="58"/>
        <v>0</v>
      </c>
      <c r="CJ14" s="15">
        <f t="shared" si="59"/>
        <v>85230.792665969246</v>
      </c>
      <c r="CK14" s="15">
        <f t="shared" si="60"/>
        <v>0</v>
      </c>
      <c r="CL14" s="15">
        <f t="shared" si="61"/>
        <v>0</v>
      </c>
      <c r="CM14" s="15">
        <f t="shared" si="62"/>
        <v>0</v>
      </c>
      <c r="CN14" s="15">
        <f t="shared" si="63"/>
        <v>0</v>
      </c>
      <c r="CO14" s="7">
        <f t="shared" si="64"/>
        <v>85230.792665969246</v>
      </c>
      <c r="CP14" s="15" t="str">
        <f t="shared" si="65"/>
        <v xml:space="preserve">Compressors </v>
      </c>
    </row>
    <row r="15" spans="1:94" ht="11.5">
      <c r="A15" s="3" t="str">
        <f>Data!A15</f>
        <v>Peat Lateral Liquid Removal upgrades</v>
      </c>
      <c r="B15" s="31" t="s">
        <v>31</v>
      </c>
      <c r="C15" s="3" t="str">
        <f>Data!N15</f>
        <v>Pipelines</v>
      </c>
      <c r="D15" s="3" t="str">
        <f>Data!O15</f>
        <v>Replacement</v>
      </c>
      <c r="E15" s="3" t="str">
        <f>Data!P15</f>
        <v>Liquids Removal</v>
      </c>
      <c r="F15" s="3" t="str">
        <f>Data!Q15</f>
        <v>No</v>
      </c>
      <c r="G15" s="22">
        <f>Data!H15+Data!J15</f>
        <v>0.51</v>
      </c>
      <c r="H15" s="7">
        <f>Data!C15*Inputs!$J$15</f>
        <v>985623.29147582699</v>
      </c>
      <c r="I15" s="7">
        <f>Data!D15*Inputs!$J$15</f>
        <v>0</v>
      </c>
      <c r="J15" s="7">
        <f>Data!E15*Inputs!$J$15</f>
        <v>0</v>
      </c>
      <c r="K15" s="7">
        <f>Data!F15*Inputs!$J$15</f>
        <v>0</v>
      </c>
      <c r="L15" s="7">
        <f>Data!G15*Inputs!$J$15</f>
        <v>0</v>
      </c>
      <c r="M15" s="7">
        <f t="shared" si="27"/>
        <v>985623.29147582699</v>
      </c>
      <c r="O15" s="7">
        <f>H15*Inputs!$C$3</f>
        <v>80259.790656317418</v>
      </c>
      <c r="P15" s="7">
        <f>I15*Inputs!$C$3</f>
        <v>0</v>
      </c>
      <c r="Q15" s="7">
        <f>J15*Inputs!$C$3</f>
        <v>0</v>
      </c>
      <c r="R15" s="7">
        <f>K15*Inputs!$C$3</f>
        <v>0</v>
      </c>
      <c r="S15" s="7">
        <f>L15*Inputs!$C$3</f>
        <v>0</v>
      </c>
      <c r="T15" s="7">
        <f t="shared" si="28"/>
        <v>80259.790656317418</v>
      </c>
      <c r="V15" s="7">
        <f t="shared" si="29"/>
        <v>1065883.0821321444</v>
      </c>
      <c r="W15" s="7">
        <f t="shared" si="30"/>
        <v>0</v>
      </c>
      <c r="X15" s="7">
        <f t="shared" si="31"/>
        <v>0</v>
      </c>
      <c r="Y15" s="7">
        <f t="shared" si="32"/>
        <v>0</v>
      </c>
      <c r="Z15" s="7">
        <f t="shared" si="33"/>
        <v>0</v>
      </c>
      <c r="AA15" s="7">
        <f t="shared" si="34"/>
        <v>1065883.0821321444</v>
      </c>
      <c r="AC15" s="7">
        <f t="shared" si="35"/>
        <v>582927.66930898919</v>
      </c>
      <c r="AD15" s="7">
        <f t="shared" si="36"/>
        <v>0</v>
      </c>
      <c r="AE15" s="7">
        <f t="shared" si="37"/>
        <v>0</v>
      </c>
      <c r="AF15" s="7">
        <f t="shared" si="38"/>
        <v>0</v>
      </c>
      <c r="AG15" s="7">
        <f t="shared" si="39"/>
        <v>0</v>
      </c>
      <c r="AH15" s="7">
        <f t="shared" si="40"/>
        <v>582927.66930898919</v>
      </c>
      <c r="AJ15" s="7">
        <f>AC15*(Inputs!K$39-1)</f>
        <v>-371.62433285912965</v>
      </c>
      <c r="AK15" s="7">
        <f>AD15*(Inputs!L$39-1)</f>
        <v>0</v>
      </c>
      <c r="AL15" s="7">
        <f>AE15*(Inputs!M$39-1)</f>
        <v>0</v>
      </c>
      <c r="AM15" s="7">
        <f>AF15*(Inputs!N$39-1)</f>
        <v>0</v>
      </c>
      <c r="AN15" s="7">
        <f>AG15*(Inputs!O$39-1)</f>
        <v>0</v>
      </c>
      <c r="AO15" s="7">
        <f t="shared" si="41"/>
        <v>-371.62433285912965</v>
      </c>
      <c r="AQ15" s="7">
        <f t="shared" si="42"/>
        <v>1065511.4577992852</v>
      </c>
      <c r="AR15" s="7">
        <f t="shared" si="43"/>
        <v>0</v>
      </c>
      <c r="AS15" s="7">
        <f t="shared" si="44"/>
        <v>0</v>
      </c>
      <c r="AT15" s="7">
        <f t="shared" si="45"/>
        <v>0</v>
      </c>
      <c r="AU15" s="7">
        <f t="shared" si="46"/>
        <v>0</v>
      </c>
      <c r="AV15" s="7">
        <f t="shared" si="47"/>
        <v>1065511.4577992852</v>
      </c>
      <c r="AX15" s="27">
        <f>IFERROR(Data!H15/(Data!H15+Data!J15),0)</f>
        <v>0.45098039215686275</v>
      </c>
      <c r="AZ15" s="15">
        <f>(H15*Data!$H15)+O15+(AJ15*$AX15)</f>
        <v>306785.55240838981</v>
      </c>
      <c r="BA15" s="15">
        <f>(I15*Data!$H15)+P15+(AK15*$AX15)</f>
        <v>0</v>
      </c>
      <c r="BB15" s="15">
        <f>(J15*Data!$H15)+Q15+(AL15*$AX15)</f>
        <v>0</v>
      </c>
      <c r="BC15" s="15">
        <f>(K15*Data!$H15)+R15+(AM15*$AX15)</f>
        <v>0</v>
      </c>
      <c r="BD15" s="15">
        <f>(L15*Data!$H15)+S15+(AN15*$AX15)</f>
        <v>0</v>
      </c>
      <c r="BE15" s="7">
        <f t="shared" si="48"/>
        <v>306785.55240838981</v>
      </c>
      <c r="BG15" s="15">
        <f>H15*Data!$I15</f>
        <v>473099.17990839691</v>
      </c>
      <c r="BH15" s="15">
        <f>I15*Data!$I15</f>
        <v>0</v>
      </c>
      <c r="BI15" s="15">
        <f>J15*Data!$I15</f>
        <v>0</v>
      </c>
      <c r="BJ15" s="15">
        <f>K15*Data!$I15</f>
        <v>0</v>
      </c>
      <c r="BK15" s="15">
        <f>L15*Data!$I15</f>
        <v>0</v>
      </c>
      <c r="BL15" s="7">
        <f t="shared" si="49"/>
        <v>473099.17990839691</v>
      </c>
      <c r="BN15" s="15">
        <f>H15*Data!$J15+(AJ15*(1-$AX15))</f>
        <v>275770.49256774026</v>
      </c>
      <c r="BO15" s="15">
        <f>I15*Data!$J15+(AK15*(1-$AX15))</f>
        <v>0</v>
      </c>
      <c r="BP15" s="15">
        <f>J15*Data!$J15+(AL15*(1-$AX15))</f>
        <v>0</v>
      </c>
      <c r="BQ15" s="15">
        <f>K15*Data!$J15+(AM15*(1-$AX15))</f>
        <v>0</v>
      </c>
      <c r="BR15" s="15">
        <f>L15*Data!$J15+(AN15*(1-$AX15))</f>
        <v>0</v>
      </c>
      <c r="BS15" s="7">
        <f t="shared" si="50"/>
        <v>275770.49256774026</v>
      </c>
      <c r="BU15" s="15">
        <f>H15*Data!$K15</f>
        <v>9856.2329147582695</v>
      </c>
      <c r="BV15" s="15">
        <f>I15*Data!$K15</f>
        <v>0</v>
      </c>
      <c r="BW15" s="15">
        <f>J15*Data!$K15</f>
        <v>0</v>
      </c>
      <c r="BX15" s="15">
        <f>K15*Data!$K15</f>
        <v>0</v>
      </c>
      <c r="BY15" s="15">
        <f>L15*Data!$K15</f>
        <v>0</v>
      </c>
      <c r="BZ15" s="7">
        <f t="shared" si="51"/>
        <v>9856.2329147582695</v>
      </c>
      <c r="CB15" s="15">
        <f t="shared" si="52"/>
        <v>1065511.4577992852</v>
      </c>
      <c r="CC15" s="15">
        <f t="shared" si="53"/>
        <v>0</v>
      </c>
      <c r="CD15" s="15">
        <f t="shared" si="54"/>
        <v>0</v>
      </c>
      <c r="CE15" s="15">
        <f t="shared" si="55"/>
        <v>0</v>
      </c>
      <c r="CF15" s="15">
        <f t="shared" si="56"/>
        <v>0</v>
      </c>
      <c r="CG15" s="7">
        <f t="shared" si="57"/>
        <v>1065511.4577992852</v>
      </c>
      <c r="CI15" s="18">
        <f t="shared" si="58"/>
        <v>0</v>
      </c>
      <c r="CJ15" s="15">
        <f t="shared" si="59"/>
        <v>0</v>
      </c>
      <c r="CK15" s="15">
        <f t="shared" si="60"/>
        <v>0</v>
      </c>
      <c r="CL15" s="15">
        <f t="shared" si="61"/>
        <v>0</v>
      </c>
      <c r="CM15" s="15">
        <f t="shared" si="62"/>
        <v>0</v>
      </c>
      <c r="CN15" s="15">
        <f t="shared" si="63"/>
        <v>0</v>
      </c>
      <c r="CO15" s="7">
        <f t="shared" si="64"/>
        <v>0</v>
      </c>
      <c r="CP15" s="15" t="str">
        <f t="shared" si="65"/>
        <v/>
      </c>
    </row>
    <row r="16" spans="1:94" ht="11.5">
      <c r="A16" s="3" t="str">
        <f>Data!A16</f>
        <v>Underground valves upgrades</v>
      </c>
      <c r="B16" s="31" t="s">
        <v>31</v>
      </c>
      <c r="C16" s="3" t="str">
        <f>Data!N16</f>
        <v>Pipelines</v>
      </c>
      <c r="D16" s="3" t="str">
        <f>Data!O16</f>
        <v>Replacement</v>
      </c>
      <c r="E16" s="3" t="str">
        <f>Data!P16</f>
        <v>Valve Upgrade</v>
      </c>
      <c r="F16" s="3" t="str">
        <f>Data!Q16</f>
        <v>Yes</v>
      </c>
      <c r="G16" s="22">
        <f>Data!H16+Data!J16</f>
        <v>1</v>
      </c>
      <c r="H16" s="7">
        <f>Data!C16*Inputs!$J$15</f>
        <v>105089.05852417303</v>
      </c>
      <c r="I16" s="7">
        <f>Data!D16*Inputs!$J$15</f>
        <v>126106.87022900763</v>
      </c>
      <c r="J16" s="7">
        <f>Data!E16*Inputs!$J$15</f>
        <v>0</v>
      </c>
      <c r="K16" s="7">
        <f>Data!F16*Inputs!$J$15</f>
        <v>0</v>
      </c>
      <c r="L16" s="7">
        <f>Data!G16*Inputs!$J$15</f>
        <v>0</v>
      </c>
      <c r="M16" s="7">
        <f t="shared" si="27"/>
        <v>231195.92875318066</v>
      </c>
      <c r="O16" s="7">
        <f>H16*Inputs!$C$3</f>
        <v>8557.4538572341316</v>
      </c>
      <c r="P16" s="7">
        <f>I16*Inputs!$C$3</f>
        <v>10268.944628680958</v>
      </c>
      <c r="Q16" s="7">
        <f>J16*Inputs!$C$3</f>
        <v>0</v>
      </c>
      <c r="R16" s="7">
        <f>K16*Inputs!$C$3</f>
        <v>0</v>
      </c>
      <c r="S16" s="7">
        <f>L16*Inputs!$C$3</f>
        <v>0</v>
      </c>
      <c r="T16" s="7">
        <f t="shared" si="28"/>
        <v>18826.398485915088</v>
      </c>
      <c r="V16" s="7">
        <f t="shared" si="29"/>
        <v>113646.51238140716</v>
      </c>
      <c r="W16" s="7">
        <f t="shared" si="30"/>
        <v>136375.81485768859</v>
      </c>
      <c r="X16" s="7">
        <f t="shared" si="31"/>
        <v>0</v>
      </c>
      <c r="Y16" s="7">
        <f t="shared" si="32"/>
        <v>0</v>
      </c>
      <c r="Z16" s="7">
        <f t="shared" si="33"/>
        <v>0</v>
      </c>
      <c r="AA16" s="7">
        <f t="shared" si="34"/>
        <v>250022.32723909576</v>
      </c>
      <c r="AC16" s="7">
        <f t="shared" si="35"/>
        <v>113646.51238140716</v>
      </c>
      <c r="AD16" s="7">
        <f t="shared" si="36"/>
        <v>136375.81485768859</v>
      </c>
      <c r="AE16" s="7">
        <f t="shared" si="37"/>
        <v>0</v>
      </c>
      <c r="AF16" s="7">
        <f t="shared" si="38"/>
        <v>0</v>
      </c>
      <c r="AG16" s="7">
        <f t="shared" si="39"/>
        <v>0</v>
      </c>
      <c r="AH16" s="7">
        <f t="shared" si="40"/>
        <v>250022.32723909576</v>
      </c>
      <c r="AJ16" s="7">
        <f>AC16*(Inputs!K$39-1)</f>
        <v>-72.451200327429675</v>
      </c>
      <c r="AK16" s="7">
        <f>AD16*(Inputs!L$39-1)</f>
        <v>612.07614809480356</v>
      </c>
      <c r="AL16" s="7">
        <f>AE16*(Inputs!M$39-1)</f>
        <v>0</v>
      </c>
      <c r="AM16" s="7">
        <f>AF16*(Inputs!N$39-1)</f>
        <v>0</v>
      </c>
      <c r="AN16" s="7">
        <f>AG16*(Inputs!O$39-1)</f>
        <v>0</v>
      </c>
      <c r="AO16" s="7">
        <f t="shared" si="41"/>
        <v>539.6249477673739</v>
      </c>
      <c r="AQ16" s="7">
        <f t="shared" si="42"/>
        <v>113574.06118107973</v>
      </c>
      <c r="AR16" s="7">
        <f t="shared" si="43"/>
        <v>136987.8910057834</v>
      </c>
      <c r="AS16" s="7">
        <f t="shared" si="44"/>
        <v>0</v>
      </c>
      <c r="AT16" s="7">
        <f t="shared" si="45"/>
        <v>0</v>
      </c>
      <c r="AU16" s="7">
        <f t="shared" si="46"/>
        <v>0</v>
      </c>
      <c r="AV16" s="7">
        <f t="shared" si="47"/>
        <v>250561.95218686311</v>
      </c>
      <c r="AX16" s="27">
        <f>IFERROR(Data!H16/(Data!H16+Data!J16),0)</f>
        <v>1</v>
      </c>
      <c r="AZ16" s="15">
        <f>(H16*Data!$H16)+O16+(AJ16*$AX16)</f>
        <v>113574.06118107973</v>
      </c>
      <c r="BA16" s="15">
        <f>(I16*Data!$H16)+P16+(AK16*$AX16)</f>
        <v>136987.8910057834</v>
      </c>
      <c r="BB16" s="15">
        <f>(J16*Data!$H16)+Q16+(AL16*$AX16)</f>
        <v>0</v>
      </c>
      <c r="BC16" s="15">
        <f>(K16*Data!$H16)+R16+(AM16*$AX16)</f>
        <v>0</v>
      </c>
      <c r="BD16" s="15">
        <f>(L16*Data!$H16)+S16+(AN16*$AX16)</f>
        <v>0</v>
      </c>
      <c r="BE16" s="7">
        <f t="shared" si="48"/>
        <v>250561.95218686311</v>
      </c>
      <c r="BG16" s="15">
        <f>H16*Data!$I16</f>
        <v>0</v>
      </c>
      <c r="BH16" s="15">
        <f>I16*Data!$I16</f>
        <v>0</v>
      </c>
      <c r="BI16" s="15">
        <f>J16*Data!$I16</f>
        <v>0</v>
      </c>
      <c r="BJ16" s="15">
        <f>K16*Data!$I16</f>
        <v>0</v>
      </c>
      <c r="BK16" s="15">
        <f>L16*Data!$I16</f>
        <v>0</v>
      </c>
      <c r="BL16" s="7">
        <f t="shared" si="49"/>
        <v>0</v>
      </c>
      <c r="BN16" s="15">
        <f>H16*Data!$J16+(AJ16*(1-$AX16))</f>
        <v>0</v>
      </c>
      <c r="BO16" s="15">
        <f>I16*Data!$J16+(AK16*(1-$AX16))</f>
        <v>0</v>
      </c>
      <c r="BP16" s="15">
        <f>J16*Data!$J16+(AL16*(1-$AX16))</f>
        <v>0</v>
      </c>
      <c r="BQ16" s="15">
        <f>K16*Data!$J16+(AM16*(1-$AX16))</f>
        <v>0</v>
      </c>
      <c r="BR16" s="15">
        <f>L16*Data!$J16+(AN16*(1-$AX16))</f>
        <v>0</v>
      </c>
      <c r="BS16" s="7">
        <f t="shared" si="50"/>
        <v>0</v>
      </c>
      <c r="BU16" s="15">
        <f>H16*Data!$K16</f>
        <v>0</v>
      </c>
      <c r="BV16" s="15">
        <f>I16*Data!$K16</f>
        <v>0</v>
      </c>
      <c r="BW16" s="15">
        <f>J16*Data!$K16</f>
        <v>0</v>
      </c>
      <c r="BX16" s="15">
        <f>K16*Data!$K16</f>
        <v>0</v>
      </c>
      <c r="BY16" s="15">
        <f>L16*Data!$K16</f>
        <v>0</v>
      </c>
      <c r="BZ16" s="7">
        <f t="shared" si="51"/>
        <v>0</v>
      </c>
      <c r="CB16" s="15">
        <f t="shared" si="52"/>
        <v>113574.06118107973</v>
      </c>
      <c r="CC16" s="15">
        <f t="shared" si="53"/>
        <v>136987.8910057834</v>
      </c>
      <c r="CD16" s="15">
        <f t="shared" si="54"/>
        <v>0</v>
      </c>
      <c r="CE16" s="15">
        <f t="shared" si="55"/>
        <v>0</v>
      </c>
      <c r="CF16" s="15">
        <f t="shared" si="56"/>
        <v>0</v>
      </c>
      <c r="CG16" s="7">
        <f t="shared" si="57"/>
        <v>250561.95218686311</v>
      </c>
      <c r="CI16" s="18">
        <f t="shared" si="58"/>
        <v>0</v>
      </c>
      <c r="CJ16" s="15">
        <f t="shared" si="59"/>
        <v>113574.06118107973</v>
      </c>
      <c r="CK16" s="15">
        <f t="shared" si="60"/>
        <v>136987.8910057834</v>
      </c>
      <c r="CL16" s="15">
        <f t="shared" si="61"/>
        <v>0</v>
      </c>
      <c r="CM16" s="15">
        <f t="shared" si="62"/>
        <v>0</v>
      </c>
      <c r="CN16" s="15">
        <f t="shared" si="63"/>
        <v>0</v>
      </c>
      <c r="CO16" s="7">
        <f t="shared" si="64"/>
        <v>250561.95218686311</v>
      </c>
      <c r="CP16" s="15" t="str">
        <f t="shared" si="65"/>
        <v>Pipelines</v>
      </c>
    </row>
    <row r="17" spans="1:94" ht="11.5">
      <c r="A17" s="3" t="str">
        <f>Data!A17</f>
        <v>Dalby CS Comms Relocation</v>
      </c>
      <c r="B17" s="31" t="s">
        <v>31</v>
      </c>
      <c r="C17" s="3" t="str">
        <f>Data!N17</f>
        <v>SIB Capex</v>
      </c>
      <c r="D17" s="3" t="str">
        <f>Data!O17</f>
        <v>Replacement</v>
      </c>
      <c r="E17" s="3" t="str">
        <f>Data!P17</f>
        <v>Dalby Communication Relocation</v>
      </c>
      <c r="F17" s="3" t="str">
        <f>Data!Q17</f>
        <v>Yes</v>
      </c>
      <c r="G17" s="22">
        <f>Data!H17+Data!J17</f>
        <v>0.3551245216164583</v>
      </c>
      <c r="H17" s="7">
        <f>Data!C17*Inputs!$J$15</f>
        <v>52544.529262086515</v>
      </c>
      <c r="I17" s="7">
        <f>Data!D17*Inputs!$J$15</f>
        <v>0</v>
      </c>
      <c r="J17" s="7">
        <f>Data!E17*Inputs!$J$15</f>
        <v>0</v>
      </c>
      <c r="K17" s="7">
        <f>Data!F17*Inputs!$J$15</f>
        <v>0</v>
      </c>
      <c r="L17" s="7">
        <f>Data!G17*Inputs!$J$15</f>
        <v>0</v>
      </c>
      <c r="M17" s="7">
        <f t="shared" si="27"/>
        <v>52544.529262086515</v>
      </c>
      <c r="O17" s="7">
        <f>H17*Inputs!$C$3</f>
        <v>4278.7269286170658</v>
      </c>
      <c r="P17" s="7">
        <f>I17*Inputs!$C$3</f>
        <v>0</v>
      </c>
      <c r="Q17" s="7">
        <f>J17*Inputs!$C$3</f>
        <v>0</v>
      </c>
      <c r="R17" s="7">
        <f>K17*Inputs!$C$3</f>
        <v>0</v>
      </c>
      <c r="S17" s="7">
        <f>L17*Inputs!$C$3</f>
        <v>0</v>
      </c>
      <c r="T17" s="7">
        <f t="shared" si="28"/>
        <v>4278.7269286170658</v>
      </c>
      <c r="V17" s="7">
        <f t="shared" si="29"/>
        <v>56823.256190703578</v>
      </c>
      <c r="W17" s="7">
        <f t="shared" si="30"/>
        <v>0</v>
      </c>
      <c r="X17" s="7">
        <f t="shared" si="31"/>
        <v>0</v>
      </c>
      <c r="Y17" s="7">
        <f t="shared" si="32"/>
        <v>0</v>
      </c>
      <c r="Z17" s="7">
        <f t="shared" si="33"/>
        <v>0</v>
      </c>
      <c r="AA17" s="7">
        <f t="shared" si="34"/>
        <v>56823.256190703578</v>
      </c>
      <c r="AC17" s="7">
        <f t="shared" si="35"/>
        <v>22938.577746377534</v>
      </c>
      <c r="AD17" s="7">
        <f t="shared" si="36"/>
        <v>0</v>
      </c>
      <c r="AE17" s="7">
        <f t="shared" si="37"/>
        <v>0</v>
      </c>
      <c r="AF17" s="7">
        <f t="shared" si="38"/>
        <v>0</v>
      </c>
      <c r="AG17" s="7">
        <f t="shared" si="39"/>
        <v>0</v>
      </c>
      <c r="AH17" s="7">
        <f t="shared" si="40"/>
        <v>22938.577746377534</v>
      </c>
      <c r="AJ17" s="7">
        <f>AC17*(Inputs!K$39-1)</f>
        <v>-14.623655902009135</v>
      </c>
      <c r="AK17" s="7">
        <f>AD17*(Inputs!L$39-1)</f>
        <v>0</v>
      </c>
      <c r="AL17" s="7">
        <f>AE17*(Inputs!M$39-1)</f>
        <v>0</v>
      </c>
      <c r="AM17" s="7">
        <f>AF17*(Inputs!N$39-1)</f>
        <v>0</v>
      </c>
      <c r="AN17" s="7">
        <f>AG17*(Inputs!O$39-1)</f>
        <v>0</v>
      </c>
      <c r="AO17" s="7">
        <f t="shared" si="41"/>
        <v>-14.623655902009135</v>
      </c>
      <c r="AQ17" s="7">
        <f t="shared" si="42"/>
        <v>56808.632534801567</v>
      </c>
      <c r="AR17" s="7">
        <f t="shared" si="43"/>
        <v>0</v>
      </c>
      <c r="AS17" s="7">
        <f t="shared" si="44"/>
        <v>0</v>
      </c>
      <c r="AT17" s="7">
        <f t="shared" si="45"/>
        <v>0</v>
      </c>
      <c r="AU17" s="7">
        <f t="shared" si="46"/>
        <v>0</v>
      </c>
      <c r="AV17" s="7">
        <f t="shared" si="47"/>
        <v>56808.632534801567</v>
      </c>
      <c r="AX17" s="27">
        <f>IFERROR(Data!H17/(Data!H17+Data!J17),0)</f>
        <v>9.2043157920786614E-2</v>
      </c>
      <c r="AZ17" s="15">
        <f>(H17*Data!$H17)+O17+(AJ17*$AX17)</f>
        <v>5994.8925167449443</v>
      </c>
      <c r="BA17" s="15">
        <f>(I17*Data!$H17)+P17+(AK17*$AX17)</f>
        <v>0</v>
      </c>
      <c r="BB17" s="15">
        <f>(J17*Data!$H17)+Q17+(AL17*$AX17)</f>
        <v>0</v>
      </c>
      <c r="BC17" s="15">
        <f>(K17*Data!$H17)+R17+(AM17*$AX17)</f>
        <v>0</v>
      </c>
      <c r="BD17" s="15">
        <f>(L17*Data!$H17)+S17+(AN17*$AX17)</f>
        <v>0</v>
      </c>
      <c r="BE17" s="7">
        <f t="shared" si="48"/>
        <v>5994.8925167449443</v>
      </c>
      <c r="BG17" s="15">
        <f>H17*Data!$I17</f>
        <v>16942.33922216302</v>
      </c>
      <c r="BH17" s="15">
        <f>I17*Data!$I17</f>
        <v>0</v>
      </c>
      <c r="BI17" s="15">
        <f>J17*Data!$I17</f>
        <v>0</v>
      </c>
      <c r="BJ17" s="15">
        <f>K17*Data!$I17</f>
        <v>0</v>
      </c>
      <c r="BK17" s="15">
        <f>L17*Data!$I17</f>
        <v>0</v>
      </c>
      <c r="BL17" s="7">
        <f t="shared" si="49"/>
        <v>16942.33922216302</v>
      </c>
      <c r="BN17" s="15">
        <f>H17*Data!$J17+(AJ17*(1-$AX17))</f>
        <v>16929.061573730578</v>
      </c>
      <c r="BO17" s="15">
        <f>I17*Data!$J17+(AK17*(1-$AX17))</f>
        <v>0</v>
      </c>
      <c r="BP17" s="15">
        <f>J17*Data!$J17+(AL17*(1-$AX17))</f>
        <v>0</v>
      </c>
      <c r="BQ17" s="15">
        <f>K17*Data!$J17+(AM17*(1-$AX17))</f>
        <v>0</v>
      </c>
      <c r="BR17" s="15">
        <f>L17*Data!$J17+(AN17*(1-$AX17))</f>
        <v>0</v>
      </c>
      <c r="BS17" s="7">
        <f t="shared" si="50"/>
        <v>16929.061573730578</v>
      </c>
      <c r="BU17" s="15">
        <f>H17*Data!$K17</f>
        <v>16942.33922216302</v>
      </c>
      <c r="BV17" s="15">
        <f>I17*Data!$K17</f>
        <v>0</v>
      </c>
      <c r="BW17" s="15">
        <f>J17*Data!$K17</f>
        <v>0</v>
      </c>
      <c r="BX17" s="15">
        <f>K17*Data!$K17</f>
        <v>0</v>
      </c>
      <c r="BY17" s="15">
        <f>L17*Data!$K17</f>
        <v>0</v>
      </c>
      <c r="BZ17" s="7">
        <f t="shared" si="51"/>
        <v>16942.33922216302</v>
      </c>
      <c r="CB17" s="15">
        <f t="shared" si="52"/>
        <v>56808.632534801567</v>
      </c>
      <c r="CC17" s="15">
        <f t="shared" si="53"/>
        <v>0</v>
      </c>
      <c r="CD17" s="15">
        <f t="shared" si="54"/>
        <v>0</v>
      </c>
      <c r="CE17" s="15">
        <f t="shared" si="55"/>
        <v>0</v>
      </c>
      <c r="CF17" s="15">
        <f t="shared" si="56"/>
        <v>0</v>
      </c>
      <c r="CG17" s="7">
        <f t="shared" si="57"/>
        <v>56808.632534801567</v>
      </c>
      <c r="CI17" s="18">
        <f t="shared" si="58"/>
        <v>0</v>
      </c>
      <c r="CJ17" s="15">
        <f t="shared" si="59"/>
        <v>56808.632534801567</v>
      </c>
      <c r="CK17" s="15">
        <f t="shared" si="60"/>
        <v>0</v>
      </c>
      <c r="CL17" s="15">
        <f t="shared" si="61"/>
        <v>0</v>
      </c>
      <c r="CM17" s="15">
        <f t="shared" si="62"/>
        <v>0</v>
      </c>
      <c r="CN17" s="15">
        <f t="shared" si="63"/>
        <v>0</v>
      </c>
      <c r="CO17" s="7">
        <f t="shared" si="64"/>
        <v>56808.632534801567</v>
      </c>
      <c r="CP17" s="15" t="str">
        <f t="shared" si="65"/>
        <v>SIB Capex</v>
      </c>
    </row>
    <row r="18" spans="1:94" ht="11.5">
      <c r="A18" s="3" t="str">
        <f>Data!A18</f>
        <v>DN400 Metro Loop - ILI - MFL</v>
      </c>
      <c r="B18" s="31" t="s">
        <v>31</v>
      </c>
      <c r="C18" s="3" t="str">
        <f>Data!N18</f>
        <v>Pipelines</v>
      </c>
      <c r="D18" s="3" t="str">
        <f>Data!O18</f>
        <v>Replacement</v>
      </c>
      <c r="E18" s="3" t="str">
        <f>Data!P18</f>
        <v>Pipeline Integrity</v>
      </c>
      <c r="F18" s="3" t="str">
        <f>Data!Q18</f>
        <v>Yes</v>
      </c>
      <c r="G18" s="22">
        <f>Data!H18+Data!J18</f>
        <v>0.96731321757531241</v>
      </c>
      <c r="H18" s="7">
        <f>Data!C18*Inputs!$J$15</f>
        <v>0</v>
      </c>
      <c r="I18" s="7">
        <f>Data!D18*Inputs!$J$15</f>
        <v>0</v>
      </c>
      <c r="J18" s="7">
        <f>Data!E18*Inputs!$J$15</f>
        <v>0</v>
      </c>
      <c r="K18" s="7">
        <f>Data!F18*Inputs!$J$15</f>
        <v>0</v>
      </c>
      <c r="L18" s="7">
        <f>Data!G18*Inputs!$J$15</f>
        <v>0</v>
      </c>
      <c r="M18" s="7">
        <f t="shared" si="27"/>
        <v>0</v>
      </c>
      <c r="O18" s="7">
        <f>H18*Inputs!$C$3</f>
        <v>0</v>
      </c>
      <c r="P18" s="7">
        <f>I18*Inputs!$C$3</f>
        <v>0</v>
      </c>
      <c r="Q18" s="7">
        <f>J18*Inputs!$C$3</f>
        <v>0</v>
      </c>
      <c r="R18" s="7">
        <f>K18*Inputs!$C$3</f>
        <v>0</v>
      </c>
      <c r="S18" s="7">
        <f>L18*Inputs!$C$3</f>
        <v>0</v>
      </c>
      <c r="T18" s="7">
        <f t="shared" si="28"/>
        <v>0</v>
      </c>
      <c r="V18" s="7">
        <f t="shared" si="29"/>
        <v>0</v>
      </c>
      <c r="W18" s="7">
        <f t="shared" si="30"/>
        <v>0</v>
      </c>
      <c r="X18" s="7">
        <f t="shared" si="31"/>
        <v>0</v>
      </c>
      <c r="Y18" s="7">
        <f t="shared" si="32"/>
        <v>0</v>
      </c>
      <c r="Z18" s="7">
        <f t="shared" si="33"/>
        <v>0</v>
      </c>
      <c r="AA18" s="7">
        <f t="shared" si="34"/>
        <v>0</v>
      </c>
      <c r="AC18" s="7">
        <f t="shared" si="35"/>
        <v>0</v>
      </c>
      <c r="AD18" s="7">
        <f t="shared" si="36"/>
        <v>0</v>
      </c>
      <c r="AE18" s="7">
        <f t="shared" si="37"/>
        <v>0</v>
      </c>
      <c r="AF18" s="7">
        <f t="shared" si="38"/>
        <v>0</v>
      </c>
      <c r="AG18" s="7">
        <f t="shared" si="39"/>
        <v>0</v>
      </c>
      <c r="AH18" s="7">
        <f t="shared" si="40"/>
        <v>0</v>
      </c>
      <c r="AJ18" s="7">
        <f>AC18*(Inputs!K$39-1)</f>
        <v>0</v>
      </c>
      <c r="AK18" s="7">
        <f>AD18*(Inputs!L$39-1)</f>
        <v>0</v>
      </c>
      <c r="AL18" s="7">
        <f>AE18*(Inputs!M$39-1)</f>
        <v>0</v>
      </c>
      <c r="AM18" s="7">
        <f>AF18*(Inputs!N$39-1)</f>
        <v>0</v>
      </c>
      <c r="AN18" s="7">
        <f>AG18*(Inputs!O$39-1)</f>
        <v>0</v>
      </c>
      <c r="AO18" s="7">
        <f t="shared" si="41"/>
        <v>0</v>
      </c>
      <c r="AQ18" s="7">
        <f t="shared" si="42"/>
        <v>0</v>
      </c>
      <c r="AR18" s="7">
        <f t="shared" si="43"/>
        <v>0</v>
      </c>
      <c r="AS18" s="7">
        <f t="shared" si="44"/>
        <v>0</v>
      </c>
      <c r="AT18" s="7">
        <f t="shared" si="45"/>
        <v>0</v>
      </c>
      <c r="AU18" s="7">
        <f t="shared" si="46"/>
        <v>0</v>
      </c>
      <c r="AV18" s="7">
        <f t="shared" si="47"/>
        <v>0</v>
      </c>
      <c r="AX18" s="27">
        <f>IFERROR(Data!H18/(Data!H18+Data!J18),0)</f>
        <v>0.40805761804446355</v>
      </c>
      <c r="AZ18" s="15">
        <f>(H18*Data!$H18)+O18+(AJ18*$AX18)</f>
        <v>0</v>
      </c>
      <c r="BA18" s="15">
        <f>(I18*Data!$H18)+P18+(AK18*$AX18)</f>
        <v>0</v>
      </c>
      <c r="BB18" s="15">
        <f>(J18*Data!$H18)+Q18+(AL18*$AX18)</f>
        <v>0</v>
      </c>
      <c r="BC18" s="15">
        <f>(K18*Data!$H18)+R18+(AM18*$AX18)</f>
        <v>0</v>
      </c>
      <c r="BD18" s="15">
        <f>(L18*Data!$H18)+S18+(AN18*$AX18)</f>
        <v>0</v>
      </c>
      <c r="BE18" s="7">
        <f t="shared" si="48"/>
        <v>0</v>
      </c>
      <c r="BG18" s="15">
        <f>H18*Data!$I18</f>
        <v>0</v>
      </c>
      <c r="BH18" s="15">
        <f>I18*Data!$I18</f>
        <v>0</v>
      </c>
      <c r="BI18" s="15">
        <f>J18*Data!$I18</f>
        <v>0</v>
      </c>
      <c r="BJ18" s="15">
        <f>K18*Data!$I18</f>
        <v>0</v>
      </c>
      <c r="BK18" s="15">
        <f>L18*Data!$I18</f>
        <v>0</v>
      </c>
      <c r="BL18" s="7">
        <f t="shared" si="49"/>
        <v>0</v>
      </c>
      <c r="BN18" s="15">
        <f>H18*Data!$J18+(AJ18*(1-$AX18))</f>
        <v>0</v>
      </c>
      <c r="BO18" s="15">
        <f>I18*Data!$J18+(AK18*(1-$AX18))</f>
        <v>0</v>
      </c>
      <c r="BP18" s="15">
        <f>J18*Data!$J18+(AL18*(1-$AX18))</f>
        <v>0</v>
      </c>
      <c r="BQ18" s="15">
        <f>K18*Data!$J18+(AM18*(1-$AX18))</f>
        <v>0</v>
      </c>
      <c r="BR18" s="15">
        <f>L18*Data!$J18+(AN18*(1-$AX18))</f>
        <v>0</v>
      </c>
      <c r="BS18" s="7">
        <f t="shared" si="50"/>
        <v>0</v>
      </c>
      <c r="BU18" s="15">
        <f>H18*Data!$K18</f>
        <v>0</v>
      </c>
      <c r="BV18" s="15">
        <f>I18*Data!$K18</f>
        <v>0</v>
      </c>
      <c r="BW18" s="15">
        <f>J18*Data!$K18</f>
        <v>0</v>
      </c>
      <c r="BX18" s="15">
        <f>K18*Data!$K18</f>
        <v>0</v>
      </c>
      <c r="BY18" s="15">
        <f>L18*Data!$K18</f>
        <v>0</v>
      </c>
      <c r="BZ18" s="7">
        <f t="shared" si="51"/>
        <v>0</v>
      </c>
      <c r="CB18" s="15">
        <f t="shared" si="52"/>
        <v>0</v>
      </c>
      <c r="CC18" s="15">
        <f t="shared" si="53"/>
        <v>0</v>
      </c>
      <c r="CD18" s="15">
        <f t="shared" si="54"/>
        <v>0</v>
      </c>
      <c r="CE18" s="15">
        <f t="shared" si="55"/>
        <v>0</v>
      </c>
      <c r="CF18" s="15">
        <f t="shared" si="56"/>
        <v>0</v>
      </c>
      <c r="CG18" s="7">
        <f t="shared" si="57"/>
        <v>0</v>
      </c>
      <c r="CI18" s="18">
        <f t="shared" si="58"/>
        <v>0</v>
      </c>
      <c r="CJ18" s="15">
        <f t="shared" si="59"/>
        <v>0</v>
      </c>
      <c r="CK18" s="15">
        <f t="shared" si="60"/>
        <v>0</v>
      </c>
      <c r="CL18" s="15">
        <f t="shared" si="61"/>
        <v>0</v>
      </c>
      <c r="CM18" s="15">
        <f t="shared" si="62"/>
        <v>0</v>
      </c>
      <c r="CN18" s="15">
        <f t="shared" si="63"/>
        <v>0</v>
      </c>
      <c r="CO18" s="7">
        <f t="shared" si="64"/>
        <v>0</v>
      </c>
      <c r="CP18" s="15" t="str">
        <f t="shared" si="65"/>
        <v>Pipelines</v>
      </c>
    </row>
    <row r="19" spans="1:94" ht="11.5">
      <c r="A19" s="3" t="str">
        <f>Data!A19</f>
        <v>Warrego Highway upgrade pipeline protection</v>
      </c>
      <c r="B19" s="31" t="s">
        <v>31</v>
      </c>
      <c r="C19" s="3" t="str">
        <f>Data!N19</f>
        <v>Pipelines</v>
      </c>
      <c r="D19" s="3" t="str">
        <f>Data!O19</f>
        <v>Replacement</v>
      </c>
      <c r="E19" s="3" t="str">
        <f>Data!P19</f>
        <v>Pipeline Relocation</v>
      </c>
      <c r="F19" s="3" t="str">
        <f>Data!Q19</f>
        <v>Yes</v>
      </c>
      <c r="G19" s="22">
        <f>Data!H19+Data!J19</f>
        <v>0</v>
      </c>
      <c r="H19" s="7">
        <f>Data!C19*Inputs!$J$15</f>
        <v>0</v>
      </c>
      <c r="I19" s="7">
        <f>Data!D19*Inputs!$J$15</f>
        <v>315267.17557251907</v>
      </c>
      <c r="J19" s="7">
        <f>Data!E19*Inputs!$J$15</f>
        <v>0</v>
      </c>
      <c r="K19" s="7">
        <f>Data!F19*Inputs!$J$15</f>
        <v>0</v>
      </c>
      <c r="L19" s="7">
        <f>Data!G19*Inputs!$J$15</f>
        <v>0</v>
      </c>
      <c r="M19" s="7">
        <f t="shared" si="27"/>
        <v>315267.17557251907</v>
      </c>
      <c r="O19" s="7">
        <f>H19*Inputs!$C$3</f>
        <v>0</v>
      </c>
      <c r="P19" s="7">
        <f>I19*Inputs!$C$3</f>
        <v>25672.361571702393</v>
      </c>
      <c r="Q19" s="7">
        <f>J19*Inputs!$C$3</f>
        <v>0</v>
      </c>
      <c r="R19" s="7">
        <f>K19*Inputs!$C$3</f>
        <v>0</v>
      </c>
      <c r="S19" s="7">
        <f>L19*Inputs!$C$3</f>
        <v>0</v>
      </c>
      <c r="T19" s="7">
        <f t="shared" si="28"/>
        <v>25672.361571702393</v>
      </c>
      <c r="V19" s="7">
        <f t="shared" si="29"/>
        <v>0</v>
      </c>
      <c r="W19" s="7">
        <f t="shared" si="30"/>
        <v>340939.53714422148</v>
      </c>
      <c r="X19" s="7">
        <f t="shared" si="31"/>
        <v>0</v>
      </c>
      <c r="Y19" s="7">
        <f t="shared" si="32"/>
        <v>0</v>
      </c>
      <c r="Z19" s="7">
        <f t="shared" si="33"/>
        <v>0</v>
      </c>
      <c r="AA19" s="7">
        <f t="shared" si="34"/>
        <v>340939.53714422148</v>
      </c>
      <c r="AC19" s="7">
        <f t="shared" si="35"/>
        <v>0</v>
      </c>
      <c r="AD19" s="7">
        <f t="shared" si="36"/>
        <v>25672.361571702393</v>
      </c>
      <c r="AE19" s="7">
        <f t="shared" si="37"/>
        <v>0</v>
      </c>
      <c r="AF19" s="7">
        <f t="shared" si="38"/>
        <v>0</v>
      </c>
      <c r="AG19" s="7">
        <f t="shared" si="39"/>
        <v>0</v>
      </c>
      <c r="AH19" s="7">
        <f t="shared" si="40"/>
        <v>25672.361571702393</v>
      </c>
      <c r="AJ19" s="7">
        <f>AC19*(Inputs!K$39-1)</f>
        <v>0</v>
      </c>
      <c r="AK19" s="7">
        <f>AD19*(Inputs!L$39-1)</f>
        <v>115.22160435632966</v>
      </c>
      <c r="AL19" s="7">
        <f>AE19*(Inputs!M$39-1)</f>
        <v>0</v>
      </c>
      <c r="AM19" s="7">
        <f>AF19*(Inputs!N$39-1)</f>
        <v>0</v>
      </c>
      <c r="AN19" s="7">
        <f>AG19*(Inputs!O$39-1)</f>
        <v>0</v>
      </c>
      <c r="AO19" s="7">
        <f t="shared" si="41"/>
        <v>115.22160435632966</v>
      </c>
      <c r="AQ19" s="7">
        <f t="shared" si="42"/>
        <v>0</v>
      </c>
      <c r="AR19" s="7">
        <f t="shared" si="43"/>
        <v>341054.75874857779</v>
      </c>
      <c r="AS19" s="7">
        <f t="shared" si="44"/>
        <v>0</v>
      </c>
      <c r="AT19" s="7">
        <f t="shared" si="45"/>
        <v>0</v>
      </c>
      <c r="AU19" s="7">
        <f t="shared" si="46"/>
        <v>0</v>
      </c>
      <c r="AV19" s="7">
        <f t="shared" si="47"/>
        <v>341054.75874857779</v>
      </c>
      <c r="AX19" s="27">
        <f>IFERROR(Data!H19/(Data!H19+Data!J19),0)</f>
        <v>0</v>
      </c>
      <c r="AZ19" s="15">
        <f>(H19*Data!$H19)+O19+(AJ19*$AX19)</f>
        <v>0</v>
      </c>
      <c r="BA19" s="15">
        <f>(I19*Data!$H19)+P19+(AK19*$AX19)</f>
        <v>25672.361571702393</v>
      </c>
      <c r="BB19" s="15">
        <f>(J19*Data!$H19)+Q19+(AL19*$AX19)</f>
        <v>0</v>
      </c>
      <c r="BC19" s="15">
        <f>(K19*Data!$H19)+R19+(AM19*$AX19)</f>
        <v>0</v>
      </c>
      <c r="BD19" s="15">
        <f>(L19*Data!$H19)+S19+(AN19*$AX19)</f>
        <v>0</v>
      </c>
      <c r="BE19" s="7">
        <f t="shared" si="48"/>
        <v>25672.361571702393</v>
      </c>
      <c r="BG19" s="15">
        <f>H19*Data!$I19</f>
        <v>0</v>
      </c>
      <c r="BH19" s="15">
        <f>I19*Data!$I19</f>
        <v>315267.17557251907</v>
      </c>
      <c r="BI19" s="15">
        <f>J19*Data!$I19</f>
        <v>0</v>
      </c>
      <c r="BJ19" s="15">
        <f>K19*Data!$I19</f>
        <v>0</v>
      </c>
      <c r="BK19" s="15">
        <f>L19*Data!$I19</f>
        <v>0</v>
      </c>
      <c r="BL19" s="7">
        <f t="shared" si="49"/>
        <v>315267.17557251907</v>
      </c>
      <c r="BN19" s="15">
        <f>H19*Data!$J19+(AJ19*(1-$AX19))</f>
        <v>0</v>
      </c>
      <c r="BO19" s="15">
        <f>I19*Data!$J19+(AK19*(1-$AX19))</f>
        <v>115.22160435632966</v>
      </c>
      <c r="BP19" s="15">
        <f>J19*Data!$J19+(AL19*(1-$AX19))</f>
        <v>0</v>
      </c>
      <c r="BQ19" s="15">
        <f>K19*Data!$J19+(AM19*(1-$AX19))</f>
        <v>0</v>
      </c>
      <c r="BR19" s="15">
        <f>L19*Data!$J19+(AN19*(1-$AX19))</f>
        <v>0</v>
      </c>
      <c r="BS19" s="7">
        <f t="shared" si="50"/>
        <v>115.22160435632966</v>
      </c>
      <c r="BU19" s="15">
        <f>H19*Data!$K19</f>
        <v>0</v>
      </c>
      <c r="BV19" s="15">
        <f>I19*Data!$K19</f>
        <v>0</v>
      </c>
      <c r="BW19" s="15">
        <f>J19*Data!$K19</f>
        <v>0</v>
      </c>
      <c r="BX19" s="15">
        <f>K19*Data!$K19</f>
        <v>0</v>
      </c>
      <c r="BY19" s="15">
        <f>L19*Data!$K19</f>
        <v>0</v>
      </c>
      <c r="BZ19" s="7">
        <f t="shared" si="51"/>
        <v>0</v>
      </c>
      <c r="CB19" s="15">
        <f t="shared" si="52"/>
        <v>0</v>
      </c>
      <c r="CC19" s="15">
        <f t="shared" si="53"/>
        <v>341054.75874857779</v>
      </c>
      <c r="CD19" s="15">
        <f t="shared" si="54"/>
        <v>0</v>
      </c>
      <c r="CE19" s="15">
        <f t="shared" si="55"/>
        <v>0</v>
      </c>
      <c r="CF19" s="15">
        <f t="shared" si="56"/>
        <v>0</v>
      </c>
      <c r="CG19" s="7">
        <f t="shared" si="57"/>
        <v>341054.75874857779</v>
      </c>
      <c r="CI19" s="18">
        <f t="shared" si="58"/>
        <v>0</v>
      </c>
      <c r="CJ19" s="15">
        <f t="shared" si="59"/>
        <v>0</v>
      </c>
      <c r="CK19" s="15">
        <f t="shared" si="60"/>
        <v>341054.75874857779</v>
      </c>
      <c r="CL19" s="15">
        <f t="shared" si="61"/>
        <v>0</v>
      </c>
      <c r="CM19" s="15">
        <f t="shared" si="62"/>
        <v>0</v>
      </c>
      <c r="CN19" s="15">
        <f t="shared" si="63"/>
        <v>0</v>
      </c>
      <c r="CO19" s="7">
        <f t="shared" si="64"/>
        <v>341054.75874857779</v>
      </c>
      <c r="CP19" s="15" t="str">
        <f t="shared" si="65"/>
        <v>Pipelines</v>
      </c>
    </row>
    <row r="20" spans="1:94" ht="11.5">
      <c r="A20" s="3" t="str">
        <f>Data!A20</f>
        <v>Oakey &amp; Kogan Decommissioning</v>
      </c>
      <c r="B20" s="31" t="s">
        <v>31</v>
      </c>
      <c r="C20" s="3" t="str">
        <f>Data!N20</f>
        <v xml:space="preserve">Compressors </v>
      </c>
      <c r="D20" s="3" t="str">
        <f>Data!O20</f>
        <v>Replacement</v>
      </c>
      <c r="E20" s="3" t="str">
        <f>Data!P20</f>
        <v>Minor Projects</v>
      </c>
      <c r="F20" s="3" t="str">
        <f>Data!Q20</f>
        <v>Yes</v>
      </c>
      <c r="G20" s="22">
        <f>Data!H20+Data!J20</f>
        <v>0</v>
      </c>
      <c r="H20" s="7">
        <f>Data!C20*Inputs!$J$15</f>
        <v>0</v>
      </c>
      <c r="I20" s="7">
        <f>Data!D20*Inputs!$J$15</f>
        <v>0</v>
      </c>
      <c r="J20" s="7">
        <f>Data!E20*Inputs!$J$15</f>
        <v>0</v>
      </c>
      <c r="K20" s="7">
        <f>Data!F20*Inputs!$J$15</f>
        <v>0</v>
      </c>
      <c r="L20" s="7">
        <f>Data!G20*Inputs!$J$15</f>
        <v>0</v>
      </c>
      <c r="M20" s="7">
        <f t="shared" si="27"/>
        <v>0</v>
      </c>
      <c r="O20" s="7">
        <f>H20*Inputs!$C$3</f>
        <v>0</v>
      </c>
      <c r="P20" s="7">
        <f>I20*Inputs!$C$3</f>
        <v>0</v>
      </c>
      <c r="Q20" s="7">
        <f>J20*Inputs!$C$3</f>
        <v>0</v>
      </c>
      <c r="R20" s="7">
        <f>K20*Inputs!$C$3</f>
        <v>0</v>
      </c>
      <c r="S20" s="7">
        <f>L20*Inputs!$C$3</f>
        <v>0</v>
      </c>
      <c r="T20" s="7">
        <f t="shared" si="28"/>
        <v>0</v>
      </c>
      <c r="V20" s="7">
        <f t="shared" si="29"/>
        <v>0</v>
      </c>
      <c r="W20" s="7">
        <f t="shared" si="30"/>
        <v>0</v>
      </c>
      <c r="X20" s="7">
        <f t="shared" si="31"/>
        <v>0</v>
      </c>
      <c r="Y20" s="7">
        <f t="shared" si="32"/>
        <v>0</v>
      </c>
      <c r="Z20" s="7">
        <f t="shared" si="33"/>
        <v>0</v>
      </c>
      <c r="AA20" s="7">
        <f t="shared" si="34"/>
        <v>0</v>
      </c>
      <c r="AC20" s="7">
        <f t="shared" si="35"/>
        <v>0</v>
      </c>
      <c r="AD20" s="7">
        <f t="shared" si="36"/>
        <v>0</v>
      </c>
      <c r="AE20" s="7">
        <f t="shared" si="37"/>
        <v>0</v>
      </c>
      <c r="AF20" s="7">
        <f t="shared" si="38"/>
        <v>0</v>
      </c>
      <c r="AG20" s="7">
        <f t="shared" si="39"/>
        <v>0</v>
      </c>
      <c r="AH20" s="7">
        <f t="shared" si="40"/>
        <v>0</v>
      </c>
      <c r="AJ20" s="7">
        <f>AC20*(Inputs!K$39-1)</f>
        <v>0</v>
      </c>
      <c r="AK20" s="7">
        <f>AD20*(Inputs!L$39-1)</f>
        <v>0</v>
      </c>
      <c r="AL20" s="7">
        <f>AE20*(Inputs!M$39-1)</f>
        <v>0</v>
      </c>
      <c r="AM20" s="7">
        <f>AF20*(Inputs!N$39-1)</f>
        <v>0</v>
      </c>
      <c r="AN20" s="7">
        <f>AG20*(Inputs!O$39-1)</f>
        <v>0</v>
      </c>
      <c r="AO20" s="7">
        <f t="shared" si="41"/>
        <v>0</v>
      </c>
      <c r="AQ20" s="7">
        <f t="shared" si="42"/>
        <v>0</v>
      </c>
      <c r="AR20" s="7">
        <f t="shared" si="43"/>
        <v>0</v>
      </c>
      <c r="AS20" s="7">
        <f t="shared" si="44"/>
        <v>0</v>
      </c>
      <c r="AT20" s="7">
        <f t="shared" si="45"/>
        <v>0</v>
      </c>
      <c r="AU20" s="7">
        <f t="shared" si="46"/>
        <v>0</v>
      </c>
      <c r="AV20" s="7">
        <f t="shared" si="47"/>
        <v>0</v>
      </c>
      <c r="AX20" s="27">
        <f>IFERROR(Data!H20/(Data!H20+Data!J20),0)</f>
        <v>0</v>
      </c>
      <c r="AZ20" s="15">
        <f>(H20*Data!$H20)+O20+(AJ20*$AX20)</f>
        <v>0</v>
      </c>
      <c r="BA20" s="15">
        <f>(I20*Data!$H20)+P20+(AK20*$AX20)</f>
        <v>0</v>
      </c>
      <c r="BB20" s="15">
        <f>(J20*Data!$H20)+Q20+(AL20*$AX20)</f>
        <v>0</v>
      </c>
      <c r="BC20" s="15">
        <f>(K20*Data!$H20)+R20+(AM20*$AX20)</f>
        <v>0</v>
      </c>
      <c r="BD20" s="15">
        <f>(L20*Data!$H20)+S20+(AN20*$AX20)</f>
        <v>0</v>
      </c>
      <c r="BE20" s="7">
        <f t="shared" si="48"/>
        <v>0</v>
      </c>
      <c r="BG20" s="15">
        <f>H20*Data!$I20</f>
        <v>0</v>
      </c>
      <c r="BH20" s="15">
        <f>I20*Data!$I20</f>
        <v>0</v>
      </c>
      <c r="BI20" s="15">
        <f>J20*Data!$I20</f>
        <v>0</v>
      </c>
      <c r="BJ20" s="15">
        <f>K20*Data!$I20</f>
        <v>0</v>
      </c>
      <c r="BK20" s="15">
        <f>L20*Data!$I20</f>
        <v>0</v>
      </c>
      <c r="BL20" s="7">
        <f t="shared" si="49"/>
        <v>0</v>
      </c>
      <c r="BN20" s="15">
        <f>H20*Data!$J20+(AJ20*(1-$AX20))</f>
        <v>0</v>
      </c>
      <c r="BO20" s="15">
        <f>I20*Data!$J20+(AK20*(1-$AX20))</f>
        <v>0</v>
      </c>
      <c r="BP20" s="15">
        <f>J20*Data!$J20+(AL20*(1-$AX20))</f>
        <v>0</v>
      </c>
      <c r="BQ20" s="15">
        <f>K20*Data!$J20+(AM20*(1-$AX20))</f>
        <v>0</v>
      </c>
      <c r="BR20" s="15">
        <f>L20*Data!$J20+(AN20*(1-$AX20))</f>
        <v>0</v>
      </c>
      <c r="BS20" s="7">
        <f t="shared" si="50"/>
        <v>0</v>
      </c>
      <c r="BU20" s="15">
        <f>H20*Data!$K20</f>
        <v>0</v>
      </c>
      <c r="BV20" s="15">
        <f>I20*Data!$K20</f>
        <v>0</v>
      </c>
      <c r="BW20" s="15">
        <f>J20*Data!$K20</f>
        <v>0</v>
      </c>
      <c r="BX20" s="15">
        <f>K20*Data!$K20</f>
        <v>0</v>
      </c>
      <c r="BY20" s="15">
        <f>L20*Data!$K20</f>
        <v>0</v>
      </c>
      <c r="BZ20" s="7">
        <f t="shared" si="51"/>
        <v>0</v>
      </c>
      <c r="CB20" s="15">
        <f t="shared" si="52"/>
        <v>0</v>
      </c>
      <c r="CC20" s="15">
        <f t="shared" si="53"/>
        <v>0</v>
      </c>
      <c r="CD20" s="15">
        <f t="shared" si="54"/>
        <v>0</v>
      </c>
      <c r="CE20" s="15">
        <f t="shared" si="55"/>
        <v>0</v>
      </c>
      <c r="CF20" s="15">
        <f t="shared" si="56"/>
        <v>0</v>
      </c>
      <c r="CG20" s="7">
        <f t="shared" si="57"/>
        <v>0</v>
      </c>
      <c r="CI20" s="18">
        <f t="shared" si="58"/>
        <v>0</v>
      </c>
      <c r="CJ20" s="15">
        <f t="shared" si="59"/>
        <v>0</v>
      </c>
      <c r="CK20" s="15">
        <f t="shared" si="60"/>
        <v>0</v>
      </c>
      <c r="CL20" s="15">
        <f t="shared" si="61"/>
        <v>0</v>
      </c>
      <c r="CM20" s="15">
        <f t="shared" si="62"/>
        <v>0</v>
      </c>
      <c r="CN20" s="15">
        <f t="shared" si="63"/>
        <v>0</v>
      </c>
      <c r="CO20" s="7">
        <f t="shared" si="64"/>
        <v>0</v>
      </c>
      <c r="CP20" s="15" t="str">
        <f t="shared" si="65"/>
        <v xml:space="preserve">Compressors </v>
      </c>
    </row>
    <row r="21" spans="1:94" ht="11.5">
      <c r="A21" s="3" t="str">
        <f>Data!A21</f>
        <v>Gas Measurement Upgrade - including shades - FEED</v>
      </c>
      <c r="B21" s="31" t="s">
        <v>31</v>
      </c>
      <c r="C21" s="3" t="str">
        <f>Data!N21</f>
        <v>Regulators and meters</v>
      </c>
      <c r="D21" s="3" t="str">
        <f>Data!O21</f>
        <v>Replacement</v>
      </c>
      <c r="E21" s="3" t="str">
        <f>Data!P21</f>
        <v>Minor Projects</v>
      </c>
      <c r="F21" s="3" t="str">
        <f>Data!Q21</f>
        <v>Yes</v>
      </c>
      <c r="G21" s="22">
        <f>Data!H21+Data!J21</f>
        <v>0</v>
      </c>
      <c r="H21" s="7">
        <f>Data!C21*Inputs!$J$15</f>
        <v>0</v>
      </c>
      <c r="I21" s="7">
        <f>Data!D21*Inputs!$J$15</f>
        <v>0</v>
      </c>
      <c r="J21" s="7">
        <f>Data!E21*Inputs!$J$15</f>
        <v>0</v>
      </c>
      <c r="K21" s="7">
        <f>Data!F21*Inputs!$J$15</f>
        <v>0</v>
      </c>
      <c r="L21" s="7">
        <f>Data!G21*Inputs!$J$15</f>
        <v>0</v>
      </c>
      <c r="M21" s="7">
        <f t="shared" si="27"/>
        <v>0</v>
      </c>
      <c r="O21" s="7">
        <f>H21*Inputs!$C$3</f>
        <v>0</v>
      </c>
      <c r="P21" s="7">
        <f>I21*Inputs!$C$3</f>
        <v>0</v>
      </c>
      <c r="Q21" s="7">
        <f>J21*Inputs!$C$3</f>
        <v>0</v>
      </c>
      <c r="R21" s="7">
        <f>K21*Inputs!$C$3</f>
        <v>0</v>
      </c>
      <c r="S21" s="7">
        <f>L21*Inputs!$C$3</f>
        <v>0</v>
      </c>
      <c r="T21" s="7">
        <f t="shared" si="28"/>
        <v>0</v>
      </c>
      <c r="V21" s="7">
        <f t="shared" si="29"/>
        <v>0</v>
      </c>
      <c r="W21" s="7">
        <f t="shared" si="30"/>
        <v>0</v>
      </c>
      <c r="X21" s="7">
        <f t="shared" si="31"/>
        <v>0</v>
      </c>
      <c r="Y21" s="7">
        <f t="shared" si="32"/>
        <v>0</v>
      </c>
      <c r="Z21" s="7">
        <f t="shared" si="33"/>
        <v>0</v>
      </c>
      <c r="AA21" s="7">
        <f t="shared" si="34"/>
        <v>0</v>
      </c>
      <c r="AC21" s="7">
        <f t="shared" si="35"/>
        <v>0</v>
      </c>
      <c r="AD21" s="7">
        <f t="shared" si="36"/>
        <v>0</v>
      </c>
      <c r="AE21" s="7">
        <f t="shared" si="37"/>
        <v>0</v>
      </c>
      <c r="AF21" s="7">
        <f t="shared" si="38"/>
        <v>0</v>
      </c>
      <c r="AG21" s="7">
        <f t="shared" si="39"/>
        <v>0</v>
      </c>
      <c r="AH21" s="7">
        <f t="shared" si="40"/>
        <v>0</v>
      </c>
      <c r="AJ21" s="7">
        <f>AC21*(Inputs!K$39-1)</f>
        <v>0</v>
      </c>
      <c r="AK21" s="7">
        <f>AD21*(Inputs!L$39-1)</f>
        <v>0</v>
      </c>
      <c r="AL21" s="7">
        <f>AE21*(Inputs!M$39-1)</f>
        <v>0</v>
      </c>
      <c r="AM21" s="7">
        <f>AF21*(Inputs!N$39-1)</f>
        <v>0</v>
      </c>
      <c r="AN21" s="7">
        <f>AG21*(Inputs!O$39-1)</f>
        <v>0</v>
      </c>
      <c r="AO21" s="7">
        <f t="shared" si="41"/>
        <v>0</v>
      </c>
      <c r="AQ21" s="7">
        <f t="shared" si="42"/>
        <v>0</v>
      </c>
      <c r="AR21" s="7">
        <f t="shared" si="43"/>
        <v>0</v>
      </c>
      <c r="AS21" s="7">
        <f t="shared" si="44"/>
        <v>0</v>
      </c>
      <c r="AT21" s="7">
        <f t="shared" si="45"/>
        <v>0</v>
      </c>
      <c r="AU21" s="7">
        <f t="shared" si="46"/>
        <v>0</v>
      </c>
      <c r="AV21" s="7">
        <f t="shared" si="47"/>
        <v>0</v>
      </c>
      <c r="AX21" s="27">
        <f>IFERROR(Data!H21/(Data!H21+Data!J21),0)</f>
        <v>0</v>
      </c>
      <c r="AZ21" s="15">
        <f>(H21*Data!$H21)+O21+(AJ21*$AX21)</f>
        <v>0</v>
      </c>
      <c r="BA21" s="15">
        <f>(I21*Data!$H21)+P21+(AK21*$AX21)</f>
        <v>0</v>
      </c>
      <c r="BB21" s="15">
        <f>(J21*Data!$H21)+Q21+(AL21*$AX21)</f>
        <v>0</v>
      </c>
      <c r="BC21" s="15">
        <f>(K21*Data!$H21)+R21+(AM21*$AX21)</f>
        <v>0</v>
      </c>
      <c r="BD21" s="15">
        <f>(L21*Data!$H21)+S21+(AN21*$AX21)</f>
        <v>0</v>
      </c>
      <c r="BE21" s="7">
        <f t="shared" si="48"/>
        <v>0</v>
      </c>
      <c r="BG21" s="15">
        <f>H21*Data!$I21</f>
        <v>0</v>
      </c>
      <c r="BH21" s="15">
        <f>I21*Data!$I21</f>
        <v>0</v>
      </c>
      <c r="BI21" s="15">
        <f>J21*Data!$I21</f>
        <v>0</v>
      </c>
      <c r="BJ21" s="15">
        <f>K21*Data!$I21</f>
        <v>0</v>
      </c>
      <c r="BK21" s="15">
        <f>L21*Data!$I21</f>
        <v>0</v>
      </c>
      <c r="BL21" s="7">
        <f t="shared" si="49"/>
        <v>0</v>
      </c>
      <c r="BN21" s="15">
        <f>H21*Data!$J21+(AJ21*(1-$AX21))</f>
        <v>0</v>
      </c>
      <c r="BO21" s="15">
        <f>I21*Data!$J21+(AK21*(1-$AX21))</f>
        <v>0</v>
      </c>
      <c r="BP21" s="15">
        <f>J21*Data!$J21+(AL21*(1-$AX21))</f>
        <v>0</v>
      </c>
      <c r="BQ21" s="15">
        <f>K21*Data!$J21+(AM21*(1-$AX21))</f>
        <v>0</v>
      </c>
      <c r="BR21" s="15">
        <f>L21*Data!$J21+(AN21*(1-$AX21))</f>
        <v>0</v>
      </c>
      <c r="BS21" s="7">
        <f t="shared" si="50"/>
        <v>0</v>
      </c>
      <c r="BU21" s="15">
        <f>H21*Data!$K21</f>
        <v>0</v>
      </c>
      <c r="BV21" s="15">
        <f>I21*Data!$K21</f>
        <v>0</v>
      </c>
      <c r="BW21" s="15">
        <f>J21*Data!$K21</f>
        <v>0</v>
      </c>
      <c r="BX21" s="15">
        <f>K21*Data!$K21</f>
        <v>0</v>
      </c>
      <c r="BY21" s="15">
        <f>L21*Data!$K21</f>
        <v>0</v>
      </c>
      <c r="BZ21" s="7">
        <f t="shared" si="51"/>
        <v>0</v>
      </c>
      <c r="CB21" s="15">
        <f t="shared" si="52"/>
        <v>0</v>
      </c>
      <c r="CC21" s="15">
        <f t="shared" si="53"/>
        <v>0</v>
      </c>
      <c r="CD21" s="15">
        <f t="shared" si="54"/>
        <v>0</v>
      </c>
      <c r="CE21" s="15">
        <f t="shared" si="55"/>
        <v>0</v>
      </c>
      <c r="CF21" s="15">
        <f t="shared" si="56"/>
        <v>0</v>
      </c>
      <c r="CG21" s="7">
        <f t="shared" si="57"/>
        <v>0</v>
      </c>
      <c r="CI21" s="18">
        <f t="shared" si="58"/>
        <v>0</v>
      </c>
      <c r="CJ21" s="15">
        <f t="shared" si="59"/>
        <v>0</v>
      </c>
      <c r="CK21" s="15">
        <f t="shared" si="60"/>
        <v>0</v>
      </c>
      <c r="CL21" s="15">
        <f t="shared" si="61"/>
        <v>0</v>
      </c>
      <c r="CM21" s="15">
        <f t="shared" si="62"/>
        <v>0</v>
      </c>
      <c r="CN21" s="15">
        <f t="shared" si="63"/>
        <v>0</v>
      </c>
      <c r="CO21" s="7">
        <f t="shared" si="64"/>
        <v>0</v>
      </c>
      <c r="CP21" s="15" t="str">
        <f t="shared" si="65"/>
        <v>Regulators and meters</v>
      </c>
    </row>
    <row r="22" spans="1:94" ht="11.5">
      <c r="A22" s="3" t="str">
        <f>Data!A22</f>
        <v>Group IT</v>
      </c>
      <c r="B22" s="31" t="s">
        <v>31</v>
      </c>
      <c r="C22" s="3" t="str">
        <f>Data!N22</f>
        <v>Group IT</v>
      </c>
      <c r="D22" s="3" t="str">
        <f>Data!O22</f>
        <v>Non-network</v>
      </c>
      <c r="E22" s="3" t="str">
        <f>Data!P22</f>
        <v>Group IT</v>
      </c>
      <c r="F22" s="3" t="str">
        <f>Data!Q22</f>
        <v>Yes</v>
      </c>
      <c r="G22" s="22">
        <f>Data!H22+Data!J22</f>
        <v>0</v>
      </c>
      <c r="H22" s="7">
        <f>Data!C22*Inputs!$J$15</f>
        <v>3361770.0006946046</v>
      </c>
      <c r="I22" s="7">
        <f>Data!D22*Inputs!$J$15</f>
        <v>3378303.1197848916</v>
      </c>
      <c r="J22" s="7">
        <f>Data!E22*Inputs!$J$15</f>
        <v>2349226.8177548829</v>
      </c>
      <c r="K22" s="7">
        <f>Data!F22*Inputs!$J$15</f>
        <v>1600179.0558470124</v>
      </c>
      <c r="L22" s="7">
        <f>Data!G22*Inputs!$J$15</f>
        <v>894025.58362727053</v>
      </c>
      <c r="M22" s="7">
        <f t="shared" si="27"/>
        <v>11583504.577708663</v>
      </c>
      <c r="O22" s="7">
        <f>H22*Inputs!$C$3</f>
        <v>273750.58891559724</v>
      </c>
      <c r="P22" s="7">
        <f>I22*Inputs!$C$3</f>
        <v>275096.88895594585</v>
      </c>
      <c r="Q22" s="7">
        <f>J22*Inputs!$C$3</f>
        <v>191298.69822261389</v>
      </c>
      <c r="R22" s="7">
        <f>K22*Inputs!$C$3</f>
        <v>130303.36959935234</v>
      </c>
      <c r="S22" s="7">
        <f>L22*Inputs!$C$3</f>
        <v>72800.944137465674</v>
      </c>
      <c r="T22" s="7">
        <f t="shared" si="28"/>
        <v>943250.48983097496</v>
      </c>
      <c r="V22" s="7">
        <f t="shared" si="29"/>
        <v>3635520.5896102018</v>
      </c>
      <c r="W22" s="7">
        <f t="shared" si="30"/>
        <v>3653400.0087408377</v>
      </c>
      <c r="X22" s="7">
        <f t="shared" si="31"/>
        <v>2540525.5159774967</v>
      </c>
      <c r="Y22" s="7">
        <f t="shared" si="32"/>
        <v>1730482.4254463648</v>
      </c>
      <c r="Z22" s="7">
        <f t="shared" si="33"/>
        <v>966826.52776473621</v>
      </c>
      <c r="AA22" s="7">
        <f t="shared" si="34"/>
        <v>12526755.067539636</v>
      </c>
      <c r="AC22" s="7">
        <f t="shared" si="35"/>
        <v>273750.58891559724</v>
      </c>
      <c r="AD22" s="7">
        <f t="shared" si="36"/>
        <v>275096.88895594585</v>
      </c>
      <c r="AE22" s="7">
        <f t="shared" si="37"/>
        <v>191298.69822261389</v>
      </c>
      <c r="AF22" s="7">
        <f t="shared" si="38"/>
        <v>130303.36959935234</v>
      </c>
      <c r="AG22" s="7">
        <f t="shared" si="39"/>
        <v>72800.944137465674</v>
      </c>
      <c r="AH22" s="7">
        <f t="shared" si="40"/>
        <v>943250.48983097496</v>
      </c>
      <c r="AJ22" s="7">
        <f>AC22*(Inputs!K$39-1)</f>
        <v>-174.51973088899297</v>
      </c>
      <c r="AK22" s="7">
        <f>AD22*(Inputs!L$39-1)</f>
        <v>1234.6781892429244</v>
      </c>
      <c r="AL22" s="7">
        <f>AE22*(Inputs!M$39-1)</f>
        <v>2492.8744067675007</v>
      </c>
      <c r="AM22" s="7">
        <f>AF22*(Inputs!N$39-1)</f>
        <v>3202.3527437941129</v>
      </c>
      <c r="AN22" s="7">
        <f>AG22*(Inputs!O$39-1)</f>
        <v>2298.6792024576639</v>
      </c>
      <c r="AO22" s="7">
        <f t="shared" si="41"/>
        <v>9054.0648113732095</v>
      </c>
      <c r="AQ22" s="7">
        <f t="shared" si="42"/>
        <v>3635346.069879313</v>
      </c>
      <c r="AR22" s="7">
        <f t="shared" si="43"/>
        <v>3654634.6869300804</v>
      </c>
      <c r="AS22" s="7">
        <f t="shared" si="44"/>
        <v>2543018.3903842643</v>
      </c>
      <c r="AT22" s="7">
        <f t="shared" si="45"/>
        <v>1733684.778190159</v>
      </c>
      <c r="AU22" s="7">
        <f t="shared" si="46"/>
        <v>969125.20696719387</v>
      </c>
      <c r="AV22" s="7">
        <f t="shared" si="47"/>
        <v>12535809.132351009</v>
      </c>
      <c r="AX22" s="27">
        <f>IFERROR(Data!H22/(Data!H22+Data!J22),0)</f>
        <v>0</v>
      </c>
      <c r="AZ22" s="15">
        <f>(H22*Data!$H22)+O22+(AJ22*$AX22)</f>
        <v>273750.58891559724</v>
      </c>
      <c r="BA22" s="15">
        <f>(I22*Data!$H22)+P22+(AK22*$AX22)</f>
        <v>275096.88895594585</v>
      </c>
      <c r="BB22" s="15">
        <f>(J22*Data!$H22)+Q22+(AL22*$AX22)</f>
        <v>191298.69822261389</v>
      </c>
      <c r="BC22" s="15">
        <f>(K22*Data!$H22)+R22+(AM22*$AX22)</f>
        <v>130303.36959935234</v>
      </c>
      <c r="BD22" s="15">
        <f>(L22*Data!$H22)+S22+(AN22*$AX22)</f>
        <v>72800.944137465674</v>
      </c>
      <c r="BE22" s="7">
        <f t="shared" si="48"/>
        <v>943250.48983097496</v>
      </c>
      <c r="BG22" s="15">
        <f>H22*Data!$I22</f>
        <v>3361770.0006946046</v>
      </c>
      <c r="BH22" s="15">
        <f>I22*Data!$I22</f>
        <v>3378303.1197848916</v>
      </c>
      <c r="BI22" s="15">
        <f>J22*Data!$I22</f>
        <v>2349226.8177548829</v>
      </c>
      <c r="BJ22" s="15">
        <f>K22*Data!$I22</f>
        <v>1600179.0558470124</v>
      </c>
      <c r="BK22" s="15">
        <f>L22*Data!$I22</f>
        <v>894025.58362727053</v>
      </c>
      <c r="BL22" s="7">
        <f t="shared" si="49"/>
        <v>11583504.577708663</v>
      </c>
      <c r="BN22" s="15">
        <f>H22*Data!$J22+(AJ22*(1-$AX22))</f>
        <v>-174.51973088899297</v>
      </c>
      <c r="BO22" s="15">
        <f>I22*Data!$J22+(AK22*(1-$AX22))</f>
        <v>1234.6781892429244</v>
      </c>
      <c r="BP22" s="15">
        <f>J22*Data!$J22+(AL22*(1-$AX22))</f>
        <v>2492.8744067675007</v>
      </c>
      <c r="BQ22" s="15">
        <f>K22*Data!$J22+(AM22*(1-$AX22))</f>
        <v>3202.3527437941129</v>
      </c>
      <c r="BR22" s="15">
        <f>L22*Data!$J22+(AN22*(1-$AX22))</f>
        <v>2298.6792024576639</v>
      </c>
      <c r="BS22" s="7">
        <f t="shared" si="50"/>
        <v>9054.0648113732095</v>
      </c>
      <c r="BU22" s="15">
        <f>H22*Data!$K22</f>
        <v>0</v>
      </c>
      <c r="BV22" s="15">
        <f>I22*Data!$K22</f>
        <v>0</v>
      </c>
      <c r="BW22" s="15">
        <f>J22*Data!$K22</f>
        <v>0</v>
      </c>
      <c r="BX22" s="15">
        <f>K22*Data!$K22</f>
        <v>0</v>
      </c>
      <c r="BY22" s="15">
        <f>L22*Data!$K22</f>
        <v>0</v>
      </c>
      <c r="BZ22" s="7">
        <f t="shared" si="51"/>
        <v>0</v>
      </c>
      <c r="CB22" s="15">
        <f t="shared" si="52"/>
        <v>3635346.069879313</v>
      </c>
      <c r="CC22" s="15">
        <f t="shared" si="53"/>
        <v>3654634.6869300804</v>
      </c>
      <c r="CD22" s="15">
        <f t="shared" si="54"/>
        <v>2543018.3903842643</v>
      </c>
      <c r="CE22" s="15">
        <f t="shared" si="55"/>
        <v>1733684.778190159</v>
      </c>
      <c r="CF22" s="15">
        <f t="shared" si="56"/>
        <v>969125.20696719387</v>
      </c>
      <c r="CG22" s="7">
        <f t="shared" si="57"/>
        <v>12535809.132351009</v>
      </c>
      <c r="CI22" s="18">
        <f t="shared" si="58"/>
        <v>0</v>
      </c>
      <c r="CJ22" s="15">
        <f t="shared" si="59"/>
        <v>3635346.069879313</v>
      </c>
      <c r="CK22" s="15">
        <f t="shared" si="60"/>
        <v>3654634.6869300804</v>
      </c>
      <c r="CL22" s="15">
        <f t="shared" si="61"/>
        <v>2543018.3903842643</v>
      </c>
      <c r="CM22" s="15">
        <f t="shared" si="62"/>
        <v>1733684.778190159</v>
      </c>
      <c r="CN22" s="15">
        <f t="shared" si="63"/>
        <v>969125.20696719387</v>
      </c>
      <c r="CO22" s="7">
        <f t="shared" si="64"/>
        <v>12535809.132351009</v>
      </c>
      <c r="CP22" s="15" t="str">
        <f t="shared" si="65"/>
        <v>Group IT</v>
      </c>
    </row>
    <row r="23" spans="1:94" ht="11.5">
      <c r="A23" s="3" t="str">
        <f>Data!A23</f>
        <v>Access Arrangement</v>
      </c>
      <c r="B23" s="31" t="s">
        <v>31</v>
      </c>
      <c r="C23" s="3" t="str">
        <f>Data!N23</f>
        <v>Capitalised AA costs</v>
      </c>
      <c r="D23" s="3" t="str">
        <f>Data!O23</f>
        <v>Non-network</v>
      </c>
      <c r="E23" s="3" t="str">
        <f>Data!P23</f>
        <v>Access Arrangement</v>
      </c>
      <c r="F23" s="3" t="str">
        <f>Data!Q23</f>
        <v>Yes</v>
      </c>
      <c r="G23" s="22">
        <f>Data!H23+Data!J23</f>
        <v>1</v>
      </c>
      <c r="H23" s="7">
        <f>Data!C23*Inputs!$J$15</f>
        <v>684607.40929411771</v>
      </c>
      <c r="I23" s="7">
        <f>Data!D23*Inputs!$J$15</f>
        <v>47614.902042628826</v>
      </c>
      <c r="J23" s="7">
        <f>Data!E23*Inputs!$J$15</f>
        <v>0</v>
      </c>
      <c r="K23" s="7">
        <f>Data!F23*Inputs!$J$15</f>
        <v>0</v>
      </c>
      <c r="L23" s="7">
        <f>Data!G23*Inputs!$J$15</f>
        <v>0</v>
      </c>
      <c r="M23" s="7">
        <f t="shared" si="27"/>
        <v>732222.31133674656</v>
      </c>
      <c r="O23" s="7">
        <f>H23*Inputs!$C$3</f>
        <v>55747.918933039233</v>
      </c>
      <c r="P23" s="7">
        <f>I23*Inputs!$C$3</f>
        <v>3877.3049532344339</v>
      </c>
      <c r="Q23" s="7">
        <f>J23*Inputs!$C$3</f>
        <v>0</v>
      </c>
      <c r="R23" s="7">
        <f>K23*Inputs!$C$3</f>
        <v>0</v>
      </c>
      <c r="S23" s="7">
        <f>L23*Inputs!$C$3</f>
        <v>0</v>
      </c>
      <c r="T23" s="7">
        <f t="shared" si="28"/>
        <v>59625.22388627367</v>
      </c>
      <c r="V23" s="7">
        <f t="shared" si="29"/>
        <v>740355.32822715689</v>
      </c>
      <c r="W23" s="7">
        <f t="shared" si="30"/>
        <v>51492.206995863264</v>
      </c>
      <c r="X23" s="7">
        <f t="shared" si="31"/>
        <v>0</v>
      </c>
      <c r="Y23" s="7">
        <f t="shared" si="32"/>
        <v>0</v>
      </c>
      <c r="Z23" s="7">
        <f t="shared" si="33"/>
        <v>0</v>
      </c>
      <c r="AA23" s="7">
        <f t="shared" si="34"/>
        <v>791847.53522302012</v>
      </c>
      <c r="AC23" s="7">
        <f t="shared" si="35"/>
        <v>740355.32822715689</v>
      </c>
      <c r="AD23" s="7">
        <f t="shared" si="36"/>
        <v>51492.206995863264</v>
      </c>
      <c r="AE23" s="7">
        <f t="shared" si="37"/>
        <v>0</v>
      </c>
      <c r="AF23" s="7">
        <f t="shared" si="38"/>
        <v>0</v>
      </c>
      <c r="AG23" s="7">
        <f t="shared" si="39"/>
        <v>0</v>
      </c>
      <c r="AH23" s="7">
        <f t="shared" si="40"/>
        <v>791847.53522302012</v>
      </c>
      <c r="AJ23" s="7">
        <f>AC23*(Inputs!K$39-1)</f>
        <v>-471.98661071838808</v>
      </c>
      <c r="AK23" s="7">
        <f>AD23*(Inputs!L$39-1)</f>
        <v>231.10513948398537</v>
      </c>
      <c r="AL23" s="7">
        <f>AE23*(Inputs!M$39-1)</f>
        <v>0</v>
      </c>
      <c r="AM23" s="7">
        <f>AF23*(Inputs!N$39-1)</f>
        <v>0</v>
      </c>
      <c r="AN23" s="7">
        <f>AG23*(Inputs!O$39-1)</f>
        <v>0</v>
      </c>
      <c r="AO23" s="7">
        <f t="shared" si="41"/>
        <v>-240.88147123440271</v>
      </c>
      <c r="AQ23" s="7">
        <f t="shared" si="42"/>
        <v>739883.34161643847</v>
      </c>
      <c r="AR23" s="7">
        <f t="shared" si="43"/>
        <v>51723.312135347252</v>
      </c>
      <c r="AS23" s="7">
        <f t="shared" si="44"/>
        <v>0</v>
      </c>
      <c r="AT23" s="7">
        <f t="shared" si="45"/>
        <v>0</v>
      </c>
      <c r="AU23" s="7">
        <f t="shared" si="46"/>
        <v>0</v>
      </c>
      <c r="AV23" s="7">
        <f t="shared" si="47"/>
        <v>791606.65375178575</v>
      </c>
      <c r="AX23" s="27">
        <f>IFERROR(Data!H23/(Data!H23+Data!J23),0)</f>
        <v>1</v>
      </c>
      <c r="AZ23" s="15">
        <f>(H23*Data!$H23)+O23+(AJ23*$AX23)</f>
        <v>739883.34161643847</v>
      </c>
      <c r="BA23" s="15">
        <f>(I23*Data!$H23)+P23+(AK23*$AX23)</f>
        <v>51723.312135347252</v>
      </c>
      <c r="BB23" s="15">
        <f>(J23*Data!$H23)+Q23+(AL23*$AX23)</f>
        <v>0</v>
      </c>
      <c r="BC23" s="15">
        <f>(K23*Data!$H23)+R23+(AM23*$AX23)</f>
        <v>0</v>
      </c>
      <c r="BD23" s="15">
        <f>(L23*Data!$H23)+S23+(AN23*$AX23)</f>
        <v>0</v>
      </c>
      <c r="BE23" s="7">
        <f t="shared" si="48"/>
        <v>791606.65375178575</v>
      </c>
      <c r="BG23" s="15">
        <f>H23*Data!$I23</f>
        <v>0</v>
      </c>
      <c r="BH23" s="15">
        <f>I23*Data!$I23</f>
        <v>0</v>
      </c>
      <c r="BI23" s="15">
        <f>J23*Data!$I23</f>
        <v>0</v>
      </c>
      <c r="BJ23" s="15">
        <f>K23*Data!$I23</f>
        <v>0</v>
      </c>
      <c r="BK23" s="15">
        <f>L23*Data!$I23</f>
        <v>0</v>
      </c>
      <c r="BL23" s="7">
        <f t="shared" si="49"/>
        <v>0</v>
      </c>
      <c r="BN23" s="15">
        <f>H23*Data!$J23+(AJ23*(1-$AX23))</f>
        <v>0</v>
      </c>
      <c r="BO23" s="15">
        <f>I23*Data!$J23+(AK23*(1-$AX23))</f>
        <v>0</v>
      </c>
      <c r="BP23" s="15">
        <f>J23*Data!$J23+(AL23*(1-$AX23))</f>
        <v>0</v>
      </c>
      <c r="BQ23" s="15">
        <f>K23*Data!$J23+(AM23*(1-$AX23))</f>
        <v>0</v>
      </c>
      <c r="BR23" s="15">
        <f>L23*Data!$J23+(AN23*(1-$AX23))</f>
        <v>0</v>
      </c>
      <c r="BS23" s="7">
        <f t="shared" si="50"/>
        <v>0</v>
      </c>
      <c r="BU23" s="15">
        <f>H23*Data!$K23</f>
        <v>0</v>
      </c>
      <c r="BV23" s="15">
        <f>I23*Data!$K23</f>
        <v>0</v>
      </c>
      <c r="BW23" s="15">
        <f>J23*Data!$K23</f>
        <v>0</v>
      </c>
      <c r="BX23" s="15">
        <f>K23*Data!$K23</f>
        <v>0</v>
      </c>
      <c r="BY23" s="15">
        <f>L23*Data!$K23</f>
        <v>0</v>
      </c>
      <c r="BZ23" s="7">
        <f t="shared" si="51"/>
        <v>0</v>
      </c>
      <c r="CB23" s="15">
        <f t="shared" si="52"/>
        <v>739883.34161643847</v>
      </c>
      <c r="CC23" s="15">
        <f t="shared" si="53"/>
        <v>51723.312135347252</v>
      </c>
      <c r="CD23" s="15">
        <f t="shared" si="54"/>
        <v>0</v>
      </c>
      <c r="CE23" s="15">
        <f t="shared" si="55"/>
        <v>0</v>
      </c>
      <c r="CF23" s="15">
        <f t="shared" si="56"/>
        <v>0</v>
      </c>
      <c r="CG23" s="7">
        <f t="shared" si="57"/>
        <v>791606.65375178575</v>
      </c>
      <c r="CI23" s="18">
        <f t="shared" si="58"/>
        <v>0</v>
      </c>
      <c r="CJ23" s="15">
        <f t="shared" si="59"/>
        <v>739883.34161643847</v>
      </c>
      <c r="CK23" s="15">
        <f t="shared" si="60"/>
        <v>51723.312135347252</v>
      </c>
      <c r="CL23" s="15">
        <f t="shared" si="61"/>
        <v>0</v>
      </c>
      <c r="CM23" s="15">
        <f t="shared" si="62"/>
        <v>0</v>
      </c>
      <c r="CN23" s="15">
        <f t="shared" si="63"/>
        <v>0</v>
      </c>
      <c r="CO23" s="7">
        <f t="shared" si="64"/>
        <v>791606.65375178575</v>
      </c>
      <c r="CP23" s="15" t="str">
        <f t="shared" si="65"/>
        <v>Capitalised AA costs</v>
      </c>
    </row>
    <row r="24" spans="1:94" ht="11.5">
      <c r="A24" s="3" t="str">
        <f>Data!A24</f>
        <v>Minor Projects</v>
      </c>
      <c r="B24" s="31" t="s">
        <v>31</v>
      </c>
      <c r="C24" s="3" t="str">
        <f>Data!N24</f>
        <v>SIB Capex</v>
      </c>
      <c r="D24" s="3" t="str">
        <f>Data!O24</f>
        <v>Replacement</v>
      </c>
      <c r="E24" s="3" t="str">
        <f>Data!P24</f>
        <v>Minor Projects</v>
      </c>
      <c r="F24" s="3" t="str">
        <f>Data!Q24</f>
        <v>Yes</v>
      </c>
      <c r="G24" s="22">
        <f>Data!H24+Data!J24</f>
        <v>0.5</v>
      </c>
      <c r="H24" s="7">
        <f>Data!C24*Inputs!$J$15</f>
        <v>377125.55430514505</v>
      </c>
      <c r="I24" s="7">
        <f>Data!D24*Inputs!$J$15</f>
        <v>377125.55430514505</v>
      </c>
      <c r="J24" s="7">
        <f>Data!E24*Inputs!$J$15</f>
        <v>377125.55430514505</v>
      </c>
      <c r="K24" s="7">
        <f>Data!F24*Inputs!$J$15</f>
        <v>377125.55430514505</v>
      </c>
      <c r="L24" s="7">
        <f>Data!G24*Inputs!$J$15</f>
        <v>377125.55430514505</v>
      </c>
      <c r="M24" s="7">
        <f t="shared" si="27"/>
        <v>1885627.7715257253</v>
      </c>
      <c r="O24" s="7">
        <f>H24*Inputs!$C$3</f>
        <v>30709.519855559287</v>
      </c>
      <c r="P24" s="7">
        <f>I24*Inputs!$C$3</f>
        <v>30709.519855559287</v>
      </c>
      <c r="Q24" s="7">
        <f>J24*Inputs!$C$3</f>
        <v>30709.519855559287</v>
      </c>
      <c r="R24" s="7">
        <f>K24*Inputs!$C$3</f>
        <v>30709.519855559287</v>
      </c>
      <c r="S24" s="7">
        <f>L24*Inputs!$C$3</f>
        <v>30709.519855559287</v>
      </c>
      <c r="T24" s="7">
        <f t="shared" si="28"/>
        <v>153547.59927779643</v>
      </c>
      <c r="V24" s="7">
        <f t="shared" si="29"/>
        <v>407835.07416070433</v>
      </c>
      <c r="W24" s="7">
        <f t="shared" si="30"/>
        <v>407835.07416070433</v>
      </c>
      <c r="X24" s="7">
        <f t="shared" si="31"/>
        <v>407835.07416070433</v>
      </c>
      <c r="Y24" s="7">
        <f t="shared" si="32"/>
        <v>407835.07416070433</v>
      </c>
      <c r="Z24" s="7">
        <f t="shared" si="33"/>
        <v>407835.07416070433</v>
      </c>
      <c r="AA24" s="7">
        <f t="shared" si="34"/>
        <v>2039175.3708035217</v>
      </c>
      <c r="AC24" s="7">
        <f t="shared" si="35"/>
        <v>219272.29700813181</v>
      </c>
      <c r="AD24" s="7">
        <f t="shared" si="36"/>
        <v>219272.29700813181</v>
      </c>
      <c r="AE24" s="7">
        <f t="shared" si="37"/>
        <v>219272.29700813181</v>
      </c>
      <c r="AF24" s="7">
        <f t="shared" si="38"/>
        <v>219272.29700813181</v>
      </c>
      <c r="AG24" s="7">
        <f t="shared" si="39"/>
        <v>219272.29700813181</v>
      </c>
      <c r="AH24" s="7">
        <f t="shared" si="40"/>
        <v>1096361.4850406591</v>
      </c>
      <c r="AJ24" s="7">
        <f>AC24*(Inputs!K$39-1)</f>
        <v>-139.78907741115066</v>
      </c>
      <c r="AK24" s="7">
        <f>AD24*(Inputs!L$39-1)</f>
        <v>984.12862336837202</v>
      </c>
      <c r="AL24" s="7">
        <f>AE24*(Inputs!M$39-1)</f>
        <v>2857.4073028379694</v>
      </c>
      <c r="AM24" s="7">
        <f>AF24*(Inputs!N$39-1)</f>
        <v>5388.86480158621</v>
      </c>
      <c r="AN24" s="7">
        <f>AG24*(Inputs!O$39-1)</f>
        <v>6923.4908252833939</v>
      </c>
      <c r="AO24" s="7">
        <f t="shared" si="41"/>
        <v>16014.102475664795</v>
      </c>
      <c r="AQ24" s="7">
        <f t="shared" si="42"/>
        <v>407695.28508329316</v>
      </c>
      <c r="AR24" s="7">
        <f t="shared" si="43"/>
        <v>408819.20278407272</v>
      </c>
      <c r="AS24" s="7">
        <f t="shared" si="44"/>
        <v>410692.48146354232</v>
      </c>
      <c r="AT24" s="7">
        <f t="shared" si="45"/>
        <v>413223.93896229053</v>
      </c>
      <c r="AU24" s="7">
        <f t="shared" si="46"/>
        <v>414758.56498598773</v>
      </c>
      <c r="AV24" s="7">
        <f t="shared" si="47"/>
        <v>2055189.4732791865</v>
      </c>
      <c r="AX24" s="27">
        <f>IFERROR(Data!H24/(Data!H24+Data!J24),0)</f>
        <v>0.5</v>
      </c>
      <c r="AZ24" s="15">
        <f>(H24*Data!$H24)+O24+(AJ24*$AX24)</f>
        <v>124921.01389313997</v>
      </c>
      <c r="BA24" s="15">
        <f>(I24*Data!$H24)+P24+(AK24*$AX24)</f>
        <v>125482.97274352972</v>
      </c>
      <c r="BB24" s="15">
        <f>(J24*Data!$H24)+Q24+(AL24*$AX24)</f>
        <v>126419.61208326452</v>
      </c>
      <c r="BC24" s="15">
        <f>(K24*Data!$H24)+R24+(AM24*$AX24)</f>
        <v>127685.34083263864</v>
      </c>
      <c r="BD24" s="15">
        <f>(L24*Data!$H24)+S24+(AN24*$AX24)</f>
        <v>128452.65384448724</v>
      </c>
      <c r="BE24" s="7">
        <f t="shared" si="48"/>
        <v>632961.59339706018</v>
      </c>
      <c r="BG24" s="15">
        <f>H24*Data!$I24</f>
        <v>94281.388576286263</v>
      </c>
      <c r="BH24" s="15">
        <f>I24*Data!$I24</f>
        <v>94281.388576286263</v>
      </c>
      <c r="BI24" s="15">
        <f>J24*Data!$I24</f>
        <v>94281.388576286263</v>
      </c>
      <c r="BJ24" s="15">
        <f>K24*Data!$I24</f>
        <v>94281.388576286263</v>
      </c>
      <c r="BK24" s="15">
        <f>L24*Data!$I24</f>
        <v>94281.388576286263</v>
      </c>
      <c r="BL24" s="7">
        <f t="shared" si="49"/>
        <v>471406.94288143131</v>
      </c>
      <c r="BN24" s="15">
        <f>H24*Data!$J24+(AJ24*(1-$AX24))</f>
        <v>94211.494037580691</v>
      </c>
      <c r="BO24" s="15">
        <f>I24*Data!$J24+(AK24*(1-$AX24))</f>
        <v>94773.452887970445</v>
      </c>
      <c r="BP24" s="15">
        <f>J24*Data!$J24+(AL24*(1-$AX24))</f>
        <v>95710.092227705245</v>
      </c>
      <c r="BQ24" s="15">
        <f>K24*Data!$J24+(AM24*(1-$AX24))</f>
        <v>96975.820977079362</v>
      </c>
      <c r="BR24" s="15">
        <f>L24*Data!$J24+(AN24*(1-$AX24))</f>
        <v>97743.133988927962</v>
      </c>
      <c r="BS24" s="7">
        <f t="shared" si="50"/>
        <v>479413.99411926372</v>
      </c>
      <c r="BU24" s="15">
        <f>H24*Data!$K24</f>
        <v>94281.388576286263</v>
      </c>
      <c r="BV24" s="15">
        <f>I24*Data!$K24</f>
        <v>94281.388576286263</v>
      </c>
      <c r="BW24" s="15">
        <f>J24*Data!$K24</f>
        <v>94281.388576286263</v>
      </c>
      <c r="BX24" s="15">
        <f>K24*Data!$K24</f>
        <v>94281.388576286263</v>
      </c>
      <c r="BY24" s="15">
        <f>L24*Data!$K24</f>
        <v>94281.388576286263</v>
      </c>
      <c r="BZ24" s="7">
        <f t="shared" si="51"/>
        <v>471406.94288143131</v>
      </c>
      <c r="CB24" s="15">
        <f t="shared" si="52"/>
        <v>407695.28508329316</v>
      </c>
      <c r="CC24" s="15">
        <f t="shared" si="53"/>
        <v>408819.20278407267</v>
      </c>
      <c r="CD24" s="15">
        <f t="shared" si="54"/>
        <v>410692.48146354227</v>
      </c>
      <c r="CE24" s="15">
        <f t="shared" si="55"/>
        <v>413223.93896229053</v>
      </c>
      <c r="CF24" s="15">
        <f t="shared" si="56"/>
        <v>414758.56498598773</v>
      </c>
      <c r="CG24" s="7">
        <f t="shared" si="57"/>
        <v>2055189.4732791863</v>
      </c>
      <c r="CI24" s="18">
        <f t="shared" si="58"/>
        <v>0</v>
      </c>
      <c r="CJ24" s="15">
        <f t="shared" si="59"/>
        <v>407695.28508329316</v>
      </c>
      <c r="CK24" s="15">
        <f t="shared" si="60"/>
        <v>408819.20278407267</v>
      </c>
      <c r="CL24" s="15">
        <f t="shared" si="61"/>
        <v>410692.48146354227</v>
      </c>
      <c r="CM24" s="15">
        <f t="shared" si="62"/>
        <v>413223.93896229053</v>
      </c>
      <c r="CN24" s="15">
        <f t="shared" si="63"/>
        <v>414758.56498598773</v>
      </c>
      <c r="CO24" s="7">
        <f t="shared" si="64"/>
        <v>2055189.4732791863</v>
      </c>
      <c r="CP24" s="15" t="str">
        <f t="shared" si="65"/>
        <v>SIB Capex</v>
      </c>
    </row>
    <row r="25" spans="1:94" ht="11.5">
      <c r="A25" s="3" t="str">
        <f>Data!A25</f>
        <v>Property leases</v>
      </c>
      <c r="B25" s="31" t="s">
        <v>31</v>
      </c>
      <c r="C25" s="3" t="str">
        <f>Data!N25</f>
        <v>SIB Capex</v>
      </c>
      <c r="D25" s="3" t="str">
        <f>Data!O25</f>
        <v>Non-network</v>
      </c>
      <c r="E25" s="3" t="str">
        <f>Data!P25</f>
        <v>Property Leases</v>
      </c>
      <c r="F25" s="3" t="str">
        <f>Data!Q25</f>
        <v>Yes</v>
      </c>
      <c r="G25" s="22">
        <f>Data!H25+Data!J25</f>
        <v>0</v>
      </c>
      <c r="H25" s="7">
        <f>Data!C25*Inputs!$J$15</f>
        <v>0</v>
      </c>
      <c r="I25" s="7">
        <f>Data!D25*Inputs!$J$15</f>
        <v>0</v>
      </c>
      <c r="J25" s="7">
        <f>Data!E25*Inputs!$J$15</f>
        <v>555537.96486838767</v>
      </c>
      <c r="K25" s="7">
        <f>Data!F25*Inputs!$J$15</f>
        <v>0</v>
      </c>
      <c r="L25" s="7">
        <f>Data!G25*Inputs!$J$15</f>
        <v>1362052.8564363329</v>
      </c>
      <c r="M25" s="7">
        <f t="shared" si="27"/>
        <v>1917590.8213047206</v>
      </c>
      <c r="O25" s="7">
        <f>H25*Inputs!$C$3</f>
        <v>0</v>
      </c>
      <c r="P25" s="7">
        <f>I25*Inputs!$C$3</f>
        <v>0</v>
      </c>
      <c r="Q25" s="7">
        <f>J25*Inputs!$C$3</f>
        <v>45237.730426611924</v>
      </c>
      <c r="R25" s="7">
        <f>K25*Inputs!$C$3</f>
        <v>0</v>
      </c>
      <c r="S25" s="7">
        <f>L25*Inputs!$C$3</f>
        <v>110912.63575633585</v>
      </c>
      <c r="T25" s="7">
        <f t="shared" si="28"/>
        <v>156150.36618294776</v>
      </c>
      <c r="V25" s="7">
        <f t="shared" si="29"/>
        <v>0</v>
      </c>
      <c r="W25" s="7">
        <f t="shared" si="30"/>
        <v>0</v>
      </c>
      <c r="X25" s="7">
        <f t="shared" si="31"/>
        <v>600775.69529499963</v>
      </c>
      <c r="Y25" s="7">
        <f t="shared" si="32"/>
        <v>0</v>
      </c>
      <c r="Z25" s="7">
        <f t="shared" si="33"/>
        <v>1472965.4921926688</v>
      </c>
      <c r="AA25" s="7">
        <f t="shared" si="34"/>
        <v>2073741.1874876684</v>
      </c>
      <c r="AC25" s="7">
        <f t="shared" si="35"/>
        <v>0</v>
      </c>
      <c r="AD25" s="7">
        <f t="shared" si="36"/>
        <v>0</v>
      </c>
      <c r="AE25" s="7">
        <f t="shared" si="37"/>
        <v>45237.730426611924</v>
      </c>
      <c r="AF25" s="7">
        <f t="shared" si="38"/>
        <v>0</v>
      </c>
      <c r="AG25" s="7">
        <f t="shared" si="39"/>
        <v>110912.63575633585</v>
      </c>
      <c r="AH25" s="7">
        <f t="shared" si="40"/>
        <v>156150.36618294776</v>
      </c>
      <c r="AJ25" s="7">
        <f>AC25*(Inputs!K$39-1)</f>
        <v>0</v>
      </c>
      <c r="AK25" s="7">
        <f>AD25*(Inputs!L$39-1)</f>
        <v>0</v>
      </c>
      <c r="AL25" s="7">
        <f>AE25*(Inputs!M$39-1)</f>
        <v>589.50730688985561</v>
      </c>
      <c r="AM25" s="7">
        <f>AF25*(Inputs!N$39-1)</f>
        <v>0</v>
      </c>
      <c r="AN25" s="7">
        <f>AG25*(Inputs!O$39-1)</f>
        <v>3502.0503116201317</v>
      </c>
      <c r="AO25" s="7">
        <f t="shared" si="41"/>
        <v>4091.5576185099872</v>
      </c>
      <c r="AQ25" s="7">
        <f t="shared" si="42"/>
        <v>0</v>
      </c>
      <c r="AR25" s="7">
        <f t="shared" si="43"/>
        <v>0</v>
      </c>
      <c r="AS25" s="7">
        <f t="shared" si="44"/>
        <v>601365.2026018895</v>
      </c>
      <c r="AT25" s="7">
        <f t="shared" si="45"/>
        <v>0</v>
      </c>
      <c r="AU25" s="7">
        <f t="shared" si="46"/>
        <v>1476467.542504289</v>
      </c>
      <c r="AV25" s="7">
        <f t="shared" si="47"/>
        <v>2077832.7451061783</v>
      </c>
      <c r="AX25" s="27">
        <f>IFERROR(Data!H25/(Data!H25+Data!J25),0)</f>
        <v>0</v>
      </c>
      <c r="AZ25" s="15">
        <f>(H25*Data!$H25)+O25+(AJ25*$AX25)</f>
        <v>0</v>
      </c>
      <c r="BA25" s="15">
        <f>(I25*Data!$H25)+P25+(AK25*$AX25)</f>
        <v>0</v>
      </c>
      <c r="BB25" s="15">
        <f>(J25*Data!$H25)+Q25+(AL25*$AX25)</f>
        <v>45237.730426611924</v>
      </c>
      <c r="BC25" s="15">
        <f>(K25*Data!$H25)+R25+(AM25*$AX25)</f>
        <v>0</v>
      </c>
      <c r="BD25" s="15">
        <f>(L25*Data!$H25)+S25+(AN25*$AX25)</f>
        <v>110912.63575633585</v>
      </c>
      <c r="BE25" s="7">
        <f t="shared" si="48"/>
        <v>156150.36618294776</v>
      </c>
      <c r="BG25" s="15">
        <f>H25*Data!$I25</f>
        <v>0</v>
      </c>
      <c r="BH25" s="15">
        <f>I25*Data!$I25</f>
        <v>0</v>
      </c>
      <c r="BI25" s="15">
        <f>J25*Data!$I25</f>
        <v>555537.96486838767</v>
      </c>
      <c r="BJ25" s="15">
        <f>K25*Data!$I25</f>
        <v>0</v>
      </c>
      <c r="BK25" s="15">
        <f>L25*Data!$I25</f>
        <v>1362052.8564363329</v>
      </c>
      <c r="BL25" s="7">
        <f t="shared" si="49"/>
        <v>1917590.8213047206</v>
      </c>
      <c r="BN25" s="15">
        <f>H25*Data!$J25+(AJ25*(1-$AX25))</f>
        <v>0</v>
      </c>
      <c r="BO25" s="15">
        <f>I25*Data!$J25+(AK25*(1-$AX25))</f>
        <v>0</v>
      </c>
      <c r="BP25" s="15">
        <f>J25*Data!$J25+(AL25*(1-$AX25))</f>
        <v>589.50730688985561</v>
      </c>
      <c r="BQ25" s="15">
        <f>K25*Data!$J25+(AM25*(1-$AX25))</f>
        <v>0</v>
      </c>
      <c r="BR25" s="15">
        <f>L25*Data!$J25+(AN25*(1-$AX25))</f>
        <v>3502.0503116201317</v>
      </c>
      <c r="BS25" s="7">
        <f t="shared" si="50"/>
        <v>4091.5576185099872</v>
      </c>
      <c r="BU25" s="15">
        <f>H25*Data!$K25</f>
        <v>0</v>
      </c>
      <c r="BV25" s="15">
        <f>I25*Data!$K25</f>
        <v>0</v>
      </c>
      <c r="BW25" s="15">
        <f>J25*Data!$K25</f>
        <v>0</v>
      </c>
      <c r="BX25" s="15">
        <f>K25*Data!$K25</f>
        <v>0</v>
      </c>
      <c r="BY25" s="15">
        <f>L25*Data!$K25</f>
        <v>0</v>
      </c>
      <c r="BZ25" s="7">
        <f t="shared" si="51"/>
        <v>0</v>
      </c>
      <c r="CB25" s="15">
        <f t="shared" si="52"/>
        <v>0</v>
      </c>
      <c r="CC25" s="15">
        <f t="shared" si="53"/>
        <v>0</v>
      </c>
      <c r="CD25" s="15">
        <f t="shared" si="54"/>
        <v>601365.2026018895</v>
      </c>
      <c r="CE25" s="15">
        <f t="shared" si="55"/>
        <v>0</v>
      </c>
      <c r="CF25" s="15">
        <f t="shared" si="56"/>
        <v>1476467.542504289</v>
      </c>
      <c r="CG25" s="7">
        <f t="shared" si="57"/>
        <v>2077832.7451061783</v>
      </c>
      <c r="CI25" s="18">
        <f t="shared" si="58"/>
        <v>0</v>
      </c>
      <c r="CJ25" s="15">
        <f t="shared" si="59"/>
        <v>0</v>
      </c>
      <c r="CK25" s="15">
        <f t="shared" si="60"/>
        <v>0</v>
      </c>
      <c r="CL25" s="15">
        <f t="shared" si="61"/>
        <v>601365.2026018895</v>
      </c>
      <c r="CM25" s="15">
        <f t="shared" si="62"/>
        <v>0</v>
      </c>
      <c r="CN25" s="15">
        <f t="shared" si="63"/>
        <v>1476467.542504289</v>
      </c>
      <c r="CO25" s="7">
        <f t="shared" si="64"/>
        <v>2077832.7451061783</v>
      </c>
      <c r="CP25" s="15" t="str">
        <f t="shared" si="65"/>
        <v>SIB Capex</v>
      </c>
    </row>
    <row r="26" spans="1:94" ht="11.5">
      <c r="A26" s="3" t="str">
        <f>Data!A26</f>
        <v>Motor vehicle leases</v>
      </c>
      <c r="B26" s="31" t="s">
        <v>31</v>
      </c>
      <c r="C26" s="3" t="str">
        <f>Data!N26</f>
        <v>SIB Capex</v>
      </c>
      <c r="D26" s="3" t="str">
        <f>Data!O26</f>
        <v>Non-network</v>
      </c>
      <c r="E26" s="3" t="str">
        <f>Data!P26</f>
        <v>Vehicle Leases</v>
      </c>
      <c r="F26" s="3" t="str">
        <f>Data!Q26</f>
        <v>Yes</v>
      </c>
      <c r="G26" s="22">
        <f>Data!H26+Data!J26</f>
        <v>0</v>
      </c>
      <c r="H26" s="7">
        <f>Data!C26*Inputs!$J$15</f>
        <v>111528.94742512486</v>
      </c>
      <c r="I26" s="7">
        <f>Data!D26*Inputs!$J$15</f>
        <v>111528.94742512486</v>
      </c>
      <c r="J26" s="7">
        <f>Data!E26*Inputs!$J$15</f>
        <v>111528.94742512486</v>
      </c>
      <c r="K26" s="7">
        <f>Data!F26*Inputs!$J$15</f>
        <v>111528.94742512486</v>
      </c>
      <c r="L26" s="7">
        <f>Data!G26*Inputs!$J$15</f>
        <v>111528.94742512486</v>
      </c>
      <c r="M26" s="7">
        <f t="shared" ref="M26:M27" si="66">SUM(H26:L26)</f>
        <v>557644.73712562432</v>
      </c>
      <c r="O26" s="7">
        <f>H26*Inputs!$C$3</f>
        <v>9081.857186082425</v>
      </c>
      <c r="P26" s="7">
        <f>I26*Inputs!$C$3</f>
        <v>9081.857186082425</v>
      </c>
      <c r="Q26" s="7">
        <f>J26*Inputs!$C$3</f>
        <v>9081.857186082425</v>
      </c>
      <c r="R26" s="7">
        <f>K26*Inputs!$C$3</f>
        <v>9081.857186082425</v>
      </c>
      <c r="S26" s="7">
        <f>L26*Inputs!$C$3</f>
        <v>9081.857186082425</v>
      </c>
      <c r="T26" s="7">
        <f t="shared" ref="T26:T27" si="67">SUM(O26:S26)</f>
        <v>45409.285930412123</v>
      </c>
      <c r="V26" s="7">
        <f t="shared" ref="V26:V27" si="68">H26+O26</f>
        <v>120610.80461120729</v>
      </c>
      <c r="W26" s="7">
        <f t="shared" ref="W26:W27" si="69">I26+P26</f>
        <v>120610.80461120729</v>
      </c>
      <c r="X26" s="7">
        <f t="shared" ref="X26:X27" si="70">J26+Q26</f>
        <v>120610.80461120729</v>
      </c>
      <c r="Y26" s="7">
        <f t="shared" ref="Y26:Y27" si="71">K26+R26</f>
        <v>120610.80461120729</v>
      </c>
      <c r="Z26" s="7">
        <f t="shared" ref="Z26:Z27" si="72">L26+S26</f>
        <v>120610.80461120729</v>
      </c>
      <c r="AA26" s="7">
        <f t="shared" ref="AA26:AA27" si="73">SUM(V26:Z26)</f>
        <v>603054.02305603644</v>
      </c>
      <c r="AC26" s="7">
        <f t="shared" ref="AC26:AC27" si="74">IFERROR(H26*$G26+O26,0)</f>
        <v>9081.857186082425</v>
      </c>
      <c r="AD26" s="7">
        <f t="shared" ref="AD26:AD27" si="75">IFERROR(I26*$G26+P26,0)</f>
        <v>9081.857186082425</v>
      </c>
      <c r="AE26" s="7">
        <f t="shared" ref="AE26:AE27" si="76">IFERROR(J26*$G26+Q26,0)</f>
        <v>9081.857186082425</v>
      </c>
      <c r="AF26" s="7">
        <f t="shared" ref="AF26:AF27" si="77">IFERROR(K26*$G26+R26,0)</f>
        <v>9081.857186082425</v>
      </c>
      <c r="AG26" s="7">
        <f t="shared" ref="AG26:AG27" si="78">IFERROR(L26*$G26+S26,0)</f>
        <v>9081.857186082425</v>
      </c>
      <c r="AH26" s="7">
        <f t="shared" ref="AH26:AH27" si="79">SUM(AC26:AG26)</f>
        <v>45409.285930412123</v>
      </c>
      <c r="AJ26" s="7">
        <f>AC26*(Inputs!K$39-1)</f>
        <v>-5.7898077164540727</v>
      </c>
      <c r="AK26" s="7">
        <f>AD26*(Inputs!L$39-1)</f>
        <v>40.760806230966764</v>
      </c>
      <c r="AL26" s="7">
        <f>AE26*(Inputs!M$39-1)</f>
        <v>118.34858028545678</v>
      </c>
      <c r="AM26" s="7">
        <f>AF26*(Inputs!N$39-1)</f>
        <v>223.19691630401158</v>
      </c>
      <c r="AN26" s="7">
        <f>AG26*(Inputs!O$39-1)</f>
        <v>286.75831722620148</v>
      </c>
      <c r="AO26" s="7">
        <f t="shared" ref="AO26:AO27" si="80">SUM(AJ26:AN26)</f>
        <v>663.2748123301825</v>
      </c>
      <c r="AQ26" s="7">
        <f t="shared" ref="AQ26:AQ27" si="81">V26+AJ26</f>
        <v>120605.01480349083</v>
      </c>
      <c r="AR26" s="7">
        <f t="shared" ref="AR26:AR27" si="82">W26+AK26</f>
        <v>120651.56541743827</v>
      </c>
      <c r="AS26" s="7">
        <f t="shared" ref="AS26:AS27" si="83">X26+AL26</f>
        <v>120729.15319149275</v>
      </c>
      <c r="AT26" s="7">
        <f t="shared" ref="AT26:AT27" si="84">Y26+AM26</f>
        <v>120834.0015275113</v>
      </c>
      <c r="AU26" s="7">
        <f t="shared" ref="AU26:AU27" si="85">Z26+AN26</f>
        <v>120897.56292843349</v>
      </c>
      <c r="AV26" s="7">
        <f t="shared" ref="AV26:AV27" si="86">SUM(AQ26:AU26)</f>
        <v>603717.2978683667</v>
      </c>
      <c r="AX26" s="27">
        <f>IFERROR(Data!H26/(Data!H26+Data!J26),0)</f>
        <v>0</v>
      </c>
      <c r="AZ26" s="15">
        <f>(H26*Data!$H26)+O26+(AJ26*$AX26)</f>
        <v>9081.857186082425</v>
      </c>
      <c r="BA26" s="15">
        <f>(I26*Data!$H26)+P26+(AK26*$AX26)</f>
        <v>9081.857186082425</v>
      </c>
      <c r="BB26" s="15">
        <f>(J26*Data!$H26)+Q26+(AL26*$AX26)</f>
        <v>9081.857186082425</v>
      </c>
      <c r="BC26" s="15">
        <f>(K26*Data!$H26)+R26+(AM26*$AX26)</f>
        <v>9081.857186082425</v>
      </c>
      <c r="BD26" s="15">
        <f>(L26*Data!$H26)+S26+(AN26*$AX26)</f>
        <v>9081.857186082425</v>
      </c>
      <c r="BE26" s="7">
        <f t="shared" ref="BE26:BE27" si="87">SUM(AZ26:BD26)</f>
        <v>45409.285930412123</v>
      </c>
      <c r="BG26" s="15">
        <f>H26*Data!$I26</f>
        <v>111528.94742512486</v>
      </c>
      <c r="BH26" s="15">
        <f>I26*Data!$I26</f>
        <v>111528.94742512486</v>
      </c>
      <c r="BI26" s="15">
        <f>J26*Data!$I26</f>
        <v>111528.94742512486</v>
      </c>
      <c r="BJ26" s="15">
        <f>K26*Data!$I26</f>
        <v>111528.94742512486</v>
      </c>
      <c r="BK26" s="15">
        <f>L26*Data!$I26</f>
        <v>111528.94742512486</v>
      </c>
      <c r="BL26" s="7">
        <f t="shared" ref="BL26:BL27" si="88">SUM(BG26:BK26)</f>
        <v>557644.73712562432</v>
      </c>
      <c r="BN26" s="15">
        <f>H26*Data!$J26+(AJ26*(1-$AX26))</f>
        <v>-5.7898077164540727</v>
      </c>
      <c r="BO26" s="15">
        <f>I26*Data!$J26+(AK26*(1-$AX26))</f>
        <v>40.760806230966764</v>
      </c>
      <c r="BP26" s="15">
        <f>J26*Data!$J26+(AL26*(1-$AX26))</f>
        <v>118.34858028545678</v>
      </c>
      <c r="BQ26" s="15">
        <f>K26*Data!$J26+(AM26*(1-$AX26))</f>
        <v>223.19691630401158</v>
      </c>
      <c r="BR26" s="15">
        <f>L26*Data!$J26+(AN26*(1-$AX26))</f>
        <v>286.75831722620148</v>
      </c>
      <c r="BS26" s="7">
        <f t="shared" ref="BS26:BS27" si="89">SUM(BN26:BR26)</f>
        <v>663.2748123301825</v>
      </c>
      <c r="BU26" s="15">
        <f>H26*Data!$K26</f>
        <v>0</v>
      </c>
      <c r="BV26" s="15">
        <f>I26*Data!$K26</f>
        <v>0</v>
      </c>
      <c r="BW26" s="15">
        <f>J26*Data!$K26</f>
        <v>0</v>
      </c>
      <c r="BX26" s="15">
        <f>K26*Data!$K26</f>
        <v>0</v>
      </c>
      <c r="BY26" s="15">
        <f>L26*Data!$K26</f>
        <v>0</v>
      </c>
      <c r="BZ26" s="7">
        <f t="shared" ref="BZ26:BZ27" si="90">SUM(BU26:BY26)</f>
        <v>0</v>
      </c>
      <c r="CB26" s="15">
        <f t="shared" ref="CB26:CB27" si="91">AZ26+BG26+BN26+BU26</f>
        <v>120605.01480349083</v>
      </c>
      <c r="CC26" s="15">
        <f t="shared" ref="CC26:CC27" si="92">BA26+BH26+BO26+BV26</f>
        <v>120651.56541743827</v>
      </c>
      <c r="CD26" s="15">
        <f t="shared" ref="CD26:CD27" si="93">BB26+BI26+BP26+BW26</f>
        <v>120729.15319149275</v>
      </c>
      <c r="CE26" s="15">
        <f t="shared" ref="CE26:CE27" si="94">BC26+BJ26+BQ26+BX26</f>
        <v>120834.0015275113</v>
      </c>
      <c r="CF26" s="15">
        <f t="shared" ref="CF26:CF27" si="95">BD26+BK26+BR26+BY26</f>
        <v>120897.56292843349</v>
      </c>
      <c r="CG26" s="7">
        <f t="shared" ref="CG26:CG27" si="96">SUM(CB26:CF26)</f>
        <v>603717.2978683667</v>
      </c>
      <c r="CJ26" s="15">
        <f t="shared" si="59"/>
        <v>120605.01480349083</v>
      </c>
      <c r="CK26" s="15">
        <f t="shared" si="60"/>
        <v>120651.56541743827</v>
      </c>
      <c r="CL26" s="15">
        <f t="shared" si="61"/>
        <v>120729.15319149275</v>
      </c>
      <c r="CM26" s="15">
        <f t="shared" si="62"/>
        <v>120834.0015275113</v>
      </c>
      <c r="CN26" s="15">
        <f t="shared" si="63"/>
        <v>120897.56292843349</v>
      </c>
      <c r="CO26" s="7">
        <f t="shared" si="64"/>
        <v>603717.2978683667</v>
      </c>
      <c r="CP26" s="15" t="str">
        <f t="shared" si="65"/>
        <v>SIB Capex</v>
      </c>
    </row>
    <row r="27" spans="1:94" ht="11.5">
      <c r="A27" s="3" t="str">
        <f>Data!A27</f>
        <v/>
      </c>
      <c r="B27" s="3">
        <f>Data!B27</f>
        <v>0</v>
      </c>
      <c r="C27" s="3" t="str">
        <f>Data!N27</f>
        <v/>
      </c>
      <c r="D27" s="3" t="str">
        <f>Data!O27</f>
        <v/>
      </c>
      <c r="E27" s="3" t="str">
        <f>Data!P27</f>
        <v/>
      </c>
      <c r="F27" s="3" t="str">
        <f>Data!Q27</f>
        <v/>
      </c>
      <c r="G27" s="22">
        <f>Data!H27+Data!J27</f>
        <v>0</v>
      </c>
      <c r="H27" s="7">
        <f>Data!C27*Inputs!$J$15</f>
        <v>0</v>
      </c>
      <c r="I27" s="7">
        <f>Data!D27*Inputs!$J$15</f>
        <v>0</v>
      </c>
      <c r="J27" s="7">
        <f>Data!E27*Inputs!$J$15</f>
        <v>0</v>
      </c>
      <c r="K27" s="7">
        <f>Data!F27*Inputs!$J$15</f>
        <v>0</v>
      </c>
      <c r="L27" s="7">
        <f>Data!G27*Inputs!$J$15</f>
        <v>0</v>
      </c>
      <c r="M27" s="7">
        <f t="shared" si="66"/>
        <v>0</v>
      </c>
      <c r="O27" s="7">
        <f>H27*Inputs!$C$3</f>
        <v>0</v>
      </c>
      <c r="P27" s="7">
        <f>I27*Inputs!$C$3</f>
        <v>0</v>
      </c>
      <c r="Q27" s="7">
        <f>J27*Inputs!$C$3</f>
        <v>0</v>
      </c>
      <c r="R27" s="7">
        <f>K27*Inputs!$C$3</f>
        <v>0</v>
      </c>
      <c r="S27" s="7">
        <f>L27*Inputs!$C$3</f>
        <v>0</v>
      </c>
      <c r="T27" s="7">
        <f t="shared" si="67"/>
        <v>0</v>
      </c>
      <c r="V27" s="7">
        <f t="shared" si="68"/>
        <v>0</v>
      </c>
      <c r="W27" s="7">
        <f t="shared" si="69"/>
        <v>0</v>
      </c>
      <c r="X27" s="7">
        <f t="shared" si="70"/>
        <v>0</v>
      </c>
      <c r="Y27" s="7">
        <f t="shared" si="71"/>
        <v>0</v>
      </c>
      <c r="Z27" s="7">
        <f t="shared" si="72"/>
        <v>0</v>
      </c>
      <c r="AA27" s="7">
        <f t="shared" si="73"/>
        <v>0</v>
      </c>
      <c r="AC27" s="7">
        <f t="shared" si="74"/>
        <v>0</v>
      </c>
      <c r="AD27" s="7">
        <f t="shared" si="75"/>
        <v>0</v>
      </c>
      <c r="AE27" s="7">
        <f t="shared" si="76"/>
        <v>0</v>
      </c>
      <c r="AF27" s="7">
        <f t="shared" si="77"/>
        <v>0</v>
      </c>
      <c r="AG27" s="7">
        <f t="shared" si="78"/>
        <v>0</v>
      </c>
      <c r="AH27" s="7">
        <f t="shared" si="79"/>
        <v>0</v>
      </c>
      <c r="AJ27" s="7">
        <f>AC27*(Inputs!K$39-1)</f>
        <v>0</v>
      </c>
      <c r="AK27" s="7">
        <f>AD27*(Inputs!L$39-1)</f>
        <v>0</v>
      </c>
      <c r="AL27" s="7">
        <f>AE27*(Inputs!M$39-1)</f>
        <v>0</v>
      </c>
      <c r="AM27" s="7">
        <f>AF27*(Inputs!N$39-1)</f>
        <v>0</v>
      </c>
      <c r="AN27" s="7">
        <f>AG27*(Inputs!O$39-1)</f>
        <v>0</v>
      </c>
      <c r="AO27" s="7">
        <f t="shared" si="80"/>
        <v>0</v>
      </c>
      <c r="AQ27" s="7">
        <f t="shared" si="81"/>
        <v>0</v>
      </c>
      <c r="AR27" s="7">
        <f t="shared" si="82"/>
        <v>0</v>
      </c>
      <c r="AS27" s="7">
        <f t="shared" si="83"/>
        <v>0</v>
      </c>
      <c r="AT27" s="7">
        <f t="shared" si="84"/>
        <v>0</v>
      </c>
      <c r="AU27" s="7">
        <f t="shared" si="85"/>
        <v>0</v>
      </c>
      <c r="AV27" s="7">
        <f t="shared" si="86"/>
        <v>0</v>
      </c>
      <c r="AX27" s="27">
        <f>IFERROR(Data!H27/(Data!H27+Data!J27),0)</f>
        <v>0</v>
      </c>
      <c r="AZ27" s="15">
        <f>(H27*Data!$H27)+O27+(AJ27*$AX27)</f>
        <v>0</v>
      </c>
      <c r="BA27" s="15">
        <f>(I27*Data!$H27)+P27+(AK27*$AX27)</f>
        <v>0</v>
      </c>
      <c r="BB27" s="15">
        <f>(J27*Data!$H27)+Q27+(AL27*$AX27)</f>
        <v>0</v>
      </c>
      <c r="BC27" s="15">
        <f>(K27*Data!$H27)+R27+(AM27*$AX27)</f>
        <v>0</v>
      </c>
      <c r="BD27" s="15">
        <f>(L27*Data!$H27)+S27+(AN27*$AX27)</f>
        <v>0</v>
      </c>
      <c r="BE27" s="7">
        <f t="shared" si="87"/>
        <v>0</v>
      </c>
      <c r="BG27" s="15">
        <f>H27*Data!$I27</f>
        <v>0</v>
      </c>
      <c r="BH27" s="15">
        <f>I27*Data!$I27</f>
        <v>0</v>
      </c>
      <c r="BI27" s="15">
        <f>J27*Data!$I27</f>
        <v>0</v>
      </c>
      <c r="BJ27" s="15">
        <f>K27*Data!$I27</f>
        <v>0</v>
      </c>
      <c r="BK27" s="15">
        <f>L27*Data!$I27</f>
        <v>0</v>
      </c>
      <c r="BL27" s="7">
        <f t="shared" si="88"/>
        <v>0</v>
      </c>
      <c r="BN27" s="15">
        <f>H27*Data!$J27+(AJ27*(1-$AX27))</f>
        <v>0</v>
      </c>
      <c r="BO27" s="15">
        <f>I27*Data!$J27+(AK27*(1-$AX27))</f>
        <v>0</v>
      </c>
      <c r="BP27" s="15">
        <f>J27*Data!$J27+(AL27*(1-$AX27))</f>
        <v>0</v>
      </c>
      <c r="BQ27" s="15">
        <f>K27*Data!$J27+(AM27*(1-$AX27))</f>
        <v>0</v>
      </c>
      <c r="BR27" s="15">
        <f>L27*Data!$J27+(AN27*(1-$AX27))</f>
        <v>0</v>
      </c>
      <c r="BS27" s="7">
        <f t="shared" si="89"/>
        <v>0</v>
      </c>
      <c r="BU27" s="15">
        <f>H27*Data!$K27</f>
        <v>0</v>
      </c>
      <c r="BV27" s="15">
        <f>I27*Data!$K27</f>
        <v>0</v>
      </c>
      <c r="BW27" s="15">
        <f>J27*Data!$K27</f>
        <v>0</v>
      </c>
      <c r="BX27" s="15">
        <f>K27*Data!$K27</f>
        <v>0</v>
      </c>
      <c r="BY27" s="15">
        <f>L27*Data!$K27</f>
        <v>0</v>
      </c>
      <c r="BZ27" s="7">
        <f t="shared" si="90"/>
        <v>0</v>
      </c>
      <c r="CB27" s="15">
        <f t="shared" si="91"/>
        <v>0</v>
      </c>
      <c r="CC27" s="15">
        <f t="shared" si="92"/>
        <v>0</v>
      </c>
      <c r="CD27" s="15">
        <f t="shared" si="93"/>
        <v>0</v>
      </c>
      <c r="CE27" s="15">
        <f t="shared" si="94"/>
        <v>0</v>
      </c>
      <c r="CF27" s="15">
        <f t="shared" si="95"/>
        <v>0</v>
      </c>
      <c r="CG27" s="7">
        <f t="shared" si="96"/>
        <v>0</v>
      </c>
      <c r="CJ27" s="15">
        <f t="shared" si="59"/>
        <v>0</v>
      </c>
      <c r="CK27" s="15">
        <f t="shared" si="60"/>
        <v>0</v>
      </c>
      <c r="CL27" s="15">
        <f t="shared" si="61"/>
        <v>0</v>
      </c>
      <c r="CM27" s="15">
        <f t="shared" si="62"/>
        <v>0</v>
      </c>
      <c r="CN27" s="15">
        <f t="shared" si="63"/>
        <v>0</v>
      </c>
      <c r="CO27" s="7">
        <f t="shared" si="64"/>
        <v>0</v>
      </c>
      <c r="CP27" s="15" t="str">
        <f t="shared" si="65"/>
        <v/>
      </c>
    </row>
  </sheetData>
  <autoFilter ref="A4:CP27" xr:uid="{00000000-0001-0000-0500-000000000000}"/>
  <mergeCells count="1">
    <mergeCell ref="CJ2:CN2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F100"/>
  <sheetViews>
    <sheetView topLeftCell="A4" workbookViewId="0">
      <selection activeCell="B13" sqref="B13:F13"/>
    </sheetView>
  </sheetViews>
  <sheetFormatPr defaultRowHeight="10.5"/>
  <cols>
    <col min="1" max="1" width="35.375" bestFit="1" customWidth="1"/>
    <col min="2" max="2" width="14.375" customWidth="1"/>
    <col min="3" max="3" width="11.625" customWidth="1"/>
    <col min="4" max="4" width="14.375" customWidth="1"/>
    <col min="5" max="5" width="15.625" bestFit="1" customWidth="1"/>
    <col min="6" max="6" width="11.375" bestFit="1" customWidth="1"/>
    <col min="7" max="7" width="21.125" bestFit="1" customWidth="1"/>
    <col min="8" max="8" width="11.625" customWidth="1"/>
    <col min="9" max="9" width="16.5" bestFit="1" customWidth="1"/>
    <col min="10" max="10" width="21" bestFit="1" customWidth="1"/>
    <col min="11" max="12" width="11.625" customWidth="1"/>
    <col min="13" max="14" width="10.625" customWidth="1"/>
    <col min="15" max="16" width="11.625" customWidth="1"/>
    <col min="17" max="17" width="18.875" customWidth="1"/>
    <col min="18" max="20" width="11.625" customWidth="1"/>
    <col min="21" max="22" width="10.625" customWidth="1"/>
    <col min="23" max="24" width="11.625" customWidth="1"/>
    <col min="25" max="25" width="35.375" bestFit="1" customWidth="1"/>
    <col min="26" max="26" width="11.5" bestFit="1" customWidth="1"/>
    <col min="27" max="30" width="10.5" bestFit="1" customWidth="1"/>
    <col min="31" max="31" width="11.5" bestFit="1" customWidth="1"/>
    <col min="34" max="39" width="10.125" bestFit="1" customWidth="1"/>
  </cols>
  <sheetData>
    <row r="1" spans="1:32">
      <c r="A1" t="s">
        <v>67</v>
      </c>
      <c r="G1" s="18">
        <f>Calculation!$AV$2/1000000-Outputs!G2</f>
        <v>-38.951617060414506</v>
      </c>
      <c r="AE1" s="18">
        <f>Calculation!$AV$2-Outputs!AE2</f>
        <v>38951617.060414478</v>
      </c>
    </row>
    <row r="2" spans="1:32" ht="11.5">
      <c r="A2" t="s">
        <v>68</v>
      </c>
      <c r="B2" s="30">
        <f>SUM(B8:B16)</f>
        <v>38.158318458023587</v>
      </c>
      <c r="C2" s="30">
        <f>SUM(C8:C16)</f>
        <v>12.161471000590595</v>
      </c>
      <c r="D2" s="30">
        <f>SUM(D8:D16)</f>
        <v>9.6395707851493118</v>
      </c>
      <c r="E2" s="30">
        <f>SUM(E8:E16)</f>
        <v>6.6066337495806273</v>
      </c>
      <c r="F2" s="30">
        <f>SUM(F8:F16)</f>
        <v>11.337240127484858</v>
      </c>
      <c r="G2" s="30">
        <f>SUM(B2:F2)</f>
        <v>77.903234120828984</v>
      </c>
      <c r="J2" s="30">
        <f>SUM(J8:J14)</f>
        <v>8.3253563738184173</v>
      </c>
      <c r="K2" s="30">
        <f t="shared" ref="K2:N2" si="0">SUM(K8:K14)</f>
        <v>4.7138714170213003</v>
      </c>
      <c r="L2" s="30">
        <f t="shared" si="0"/>
        <v>3.675805227641189</v>
      </c>
      <c r="M2" s="30">
        <f t="shared" si="0"/>
        <v>2.267742718679961</v>
      </c>
      <c r="N2" s="30">
        <f t="shared" si="0"/>
        <v>4.3984786089036323</v>
      </c>
      <c r="O2" s="30">
        <f>SUM(J2:N2)</f>
        <v>23.381254346064502</v>
      </c>
      <c r="Z2" s="7">
        <f>SUM(Z8:Z23)</f>
        <v>0</v>
      </c>
      <c r="AA2" s="7">
        <f>SUM(AA8:AA23)</f>
        <v>0</v>
      </c>
      <c r="AB2" s="7">
        <f>SUM(AB8:AB23)</f>
        <v>0</v>
      </c>
      <c r="AC2" s="7">
        <f>SUM(AC8:AC23)</f>
        <v>0</v>
      </c>
      <c r="AD2" s="7">
        <f>SUM(AD8:AD23)</f>
        <v>0</v>
      </c>
      <c r="AE2" s="7">
        <f>SUM(Z2:AD2)</f>
        <v>0</v>
      </c>
    </row>
    <row r="5" spans="1:32" ht="20" thickBot="1">
      <c r="A5" s="32" t="s">
        <v>69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4">
        <v>15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</row>
    <row r="6" spans="1:32" ht="18" thickTop="1" thickBot="1">
      <c r="A6" s="17" t="s">
        <v>70</v>
      </c>
      <c r="B6" s="17"/>
      <c r="C6" s="17"/>
      <c r="D6" s="17"/>
      <c r="E6" s="17"/>
      <c r="F6" s="17"/>
      <c r="G6" s="17"/>
      <c r="H6" s="4"/>
      <c r="I6" s="17" t="s">
        <v>71</v>
      </c>
      <c r="J6" s="17"/>
      <c r="K6" s="17"/>
      <c r="L6" s="17"/>
      <c r="M6" s="17"/>
      <c r="N6" s="17"/>
      <c r="O6" s="17"/>
    </row>
    <row r="7" spans="1:32" ht="15.5" thickTop="1" thickBot="1">
      <c r="A7" s="5" t="str">
        <f>Calculation!C4</f>
        <v>Asset Class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40</v>
      </c>
      <c r="I7" s="11" t="s">
        <v>4</v>
      </c>
      <c r="J7" s="11" t="str">
        <f t="shared" ref="J7:O7" si="1">B7</f>
        <v>FY23</v>
      </c>
      <c r="K7" s="11" t="str">
        <f t="shared" si="1"/>
        <v>FY24</v>
      </c>
      <c r="L7" s="11" t="str">
        <f t="shared" si="1"/>
        <v>FY25</v>
      </c>
      <c r="M7" s="11" t="str">
        <f t="shared" si="1"/>
        <v>FY26</v>
      </c>
      <c r="N7" s="11" t="str">
        <f t="shared" si="1"/>
        <v>FY27</v>
      </c>
      <c r="O7" s="11" t="str">
        <f t="shared" si="1"/>
        <v>Total</v>
      </c>
    </row>
    <row r="8" spans="1:32">
      <c r="A8" s="10" t="str">
        <f t="array" ref="A8">_xlfn.IFNA(INDEX(Calculation!$C$5:$C$30,MATCH(0,COUNTIF(A$5:A7,Calculation!$C$5:$C$30),0)),"")</f>
        <v>Pipelines</v>
      </c>
      <c r="B8" s="29">
        <f>SUMIF(Calculation!$C$5:$C$30,$A8,Calculation!AQ$5:AQ$30)/1000000</f>
        <v>13.098689600392042</v>
      </c>
      <c r="C8" s="29">
        <f>SUMIF(Calculation!$C$5:$C$30,$A8,Calculation!AR$5:AR$30)/1000000</f>
        <v>1.8449067330283588</v>
      </c>
      <c r="D8" s="29">
        <f>SUMIF(Calculation!$C$5:$C$30,$A8,Calculation!AS$5:AS$30)/1000000</f>
        <v>1.1439801649334669</v>
      </c>
      <c r="E8" s="29">
        <f>SUMIF(Calculation!$C$5:$C$30,$A8,Calculation!AT$5:AT$30)/1000000</f>
        <v>1.0355741561103531</v>
      </c>
      <c r="F8" s="29">
        <f>SUMIF(Calculation!$C$5:$C$30,$A8,Calculation!AU$5:AU$30)/1000000</f>
        <v>2.6873711863565255</v>
      </c>
      <c r="G8" s="29">
        <f>SUM(B8:F8)</f>
        <v>19.810521840820748</v>
      </c>
      <c r="I8" s="10" t="str">
        <f>Inputs!B21</f>
        <v>Pipelines</v>
      </c>
      <c r="J8" s="28">
        <f>SUMIF(Calculation!$CP$5:$CP$27,$I8,Calculation!CJ$5:CJ$27)/1000000</f>
        <v>3.109325651903172</v>
      </c>
      <c r="K8" s="28">
        <f>SUMIF(Calculation!$CP$5:$CP$27,$I8,Calculation!CK$5:CK$27)/1000000</f>
        <v>0.47804264975436117</v>
      </c>
      <c r="L8" s="28">
        <f>SUMIF(Calculation!$CP$5:$CP$27,$I8,Calculation!CL$5:CL$27)/1000000</f>
        <v>0</v>
      </c>
      <c r="M8" s="28">
        <f>SUMIF(Calculation!$CP$5:$CP$27,$I8,Calculation!CM$5:CM$27)/1000000</f>
        <v>0</v>
      </c>
      <c r="N8" s="28">
        <f>SUMIF(Calculation!$CP$5:$CP$27,$I8,Calculation!CN$5:CN$27)/1000000</f>
        <v>1.4172297315177285</v>
      </c>
      <c r="O8" s="28">
        <f t="shared" ref="O8:O14" si="2">SUM(J8:N8)</f>
        <v>5.0045980331752613</v>
      </c>
    </row>
    <row r="9" spans="1:32">
      <c r="A9" s="10" t="str">
        <f t="array" ref="A9">_xlfn.IFNA(INDEX(Calculation!$C$5:$C$30,MATCH(0,COUNTIF(A$5:A8,Calculation!$C$5:$C$30),0)),"")</f>
        <v>SIB Capex</v>
      </c>
      <c r="B9" s="29">
        <f>SUMIF(Calculation!$C$5:$C$30,$A9,Calculation!AQ$5:AQ$30)/1000000</f>
        <v>1.3495478391260918</v>
      </c>
      <c r="C9" s="29">
        <f>SUMIF(Calculation!$C$5:$C$30,$A9,Calculation!AR$5:AR$30)/1000000</f>
        <v>0.52947076820151096</v>
      </c>
      <c r="D9" s="29">
        <f>SUMIF(Calculation!$C$5:$C$30,$A9,Calculation!AS$5:AS$30)/1000000</f>
        <v>1.1327868372569245</v>
      </c>
      <c r="E9" s="29">
        <f>SUMIF(Calculation!$C$5:$C$30,$A9,Calculation!AT$5:AT$30)/1000000</f>
        <v>0.53405794048980182</v>
      </c>
      <c r="F9" s="29">
        <f>SUMIF(Calculation!$C$5:$C$30,$A9,Calculation!AU$5:AU$30)/1000000</f>
        <v>2.0121236704187102</v>
      </c>
      <c r="G9" s="29">
        <f t="shared" ref="G9:G12" si="3">SUM(B9:F9)</f>
        <v>5.5579870554930393</v>
      </c>
      <c r="I9" s="10" t="str">
        <f>Inputs!B22</f>
        <v xml:space="preserve">Compressors </v>
      </c>
      <c r="J9" s="28">
        <f>SUMIF(Calculation!$CP$5:$CP$27,$I9,Calculation!CJ$5:CJ$27)/1000000</f>
        <v>0.25569237799790773</v>
      </c>
      <c r="K9" s="28">
        <f>SUMIF(Calculation!$CP$5:$CP$27,$I9,Calculation!CK$5:CK$27)/1000000</f>
        <v>0</v>
      </c>
      <c r="L9" s="28">
        <f>SUMIF(Calculation!$CP$5:$CP$27,$I9,Calculation!CL$5:CL$27)/1000000</f>
        <v>0</v>
      </c>
      <c r="M9" s="28">
        <f>SUMIF(Calculation!$CP$5:$CP$27,$I9,Calculation!CM$5:CM$27)/1000000</f>
        <v>0</v>
      </c>
      <c r="N9" s="28">
        <f>SUMIF(Calculation!$CP$5:$CP$27,$I9,Calculation!CN$5:CN$27)/1000000</f>
        <v>0</v>
      </c>
      <c r="O9" s="28">
        <f t="shared" si="2"/>
        <v>0.25569237799790773</v>
      </c>
    </row>
    <row r="10" spans="1:32">
      <c r="A10" s="10" t="str">
        <f t="array" ref="A10">_xlfn.IFNA(INDEX(Calculation!$C$5:$C$30,MATCH(0,COUNTIF(A$5:A9,Calculation!$C$5:$C$30),0)),"")</f>
        <v xml:space="preserve">Compressors </v>
      </c>
      <c r="B10" s="29">
        <f>SUMIF(Calculation!$C$5:$C$30,$A10,Calculation!AQ$5:AQ$30)/1000000</f>
        <v>0.25569237799790773</v>
      </c>
      <c r="C10" s="29">
        <f>SUMIF(Calculation!$C$5:$C$30,$A10,Calculation!AR$5:AR$30)/1000000</f>
        <v>0</v>
      </c>
      <c r="D10" s="29">
        <f>SUMIF(Calculation!$C$5:$C$30,$A10,Calculation!AS$5:AS$30)/1000000</f>
        <v>0</v>
      </c>
      <c r="E10" s="29">
        <f>SUMIF(Calculation!$C$5:$C$30,$A10,Calculation!AT$5:AT$30)/1000000</f>
        <v>0</v>
      </c>
      <c r="F10" s="29">
        <f>SUMIF(Calculation!$C$5:$C$30,$A10,Calculation!AU$5:AU$30)/1000000</f>
        <v>0</v>
      </c>
      <c r="G10" s="29">
        <f t="shared" si="3"/>
        <v>0.25569237799790773</v>
      </c>
      <c r="I10" s="10" t="str">
        <f>Inputs!B23</f>
        <v>Regulators and meters</v>
      </c>
      <c r="J10" s="28">
        <f>SUMIF(Calculation!$CP$5:$CP$27,$I10,Calculation!CJ$5:CJ$27)/1000000</f>
        <v>0</v>
      </c>
      <c r="K10" s="28">
        <f>SUMIF(Calculation!$CP$5:$CP$27,$I10,Calculation!CK$5:CK$27)/1000000</f>
        <v>0</v>
      </c>
      <c r="L10" s="28">
        <f>SUMIF(Calculation!$CP$5:$CP$27,$I10,Calculation!CL$5:CL$27)/1000000</f>
        <v>0</v>
      </c>
      <c r="M10" s="28">
        <f>SUMIF(Calculation!$CP$5:$CP$27,$I10,Calculation!CM$5:CM$27)/1000000</f>
        <v>0</v>
      </c>
      <c r="N10" s="28">
        <f>SUMIF(Calculation!$CP$5:$CP$27,$I10,Calculation!CN$5:CN$27)/1000000</f>
        <v>0</v>
      </c>
      <c r="O10" s="28">
        <f t="shared" si="2"/>
        <v>0</v>
      </c>
    </row>
    <row r="11" spans="1:32">
      <c r="A11" s="10" t="str">
        <f t="array" ref="A11">_xlfn.IFNA(INDEX(Calculation!$C$5:$C$30,MATCH(0,COUNTIF(A$5:A10,Calculation!$C$5:$C$30),0)),"")</f>
        <v>Regulators and meters</v>
      </c>
      <c r="B11" s="29">
        <f>SUMIF(Calculation!$C$5:$C$30,$A11,Calculation!AQ$5:AQ$30)/1000000</f>
        <v>0</v>
      </c>
      <c r="C11" s="29">
        <f>SUMIF(Calculation!$C$5:$C$30,$A11,Calculation!AR$5:AR$30)/1000000</f>
        <v>0</v>
      </c>
      <c r="D11" s="29">
        <f>SUMIF(Calculation!$C$5:$C$30,$A11,Calculation!AS$5:AS$30)/1000000</f>
        <v>0</v>
      </c>
      <c r="E11" s="29">
        <f>SUMIF(Calculation!$C$5:$C$30,$A11,Calculation!AT$5:AT$30)/1000000</f>
        <v>0</v>
      </c>
      <c r="F11" s="29">
        <f>SUMIF(Calculation!$C$5:$C$30,$A11,Calculation!AU$5:AU$30)/1000000</f>
        <v>0</v>
      </c>
      <c r="G11" s="29">
        <f t="shared" si="3"/>
        <v>0</v>
      </c>
      <c r="I11" s="10" t="str">
        <f>Inputs!B24</f>
        <v xml:space="preserve">Easements </v>
      </c>
      <c r="J11" s="28">
        <f>SUMIF(Calculation!$CP$5:$CP$27,$I11,Calculation!CJ$5:CJ$27)/1000000</f>
        <v>0</v>
      </c>
      <c r="K11" s="28">
        <f>SUMIF(Calculation!$CP$5:$CP$27,$I11,Calculation!CK$5:CK$27)/1000000</f>
        <v>0</v>
      </c>
      <c r="L11" s="28">
        <f>SUMIF(Calculation!$CP$5:$CP$27,$I11,Calculation!CL$5:CL$27)/1000000</f>
        <v>0</v>
      </c>
      <c r="M11" s="28">
        <f>SUMIF(Calculation!$CP$5:$CP$27,$I11,Calculation!CM$5:CM$27)/1000000</f>
        <v>0</v>
      </c>
      <c r="N11" s="28">
        <f>SUMIF(Calculation!$CP$5:$CP$27,$I11,Calculation!CN$5:CN$27)/1000000</f>
        <v>0</v>
      </c>
      <c r="O11" s="28">
        <f t="shared" si="2"/>
        <v>0</v>
      </c>
    </row>
    <row r="12" spans="1:32">
      <c r="A12" s="10" t="str">
        <f t="array" ref="A12">_xlfn.IFNA(INDEX(Calculation!$C$5:$C$30,MATCH(0,COUNTIF(A$5:A11,Calculation!$C$5:$C$30),0)),"")</f>
        <v>Group IT</v>
      </c>
      <c r="B12" s="29">
        <f>SUMIF(Calculation!$C$5:$C$30,$A12,Calculation!AQ$5:AQ$30)/1000000</f>
        <v>3.6353460698793132</v>
      </c>
      <c r="C12" s="29">
        <f>SUMIF(Calculation!$C$5:$C$30,$A12,Calculation!AR$5:AR$30)/1000000</f>
        <v>3.6546346869300805</v>
      </c>
      <c r="D12" s="29">
        <f>SUMIF(Calculation!$C$5:$C$30,$A12,Calculation!AS$5:AS$30)/1000000</f>
        <v>2.5430183903842645</v>
      </c>
      <c r="E12" s="29">
        <f>SUMIF(Calculation!$C$5:$C$30,$A12,Calculation!AT$5:AT$30)/1000000</f>
        <v>1.733684778190159</v>
      </c>
      <c r="F12" s="29">
        <f>SUMIF(Calculation!$C$5:$C$30,$A12,Calculation!AU$5:AU$30)/1000000</f>
        <v>0.96912520696719384</v>
      </c>
      <c r="G12" s="29">
        <f t="shared" si="3"/>
        <v>12.535809132351011</v>
      </c>
      <c r="I12" s="10" t="str">
        <f>Inputs!B25</f>
        <v>Capitalised AA costs</v>
      </c>
      <c r="J12" s="28">
        <f>SUMIF(Calculation!$CP$5:$CP$27,$I12,Calculation!CJ$5:CJ$27)/1000000</f>
        <v>0.73988334161643843</v>
      </c>
      <c r="K12" s="28">
        <f>SUMIF(Calculation!$CP$5:$CP$27,$I12,Calculation!CK$5:CK$27)/1000000</f>
        <v>5.1723312135347255E-2</v>
      </c>
      <c r="L12" s="28">
        <f>SUMIF(Calculation!$CP$5:$CP$27,$I12,Calculation!CL$5:CL$27)/1000000</f>
        <v>0</v>
      </c>
      <c r="M12" s="28">
        <f>SUMIF(Calculation!$CP$5:$CP$27,$I12,Calculation!CM$5:CM$27)/1000000</f>
        <v>0</v>
      </c>
      <c r="N12" s="28">
        <f>SUMIF(Calculation!$CP$5:$CP$27,$I12,Calculation!CN$5:CN$27)/1000000</f>
        <v>0</v>
      </c>
      <c r="O12" s="28">
        <f t="shared" si="2"/>
        <v>0.79160665375178563</v>
      </c>
    </row>
    <row r="13" spans="1:32">
      <c r="A13" s="10" t="str">
        <f t="array" ref="A13">_xlfn.IFNA(INDEX(Calculation!$C$5:$C$30,MATCH(0,COUNTIF(A$5:A12,Calculation!$C$5:$C$30),0)),"")</f>
        <v>Capitalised AA costs</v>
      </c>
      <c r="B13" s="29">
        <f>SUMIF(Calculation!$C$5:$C$30,$A13,Calculation!AQ$5:AQ$30)/1000000</f>
        <v>0.73988334161643843</v>
      </c>
      <c r="C13" s="29">
        <f>SUMIF(Calculation!$C$5:$C$30,$A13,Calculation!AR$5:AR$30)/1000000</f>
        <v>5.1723312135347255E-2</v>
      </c>
      <c r="D13" s="29">
        <f>SUMIF(Calculation!$C$5:$C$30,$A13,Calculation!AS$5:AS$30)/1000000</f>
        <v>0</v>
      </c>
      <c r="E13" s="29">
        <f>SUMIF(Calculation!$C$5:$C$30,$A13,Calculation!AT$5:AT$30)/1000000</f>
        <v>0</v>
      </c>
      <c r="F13" s="29">
        <f>SUMIF(Calculation!$C$5:$C$30,$A13,Calculation!AU$5:AU$30)/1000000</f>
        <v>0</v>
      </c>
      <c r="G13" s="29">
        <f t="shared" ref="G13" si="4">SUM(B13:F13)</f>
        <v>0.79160665375178563</v>
      </c>
      <c r="I13" s="10" t="str">
        <f>Inputs!B26</f>
        <v>Group IT</v>
      </c>
      <c r="J13" s="28">
        <f>SUMIF(Calculation!$CP$5:$CP$27,$I13,Calculation!CJ$5:CJ$27)/1000000</f>
        <v>3.6353460698793132</v>
      </c>
      <c r="K13" s="28">
        <f>SUMIF(Calculation!$CP$5:$CP$27,$I13,Calculation!CK$5:CK$27)/1000000</f>
        <v>3.6546346869300805</v>
      </c>
      <c r="L13" s="28">
        <f>SUMIF(Calculation!$CP$5:$CP$27,$I13,Calculation!CL$5:CL$27)/1000000</f>
        <v>2.5430183903842645</v>
      </c>
      <c r="M13" s="28">
        <f>SUMIF(Calculation!$CP$5:$CP$27,$I13,Calculation!CM$5:CM$27)/1000000</f>
        <v>1.733684778190159</v>
      </c>
      <c r="N13" s="28">
        <f>SUMIF(Calculation!$CP$5:$CP$27,$I13,Calculation!CN$5:CN$27)/1000000</f>
        <v>0.96912520696719384</v>
      </c>
      <c r="O13" s="28">
        <f t="shared" si="2"/>
        <v>12.535809132351011</v>
      </c>
    </row>
    <row r="14" spans="1:32">
      <c r="A14" s="10" t="s">
        <v>40</v>
      </c>
      <c r="B14" s="29">
        <f>SUM(B8:B13)</f>
        <v>19.079159229011793</v>
      </c>
      <c r="C14" s="29">
        <f t="shared" ref="C14:G14" si="5">SUM(C8:C13)</f>
        <v>6.0807355002952974</v>
      </c>
      <c r="D14" s="29">
        <f t="shared" si="5"/>
        <v>4.8197853925746559</v>
      </c>
      <c r="E14" s="29">
        <f t="shared" si="5"/>
        <v>3.3033168747903137</v>
      </c>
      <c r="F14" s="29">
        <f t="shared" si="5"/>
        <v>5.6686200637424289</v>
      </c>
      <c r="G14" s="29">
        <f t="shared" si="5"/>
        <v>38.951617060414492</v>
      </c>
      <c r="I14" s="10" t="str">
        <f>Inputs!B27</f>
        <v>SIB Capex</v>
      </c>
      <c r="J14" s="28">
        <f>SUMIF(Calculation!$CP$5:$CP$27,$I14,Calculation!CJ$5:CJ$27)/1000000</f>
        <v>0.58510893242158557</v>
      </c>
      <c r="K14" s="28">
        <f>SUMIF(Calculation!$CP$5:$CP$27,$I14,Calculation!CK$5:CK$27)/1000000</f>
        <v>0.52947076820151084</v>
      </c>
      <c r="L14" s="28">
        <f>SUMIF(Calculation!$CP$5:$CP$27,$I14,Calculation!CL$5:CL$27)/1000000</f>
        <v>1.1327868372569245</v>
      </c>
      <c r="M14" s="28">
        <f>SUMIF(Calculation!$CP$5:$CP$27,$I14,Calculation!CM$5:CM$27)/1000000</f>
        <v>0.53405794048980182</v>
      </c>
      <c r="N14" s="28">
        <f>SUMIF(Calculation!$CP$5:$CP$27,$I14,Calculation!CN$5:CN$27)/1000000</f>
        <v>2.0121236704187102</v>
      </c>
      <c r="O14" s="28">
        <f t="shared" si="2"/>
        <v>4.793548148788533</v>
      </c>
    </row>
    <row r="15" spans="1:32">
      <c r="I15" s="10" t="s">
        <v>40</v>
      </c>
      <c r="J15" s="28">
        <f>SUM(J8:J14)</f>
        <v>8.3253563738184173</v>
      </c>
      <c r="K15" s="28">
        <f t="shared" ref="K15:O15" si="6">SUM(K8:K14)</f>
        <v>4.7138714170213003</v>
      </c>
      <c r="L15" s="28">
        <f t="shared" si="6"/>
        <v>3.675805227641189</v>
      </c>
      <c r="M15" s="28">
        <f t="shared" si="6"/>
        <v>2.267742718679961</v>
      </c>
      <c r="N15" s="28">
        <f t="shared" si="6"/>
        <v>4.3984786089036323</v>
      </c>
      <c r="O15" s="28">
        <f t="shared" si="6"/>
        <v>23.381254346064495</v>
      </c>
    </row>
    <row r="16" spans="1:32" ht="20" thickBot="1">
      <c r="A16" s="32" t="s">
        <v>72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" thickTop="1">
      <c r="A17" s="4">
        <v>8</v>
      </c>
      <c r="B17" s="4">
        <v>9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</row>
    <row r="18" spans="1:15" ht="17.5" thickBot="1">
      <c r="A18" s="2" t="str">
        <f>Calculation!D4</f>
        <v>Driver</v>
      </c>
      <c r="B18" s="2" t="str">
        <f t="shared" ref="B18:G18" si="7">B7</f>
        <v>FY23</v>
      </c>
      <c r="C18" s="2" t="str">
        <f t="shared" si="7"/>
        <v>FY24</v>
      </c>
      <c r="D18" s="2" t="str">
        <f t="shared" si="7"/>
        <v>FY25</v>
      </c>
      <c r="E18" s="2" t="str">
        <f t="shared" si="7"/>
        <v>FY26</v>
      </c>
      <c r="F18" s="2" t="str">
        <f t="shared" si="7"/>
        <v>FY27</v>
      </c>
      <c r="G18" s="2" t="str">
        <f t="shared" si="7"/>
        <v>Total</v>
      </c>
    </row>
    <row r="19" spans="1:15" ht="11" thickTop="1">
      <c r="A19" s="10" t="str">
        <f t="array" ref="A19">_xlfn.IFNA(INDEX(Calculation!$D$5:$D$30,MATCH(0,COUNTIF(A$17:A18,Calculation!$D$5:$D$30),0)),"")</f>
        <v>Replacement</v>
      </c>
      <c r="B19" s="6">
        <f>SUMIF(Calculation!$D$5:$D$30,$A19,Calculation!AQ$5:AQ$30)</f>
        <v>14583324.802712552</v>
      </c>
      <c r="C19" s="6">
        <f>SUMIF(Calculation!$D$5:$D$30,$A19,Calculation!AR$5:AR$30)</f>
        <v>2253725.9358124314</v>
      </c>
      <c r="D19" s="6">
        <f>SUMIF(Calculation!$D$5:$D$30,$A19,Calculation!AS$5:AS$30)</f>
        <v>1554672.646397009</v>
      </c>
      <c r="E19" s="6">
        <f>SUMIF(Calculation!$D$5:$D$30,$A19,Calculation!AT$5:AT$30)</f>
        <v>1448798.0950726438</v>
      </c>
      <c r="F19" s="6">
        <f>SUMIF(Calculation!$D$5:$D$30,$A19,Calculation!AU$5:AU$30)</f>
        <v>3102129.7513425131</v>
      </c>
      <c r="G19" s="6">
        <f t="shared" ref="G19:G23" si="8">SUM(B19:F19)</f>
        <v>22942651.231337152</v>
      </c>
    </row>
    <row r="20" spans="1:15">
      <c r="A20" s="10" t="str">
        <f t="array" ref="A20">_xlfn.IFNA(INDEX(Calculation!$D$5:$D$30,MATCH(0,COUNTIF(A$17:A19,Calculation!$D$5:$D$30),0)),"")</f>
        <v>Non-network</v>
      </c>
      <c r="B20" s="6">
        <f>SUMIF(Calculation!$D$5:$D$30,$A20,Calculation!AQ$5:AQ$30)</f>
        <v>4495834.4262992423</v>
      </c>
      <c r="C20" s="6">
        <f>SUMIF(Calculation!$D$5:$D$30,$A20,Calculation!AR$5:AR$30)</f>
        <v>3827009.5644828659</v>
      </c>
      <c r="D20" s="6">
        <f>SUMIF(Calculation!$D$5:$D$30,$A20,Calculation!AS$5:AS$30)</f>
        <v>3265112.7461776468</v>
      </c>
      <c r="E20" s="6">
        <f>SUMIF(Calculation!$D$5:$D$30,$A20,Calculation!AT$5:AT$30)</f>
        <v>1854518.7797176703</v>
      </c>
      <c r="F20" s="6">
        <f>SUMIF(Calculation!$D$5:$D$30,$A20,Calculation!AU$5:AU$30)</f>
        <v>2566490.3123999164</v>
      </c>
      <c r="G20" s="6">
        <f t="shared" si="8"/>
        <v>16008965.829077343</v>
      </c>
    </row>
    <row r="21" spans="1:15">
      <c r="A21" s="10" t="str">
        <f t="array" ref="A21">_xlfn.IFNA(INDEX(Calculation!$D$5:$D$30,MATCH(0,COUNTIF(A$17:A20,Calculation!$D$5:$D$30),0)),"")</f>
        <v/>
      </c>
      <c r="B21" s="6">
        <f>SUMIF(Calculation!$D$5:$D$30,$A21,Calculation!AQ$5:AQ$30)</f>
        <v>0</v>
      </c>
      <c r="C21" s="6">
        <f>SUMIF(Calculation!$D$5:$D$30,$A21,Calculation!AR$5:AR$30)</f>
        <v>0</v>
      </c>
      <c r="D21" s="6">
        <f>SUMIF(Calculation!$D$5:$D$30,$A21,Calculation!AS$5:AS$30)</f>
        <v>0</v>
      </c>
      <c r="E21" s="6">
        <f>SUMIF(Calculation!$D$5:$D$30,$A21,Calculation!AT$5:AT$30)</f>
        <v>0</v>
      </c>
      <c r="F21" s="6">
        <f>SUMIF(Calculation!$D$5:$D$30,$A21,Calculation!AU$5:AU$30)</f>
        <v>0</v>
      </c>
      <c r="G21" s="6">
        <f t="shared" si="8"/>
        <v>0</v>
      </c>
    </row>
    <row r="22" spans="1:15">
      <c r="A22" s="10">
        <f t="array" ref="A22">_xlfn.IFNA(INDEX(Calculation!$D$5:$D$30,MATCH(0,COUNTIF(A$17:A21,Calculation!$D$5:$D$30),0)),"")</f>
        <v>0</v>
      </c>
      <c r="B22" s="6">
        <f>SUMIF(Calculation!$D$5:$D$30,$A22,Calculation!AQ$5:AQ$30)</f>
        <v>0</v>
      </c>
      <c r="C22" s="6">
        <f>SUMIF(Calculation!$D$5:$D$30,$A22,Calculation!AR$5:AR$30)</f>
        <v>0</v>
      </c>
      <c r="D22" s="6">
        <f>SUMIF(Calculation!$D$5:$D$30,$A22,Calculation!AS$5:AS$30)</f>
        <v>0</v>
      </c>
      <c r="E22" s="6">
        <f>SUMIF(Calculation!$D$5:$D$30,$A22,Calculation!AT$5:AT$30)</f>
        <v>0</v>
      </c>
      <c r="F22" s="6">
        <f>SUMIF(Calculation!$D$5:$D$30,$A22,Calculation!AU$5:AU$30)</f>
        <v>0</v>
      </c>
      <c r="G22" s="6">
        <f t="shared" si="8"/>
        <v>0</v>
      </c>
    </row>
    <row r="23" spans="1:15">
      <c r="A23" s="10" t="str">
        <f t="array" ref="A23">_xlfn.IFNA(INDEX(Calculation!$D$5:$D$30,MATCH(0,COUNTIF(A$17:A22,Calculation!$D$5:$D$30),0)),"")</f>
        <v/>
      </c>
      <c r="B23" s="6">
        <f>SUMIF(Calculation!$D$5:$D$30,$A23,Calculation!AQ$5:AQ$30)</f>
        <v>0</v>
      </c>
      <c r="C23" s="6">
        <f>SUMIF(Calculation!$D$5:$D$30,$A23,Calculation!AR$5:AR$30)</f>
        <v>0</v>
      </c>
      <c r="D23" s="6">
        <f>SUMIF(Calculation!$D$5:$D$30,$A23,Calculation!AS$5:AS$30)</f>
        <v>0</v>
      </c>
      <c r="E23" s="6">
        <f>SUMIF(Calculation!$D$5:$D$30,$A23,Calculation!AT$5:AT$30)</f>
        <v>0</v>
      </c>
      <c r="F23" s="6">
        <f>SUMIF(Calculation!$D$5:$D$30,$A23,Calculation!AU$5:AU$30)</f>
        <v>0</v>
      </c>
      <c r="G23" s="6">
        <f t="shared" si="8"/>
        <v>0</v>
      </c>
    </row>
    <row r="24" spans="1:15">
      <c r="A24" s="10" t="s">
        <v>40</v>
      </c>
      <c r="B24" s="6">
        <f>SUM(B19:B23)</f>
        <v>19079159.229011796</v>
      </c>
      <c r="C24" s="6">
        <f t="shared" ref="C24:G24" si="9">SUM(C19:C23)</f>
        <v>6080735.5002952972</v>
      </c>
      <c r="D24" s="6">
        <f t="shared" si="9"/>
        <v>4819785.3925746558</v>
      </c>
      <c r="E24" s="6">
        <f t="shared" si="9"/>
        <v>3303316.8747903141</v>
      </c>
      <c r="F24" s="6">
        <f t="shared" si="9"/>
        <v>5668620.063742429</v>
      </c>
      <c r="G24" s="6">
        <f t="shared" si="9"/>
        <v>38951617.060414493</v>
      </c>
    </row>
    <row r="26" spans="1:15" ht="17.5" thickBot="1">
      <c r="A26" s="33" t="str">
        <f>Inputs!C20</f>
        <v>Replacement</v>
      </c>
      <c r="I26" s="2" t="s">
        <v>8</v>
      </c>
    </row>
    <row r="27" spans="1:15" ht="15.5" thickTop="1" thickBot="1">
      <c r="A27" s="5" t="s">
        <v>5</v>
      </c>
      <c r="B27" s="5" t="str">
        <f t="shared" ref="B27:G27" si="10">B59</f>
        <v>FY23</v>
      </c>
      <c r="C27" s="5" t="str">
        <f t="shared" si="10"/>
        <v>FY24</v>
      </c>
      <c r="D27" s="5" t="str">
        <f t="shared" si="10"/>
        <v>FY25</v>
      </c>
      <c r="E27" s="5" t="str">
        <f t="shared" si="10"/>
        <v>FY26</v>
      </c>
      <c r="F27" s="5" t="str">
        <f t="shared" si="10"/>
        <v>FY27</v>
      </c>
      <c r="G27" s="5" t="str">
        <f t="shared" si="10"/>
        <v>Total</v>
      </c>
      <c r="I27" s="11" t="s">
        <v>36</v>
      </c>
      <c r="J27" s="5" t="str">
        <f t="shared" ref="J27:O27" si="11">B59</f>
        <v>FY23</v>
      </c>
      <c r="K27" s="5" t="str">
        <f t="shared" si="11"/>
        <v>FY24</v>
      </c>
      <c r="L27" s="5" t="str">
        <f t="shared" si="11"/>
        <v>FY25</v>
      </c>
      <c r="M27" s="5" t="str">
        <f t="shared" si="11"/>
        <v>FY26</v>
      </c>
      <c r="N27" s="5" t="str">
        <f t="shared" si="11"/>
        <v>FY27</v>
      </c>
      <c r="O27" s="5" t="str">
        <f t="shared" si="11"/>
        <v>Total</v>
      </c>
    </row>
    <row r="28" spans="1:15">
      <c r="A28" s="25" t="s">
        <v>75</v>
      </c>
      <c r="B28" s="26">
        <f>SUMIF(Calculation!$D$5:$D$27,$A$26,Calculation!AZ$5:AZ$27)</f>
        <v>4566855.1993738059</v>
      </c>
      <c r="C28" s="26">
        <f>SUMIF(Calculation!$D$5:$D$27,$A$26,Calculation!BA$5:BA$27)</f>
        <v>645643.34283828619</v>
      </c>
      <c r="D28" s="26">
        <f>SUMIF(Calculation!$D$5:$D$27,$A$26,Calculation!BB$5:BB$27)</f>
        <v>426455.37640259974</v>
      </c>
      <c r="E28" s="26">
        <f>SUMIF(Calculation!$D$5:$D$27,$A$26,Calculation!BC$5:BC$27)</f>
        <v>400294.69036422751</v>
      </c>
      <c r="F28" s="26">
        <f>SUMIF(Calculation!$D$5:$D$27,$A$26,Calculation!BD$5:BD$27)</f>
        <v>1086195.1353617297</v>
      </c>
      <c r="G28" s="6">
        <f>SUM(B28:F28)</f>
        <v>7125443.7443406489</v>
      </c>
      <c r="I28" s="10" t="str">
        <f t="shared" ref="I28:I36" si="12">A60</f>
        <v>Pipeline Integrity</v>
      </c>
      <c r="J28" s="28">
        <f t="shared" ref="J28:J36" si="13">B60</f>
        <v>7.0857025029160798</v>
      </c>
      <c r="K28" s="28">
        <f t="shared" ref="K28:K36" si="14">C60</f>
        <v>1.3668640832739976</v>
      </c>
      <c r="L28" s="28">
        <f t="shared" ref="L28:L36" si="15">D60</f>
        <v>1.1439801649334669</v>
      </c>
      <c r="M28" s="28">
        <f t="shared" ref="M28:M36" si="16">E60</f>
        <v>1.0355741561103531</v>
      </c>
      <c r="N28" s="28">
        <f t="shared" ref="N28:N36" si="17">F60</f>
        <v>2.6873711863565255</v>
      </c>
      <c r="O28" s="28">
        <f>SUM(J28:N28)</f>
        <v>13.319492093590423</v>
      </c>
    </row>
    <row r="29" spans="1:15">
      <c r="A29" s="25" t="s">
        <v>76</v>
      </c>
      <c r="B29" s="26">
        <f>SUMIF(Calculation!$D$5:$D$27,$A$26,Calculation!BG$5:BG$27)</f>
        <v>4065308.7411623239</v>
      </c>
      <c r="C29" s="26">
        <f>SUMIF(Calculation!$D$5:$D$27,$A$26,Calculation!BH$5:BH$27)</f>
        <v>745413.1951920623</v>
      </c>
      <c r="D29" s="26">
        <f>SUMIF(Calculation!$D$5:$D$27,$A$26,Calculation!BI$5:BI$27)</f>
        <v>374168.58111233375</v>
      </c>
      <c r="E29" s="26">
        <f>SUMIF(Calculation!$D$5:$D$27,$A$26,Calculation!BJ$5:BJ$27)</f>
        <v>346179.86185872898</v>
      </c>
      <c r="F29" s="26">
        <f>SUMIF(Calculation!$D$5:$D$27,$A$26,Calculation!BK$5:BK$27)</f>
        <v>443721.08097939671</v>
      </c>
      <c r="G29" s="6">
        <f t="shared" ref="G29:G33" si="18">SUM(B29:F29)</f>
        <v>5974791.4603048451</v>
      </c>
      <c r="I29" s="10" t="str">
        <f t="shared" si="12"/>
        <v>Supply Security Project</v>
      </c>
      <c r="J29" s="28">
        <f t="shared" si="13"/>
        <v>4.8339015784955963</v>
      </c>
      <c r="K29" s="28">
        <f t="shared" si="14"/>
        <v>0</v>
      </c>
      <c r="L29" s="28">
        <f t="shared" si="15"/>
        <v>0</v>
      </c>
      <c r="M29" s="28">
        <f t="shared" si="16"/>
        <v>0</v>
      </c>
      <c r="N29" s="28">
        <f t="shared" si="17"/>
        <v>0</v>
      </c>
      <c r="O29" s="28">
        <f t="shared" ref="O29:O36" si="19">SUM(J29:N29)</f>
        <v>4.8339015784955963</v>
      </c>
    </row>
    <row r="30" spans="1:15">
      <c r="A30" s="25" t="s">
        <v>77</v>
      </c>
      <c r="B30" s="26">
        <f>SUMIF(Calculation!$D$5:$D$27,$A$26,Calculation!BN$5:BN$27)</f>
        <v>4708371.3909243848</v>
      </c>
      <c r="C30" s="26">
        <f>SUMIF(Calculation!$D$5:$D$27,$A$26,Calculation!BO$5:BO$27)</f>
        <v>432523.37816253962</v>
      </c>
      <c r="D30" s="26">
        <f>SUMIF(Calculation!$D$5:$D$27,$A$26,Calculation!BP$5:BP$27)</f>
        <v>379880.10776974185</v>
      </c>
      <c r="E30" s="26">
        <f>SUMIF(Calculation!$D$5:$D$27,$A$26,Calculation!BQ$5:BQ$27)</f>
        <v>356143.68099095806</v>
      </c>
      <c r="F30" s="26">
        <f>SUMIF(Calculation!$D$5:$D$27,$A$26,Calculation!BR$5:BR$27)</f>
        <v>1170056.2346354479</v>
      </c>
      <c r="G30" s="6">
        <f t="shared" si="18"/>
        <v>7046974.7924830718</v>
      </c>
      <c r="I30" s="10" t="str">
        <f t="shared" si="12"/>
        <v>SCADA Hardware Lifecycle Management</v>
      </c>
      <c r="J30" s="28">
        <f t="shared" si="13"/>
        <v>0.76443890670450598</v>
      </c>
      <c r="K30" s="28">
        <f t="shared" si="14"/>
        <v>0</v>
      </c>
      <c r="L30" s="28">
        <f t="shared" si="15"/>
        <v>0</v>
      </c>
      <c r="M30" s="28">
        <f t="shared" si="16"/>
        <v>0</v>
      </c>
      <c r="N30" s="28">
        <f t="shared" si="17"/>
        <v>0</v>
      </c>
      <c r="O30" s="28">
        <f t="shared" si="19"/>
        <v>0.76443890670450598</v>
      </c>
    </row>
    <row r="31" spans="1:15">
      <c r="A31" s="25" t="s">
        <v>78</v>
      </c>
      <c r="B31" s="26">
        <f>SUMIF(Calculation!$D$5:$D$27,$A$26,Calculation!BU$5:BU$27)</f>
        <v>1242789.4712520358</v>
      </c>
      <c r="C31" s="26">
        <f>SUMIF(Calculation!$D$5:$D$27,$A$26,Calculation!BV$5:BV$27)</f>
        <v>430146.01961954322</v>
      </c>
      <c r="D31" s="26">
        <f>SUMIF(Calculation!$D$5:$D$27,$A$26,Calculation!BW$5:BW$27)</f>
        <v>374168.58111233375</v>
      </c>
      <c r="E31" s="26">
        <f>SUMIF(Calculation!$D$5:$D$27,$A$26,Calculation!BX$5:BX$27)</f>
        <v>346179.86185872898</v>
      </c>
      <c r="F31" s="26">
        <f>SUMIF(Calculation!$D$5:$D$27,$A$26,Calculation!BY$5:BY$27)</f>
        <v>402157.30036593851</v>
      </c>
      <c r="G31" s="6">
        <f t="shared" si="18"/>
        <v>2795441.2342085801</v>
      </c>
      <c r="I31" s="10" t="str">
        <f t="shared" si="12"/>
        <v>Battery Charger Replacement</v>
      </c>
      <c r="J31" s="28">
        <f t="shared" si="13"/>
        <v>0.25569237799790773</v>
      </c>
      <c r="K31" s="28">
        <f t="shared" si="14"/>
        <v>0</v>
      </c>
      <c r="L31" s="28">
        <f t="shared" si="15"/>
        <v>0</v>
      </c>
      <c r="M31" s="28">
        <f t="shared" si="16"/>
        <v>0</v>
      </c>
      <c r="N31" s="28">
        <f t="shared" si="17"/>
        <v>0</v>
      </c>
      <c r="O31" s="28">
        <f t="shared" si="19"/>
        <v>0.25569237799790773</v>
      </c>
    </row>
    <row r="32" spans="1:15">
      <c r="A32" s="25" t="s">
        <v>109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6">
        <v>0</v>
      </c>
      <c r="I32" s="10" t="str">
        <f t="shared" si="12"/>
        <v>Liquids Removal</v>
      </c>
      <c r="J32" s="28">
        <f t="shared" si="13"/>
        <v>1.0655114577992852</v>
      </c>
      <c r="K32" s="28">
        <f t="shared" si="14"/>
        <v>0</v>
      </c>
      <c r="L32" s="28">
        <f t="shared" si="15"/>
        <v>0</v>
      </c>
      <c r="M32" s="28">
        <f t="shared" si="16"/>
        <v>0</v>
      </c>
      <c r="N32" s="28">
        <f t="shared" si="17"/>
        <v>0</v>
      </c>
      <c r="O32" s="28">
        <f t="shared" si="19"/>
        <v>1.0655114577992852</v>
      </c>
    </row>
    <row r="33" spans="1:15">
      <c r="A33" s="25" t="s">
        <v>108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6">
        <f t="shared" si="18"/>
        <v>0</v>
      </c>
      <c r="I33" s="10" t="str">
        <f t="shared" si="12"/>
        <v>Valve Upgrade</v>
      </c>
      <c r="J33" s="28">
        <f t="shared" si="13"/>
        <v>0.11357406118107972</v>
      </c>
      <c r="K33" s="28">
        <f t="shared" si="14"/>
        <v>0.1369878910057834</v>
      </c>
      <c r="L33" s="28">
        <f t="shared" si="15"/>
        <v>0</v>
      </c>
      <c r="M33" s="28">
        <f t="shared" si="16"/>
        <v>0</v>
      </c>
      <c r="N33" s="28">
        <f t="shared" si="17"/>
        <v>0</v>
      </c>
      <c r="O33" s="28">
        <f t="shared" si="19"/>
        <v>0.25056195218686311</v>
      </c>
    </row>
    <row r="34" spans="1:15">
      <c r="I34" s="10" t="str">
        <f t="shared" si="12"/>
        <v>Dalby Communication Relocation</v>
      </c>
      <c r="J34" s="28">
        <f t="shared" si="13"/>
        <v>5.6808632534801569E-2</v>
      </c>
      <c r="K34" s="28">
        <f t="shared" si="14"/>
        <v>0</v>
      </c>
      <c r="L34" s="28">
        <f t="shared" si="15"/>
        <v>0</v>
      </c>
      <c r="M34" s="28">
        <f t="shared" si="16"/>
        <v>0</v>
      </c>
      <c r="N34" s="28">
        <f t="shared" si="17"/>
        <v>0</v>
      </c>
      <c r="O34" s="28">
        <f t="shared" si="19"/>
        <v>5.6808632534801569E-2</v>
      </c>
    </row>
    <row r="35" spans="1:15">
      <c r="I35" s="10" t="str">
        <f t="shared" si="12"/>
        <v>Pipeline Relocation</v>
      </c>
      <c r="J35" s="28">
        <f t="shared" si="13"/>
        <v>0</v>
      </c>
      <c r="K35" s="28">
        <f t="shared" si="14"/>
        <v>0.34105475874857777</v>
      </c>
      <c r="L35" s="28">
        <f t="shared" si="15"/>
        <v>0</v>
      </c>
      <c r="M35" s="28">
        <f t="shared" si="16"/>
        <v>0</v>
      </c>
      <c r="N35" s="28">
        <f t="shared" si="17"/>
        <v>0</v>
      </c>
      <c r="O35" s="28">
        <f t="shared" si="19"/>
        <v>0.34105475874857777</v>
      </c>
    </row>
    <row r="36" spans="1:15">
      <c r="I36" s="10" t="str">
        <f t="shared" si="12"/>
        <v>Minor Projects</v>
      </c>
      <c r="J36" s="28">
        <f t="shared" si="13"/>
        <v>0.40769528508329317</v>
      </c>
      <c r="K36" s="28">
        <f t="shared" si="14"/>
        <v>0.40881920278407274</v>
      </c>
      <c r="L36" s="28">
        <f t="shared" si="15"/>
        <v>0.41069248146354231</v>
      </c>
      <c r="M36" s="28">
        <f t="shared" si="16"/>
        <v>0.41322393896229054</v>
      </c>
      <c r="N36" s="28">
        <f t="shared" si="17"/>
        <v>0.41475856498598773</v>
      </c>
      <c r="O36" s="28">
        <f t="shared" si="19"/>
        <v>2.0551894732791864</v>
      </c>
    </row>
    <row r="38" spans="1:15" ht="17.5" thickBot="1">
      <c r="A38" s="33" t="str">
        <f>Inputs!C22</f>
        <v>Non-network</v>
      </c>
      <c r="I38" s="2" t="str">
        <f>Inputs!C22</f>
        <v>Non-network</v>
      </c>
    </row>
    <row r="39" spans="1:15" ht="15.5" thickTop="1" thickBot="1">
      <c r="A39" s="5" t="s">
        <v>5</v>
      </c>
      <c r="B39" s="5" t="str">
        <f t="shared" ref="B39:G39" si="20">B27</f>
        <v>FY23</v>
      </c>
      <c r="C39" s="5" t="str">
        <f t="shared" si="20"/>
        <v>FY24</v>
      </c>
      <c r="D39" s="5" t="str">
        <f t="shared" si="20"/>
        <v>FY25</v>
      </c>
      <c r="E39" s="5" t="str">
        <f t="shared" si="20"/>
        <v>FY26</v>
      </c>
      <c r="F39" s="5" t="str">
        <f t="shared" si="20"/>
        <v>FY27</v>
      </c>
      <c r="G39" s="5" t="str">
        <f t="shared" si="20"/>
        <v>Total</v>
      </c>
      <c r="I39" s="11" t="s">
        <v>36</v>
      </c>
      <c r="J39" s="5" t="str">
        <f t="shared" ref="J39:O39" si="21">J27</f>
        <v>FY23</v>
      </c>
      <c r="K39" s="5" t="str">
        <f t="shared" si="21"/>
        <v>FY24</v>
      </c>
      <c r="L39" s="5" t="str">
        <f t="shared" si="21"/>
        <v>FY25</v>
      </c>
      <c r="M39" s="5" t="str">
        <f t="shared" si="21"/>
        <v>FY26</v>
      </c>
      <c r="N39" s="5" t="str">
        <f t="shared" si="21"/>
        <v>FY27</v>
      </c>
      <c r="O39" s="5" t="str">
        <f t="shared" si="21"/>
        <v>Total</v>
      </c>
    </row>
    <row r="40" spans="1:15">
      <c r="A40" s="25" t="s">
        <v>75</v>
      </c>
      <c r="B40" s="26">
        <f>SUMIF(Calculation!$D$5:$D$27,$A$38,Calculation!AZ$5:AZ$27)</f>
        <v>1022715.7877181181</v>
      </c>
      <c r="C40" s="26">
        <f>SUMIF(Calculation!$D$5:$D$27,$A$38,Calculation!BA$5:BA$27)</f>
        <v>335902.05827737553</v>
      </c>
      <c r="D40" s="26">
        <f>SUMIF(Calculation!$D$5:$D$27,$A$38,Calculation!BB$5:BB$27)</f>
        <v>245618.28583530826</v>
      </c>
      <c r="E40" s="26">
        <f>SUMIF(Calculation!$D$5:$D$27,$A$38,Calculation!BC$5:BC$27)</f>
        <v>139385.22678543476</v>
      </c>
      <c r="F40" s="26">
        <f>SUMIF(Calculation!$D$5:$D$27,$A$38,Calculation!BD$5:BD$27)</f>
        <v>192795.43707988397</v>
      </c>
      <c r="G40" s="6">
        <f>SUM(B40:F40)</f>
        <v>1936416.7956961205</v>
      </c>
      <c r="I40" s="10" t="str">
        <f t="shared" ref="I40:N43" si="22">A69</f>
        <v>Group IT</v>
      </c>
      <c r="J40" s="28">
        <f t="shared" si="22"/>
        <v>3.6353460698793132</v>
      </c>
      <c r="K40" s="28">
        <f t="shared" si="22"/>
        <v>3.6546346869300805</v>
      </c>
      <c r="L40" s="28">
        <f t="shared" si="22"/>
        <v>2.5430183903842645</v>
      </c>
      <c r="M40" s="28">
        <f t="shared" si="22"/>
        <v>1.733684778190159</v>
      </c>
      <c r="N40" s="28">
        <f t="shared" si="22"/>
        <v>0.96912520696719384</v>
      </c>
      <c r="O40" s="28">
        <f>SUM(J40:N40)</f>
        <v>12.535809132351011</v>
      </c>
    </row>
    <row r="41" spans="1:15">
      <c r="A41" s="25" t="s">
        <v>76</v>
      </c>
      <c r="B41" s="26">
        <f>SUMIF(Calculation!$D$5:$D$27,$A$38,Calculation!BG$5:BG$27)</f>
        <v>3473298.9481197293</v>
      </c>
      <c r="C41" s="26">
        <f>SUMIF(Calculation!$D$5:$D$27,$A$38,Calculation!BH$5:BH$27)</f>
        <v>3489832.0672100163</v>
      </c>
      <c r="D41" s="26">
        <f>SUMIF(Calculation!$D$5:$D$27,$A$38,Calculation!BI$5:BI$27)</f>
        <v>3016293.7300483952</v>
      </c>
      <c r="E41" s="26">
        <f>SUMIF(Calculation!$D$5:$D$27,$A$38,Calculation!BJ$5:BJ$27)</f>
        <v>1711708.0032721374</v>
      </c>
      <c r="F41" s="26">
        <f>SUMIF(Calculation!$D$5:$D$27,$A$38,Calculation!BK$5:BK$27)</f>
        <v>2367607.3874887279</v>
      </c>
      <c r="G41" s="6">
        <f t="shared" ref="G41:G43" si="23">SUM(B41:F41)</f>
        <v>14058740.136139005</v>
      </c>
      <c r="I41" s="10" t="str">
        <f t="shared" si="22"/>
        <v>Access Arrangement</v>
      </c>
      <c r="J41" s="28">
        <f t="shared" si="22"/>
        <v>0.73988334161643843</v>
      </c>
      <c r="K41" s="28">
        <f t="shared" si="22"/>
        <v>5.1723312135347255E-2</v>
      </c>
      <c r="L41" s="28">
        <f t="shared" si="22"/>
        <v>0</v>
      </c>
      <c r="M41" s="28">
        <f t="shared" si="22"/>
        <v>0</v>
      </c>
      <c r="N41" s="28">
        <f t="shared" si="22"/>
        <v>0</v>
      </c>
      <c r="O41" s="28">
        <f t="shared" ref="O41:O43" si="24">SUM(J41:N41)</f>
        <v>0.79160665375178563</v>
      </c>
    </row>
    <row r="42" spans="1:15">
      <c r="A42" s="25" t="s">
        <v>77</v>
      </c>
      <c r="B42" s="26">
        <f>SUMIF(Calculation!$D$5:$D$27,$A$38,Calculation!BN$5:BN$27)</f>
        <v>-180.30953860544705</v>
      </c>
      <c r="C42" s="26">
        <f>SUMIF(Calculation!$D$5:$D$27,$A$38,Calculation!BO$5:BO$27)</f>
        <v>1275.4389954738913</v>
      </c>
      <c r="D42" s="26">
        <f>SUMIF(Calculation!$D$5:$D$27,$A$38,Calculation!BP$5:BP$27)</f>
        <v>3200.7302939428128</v>
      </c>
      <c r="E42" s="26">
        <f>SUMIF(Calculation!$D$5:$D$27,$A$38,Calculation!BQ$5:BQ$27)</f>
        <v>3425.5496600981246</v>
      </c>
      <c r="F42" s="26">
        <f>SUMIF(Calculation!$D$5:$D$27,$A$38,Calculation!BR$5:BR$27)</f>
        <v>6087.4878313039962</v>
      </c>
      <c r="G42" s="6">
        <f t="shared" si="23"/>
        <v>13808.897242213377</v>
      </c>
      <c r="I42" s="10" t="str">
        <f t="shared" si="22"/>
        <v>Property Leases</v>
      </c>
      <c r="J42" s="28">
        <f t="shared" si="22"/>
        <v>0</v>
      </c>
      <c r="K42" s="28">
        <f t="shared" si="22"/>
        <v>0</v>
      </c>
      <c r="L42" s="28">
        <f t="shared" si="22"/>
        <v>0.60136520260188953</v>
      </c>
      <c r="M42" s="28">
        <f t="shared" si="22"/>
        <v>0</v>
      </c>
      <c r="N42" s="28">
        <f t="shared" si="22"/>
        <v>1.476467542504289</v>
      </c>
      <c r="O42" s="28">
        <f t="shared" si="24"/>
        <v>2.0778327451061784</v>
      </c>
    </row>
    <row r="43" spans="1:15">
      <c r="A43" s="25" t="s">
        <v>78</v>
      </c>
      <c r="B43" s="26">
        <f>SUMIF(Calculation!$D$5:$D$27,$A$38,Calculation!BU$5:BU$27)</f>
        <v>0</v>
      </c>
      <c r="C43" s="26">
        <f>SUMIF(Calculation!$D$5:$D$27,$A$38,Calculation!BV$5:BV$27)</f>
        <v>0</v>
      </c>
      <c r="D43" s="26">
        <f>SUMIF(Calculation!$D$5:$D$27,$A$38,Calculation!BW$5:BW$27)</f>
        <v>0</v>
      </c>
      <c r="E43" s="26">
        <f>SUMIF(Calculation!$D$5:$D$27,$A$38,Calculation!BX$5:BX$27)</f>
        <v>0</v>
      </c>
      <c r="F43" s="26">
        <f>SUMIF(Calculation!$D$5:$D$27,$A$38,Calculation!BY$5:BY$27)</f>
        <v>0</v>
      </c>
      <c r="G43" s="6">
        <f t="shared" si="23"/>
        <v>0</v>
      </c>
      <c r="I43" s="10" t="str">
        <f t="shared" si="22"/>
        <v>Vehicle Leases</v>
      </c>
      <c r="J43" s="28">
        <f t="shared" si="22"/>
        <v>0.12060501480349084</v>
      </c>
      <c r="K43" s="28">
        <f t="shared" si="22"/>
        <v>0.12065156541743827</v>
      </c>
      <c r="L43" s="28">
        <f t="shared" si="22"/>
        <v>0.12072915319149274</v>
      </c>
      <c r="M43" s="28">
        <f t="shared" si="22"/>
        <v>0.12083400152751129</v>
      </c>
      <c r="N43" s="28">
        <f t="shared" si="22"/>
        <v>0.12089756292843348</v>
      </c>
      <c r="O43" s="28">
        <f t="shared" si="24"/>
        <v>0.60371729786836659</v>
      </c>
    </row>
    <row r="44" spans="1:15">
      <c r="A44" s="25" t="s">
        <v>109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6">
        <v>0</v>
      </c>
    </row>
    <row r="45" spans="1:15">
      <c r="A45" s="25" t="s">
        <v>108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6">
        <f t="shared" ref="G45" si="25">SUM(B45:F45)</f>
        <v>0</v>
      </c>
    </row>
    <row r="48" spans="1:15" ht="20" thickBot="1">
      <c r="A48" s="32" t="s">
        <v>73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8" thickTop="1" thickBot="1">
      <c r="A49" s="2" t="str">
        <f>Inputs!D21</f>
        <v>Pipeline Integrity</v>
      </c>
      <c r="B49" s="2" t="s">
        <v>74</v>
      </c>
      <c r="D49" s="2" t="str">
        <f>Inputs!D25</f>
        <v>Supply Security Project</v>
      </c>
      <c r="E49" s="2" t="s">
        <v>74</v>
      </c>
      <c r="G49" s="2" t="str">
        <f>Inputs!D35</f>
        <v>Liquids Removal</v>
      </c>
      <c r="H49" s="2" t="s">
        <v>74</v>
      </c>
      <c r="J49" s="2" t="str">
        <f>Inputs!D29</f>
        <v>Group IT</v>
      </c>
      <c r="K49" s="2" t="s">
        <v>74</v>
      </c>
    </row>
    <row r="50" spans="1:15" ht="11" thickTop="1">
      <c r="A50" s="25" t="s">
        <v>75</v>
      </c>
      <c r="B50" s="28">
        <f>ROUND(SUMIF(Calculation!$E$5:$E$25,A$49,Calculation!$BE$5:$BE$25)/1000000,1)</f>
        <v>4</v>
      </c>
      <c r="D50" s="25" t="s">
        <v>75</v>
      </c>
      <c r="E50" s="28">
        <f>ROUND(SUMIF(Calculation!$E$5:$E$25,D$49,Calculation!$BE$5:$BE$25)/1000000,1)</f>
        <v>1.2</v>
      </c>
      <c r="G50" s="25" t="s">
        <v>75</v>
      </c>
      <c r="H50" s="28">
        <f>ROUND(SUMIF(Calculation!$E$5:$E$25,G$49,Calculation!$BE$5:$BE$25)/1000000,1)</f>
        <v>0.3</v>
      </c>
      <c r="J50" s="25" t="s">
        <v>75</v>
      </c>
      <c r="K50" s="28">
        <f>ROUND(SUMIF(Calculation!$E$5:$E$25,J$49,Calculation!$BE$5:$BE$25)/1000000,1)</f>
        <v>0.9</v>
      </c>
    </row>
    <row r="51" spans="1:15">
      <c r="A51" s="25" t="s">
        <v>76</v>
      </c>
      <c r="B51" s="28">
        <f>ROUND(SUMIF(Calculation!$E$5:$E$25,A$49,Calculation!$BL$5:$BL$25)/1000000,1)</f>
        <v>2.4</v>
      </c>
      <c r="D51" s="25" t="s">
        <v>76</v>
      </c>
      <c r="E51" s="28">
        <f>ROUND(SUMIF(Calculation!$E$5:$E$25,D$49,Calculation!$BL$5:$BL$25)/1000000,1)</f>
        <v>2</v>
      </c>
      <c r="G51" s="25" t="s">
        <v>76</v>
      </c>
      <c r="H51" s="28">
        <f>ROUND(SUMIF(Calculation!$E$5:$E$25,G$49,Calculation!$BL$5:$BL$25)/1000000,1)</f>
        <v>0.5</v>
      </c>
      <c r="J51" s="25" t="s">
        <v>76</v>
      </c>
      <c r="K51" s="28">
        <f>ROUND(SUMIF(Calculation!$E$5:$E$25,J$49,Calculation!$BL$5:$BL$25)/1000000,1)</f>
        <v>11.6</v>
      </c>
    </row>
    <row r="52" spans="1:15">
      <c r="A52" s="25" t="s">
        <v>77</v>
      </c>
      <c r="B52" s="28">
        <f>ROUND(SUMIF(Calculation!$E$5:$E$25,A$49,Calculation!$BS$5:$BS$25)/1000000,1)</f>
        <v>4.7</v>
      </c>
      <c r="D52" s="25" t="s">
        <v>77</v>
      </c>
      <c r="E52" s="28">
        <f>ROUND(SUMIF(Calculation!$E$5:$E$25,D$49,Calculation!$BS$5:$BS$25)/1000000,1)</f>
        <v>1.5</v>
      </c>
      <c r="G52" s="25" t="s">
        <v>77</v>
      </c>
      <c r="H52" s="28">
        <f>ROUND(SUMIF(Calculation!$E$5:$E$25,G$49,Calculation!$BS$5:$BS$25)/1000000,1)</f>
        <v>0.3</v>
      </c>
      <c r="J52" s="25" t="s">
        <v>77</v>
      </c>
      <c r="K52" s="28">
        <f>ROUND(SUMIF(Calculation!$E$5:$E$25,J$49,Calculation!$BS$5:$BS$25)/1000000,1)</f>
        <v>0</v>
      </c>
    </row>
    <row r="53" spans="1:15">
      <c r="A53" s="25" t="s">
        <v>78</v>
      </c>
      <c r="B53" s="28">
        <f>ROUND(SUMIF(Calculation!$E$5:$E$25,A$49,Calculation!$BZ$5:$BZ$25)/1000000,1)</f>
        <v>2.2000000000000002</v>
      </c>
      <c r="D53" s="25" t="s">
        <v>78</v>
      </c>
      <c r="E53" s="28">
        <f>ROUND(SUMIF(Calculation!$E$5:$E$25,D$49,Calculation!$BZ$5:$BZ$25)/1000000,1)</f>
        <v>0.1</v>
      </c>
      <c r="G53" s="25" t="s">
        <v>78</v>
      </c>
      <c r="H53" s="28">
        <f>ROUND(SUMIF(Calculation!$E$5:$E$25,G$49,Calculation!$BZ$5:$BZ$25)/1000000,1)</f>
        <v>0</v>
      </c>
      <c r="J53" s="25" t="s">
        <v>78</v>
      </c>
      <c r="K53" s="28">
        <f>ROUND(SUMIF(Calculation!$E$5:$E$25,J$49,Calculation!$BZ$5:$BZ$25)/1000000,1)</f>
        <v>0</v>
      </c>
    </row>
    <row r="54" spans="1:15">
      <c r="A54" s="25" t="s">
        <v>40</v>
      </c>
      <c r="B54" s="28">
        <f>SUM(B50:B53)</f>
        <v>13.3</v>
      </c>
      <c r="D54" s="25" t="s">
        <v>40</v>
      </c>
      <c r="E54" s="28">
        <f>SUM(E50:E53)</f>
        <v>4.8</v>
      </c>
      <c r="G54" s="25" t="s">
        <v>40</v>
      </c>
      <c r="H54" s="28">
        <f>SUM(H50:H53)</f>
        <v>1.1000000000000001</v>
      </c>
      <c r="J54" s="25" t="s">
        <v>40</v>
      </c>
      <c r="K54" s="28">
        <f>SUM(K50:K53)</f>
        <v>12.5</v>
      </c>
    </row>
    <row r="57" spans="1:15" ht="20" thickBot="1">
      <c r="A57" s="32" t="s">
        <v>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thickTop="1">
      <c r="A58" s="4">
        <v>16</v>
      </c>
      <c r="B58" s="4">
        <v>17</v>
      </c>
      <c r="C58" s="4">
        <v>18</v>
      </c>
      <c r="D58" s="4">
        <v>19</v>
      </c>
      <c r="E58" s="4">
        <v>20</v>
      </c>
      <c r="F58" s="4">
        <v>21</v>
      </c>
      <c r="G58" s="4">
        <v>22</v>
      </c>
    </row>
    <row r="59" spans="1:15" ht="17.5" thickBot="1">
      <c r="A59" s="2" t="str">
        <f>Calculation!E4</f>
        <v>Program</v>
      </c>
      <c r="B59" s="2" t="str">
        <f t="shared" ref="B59:G59" si="26">B18</f>
        <v>FY23</v>
      </c>
      <c r="C59" s="2" t="str">
        <f t="shared" si="26"/>
        <v>FY24</v>
      </c>
      <c r="D59" s="2" t="str">
        <f t="shared" si="26"/>
        <v>FY25</v>
      </c>
      <c r="E59" s="2" t="str">
        <f t="shared" si="26"/>
        <v>FY26</v>
      </c>
      <c r="F59" s="2" t="str">
        <f t="shared" si="26"/>
        <v>FY27</v>
      </c>
      <c r="G59" s="2" t="str">
        <f t="shared" si="26"/>
        <v>Total</v>
      </c>
    </row>
    <row r="60" spans="1:15" ht="11" thickTop="1">
      <c r="A60" s="10" t="str">
        <f t="array" ref="A60">_xlfn.IFNA(INDEX(Calculation!$E$5:$E$30,MATCH(0,COUNTIF(A$58:A59,Calculation!$E$5:$E$30),0)),"")</f>
        <v>Pipeline Integrity</v>
      </c>
      <c r="B60" s="28">
        <f>SUMIF(Calculation!$E$5:$E$30,$A60,Calculation!AQ$5:AQ$30)/1000000</f>
        <v>7.0857025029160798</v>
      </c>
      <c r="C60" s="28">
        <f>SUMIF(Calculation!$E$5:$E$30,$A60,Calculation!AR$5:AR$30)/1000000</f>
        <v>1.3668640832739976</v>
      </c>
      <c r="D60" s="28">
        <f>SUMIF(Calculation!$E$5:$E$30,$A60,Calculation!AS$5:AS$30)/1000000</f>
        <v>1.1439801649334669</v>
      </c>
      <c r="E60" s="28">
        <f>SUMIF(Calculation!$E$5:$E$30,$A60,Calculation!AT$5:AT$30)/1000000</f>
        <v>1.0355741561103531</v>
      </c>
      <c r="F60" s="28">
        <f>SUMIF(Calculation!$E$5:$E$30,$A60,Calculation!AU$5:AU$30)/1000000</f>
        <v>2.6873711863565255</v>
      </c>
      <c r="G60" s="28">
        <f>SUM(B60:F60)</f>
        <v>13.319492093590423</v>
      </c>
    </row>
    <row r="61" spans="1:15">
      <c r="A61" s="10" t="str">
        <f t="array" ref="A61">_xlfn.IFNA(INDEX(Calculation!$E$5:$E$30,MATCH(0,COUNTIF(A$58:A60,Calculation!$E$5:$E$30),0)),"")</f>
        <v>Supply Security Project</v>
      </c>
      <c r="B61" s="28">
        <f>SUMIF(Calculation!$E$5:$E$30,$A61,Calculation!AQ$5:AQ$30)/1000000</f>
        <v>4.8339015784955963</v>
      </c>
      <c r="C61" s="28">
        <f>SUMIF(Calculation!$E$5:$E$30,$A61,Calculation!AR$5:AR$30)/1000000</f>
        <v>0</v>
      </c>
      <c r="D61" s="28">
        <f>SUMIF(Calculation!$E$5:$E$30,$A61,Calculation!AS$5:AS$30)/1000000</f>
        <v>0</v>
      </c>
      <c r="E61" s="28">
        <f>SUMIF(Calculation!$E$5:$E$30,$A61,Calculation!AT$5:AT$30)/1000000</f>
        <v>0</v>
      </c>
      <c r="F61" s="28">
        <f>SUMIF(Calculation!$E$5:$E$30,$A61,Calculation!AU$5:AU$30)/1000000</f>
        <v>0</v>
      </c>
      <c r="G61" s="28">
        <f t="shared" ref="G61:G68" si="27">SUM(B61:F61)</f>
        <v>4.8339015784955963</v>
      </c>
    </row>
    <row r="62" spans="1:15">
      <c r="A62" s="10" t="str">
        <f t="array" ref="A62">_xlfn.IFNA(INDEX(Calculation!$E$5:$E$30,MATCH(0,COUNTIF(A$58:A61,Calculation!$E$5:$E$30),0)),"")</f>
        <v>SCADA Hardware Lifecycle Management</v>
      </c>
      <c r="B62" s="28">
        <f>SUMIF(Calculation!$E$5:$E$30,$A62,Calculation!AQ$5:AQ$30)/1000000</f>
        <v>0.76443890670450598</v>
      </c>
      <c r="C62" s="28">
        <f>SUMIF(Calculation!$E$5:$E$30,$A62,Calculation!AR$5:AR$30)/1000000</f>
        <v>0</v>
      </c>
      <c r="D62" s="28">
        <f>SUMIF(Calculation!$E$5:$E$30,$A62,Calculation!AS$5:AS$30)/1000000</f>
        <v>0</v>
      </c>
      <c r="E62" s="28">
        <f>SUMIF(Calculation!$E$5:$E$30,$A62,Calculation!AT$5:AT$30)/1000000</f>
        <v>0</v>
      </c>
      <c r="F62" s="28">
        <f>SUMIF(Calculation!$E$5:$E$30,$A62,Calculation!AU$5:AU$30)/1000000</f>
        <v>0</v>
      </c>
      <c r="G62" s="28">
        <f t="shared" si="27"/>
        <v>0.76443890670450598</v>
      </c>
    </row>
    <row r="63" spans="1:15">
      <c r="A63" s="10" t="str">
        <f t="array" ref="A63">_xlfn.IFNA(INDEX(Calculation!$E$5:$E$30,MATCH(0,COUNTIF(A$58:A62,Calculation!$E$5:$E$30),0)),"")</f>
        <v>Battery Charger Replacement</v>
      </c>
      <c r="B63" s="28">
        <f>SUMIF(Calculation!$E$5:$E$30,$A63,Calculation!AQ$5:AQ$30)/1000000</f>
        <v>0.25569237799790773</v>
      </c>
      <c r="C63" s="28">
        <f>SUMIF(Calculation!$E$5:$E$30,$A63,Calculation!AR$5:AR$30)/1000000</f>
        <v>0</v>
      </c>
      <c r="D63" s="28">
        <f>SUMIF(Calculation!$E$5:$E$30,$A63,Calculation!AS$5:AS$30)/1000000</f>
        <v>0</v>
      </c>
      <c r="E63" s="28">
        <f>SUMIF(Calculation!$E$5:$E$30,$A63,Calculation!AT$5:AT$30)/1000000</f>
        <v>0</v>
      </c>
      <c r="F63" s="28">
        <f>SUMIF(Calculation!$E$5:$E$30,$A63,Calculation!AU$5:AU$30)/1000000</f>
        <v>0</v>
      </c>
      <c r="G63" s="28">
        <f t="shared" si="27"/>
        <v>0.25569237799790773</v>
      </c>
    </row>
    <row r="64" spans="1:15">
      <c r="A64" s="10" t="str">
        <f t="array" ref="A64">_xlfn.IFNA(INDEX(Calculation!$E$5:$E$30,MATCH(0,COUNTIF(A$58:A63,Calculation!$E$5:$E$30),0)),"")</f>
        <v>Liquids Removal</v>
      </c>
      <c r="B64" s="28">
        <f>SUMIF(Calculation!$E$5:$E$30,$A64,Calculation!AQ$5:AQ$30)/1000000</f>
        <v>1.0655114577992852</v>
      </c>
      <c r="C64" s="28">
        <f>SUMIF(Calculation!$E$5:$E$30,$A64,Calculation!AR$5:AR$30)/1000000</f>
        <v>0</v>
      </c>
      <c r="D64" s="28">
        <f>SUMIF(Calculation!$E$5:$E$30,$A64,Calculation!AS$5:AS$30)/1000000</f>
        <v>0</v>
      </c>
      <c r="E64" s="28">
        <f>SUMIF(Calculation!$E$5:$E$30,$A64,Calculation!AT$5:AT$30)/1000000</f>
        <v>0</v>
      </c>
      <c r="F64" s="28">
        <f>SUMIF(Calculation!$E$5:$E$30,$A64,Calculation!AU$5:AU$30)/1000000</f>
        <v>0</v>
      </c>
      <c r="G64" s="28">
        <f t="shared" si="27"/>
        <v>1.0655114577992852</v>
      </c>
    </row>
    <row r="65" spans="1:15">
      <c r="A65" s="10" t="str">
        <f t="array" ref="A65">_xlfn.IFNA(INDEX(Calculation!$E$5:$E$30,MATCH(0,COUNTIF(A$58:A64,Calculation!$E$5:$E$30),0)),"")</f>
        <v>Valve Upgrade</v>
      </c>
      <c r="B65" s="28">
        <f>SUMIF(Calculation!$E$5:$E$30,$A65,Calculation!AQ$5:AQ$30)/1000000</f>
        <v>0.11357406118107972</v>
      </c>
      <c r="C65" s="28">
        <f>SUMIF(Calculation!$E$5:$E$30,$A65,Calculation!AR$5:AR$30)/1000000</f>
        <v>0.1369878910057834</v>
      </c>
      <c r="D65" s="28">
        <f>SUMIF(Calculation!$E$5:$E$30,$A65,Calculation!AS$5:AS$30)/1000000</f>
        <v>0</v>
      </c>
      <c r="E65" s="28">
        <f>SUMIF(Calculation!$E$5:$E$30,$A65,Calculation!AT$5:AT$30)/1000000</f>
        <v>0</v>
      </c>
      <c r="F65" s="28">
        <f>SUMIF(Calculation!$E$5:$E$30,$A65,Calculation!AU$5:AU$30)/1000000</f>
        <v>0</v>
      </c>
      <c r="G65" s="28">
        <f t="shared" si="27"/>
        <v>0.25056195218686311</v>
      </c>
    </row>
    <row r="66" spans="1:15">
      <c r="A66" s="10" t="str">
        <f t="array" ref="A66">_xlfn.IFNA(INDEX(Calculation!$E$5:$E$30,MATCH(0,COUNTIF(A$58:A65,Calculation!$E$5:$E$30),0)),"")</f>
        <v>Dalby Communication Relocation</v>
      </c>
      <c r="B66" s="28">
        <f>SUMIF(Calculation!$E$5:$E$30,$A66,Calculation!AQ$5:AQ$30)/1000000</f>
        <v>5.6808632534801569E-2</v>
      </c>
      <c r="C66" s="28">
        <f>SUMIF(Calculation!$E$5:$E$30,$A66,Calculation!AR$5:AR$30)/1000000</f>
        <v>0</v>
      </c>
      <c r="D66" s="28">
        <f>SUMIF(Calculation!$E$5:$E$30,$A66,Calculation!AS$5:AS$30)/1000000</f>
        <v>0</v>
      </c>
      <c r="E66" s="28">
        <f>SUMIF(Calculation!$E$5:$E$30,$A66,Calculation!AT$5:AT$30)/1000000</f>
        <v>0</v>
      </c>
      <c r="F66" s="28">
        <f>SUMIF(Calculation!$E$5:$E$30,$A66,Calculation!AU$5:AU$30)/1000000</f>
        <v>0</v>
      </c>
      <c r="G66" s="28">
        <f t="shared" si="27"/>
        <v>5.6808632534801569E-2</v>
      </c>
    </row>
    <row r="67" spans="1:15">
      <c r="A67" s="10" t="str">
        <f t="array" ref="A67">_xlfn.IFNA(INDEX(Calculation!$E$5:$E$30,MATCH(0,COUNTIF(A$58:A66,Calculation!$E$5:$E$30),0)),"")</f>
        <v>Pipeline Relocation</v>
      </c>
      <c r="B67" s="28">
        <f>SUMIF(Calculation!$E$5:$E$30,$A67,Calculation!AQ$5:AQ$30)/1000000</f>
        <v>0</v>
      </c>
      <c r="C67" s="28">
        <f>SUMIF(Calculation!$E$5:$E$30,$A67,Calculation!AR$5:AR$30)/1000000</f>
        <v>0.34105475874857777</v>
      </c>
      <c r="D67" s="28">
        <f>SUMIF(Calculation!$E$5:$E$30,$A67,Calculation!AS$5:AS$30)/1000000</f>
        <v>0</v>
      </c>
      <c r="E67" s="28">
        <f>SUMIF(Calculation!$E$5:$E$30,$A67,Calculation!AT$5:AT$30)/1000000</f>
        <v>0</v>
      </c>
      <c r="F67" s="28">
        <f>SUMIF(Calculation!$E$5:$E$30,$A67,Calculation!AU$5:AU$30)/1000000</f>
        <v>0</v>
      </c>
      <c r="G67" s="28">
        <f t="shared" si="27"/>
        <v>0.34105475874857777</v>
      </c>
    </row>
    <row r="68" spans="1:15">
      <c r="A68" s="10" t="str">
        <f t="array" ref="A68">_xlfn.IFNA(INDEX(Calculation!$E$5:$E$30,MATCH(0,COUNTIF(A$58:A67,Calculation!$E$5:$E$30),0)),"")</f>
        <v>Minor Projects</v>
      </c>
      <c r="B68" s="28">
        <f>SUMIF(Calculation!$E$5:$E$30,$A68,Calculation!AQ$5:AQ$30)/1000000</f>
        <v>0.40769528508329317</v>
      </c>
      <c r="C68" s="28">
        <f>SUMIF(Calculation!$E$5:$E$30,$A68,Calculation!AR$5:AR$30)/1000000</f>
        <v>0.40881920278407274</v>
      </c>
      <c r="D68" s="28">
        <f>SUMIF(Calculation!$E$5:$E$30,$A68,Calculation!AS$5:AS$30)/1000000</f>
        <v>0.41069248146354231</v>
      </c>
      <c r="E68" s="28">
        <f>SUMIF(Calculation!$E$5:$E$30,$A68,Calculation!AT$5:AT$30)/1000000</f>
        <v>0.41322393896229054</v>
      </c>
      <c r="F68" s="28">
        <f>SUMIF(Calculation!$E$5:$E$30,$A68,Calculation!AU$5:AU$30)/1000000</f>
        <v>0.41475856498598773</v>
      </c>
      <c r="G68" s="28">
        <f t="shared" si="27"/>
        <v>2.0551894732791864</v>
      </c>
    </row>
    <row r="69" spans="1:15">
      <c r="A69" s="10" t="str">
        <f t="array" ref="A69">_xlfn.IFNA(INDEX(Calculation!$E$5:$E$30,MATCH(0,COUNTIF(A$58:A68,Calculation!$E$5:$E$30),0)),"")</f>
        <v>Group IT</v>
      </c>
      <c r="B69" s="28">
        <f>SUMIF(Calculation!$E$5:$E$30,$A69,Calculation!AQ$5:AQ$30)/1000000</f>
        <v>3.6353460698793132</v>
      </c>
      <c r="C69" s="28">
        <f>SUMIF(Calculation!$E$5:$E$30,$A69,Calculation!AR$5:AR$30)/1000000</f>
        <v>3.6546346869300805</v>
      </c>
      <c r="D69" s="28">
        <f>SUMIF(Calculation!$E$5:$E$30,$A69,Calculation!AS$5:AS$30)/1000000</f>
        <v>2.5430183903842645</v>
      </c>
      <c r="E69" s="28">
        <f>SUMIF(Calculation!$E$5:$E$30,$A69,Calculation!AT$5:AT$30)/1000000</f>
        <v>1.733684778190159</v>
      </c>
      <c r="F69" s="28">
        <f>SUMIF(Calculation!$E$5:$E$30,$A69,Calculation!AU$5:AU$30)/1000000</f>
        <v>0.96912520696719384</v>
      </c>
      <c r="G69" s="28">
        <f t="shared" ref="G69:G71" si="28">SUM(B69:F69)</f>
        <v>12.535809132351011</v>
      </c>
    </row>
    <row r="70" spans="1:15">
      <c r="A70" s="10" t="str">
        <f t="array" ref="A70">_xlfn.IFNA(INDEX(Calculation!$E$5:$E$30,MATCH(0,COUNTIF(A$58:A69,Calculation!$E$5:$E$30),0)),"")</f>
        <v>Access Arrangement</v>
      </c>
      <c r="B70" s="28">
        <f>SUMIF(Calculation!$E$5:$E$30,$A70,Calculation!AQ$5:AQ$30)/1000000</f>
        <v>0.73988334161643843</v>
      </c>
      <c r="C70" s="28">
        <f>SUMIF(Calculation!$E$5:$E$30,$A70,Calculation!AR$5:AR$30)/1000000</f>
        <v>5.1723312135347255E-2</v>
      </c>
      <c r="D70" s="28">
        <f>SUMIF(Calculation!$E$5:$E$30,$A70,Calculation!AS$5:AS$30)/1000000</f>
        <v>0</v>
      </c>
      <c r="E70" s="28">
        <f>SUMIF(Calculation!$E$5:$E$30,$A70,Calculation!AT$5:AT$30)/1000000</f>
        <v>0</v>
      </c>
      <c r="F70" s="28">
        <f>SUMIF(Calculation!$E$5:$E$30,$A70,Calculation!AU$5:AU$30)/1000000</f>
        <v>0</v>
      </c>
      <c r="G70" s="28">
        <f t="shared" si="28"/>
        <v>0.79160665375178563</v>
      </c>
    </row>
    <row r="71" spans="1:15">
      <c r="A71" s="10" t="str">
        <f t="array" ref="A71">_xlfn.IFNA(INDEX(Calculation!$E$5:$E$30,MATCH(0,COUNTIF(A$58:A70,Calculation!$E$5:$E$30),0)),"")</f>
        <v>Property Leases</v>
      </c>
      <c r="B71" s="28">
        <f>SUMIF(Calculation!$E$5:$E$30,$A71,Calculation!AQ$5:AQ$30)/1000000</f>
        <v>0</v>
      </c>
      <c r="C71" s="28">
        <f>SUMIF(Calculation!$E$5:$E$30,$A71,Calculation!AR$5:AR$30)/1000000</f>
        <v>0</v>
      </c>
      <c r="D71" s="28">
        <f>SUMIF(Calculation!$E$5:$E$30,$A71,Calculation!AS$5:AS$30)/1000000</f>
        <v>0.60136520260188953</v>
      </c>
      <c r="E71" s="28">
        <f>SUMIF(Calculation!$E$5:$E$30,$A71,Calculation!AT$5:AT$30)/1000000</f>
        <v>0</v>
      </c>
      <c r="F71" s="28">
        <f>SUMIF(Calculation!$E$5:$E$30,$A71,Calculation!AU$5:AU$30)/1000000</f>
        <v>1.476467542504289</v>
      </c>
      <c r="G71" s="28">
        <f t="shared" si="28"/>
        <v>2.0778327451061784</v>
      </c>
    </row>
    <row r="72" spans="1:15">
      <c r="A72" s="10" t="str">
        <f t="array" ref="A72">_xlfn.IFNA(INDEX(Calculation!$E$5:$E$30,MATCH(0,COUNTIF(A$58:A71,Calculation!$E$5:$E$30),0)),"")</f>
        <v>Vehicle Leases</v>
      </c>
      <c r="B72" s="28">
        <f>SUMIF(Calculation!$E$5:$E$30,$A72,Calculation!AQ$5:AQ$30)/1000000</f>
        <v>0.12060501480349084</v>
      </c>
      <c r="C72" s="28">
        <f>SUMIF(Calculation!$E$5:$E$30,$A72,Calculation!AR$5:AR$30)/1000000</f>
        <v>0.12065156541743827</v>
      </c>
      <c r="D72" s="28">
        <f>SUMIF(Calculation!$E$5:$E$30,$A72,Calculation!AS$5:AS$30)/1000000</f>
        <v>0.12072915319149274</v>
      </c>
      <c r="E72" s="28">
        <f>SUMIF(Calculation!$E$5:$E$30,$A72,Calculation!AT$5:AT$30)/1000000</f>
        <v>0.12083400152751129</v>
      </c>
      <c r="F72" s="28">
        <f>SUMIF(Calculation!$E$5:$E$30,$A72,Calculation!AU$5:AU$30)/1000000</f>
        <v>0.12089756292843348</v>
      </c>
      <c r="G72" s="28">
        <f t="shared" ref="G72:G73" si="29">SUM(B72:F72)</f>
        <v>0.60371729786836659</v>
      </c>
    </row>
    <row r="73" spans="1:15">
      <c r="A73" s="10" t="str">
        <f t="array" ref="A73">_xlfn.IFNA(INDEX(Calculation!$E$5:$E$30,MATCH(0,COUNTIF(A$58:A72,Calculation!$E$5:$E$30),0)),"")</f>
        <v/>
      </c>
      <c r="B73" s="28">
        <f>SUMIF(Calculation!$E$5:$E$30,$A73,Calculation!AQ$5:AQ$30)/1000000</f>
        <v>0</v>
      </c>
      <c r="C73" s="28">
        <f>SUMIF(Calculation!$E$5:$E$30,$A73,Calculation!AR$5:AR$30)/1000000</f>
        <v>0</v>
      </c>
      <c r="D73" s="28">
        <f>SUMIF(Calculation!$E$5:$E$30,$A73,Calculation!AS$5:AS$30)/1000000</f>
        <v>0</v>
      </c>
      <c r="E73" s="28">
        <f>SUMIF(Calculation!$E$5:$E$30,$A73,Calculation!AT$5:AT$30)/1000000</f>
        <v>0</v>
      </c>
      <c r="F73" s="28">
        <f>SUMIF(Calculation!$E$5:$E$30,$A73,Calculation!AU$5:AU$30)/1000000</f>
        <v>0</v>
      </c>
      <c r="G73" s="28">
        <f t="shared" si="29"/>
        <v>0</v>
      </c>
    </row>
    <row r="74" spans="1:15">
      <c r="A74" s="10">
        <f t="array" ref="A74">_xlfn.IFNA(INDEX(Calculation!$E$5:$E$30,MATCH(0,COUNTIF(A$58:A73,Calculation!$E$5:$E$30),0)),"")</f>
        <v>0</v>
      </c>
      <c r="B74" s="28">
        <f>SUMIF(Calculation!$E$5:$E$30,$A74,Calculation!AQ$5:AQ$30)/1000000</f>
        <v>0</v>
      </c>
      <c r="C74" s="28">
        <f>SUMIF(Calculation!$E$5:$E$30,$A74,Calculation!AR$5:AR$30)/1000000</f>
        <v>0</v>
      </c>
      <c r="D74" s="28">
        <f>SUMIF(Calculation!$E$5:$E$30,$A74,Calculation!AS$5:AS$30)/1000000</f>
        <v>0</v>
      </c>
      <c r="E74" s="28">
        <f>SUMIF(Calculation!$E$5:$E$30,$A74,Calculation!AT$5:AT$30)/1000000</f>
        <v>0</v>
      </c>
      <c r="F74" s="28">
        <f>SUMIF(Calculation!$E$5:$E$30,$A74,Calculation!AU$5:AU$30)/1000000</f>
        <v>0</v>
      </c>
      <c r="G74" s="28">
        <f t="shared" ref="G74" si="30">SUM(B74:F74)</f>
        <v>0</v>
      </c>
    </row>
    <row r="77" spans="1:15" ht="20" thickBot="1">
      <c r="A77" s="32" t="s">
        <v>79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1" thickTop="1"/>
    <row r="80" spans="1:15" ht="17.5" thickBot="1">
      <c r="A80" s="17" t="s">
        <v>79</v>
      </c>
      <c r="B80" s="17" t="str">
        <f t="shared" ref="B80:G80" si="31">B59</f>
        <v>FY23</v>
      </c>
      <c r="C80" s="17" t="str">
        <f t="shared" si="31"/>
        <v>FY24</v>
      </c>
      <c r="D80" s="17" t="str">
        <f t="shared" si="31"/>
        <v>FY25</v>
      </c>
      <c r="E80" s="17" t="str">
        <f t="shared" si="31"/>
        <v>FY26</v>
      </c>
      <c r="F80" s="17" t="str">
        <f t="shared" si="31"/>
        <v>FY27</v>
      </c>
      <c r="G80" s="17" t="str">
        <f t="shared" si="31"/>
        <v>Total</v>
      </c>
    </row>
    <row r="81" spans="1:15" ht="11" thickTop="1">
      <c r="A81" s="10" t="s">
        <v>80</v>
      </c>
      <c r="B81" s="28" cm="1">
        <f t="array" ref="B81">INDEX(Calculation!CJ$5:CJ$29,MATCH($A81,Calculation!$A$5:$A$30,0),0)/1000000</f>
        <v>8.5230792665969252E-2</v>
      </c>
      <c r="C81" s="28" cm="1">
        <f t="array" ref="C81">INDEX(Calculation!CK$5:CK$29,MATCH($A81,Calculation!$A$5:$A$30,0),0)/1000000</f>
        <v>0</v>
      </c>
      <c r="D81" s="28" cm="1">
        <f t="array" ref="D81">INDEX(Calculation!CL$5:CL$29,MATCH($A81,Calculation!$A$5:$A$30,0),0)/1000000</f>
        <v>0</v>
      </c>
      <c r="E81" s="28" cm="1">
        <f t="array" ref="E81">INDEX(Calculation!CM$5:CM$29,MATCH($A81,Calculation!$A$5:$A$30,0),0)/1000000</f>
        <v>0</v>
      </c>
      <c r="F81" s="28" cm="1">
        <f t="array" ref="F81">INDEX(Calculation!CN$5:CN$29,MATCH($A81,Calculation!$A$5:$A$30,0),0)/1000000</f>
        <v>0</v>
      </c>
      <c r="G81" s="28">
        <f>SUM(B81:F81)</f>
        <v>8.5230792665969252E-2</v>
      </c>
    </row>
    <row r="82" spans="1:15">
      <c r="A82" s="10" t="s">
        <v>81</v>
      </c>
      <c r="B82" s="28" cm="1">
        <f t="array" ref="B82">INDEX(Calculation!CJ$5:CJ$29,MATCH($A82,Calculation!$A$5:$A$30,0),0)/1000000</f>
        <v>8.5230792665969252E-2</v>
      </c>
      <c r="C82" s="28" cm="1">
        <f t="array" ref="C82">INDEX(Calculation!CK$5:CK$29,MATCH($A82,Calculation!$A$5:$A$30,0),0)/1000000</f>
        <v>0</v>
      </c>
      <c r="D82" s="28" cm="1">
        <f t="array" ref="D82">INDEX(Calculation!CL$5:CL$29,MATCH($A82,Calculation!$A$5:$A$30,0),0)/1000000</f>
        <v>0</v>
      </c>
      <c r="E82" s="28" cm="1">
        <f t="array" ref="E82">INDEX(Calculation!CM$5:CM$29,MATCH($A82,Calculation!$A$5:$A$30,0),0)/1000000</f>
        <v>0</v>
      </c>
      <c r="F82" s="28" cm="1">
        <f t="array" ref="F82">INDEX(Calculation!CN$5:CN$29,MATCH($A82,Calculation!$A$5:$A$30,0),0)/1000000</f>
        <v>0</v>
      </c>
      <c r="G82" s="28">
        <f>SUM(B82:F82)</f>
        <v>8.5230792665969252E-2</v>
      </c>
    </row>
    <row r="83" spans="1:15">
      <c r="A83" s="10" t="s">
        <v>82</v>
      </c>
      <c r="B83" s="28" cm="1">
        <f t="array" ref="B83">INDEX(Calculation!CJ$5:CJ$29,MATCH($A83,Calculation!$A$5:$A$30,0),0)/1000000</f>
        <v>8.5230792665969252E-2</v>
      </c>
      <c r="C83" s="28" cm="1">
        <f t="array" ref="C83">INDEX(Calculation!CK$5:CK$29,MATCH($A83,Calculation!$A$5:$A$30,0),0)/1000000</f>
        <v>0</v>
      </c>
      <c r="D83" s="28" cm="1">
        <f t="array" ref="D83">INDEX(Calculation!CL$5:CL$29,MATCH($A83,Calculation!$A$5:$A$30,0),0)/1000000</f>
        <v>0</v>
      </c>
      <c r="E83" s="28" cm="1">
        <f t="array" ref="E83">INDEX(Calculation!CM$5:CM$29,MATCH($A83,Calculation!$A$5:$A$30,0),0)/1000000</f>
        <v>0</v>
      </c>
      <c r="F83" s="28" cm="1">
        <f t="array" ref="F83">INDEX(Calculation!CN$5:CN$29,MATCH($A83,Calculation!$A$5:$A$30,0),0)/1000000</f>
        <v>0</v>
      </c>
      <c r="G83" s="28">
        <f>SUM(B83:F83)</f>
        <v>8.5230792665969252E-2</v>
      </c>
    </row>
    <row r="84" spans="1:15">
      <c r="A84" s="10" t="s">
        <v>40</v>
      </c>
      <c r="B84" s="28">
        <f>SUM(B81:B83)</f>
        <v>0.25569237799790778</v>
      </c>
      <c r="C84" s="28">
        <f t="shared" ref="C84:F84" si="32">SUM(C81:C83)</f>
        <v>0</v>
      </c>
      <c r="D84" s="28">
        <f t="shared" si="32"/>
        <v>0</v>
      </c>
      <c r="E84" s="28">
        <f t="shared" si="32"/>
        <v>0</v>
      </c>
      <c r="F84" s="28">
        <f t="shared" si="32"/>
        <v>0</v>
      </c>
      <c r="G84" s="28">
        <f>SUM(G81:G83)</f>
        <v>0.25569237799790778</v>
      </c>
    </row>
    <row r="87" spans="1:15" ht="20" thickBot="1">
      <c r="A87" s="32" t="s">
        <v>83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1" thickTop="1"/>
    <row r="90" spans="1:15" ht="17.5" thickBot="1">
      <c r="A90" s="17" t="str">
        <f>A87</f>
        <v>DN250 Expenditure</v>
      </c>
      <c r="B90" s="17" t="str">
        <f>B80</f>
        <v>FY23</v>
      </c>
      <c r="C90" s="17" t="str">
        <f t="shared" ref="C90:G90" si="33">C80</f>
        <v>FY24</v>
      </c>
      <c r="D90" s="17" t="str">
        <f t="shared" si="33"/>
        <v>FY25</v>
      </c>
      <c r="E90" s="17" t="str">
        <f t="shared" si="33"/>
        <v>FY26</v>
      </c>
      <c r="F90" s="17" t="str">
        <f t="shared" si="33"/>
        <v>FY27</v>
      </c>
      <c r="G90" s="17" t="str">
        <f t="shared" si="33"/>
        <v>Total</v>
      </c>
    </row>
    <row r="91" spans="1:15" ht="11" thickTop="1">
      <c r="A91" s="10" t="s">
        <v>84</v>
      </c>
      <c r="B91" s="28" cm="1">
        <f t="array" ref="B91">INDEX(Calculation!CB$5:CB$29,MATCH($I91,Calculation!$A$5:$A$30,0),0)/1000000</f>
        <v>2.1325535284879442</v>
      </c>
      <c r="C91" s="28" cm="1">
        <f t="array" ref="C91">INDEX(Calculation!CC$5:CC$29,MATCH($I91,Calculation!$A$5:$A$30,0),0)/1000000</f>
        <v>0</v>
      </c>
      <c r="D91" s="28" cm="1">
        <f t="array" ref="D91">INDEX(Calculation!CD$5:CD$29,MATCH($I91,Calculation!$A$5:$A$30,0),0)/1000000</f>
        <v>0</v>
      </c>
      <c r="E91" s="28" cm="1">
        <f t="array" ref="E91">INDEX(Calculation!CE$5:CE$29,MATCH($I91,Calculation!$A$5:$A$30,0),0)/1000000</f>
        <v>0</v>
      </c>
      <c r="F91" s="28" cm="1">
        <f t="array" ref="F91">INDEX(Calculation!CF$5:CF$29,MATCH($I91,Calculation!$A$5:$A$30,0),0)/1000000</f>
        <v>0</v>
      </c>
      <c r="G91" s="28">
        <f>SUM(B91:F91)</f>
        <v>2.1325535284879442</v>
      </c>
      <c r="I91" t="s">
        <v>85</v>
      </c>
    </row>
    <row r="92" spans="1:15">
      <c r="A92" s="10" t="str">
        <f>D49</f>
        <v>Supply Security Project</v>
      </c>
      <c r="B92" s="28" cm="1">
        <f t="array" ref="B92">INDEX(Calculation!CB$5:CB$29,MATCH($I92,Calculation!$A$5:$A$30,0),0)/1000000</f>
        <v>4.8339015784955963</v>
      </c>
      <c r="C92" s="28" cm="1">
        <f t="array" ref="C92">INDEX(Calculation!CC$5:CC$29,MATCH($I92,Calculation!$A$5:$A$30,0),0)/1000000</f>
        <v>0</v>
      </c>
      <c r="D92" s="28" cm="1">
        <f t="array" ref="D92">INDEX(Calculation!CD$5:CD$29,MATCH($I92,Calculation!$A$5:$A$30,0),0)/1000000</f>
        <v>0</v>
      </c>
      <c r="E92" s="28" cm="1">
        <f t="array" ref="E92">INDEX(Calculation!CE$5:CE$29,MATCH($I92,Calculation!$A$5:$A$30,0),0)/1000000</f>
        <v>0</v>
      </c>
      <c r="F92" s="28" cm="1">
        <f t="array" ref="F92">INDEX(Calculation!CF$5:CF$29,MATCH($I92,Calculation!$A$5:$A$30,0),0)/1000000</f>
        <v>0</v>
      </c>
      <c r="G92" s="28">
        <f>SUM(B92:F92)</f>
        <v>4.8339015784955963</v>
      </c>
      <c r="I92" t="s">
        <v>86</v>
      </c>
    </row>
    <row r="93" spans="1:15">
      <c r="A93" s="10" t="s">
        <v>40</v>
      </c>
      <c r="B93" s="28">
        <f>SUM(B91:B92)</f>
        <v>6.9664551069835401</v>
      </c>
      <c r="C93" s="28">
        <f t="shared" ref="C93:G93" si="34">SUM(C91:C92)</f>
        <v>0</v>
      </c>
      <c r="D93" s="28">
        <f t="shared" si="34"/>
        <v>0</v>
      </c>
      <c r="E93" s="28">
        <f t="shared" si="34"/>
        <v>0</v>
      </c>
      <c r="F93" s="28">
        <f t="shared" si="34"/>
        <v>0</v>
      </c>
      <c r="G93" s="28">
        <f t="shared" si="34"/>
        <v>6.9664551069835401</v>
      </c>
    </row>
    <row r="95" spans="1:15" ht="20" thickBot="1">
      <c r="A95" s="32" t="s">
        <v>30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1" thickTop="1"/>
    <row r="97" spans="1:7" ht="17.5" thickBot="1">
      <c r="A97" s="17" t="str">
        <f>A95</f>
        <v>Group IT</v>
      </c>
      <c r="B97" s="17" t="str">
        <f t="shared" ref="B97:G97" si="35">B90</f>
        <v>FY23</v>
      </c>
      <c r="C97" s="17" t="str">
        <f t="shared" si="35"/>
        <v>FY24</v>
      </c>
      <c r="D97" s="17" t="str">
        <f t="shared" si="35"/>
        <v>FY25</v>
      </c>
      <c r="E97" s="17" t="str">
        <f t="shared" si="35"/>
        <v>FY26</v>
      </c>
      <c r="F97" s="17" t="str">
        <f t="shared" si="35"/>
        <v>FY27</v>
      </c>
      <c r="G97" s="17" t="str">
        <f t="shared" si="35"/>
        <v>Total</v>
      </c>
    </row>
    <row r="98" spans="1:7" ht="11" thickTop="1">
      <c r="A98" s="10" t="s">
        <v>87</v>
      </c>
      <c r="B98" s="28">
        <f>B12</f>
        <v>3.6353460698793132</v>
      </c>
      <c r="C98" s="28">
        <f>C12</f>
        <v>3.6546346869300805</v>
      </c>
      <c r="D98" s="28">
        <f>D12</f>
        <v>2.5430183903842645</v>
      </c>
      <c r="E98" s="28">
        <f>E12</f>
        <v>1.733684778190159</v>
      </c>
      <c r="F98" s="28">
        <f>F12</f>
        <v>0.96912520696719384</v>
      </c>
      <c r="G98" s="28">
        <f>SUM(B98:F98)</f>
        <v>12.535809132351011</v>
      </c>
    </row>
    <row r="99" spans="1:7">
      <c r="A99" s="10" t="s">
        <v>88</v>
      </c>
      <c r="B99" s="28">
        <v>1.1083516368118873</v>
      </c>
      <c r="C99" s="28">
        <v>0.94587230900377184</v>
      </c>
      <c r="D99" s="28">
        <v>0.44581614465134867</v>
      </c>
      <c r="E99" s="28">
        <v>0.42738839565632236</v>
      </c>
      <c r="F99" s="28">
        <v>0.37634969335670798</v>
      </c>
      <c r="G99" s="28">
        <f>SUM(B99:F99)</f>
        <v>3.3037781794800378</v>
      </c>
    </row>
    <row r="100" spans="1:7">
      <c r="A100" s="10" t="s">
        <v>89</v>
      </c>
      <c r="B100" s="28">
        <f t="shared" ref="B100:G100" si="36">B98-B99</f>
        <v>2.5269944330674257</v>
      </c>
      <c r="C100" s="28">
        <f t="shared" si="36"/>
        <v>2.7087623779263086</v>
      </c>
      <c r="D100" s="28">
        <f t="shared" si="36"/>
        <v>2.097202245732916</v>
      </c>
      <c r="E100" s="28">
        <f t="shared" si="36"/>
        <v>1.3062963825338367</v>
      </c>
      <c r="F100" s="28">
        <f t="shared" si="36"/>
        <v>0.59277551361048586</v>
      </c>
      <c r="G100" s="28">
        <f t="shared" si="36"/>
        <v>9.2320309528709732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7:C51"/>
  <sheetViews>
    <sheetView topLeftCell="G7" workbookViewId="0">
      <selection activeCell="AC25" sqref="AC25"/>
    </sheetView>
  </sheetViews>
  <sheetFormatPr defaultRowHeight="10.5"/>
  <cols>
    <col min="3" max="3" width="11.125" bestFit="1" customWidth="1"/>
    <col min="4" max="8" width="10.125" bestFit="1" customWidth="1"/>
  </cols>
  <sheetData>
    <row r="37" spans="2:3">
      <c r="B37" t="s">
        <v>6</v>
      </c>
      <c r="C37" t="s">
        <v>40</v>
      </c>
    </row>
    <row r="38" spans="2:3">
      <c r="B38" t="str" cm="1">
        <f t="array" ref="B38">INDEX(Outputs!$A$60:$A$74,MATCH(C38,Outputs!$G$60:$G$74,0),0)</f>
        <v>Pipeline Integrity</v>
      </c>
      <c r="C38" s="34">
        <f>LARGE(Outputs!$G$60:$G$74,ROW(C38)-37)</f>
        <v>13.319492093590423</v>
      </c>
    </row>
    <row r="39" spans="2:3">
      <c r="B39" t="str" cm="1">
        <f t="array" ref="B39">INDEX(Outputs!$A$60:$A$74,MATCH(C39,Outputs!$G$60:$G$74,0),0)</f>
        <v>Group IT</v>
      </c>
      <c r="C39" s="34">
        <f>LARGE(Outputs!$G$60:$G$74,ROW(C39)-37)</f>
        <v>12.535809132351011</v>
      </c>
    </row>
    <row r="40" spans="2:3">
      <c r="B40" t="str" cm="1">
        <f t="array" ref="B40">INDEX(Outputs!$A$60:$A$74,MATCH(C40,Outputs!$G$60:$G$74,0),0)</f>
        <v>Supply Security Project</v>
      </c>
      <c r="C40" s="34">
        <f>LARGE(Outputs!$G$60:$G$74,ROW(C40)-37)</f>
        <v>4.8339015784955963</v>
      </c>
    </row>
    <row r="41" spans="2:3">
      <c r="B41" t="str" cm="1">
        <f t="array" ref="B41">INDEX(Outputs!$A$60:$A$74,MATCH(C41,Outputs!$G$60:$G$74,0),0)</f>
        <v>Property Leases</v>
      </c>
      <c r="C41" s="34">
        <f>LARGE(Outputs!$G$60:$G$74,ROW(C41)-37)</f>
        <v>2.0778327451061784</v>
      </c>
    </row>
    <row r="42" spans="2:3">
      <c r="B42" t="str" cm="1">
        <f t="array" ref="B42">INDEX(Outputs!$A$60:$A$74,MATCH(C42,Outputs!$G$60:$G$74,0),0)</f>
        <v>Minor Projects</v>
      </c>
      <c r="C42" s="34">
        <f>LARGE(Outputs!$G$60:$G$74,ROW(C42)-37)</f>
        <v>2.0551894732791864</v>
      </c>
    </row>
    <row r="43" spans="2:3">
      <c r="B43" t="str" cm="1">
        <f t="array" ref="B43">INDEX(Outputs!$A$60:$A$74,MATCH(C43,Outputs!$G$60:$G$74,0),0)</f>
        <v>Liquids Removal</v>
      </c>
      <c r="C43" s="34">
        <f>LARGE(Outputs!$G$60:$G$74,ROW(C43)-37)</f>
        <v>1.0655114577992852</v>
      </c>
    </row>
    <row r="44" spans="2:3">
      <c r="B44" t="str" cm="1">
        <f t="array" ref="B44">INDEX(Outputs!$A$60:$A$74,MATCH(C44,Outputs!$G$60:$G$74,0),0)</f>
        <v>Access Arrangement</v>
      </c>
      <c r="C44" s="34">
        <f>LARGE(Outputs!$G$60:$G$74,ROW(C44)-37)</f>
        <v>0.79160665375178563</v>
      </c>
    </row>
    <row r="45" spans="2:3">
      <c r="B45" t="str" cm="1">
        <f t="array" ref="B45">INDEX(Outputs!$A$60:$A$74,MATCH(C45,Outputs!$G$60:$G$74,0),0)</f>
        <v>SCADA Hardware Lifecycle Management</v>
      </c>
      <c r="C45" s="34">
        <f>LARGE(Outputs!$G$60:$G$74,ROW(C45)-37)</f>
        <v>0.76443890670450598</v>
      </c>
    </row>
    <row r="46" spans="2:3">
      <c r="B46" t="str" cm="1">
        <f t="array" ref="B46">INDEX(Outputs!$A$60:$A$74,MATCH(C46,Outputs!$G$60:$G$74,0),0)</f>
        <v>Vehicle Leases</v>
      </c>
      <c r="C46" s="34">
        <f>LARGE(Outputs!$G$60:$G$74,ROW(C46)-37)</f>
        <v>0.60371729786836659</v>
      </c>
    </row>
    <row r="47" spans="2:3">
      <c r="B47" t="str" cm="1">
        <f t="array" ref="B47">INDEX(Outputs!$A$60:$A$74,MATCH(C47,Outputs!$G$60:$G$74,0),0)</f>
        <v>Pipeline Relocation</v>
      </c>
      <c r="C47" s="34">
        <f>LARGE(Outputs!$G$60:$G$74,ROW(C47)-37)</f>
        <v>0.34105475874857777</v>
      </c>
    </row>
    <row r="48" spans="2:3">
      <c r="B48" t="str" cm="1">
        <f t="array" ref="B48">INDEX(Outputs!$A$60:$A$74,MATCH(C48,Outputs!$G$60:$G$74,0),0)</f>
        <v>Battery Charger Replacement</v>
      </c>
      <c r="C48" s="34">
        <f>LARGE(Outputs!$G$60:$G$74,ROW(C48)-37)</f>
        <v>0.25569237799790773</v>
      </c>
    </row>
    <row r="49" spans="2:3">
      <c r="B49" t="str" cm="1">
        <f t="array" ref="B49">INDEX(Outputs!$A$60:$A$74,MATCH(C49,Outputs!$G$60:$G$74,0),0)</f>
        <v>Valve Upgrade</v>
      </c>
      <c r="C49" s="34">
        <f>LARGE(Outputs!$G$60:$G$74,ROW(C49)-37)</f>
        <v>0.25056195218686311</v>
      </c>
    </row>
    <row r="50" spans="2:3">
      <c r="B50" t="str" cm="1">
        <f t="array" ref="B50">INDEX(Outputs!$A$60:$A$74,MATCH(C50,Outputs!$G$60:$G$74,0),0)</f>
        <v>Dalby Communication Relocation</v>
      </c>
      <c r="C50" s="34">
        <f>LARGE(Outputs!$G$60:$G$74,ROW(C50)-37)</f>
        <v>5.6808632534801569E-2</v>
      </c>
    </row>
    <row r="51" spans="2:3">
      <c r="B51" t="str" cm="1">
        <f t="array" ref="B51">INDEX(Outputs!$A$60:$A$74,MATCH(C51,Outputs!$G$60:$G$74,0),0)</f>
        <v/>
      </c>
      <c r="C51" s="34">
        <f>LARGE(Outputs!$G$60:$G$74,ROW(C51)-37)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Inputs</vt:lpstr>
      <vt:lpstr>Calculation</vt:lpstr>
      <vt:lpstr>Outputs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2022-04-14T04:32:51Z</dcterms:created>
  <dcterms:modified xsi:type="dcterms:W3CDTF">2022-04-27T02:00:58Z</dcterms:modified>
  <cp:category/>
  <cp:contentStatus/>
</cp:coreProperties>
</file>